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filterPrivacy="1" updateLinks="never" autoCompressPictures="0" defaultThemeVersion="124226"/>
  <xr:revisionPtr revIDLastSave="0" documentId="13_ncr:1_{E31547BF-CDE3-49E9-A4AA-E1909F2CD84F}" xr6:coauthVersionLast="47" xr6:coauthVersionMax="47" xr10:uidLastSave="{00000000-0000-0000-0000-000000000000}"/>
  <bookViews>
    <workbookView xWindow="-108" yWindow="-108" windowWidth="23256" windowHeight="12576" tabRatio="854" firstSheet="6" activeTab="8" xr2:uid="{00000000-000D-0000-FFFF-FFFF00000000}"/>
  </bookViews>
  <sheets>
    <sheet name="InBS" sheetId="1" state="hidden" r:id="rId1"/>
    <sheet name="InIS" sheetId="2" state="hidden" r:id="rId2"/>
    <sheet name="InCF" sheetId="3" state="hidden" r:id="rId3"/>
    <sheet name="InBS_Q" sheetId="14" state="hidden" r:id="rId4"/>
    <sheet name="InIS_Q" sheetId="13" state="hidden" r:id="rId5"/>
    <sheet name="InCF_Q" sheetId="15" state="hidden" r:id="rId6"/>
    <sheet name="Raw Data" sheetId="12" r:id="rId7"/>
    <sheet name="Revenue Forecast" sheetId="6" r:id="rId8"/>
    <sheet name="Fixed Assets (F)" sheetId="7" r:id="rId9"/>
    <sheet name="LT.Debt (F)" sheetId="16" r:id="rId10"/>
    <sheet name="Input" sheetId="4" r:id="rId11"/>
    <sheet name="ERP-Beta" sheetId="9" r:id="rId12"/>
    <sheet name="DCF 2017" sheetId="17" r:id="rId13"/>
    <sheet name="Assumption" sheetId="5" r:id="rId14"/>
    <sheet name="Output_BS" sheetId="18" r:id="rId15"/>
    <sheet name="Output_IS" sheetId="19" r:id="rId16"/>
    <sheet name="Output_CF" sheetId="20" r:id="rId17"/>
    <sheet name="IS_Common Size" sheetId="22" r:id="rId18"/>
    <sheet name="BS_Common Size" sheetId="21" r:id="rId19"/>
    <sheet name="Ratio" sheetId="24" r:id="rId20"/>
  </sheets>
  <calcPr calcId="191029" iterate="1"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C63" i="17" l="1"/>
  <c r="C64" i="17"/>
  <c r="C19" i="17"/>
  <c r="C20" i="17"/>
  <c r="D11" i="5"/>
  <c r="D10" i="5"/>
  <c r="D17" i="5"/>
  <c r="D24" i="5"/>
  <c r="D23" i="5"/>
  <c r="M15" i="7"/>
  <c r="N54" i="6"/>
  <c r="N53" i="6"/>
  <c r="N57" i="6"/>
  <c r="N18" i="6"/>
  <c r="T24" i="9"/>
  <c r="T25" i="9"/>
  <c r="P26" i="9"/>
  <c r="Q26" i="9"/>
  <c r="R26" i="9"/>
  <c r="S26" i="9"/>
  <c r="T26" i="9"/>
  <c r="T27" i="9"/>
  <c r="D9" i="5"/>
  <c r="D16" i="5"/>
  <c r="D5" i="9"/>
  <c r="D6"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54" i="9"/>
  <c r="D55" i="9"/>
  <c r="D56" i="9"/>
  <c r="D57" i="9"/>
  <c r="D58" i="9"/>
  <c r="D59" i="9"/>
  <c r="D60" i="9"/>
  <c r="D61" i="9"/>
  <c r="D62" i="9"/>
  <c r="D63" i="9"/>
  <c r="D64" i="9"/>
  <c r="D65" i="9"/>
  <c r="D66" i="9"/>
  <c r="D67" i="9"/>
  <c r="D68" i="9"/>
  <c r="D69" i="9"/>
  <c r="D70" i="9"/>
  <c r="D71" i="9"/>
  <c r="D72" i="9"/>
  <c r="D73" i="9"/>
  <c r="D74" i="9"/>
  <c r="D75" i="9"/>
  <c r="D76" i="9"/>
  <c r="D77" i="9"/>
  <c r="D78" i="9"/>
  <c r="D79" i="9"/>
  <c r="D80" i="9"/>
  <c r="D81" i="9"/>
  <c r="D82" i="9"/>
  <c r="D83" i="9"/>
  <c r="D84" i="9"/>
  <c r="D85" i="9"/>
  <c r="D86" i="9"/>
  <c r="D87" i="9"/>
  <c r="D88" i="9"/>
  <c r="D89" i="9"/>
  <c r="D90" i="9"/>
  <c r="D91" i="9"/>
  <c r="D92" i="9"/>
  <c r="D93" i="9"/>
  <c r="D94" i="9"/>
  <c r="D95" i="9"/>
  <c r="D96" i="9"/>
  <c r="D97" i="9"/>
  <c r="D98" i="9"/>
  <c r="D99" i="9"/>
  <c r="D100" i="9"/>
  <c r="D101" i="9"/>
  <c r="D102" i="9"/>
  <c r="D103" i="9"/>
  <c r="D104" i="9"/>
  <c r="D105" i="9"/>
  <c r="D106" i="9"/>
  <c r="D107" i="9"/>
  <c r="D108" i="9"/>
  <c r="D109" i="9"/>
  <c r="D110" i="9"/>
  <c r="D111" i="9"/>
  <c r="D112" i="9"/>
  <c r="D113" i="9"/>
  <c r="D114" i="9"/>
  <c r="D115" i="9"/>
  <c r="D116" i="9"/>
  <c r="D117" i="9"/>
  <c r="D118" i="9"/>
  <c r="D119" i="9"/>
  <c r="D120" i="9"/>
  <c r="D121" i="9"/>
  <c r="D122" i="9"/>
  <c r="D123" i="9"/>
  <c r="D124" i="9"/>
  <c r="D125" i="9"/>
  <c r="D126" i="9"/>
  <c r="D127" i="9"/>
  <c r="D128" i="9"/>
  <c r="D129" i="9"/>
  <c r="D130" i="9"/>
  <c r="D131" i="9"/>
  <c r="D132" i="9"/>
  <c r="D133" i="9"/>
  <c r="D134" i="9"/>
  <c r="D135" i="9"/>
  <c r="D136" i="9"/>
  <c r="D137" i="9"/>
  <c r="D138" i="9"/>
  <c r="D139" i="9"/>
  <c r="D140" i="9"/>
  <c r="D141" i="9"/>
  <c r="D142" i="9"/>
  <c r="D143" i="9"/>
  <c r="D144" i="9"/>
  <c r="D145" i="9"/>
  <c r="D146" i="9"/>
  <c r="D147" i="9"/>
  <c r="D148" i="9"/>
  <c r="D149" i="9"/>
  <c r="D150" i="9"/>
  <c r="D151" i="9"/>
  <c r="D152" i="9"/>
  <c r="D153" i="9"/>
  <c r="D154" i="9"/>
  <c r="D155" i="9"/>
  <c r="D156" i="9"/>
  <c r="D157" i="9"/>
  <c r="D158" i="9"/>
  <c r="D159" i="9"/>
  <c r="D160" i="9"/>
  <c r="D161" i="9"/>
  <c r="D162" i="9"/>
  <c r="D163" i="9"/>
  <c r="D164" i="9"/>
  <c r="D165" i="9"/>
  <c r="D166" i="9"/>
  <c r="D167" i="9"/>
  <c r="D168" i="9"/>
  <c r="D169" i="9"/>
  <c r="D170" i="9"/>
  <c r="D171" i="9"/>
  <c r="D172" i="9"/>
  <c r="D173" i="9"/>
  <c r="D174" i="9"/>
  <c r="D175" i="9"/>
  <c r="D176" i="9"/>
  <c r="D177" i="9"/>
  <c r="D178" i="9"/>
  <c r="D179" i="9"/>
  <c r="D180" i="9"/>
  <c r="D181" i="9"/>
  <c r="D182" i="9"/>
  <c r="D183" i="9"/>
  <c r="D184" i="9"/>
  <c r="D185" i="9"/>
  <c r="D186" i="9"/>
  <c r="D187" i="9"/>
  <c r="D188" i="9"/>
  <c r="D189" i="9"/>
  <c r="D190" i="9"/>
  <c r="D191" i="9"/>
  <c r="D192" i="9"/>
  <c r="D193" i="9"/>
  <c r="D194" i="9"/>
  <c r="D195" i="9"/>
  <c r="D196" i="9"/>
  <c r="D197" i="9"/>
  <c r="D198" i="9"/>
  <c r="D199" i="9"/>
  <c r="D200" i="9"/>
  <c r="D201" i="9"/>
  <c r="D202" i="9"/>
  <c r="D203" i="9"/>
  <c r="D204" i="9"/>
  <c r="D205" i="9"/>
  <c r="D206" i="9"/>
  <c r="D207" i="9"/>
  <c r="D208" i="9"/>
  <c r="D209" i="9"/>
  <c r="D210" i="9"/>
  <c r="D211" i="9"/>
  <c r="D212" i="9"/>
  <c r="D213" i="9"/>
  <c r="D214" i="9"/>
  <c r="D215" i="9"/>
  <c r="D216" i="9"/>
  <c r="D217" i="9"/>
  <c r="D218" i="9"/>
  <c r="D219" i="9"/>
  <c r="D220" i="9"/>
  <c r="D221" i="9"/>
  <c r="D222" i="9"/>
  <c r="D223" i="9"/>
  <c r="D224" i="9"/>
  <c r="D225" i="9"/>
  <c r="D226" i="9"/>
  <c r="D227" i="9"/>
  <c r="D228" i="9"/>
  <c r="D229" i="9"/>
  <c r="D230" i="9"/>
  <c r="D231" i="9"/>
  <c r="D232" i="9"/>
  <c r="D233" i="9"/>
  <c r="D234" i="9"/>
  <c r="D235" i="9"/>
  <c r="D236" i="9"/>
  <c r="D237" i="9"/>
  <c r="D238" i="9"/>
  <c r="D239" i="9"/>
  <c r="D240" i="9"/>
  <c r="D241" i="9"/>
  <c r="D242" i="9"/>
  <c r="D243" i="9"/>
  <c r="D244" i="9"/>
  <c r="D245" i="9"/>
  <c r="D246" i="9"/>
  <c r="D247" i="9"/>
  <c r="D248" i="9"/>
  <c r="D249" i="9"/>
  <c r="D250" i="9"/>
  <c r="D251" i="9"/>
  <c r="D252" i="9"/>
  <c r="D253" i="9"/>
  <c r="D254" i="9"/>
  <c r="D255" i="9"/>
  <c r="D256" i="9"/>
  <c r="D257" i="9"/>
  <c r="D258" i="9"/>
  <c r="D259" i="9"/>
  <c r="D260" i="9"/>
  <c r="D261" i="9"/>
  <c r="D262" i="9"/>
  <c r="D263" i="9"/>
  <c r="D264" i="9"/>
  <c r="D265" i="9"/>
  <c r="D266" i="9"/>
  <c r="D267" i="9"/>
  <c r="D268" i="9"/>
  <c r="D269" i="9"/>
  <c r="D270" i="9"/>
  <c r="D271" i="9"/>
  <c r="D272" i="9"/>
  <c r="D273" i="9"/>
  <c r="D274" i="9"/>
  <c r="D275" i="9"/>
  <c r="D276" i="9"/>
  <c r="D277" i="9"/>
  <c r="D278" i="9"/>
  <c r="D279" i="9"/>
  <c r="D280" i="9"/>
  <c r="D281" i="9"/>
  <c r="D282" i="9"/>
  <c r="D283" i="9"/>
  <c r="D284" i="9"/>
  <c r="D285" i="9"/>
  <c r="D286" i="9"/>
  <c r="D287" i="9"/>
  <c r="D288" i="9"/>
  <c r="D289" i="9"/>
  <c r="D290" i="9"/>
  <c r="D291" i="9"/>
  <c r="D292" i="9"/>
  <c r="D293" i="9"/>
  <c r="D294" i="9"/>
  <c r="D295" i="9"/>
  <c r="D296" i="9"/>
  <c r="D297" i="9"/>
  <c r="D298" i="9"/>
  <c r="D299" i="9"/>
  <c r="D300" i="9"/>
  <c r="D301" i="9"/>
  <c r="D302" i="9"/>
  <c r="D303" i="9"/>
  <c r="D304" i="9"/>
  <c r="D305" i="9"/>
  <c r="D306" i="9"/>
  <c r="D307" i="9"/>
  <c r="D308" i="9"/>
  <c r="D309" i="9"/>
  <c r="D310" i="9"/>
  <c r="D311" i="9"/>
  <c r="D312" i="9"/>
  <c r="D313" i="9"/>
  <c r="D314" i="9"/>
  <c r="D315" i="9"/>
  <c r="D316" i="9"/>
  <c r="D317" i="9"/>
  <c r="D318" i="9"/>
  <c r="D319" i="9"/>
  <c r="D320" i="9"/>
  <c r="D321" i="9"/>
  <c r="D322" i="9"/>
  <c r="D323" i="9"/>
  <c r="D324" i="9"/>
  <c r="D325" i="9"/>
  <c r="D326" i="9"/>
  <c r="D327" i="9"/>
  <c r="D328" i="9"/>
  <c r="D329" i="9"/>
  <c r="D330" i="9"/>
  <c r="D331" i="9"/>
  <c r="D332" i="9"/>
  <c r="D333" i="9"/>
  <c r="D334" i="9"/>
  <c r="D335" i="9"/>
  <c r="D336" i="9"/>
  <c r="D337" i="9"/>
  <c r="D338" i="9"/>
  <c r="D339" i="9"/>
  <c r="D340" i="9"/>
  <c r="D341" i="9"/>
  <c r="D342" i="9"/>
  <c r="D343" i="9"/>
  <c r="D344" i="9"/>
  <c r="D345" i="9"/>
  <c r="D346" i="9"/>
  <c r="D347" i="9"/>
  <c r="D348" i="9"/>
  <c r="D349" i="9"/>
  <c r="D350" i="9"/>
  <c r="D351" i="9"/>
  <c r="D352" i="9"/>
  <c r="D353" i="9"/>
  <c r="D354" i="9"/>
  <c r="D355" i="9"/>
  <c r="D356" i="9"/>
  <c r="D357" i="9"/>
  <c r="D358" i="9"/>
  <c r="D359" i="9"/>
  <c r="D360" i="9"/>
  <c r="D361" i="9"/>
  <c r="D362" i="9"/>
  <c r="D363" i="9"/>
  <c r="D364" i="9"/>
  <c r="D365" i="9"/>
  <c r="D366" i="9"/>
  <c r="D367" i="9"/>
  <c r="D368" i="9"/>
  <c r="D369" i="9"/>
  <c r="D370" i="9"/>
  <c r="D371" i="9"/>
  <c r="D372" i="9"/>
  <c r="D373" i="9"/>
  <c r="D374" i="9"/>
  <c r="D375" i="9"/>
  <c r="D376" i="9"/>
  <c r="D377" i="9"/>
  <c r="D378" i="9"/>
  <c r="D379" i="9"/>
  <c r="D380" i="9"/>
  <c r="D381" i="9"/>
  <c r="D382" i="9"/>
  <c r="D383" i="9"/>
  <c r="D384" i="9"/>
  <c r="D385" i="9"/>
  <c r="D386" i="9"/>
  <c r="D387" i="9"/>
  <c r="D388" i="9"/>
  <c r="D389" i="9"/>
  <c r="D390" i="9"/>
  <c r="D391" i="9"/>
  <c r="D392" i="9"/>
  <c r="D393" i="9"/>
  <c r="D394" i="9"/>
  <c r="D395" i="9"/>
  <c r="D396" i="9"/>
  <c r="D397" i="9"/>
  <c r="D398" i="9"/>
  <c r="D399" i="9"/>
  <c r="D400" i="9"/>
  <c r="D401" i="9"/>
  <c r="D402" i="9"/>
  <c r="D403" i="9"/>
  <c r="D404" i="9"/>
  <c r="D405" i="9"/>
  <c r="D406" i="9"/>
  <c r="D407" i="9"/>
  <c r="D408" i="9"/>
  <c r="D409" i="9"/>
  <c r="D410" i="9"/>
  <c r="D411" i="9"/>
  <c r="D412" i="9"/>
  <c r="D413" i="9"/>
  <c r="D414" i="9"/>
  <c r="D415" i="9"/>
  <c r="D416" i="9"/>
  <c r="D417" i="9"/>
  <c r="D418" i="9"/>
  <c r="D419" i="9"/>
  <c r="D420" i="9"/>
  <c r="D421" i="9"/>
  <c r="D422" i="9"/>
  <c r="D423" i="9"/>
  <c r="D424" i="9"/>
  <c r="D425" i="9"/>
  <c r="D426" i="9"/>
  <c r="D427" i="9"/>
  <c r="D428" i="9"/>
  <c r="D429" i="9"/>
  <c r="D430" i="9"/>
  <c r="D431" i="9"/>
  <c r="D432" i="9"/>
  <c r="D433" i="9"/>
  <c r="D434" i="9"/>
  <c r="D435" i="9"/>
  <c r="D436" i="9"/>
  <c r="D437" i="9"/>
  <c r="D438" i="9"/>
  <c r="D439" i="9"/>
  <c r="D440" i="9"/>
  <c r="D441" i="9"/>
  <c r="D442" i="9"/>
  <c r="D443" i="9"/>
  <c r="D444" i="9"/>
  <c r="D445" i="9"/>
  <c r="D446" i="9"/>
  <c r="D447" i="9"/>
  <c r="D448" i="9"/>
  <c r="D449" i="9"/>
  <c r="D450" i="9"/>
  <c r="D451" i="9"/>
  <c r="D452" i="9"/>
  <c r="D453" i="9"/>
  <c r="D454" i="9"/>
  <c r="D455" i="9"/>
  <c r="D456" i="9"/>
  <c r="D457" i="9"/>
  <c r="D458" i="9"/>
  <c r="D459" i="9"/>
  <c r="D460" i="9"/>
  <c r="D461" i="9"/>
  <c r="D462" i="9"/>
  <c r="D463" i="9"/>
  <c r="D464" i="9"/>
  <c r="D465" i="9"/>
  <c r="D466" i="9"/>
  <c r="D467" i="9"/>
  <c r="D468" i="9"/>
  <c r="D469" i="9"/>
  <c r="D470" i="9"/>
  <c r="D471" i="9"/>
  <c r="D472" i="9"/>
  <c r="D473" i="9"/>
  <c r="D474" i="9"/>
  <c r="D475" i="9"/>
  <c r="D476" i="9"/>
  <c r="D477" i="9"/>
  <c r="D478" i="9"/>
  <c r="D479" i="9"/>
  <c r="D480" i="9"/>
  <c r="D481" i="9"/>
  <c r="D482" i="9"/>
  <c r="D483" i="9"/>
  <c r="D484" i="9"/>
  <c r="D485" i="9"/>
  <c r="D486" i="9"/>
  <c r="D487" i="9"/>
  <c r="D488" i="9"/>
  <c r="D489" i="9"/>
  <c r="D490" i="9"/>
  <c r="D491" i="9"/>
  <c r="D492" i="9"/>
  <c r="D493" i="9"/>
  <c r="D494" i="9"/>
  <c r="D495" i="9"/>
  <c r="D496" i="9"/>
  <c r="D497" i="9"/>
  <c r="D498" i="9"/>
  <c r="D499" i="9"/>
  <c r="D500" i="9"/>
  <c r="D501" i="9"/>
  <c r="D502" i="9"/>
  <c r="D503" i="9"/>
  <c r="D504" i="9"/>
  <c r="D505" i="9"/>
  <c r="D506" i="9"/>
  <c r="D507" i="9"/>
  <c r="D508" i="9"/>
  <c r="D509" i="9"/>
  <c r="D510" i="9"/>
  <c r="D511" i="9"/>
  <c r="D512" i="9"/>
  <c r="D513" i="9"/>
  <c r="D514" i="9"/>
  <c r="D515" i="9"/>
  <c r="D516" i="9"/>
  <c r="D517" i="9"/>
  <c r="D518" i="9"/>
  <c r="D519" i="9"/>
  <c r="D520" i="9"/>
  <c r="D521" i="9"/>
  <c r="D522" i="9"/>
  <c r="D523" i="9"/>
  <c r="D524" i="9"/>
  <c r="D525" i="9"/>
  <c r="D526" i="9"/>
  <c r="D527" i="9"/>
  <c r="D528" i="9"/>
  <c r="D529" i="9"/>
  <c r="D530" i="9"/>
  <c r="D531" i="9"/>
  <c r="D532" i="9"/>
  <c r="D533" i="9"/>
  <c r="D534" i="9"/>
  <c r="D535" i="9"/>
  <c r="D536" i="9"/>
  <c r="D537" i="9"/>
  <c r="D538" i="9"/>
  <c r="D539" i="9"/>
  <c r="D540" i="9"/>
  <c r="D541" i="9"/>
  <c r="D542" i="9"/>
  <c r="D543" i="9"/>
  <c r="D544" i="9"/>
  <c r="D545" i="9"/>
  <c r="D546" i="9"/>
  <c r="D547" i="9"/>
  <c r="D548" i="9"/>
  <c r="D549" i="9"/>
  <c r="D550" i="9"/>
  <c r="D551" i="9"/>
  <c r="D552" i="9"/>
  <c r="D553" i="9"/>
  <c r="D554" i="9"/>
  <c r="D555" i="9"/>
  <c r="D556" i="9"/>
  <c r="D557" i="9"/>
  <c r="D558" i="9"/>
  <c r="D559" i="9"/>
  <c r="D560" i="9"/>
  <c r="D561" i="9"/>
  <c r="D562" i="9"/>
  <c r="D563" i="9"/>
  <c r="D564" i="9"/>
  <c r="D565" i="9"/>
  <c r="D566" i="9"/>
  <c r="D567" i="9"/>
  <c r="D568" i="9"/>
  <c r="D569" i="9"/>
  <c r="D570" i="9"/>
  <c r="D571" i="9"/>
  <c r="D572" i="9"/>
  <c r="D573" i="9"/>
  <c r="D574" i="9"/>
  <c r="D575" i="9"/>
  <c r="D576" i="9"/>
  <c r="D577" i="9"/>
  <c r="D578" i="9"/>
  <c r="D579" i="9"/>
  <c r="D580" i="9"/>
  <c r="D581" i="9"/>
  <c r="D582" i="9"/>
  <c r="D583" i="9"/>
  <c r="D584" i="9"/>
  <c r="D585" i="9"/>
  <c r="D586" i="9"/>
  <c r="D587" i="9"/>
  <c r="D588" i="9"/>
  <c r="D589" i="9"/>
  <c r="D590" i="9"/>
  <c r="D591" i="9"/>
  <c r="D592" i="9"/>
  <c r="D593" i="9"/>
  <c r="J5" i="9"/>
  <c r="G5" i="9"/>
  <c r="G6" i="9"/>
  <c r="G7" i="9"/>
  <c r="G8" i="9"/>
  <c r="G9" i="9"/>
  <c r="G10" i="9"/>
  <c r="G11" i="9"/>
  <c r="G12" i="9"/>
  <c r="G13" i="9"/>
  <c r="G14" i="9"/>
  <c r="G15" i="9"/>
  <c r="G16" i="9"/>
  <c r="G17" i="9"/>
  <c r="G18" i="9"/>
  <c r="G19" i="9"/>
  <c r="G20" i="9"/>
  <c r="G21" i="9"/>
  <c r="G22" i="9"/>
  <c r="G23" i="9"/>
  <c r="G24" i="9"/>
  <c r="G25" i="9"/>
  <c r="G26" i="9"/>
  <c r="G27" i="9"/>
  <c r="G28" i="9"/>
  <c r="G29" i="9"/>
  <c r="G30" i="9"/>
  <c r="G31" i="9"/>
  <c r="G32" i="9"/>
  <c r="G33" i="9"/>
  <c r="G34" i="9"/>
  <c r="G35" i="9"/>
  <c r="G36" i="9"/>
  <c r="G37" i="9"/>
  <c r="G38" i="9"/>
  <c r="G39" i="9"/>
  <c r="G40" i="9"/>
  <c r="G41" i="9"/>
  <c r="G42" i="9"/>
  <c r="G43" i="9"/>
  <c r="G44" i="9"/>
  <c r="G45" i="9"/>
  <c r="G46" i="9"/>
  <c r="G47" i="9"/>
  <c r="G48" i="9"/>
  <c r="G49" i="9"/>
  <c r="G50" i="9"/>
  <c r="G51" i="9"/>
  <c r="G52" i="9"/>
  <c r="G53" i="9"/>
  <c r="G54" i="9"/>
  <c r="G55" i="9"/>
  <c r="G56" i="9"/>
  <c r="G57" i="9"/>
  <c r="G58" i="9"/>
  <c r="G59" i="9"/>
  <c r="G60" i="9"/>
  <c r="G61" i="9"/>
  <c r="G62" i="9"/>
  <c r="G63" i="9"/>
  <c r="G64" i="9"/>
  <c r="G65" i="9"/>
  <c r="G66" i="9"/>
  <c r="G67" i="9"/>
  <c r="G68" i="9"/>
  <c r="G69" i="9"/>
  <c r="G70" i="9"/>
  <c r="G71" i="9"/>
  <c r="G72" i="9"/>
  <c r="G73" i="9"/>
  <c r="G74" i="9"/>
  <c r="G75" i="9"/>
  <c r="G76" i="9"/>
  <c r="G77" i="9"/>
  <c r="G78" i="9"/>
  <c r="G79" i="9"/>
  <c r="G80" i="9"/>
  <c r="G81" i="9"/>
  <c r="G82" i="9"/>
  <c r="G83" i="9"/>
  <c r="G84" i="9"/>
  <c r="G85" i="9"/>
  <c r="G86" i="9"/>
  <c r="G87" i="9"/>
  <c r="G88" i="9"/>
  <c r="G89" i="9"/>
  <c r="G90" i="9"/>
  <c r="G91" i="9"/>
  <c r="G92" i="9"/>
  <c r="G93" i="9"/>
  <c r="G94" i="9"/>
  <c r="G95" i="9"/>
  <c r="G96" i="9"/>
  <c r="G97" i="9"/>
  <c r="G98" i="9"/>
  <c r="G99" i="9"/>
  <c r="G100" i="9"/>
  <c r="G101" i="9"/>
  <c r="G102" i="9"/>
  <c r="G103" i="9"/>
  <c r="G104" i="9"/>
  <c r="G105" i="9"/>
  <c r="G106" i="9"/>
  <c r="G107" i="9"/>
  <c r="G108" i="9"/>
  <c r="G109" i="9"/>
  <c r="G110" i="9"/>
  <c r="G111" i="9"/>
  <c r="G112" i="9"/>
  <c r="G113" i="9"/>
  <c r="G114" i="9"/>
  <c r="G115" i="9"/>
  <c r="G116" i="9"/>
  <c r="G117" i="9"/>
  <c r="G118" i="9"/>
  <c r="G119" i="9"/>
  <c r="G120" i="9"/>
  <c r="G121" i="9"/>
  <c r="G122" i="9"/>
  <c r="G123" i="9"/>
  <c r="G124" i="9"/>
  <c r="G125" i="9"/>
  <c r="G126" i="9"/>
  <c r="G127" i="9"/>
  <c r="G128" i="9"/>
  <c r="G129" i="9"/>
  <c r="G130" i="9"/>
  <c r="G131" i="9"/>
  <c r="G132" i="9"/>
  <c r="G133" i="9"/>
  <c r="G134" i="9"/>
  <c r="G135" i="9"/>
  <c r="G136" i="9"/>
  <c r="G137" i="9"/>
  <c r="G138" i="9"/>
  <c r="G139" i="9"/>
  <c r="G140" i="9"/>
  <c r="G141" i="9"/>
  <c r="G142" i="9"/>
  <c r="G143" i="9"/>
  <c r="G144" i="9"/>
  <c r="G145" i="9"/>
  <c r="G146" i="9"/>
  <c r="G147" i="9"/>
  <c r="G148" i="9"/>
  <c r="G149" i="9"/>
  <c r="G150" i="9"/>
  <c r="G151" i="9"/>
  <c r="G152" i="9"/>
  <c r="G153" i="9"/>
  <c r="G154" i="9"/>
  <c r="G155" i="9"/>
  <c r="G156" i="9"/>
  <c r="G157" i="9"/>
  <c r="G158" i="9"/>
  <c r="G159" i="9"/>
  <c r="G160" i="9"/>
  <c r="G161" i="9"/>
  <c r="G162" i="9"/>
  <c r="G163" i="9"/>
  <c r="G164" i="9"/>
  <c r="G165" i="9"/>
  <c r="G166" i="9"/>
  <c r="G167" i="9"/>
  <c r="G168" i="9"/>
  <c r="G169" i="9"/>
  <c r="G170" i="9"/>
  <c r="G171" i="9"/>
  <c r="G172" i="9"/>
  <c r="G173" i="9"/>
  <c r="G174" i="9"/>
  <c r="G175" i="9"/>
  <c r="G176" i="9"/>
  <c r="G177" i="9"/>
  <c r="G178" i="9"/>
  <c r="G179" i="9"/>
  <c r="G180" i="9"/>
  <c r="G181" i="9"/>
  <c r="G182" i="9"/>
  <c r="G183" i="9"/>
  <c r="G184" i="9"/>
  <c r="G185" i="9"/>
  <c r="G186" i="9"/>
  <c r="G187" i="9"/>
  <c r="G188" i="9"/>
  <c r="G189" i="9"/>
  <c r="G190" i="9"/>
  <c r="G191" i="9"/>
  <c r="G192" i="9"/>
  <c r="G193" i="9"/>
  <c r="G194" i="9"/>
  <c r="G195" i="9"/>
  <c r="G196" i="9"/>
  <c r="G197" i="9"/>
  <c r="G198" i="9"/>
  <c r="G199" i="9"/>
  <c r="G200" i="9"/>
  <c r="G201" i="9"/>
  <c r="G202" i="9"/>
  <c r="G203" i="9"/>
  <c r="G204" i="9"/>
  <c r="G205" i="9"/>
  <c r="G206" i="9"/>
  <c r="G207" i="9"/>
  <c r="G208" i="9"/>
  <c r="G209" i="9"/>
  <c r="G210" i="9"/>
  <c r="G211" i="9"/>
  <c r="G212" i="9"/>
  <c r="G213" i="9"/>
  <c r="G214" i="9"/>
  <c r="G215" i="9"/>
  <c r="G216" i="9"/>
  <c r="G217" i="9"/>
  <c r="G218" i="9"/>
  <c r="G219" i="9"/>
  <c r="G220" i="9"/>
  <c r="G221" i="9"/>
  <c r="G222" i="9"/>
  <c r="G223" i="9"/>
  <c r="G224" i="9"/>
  <c r="G225" i="9"/>
  <c r="G226" i="9"/>
  <c r="G227" i="9"/>
  <c r="G228" i="9"/>
  <c r="G229" i="9"/>
  <c r="G230" i="9"/>
  <c r="G231" i="9"/>
  <c r="G232" i="9"/>
  <c r="G233" i="9"/>
  <c r="G234" i="9"/>
  <c r="G235" i="9"/>
  <c r="G236" i="9"/>
  <c r="G237" i="9"/>
  <c r="G238" i="9"/>
  <c r="G239" i="9"/>
  <c r="G240" i="9"/>
  <c r="G241" i="9"/>
  <c r="G242" i="9"/>
  <c r="G243" i="9"/>
  <c r="G244" i="9"/>
  <c r="G245" i="9"/>
  <c r="G246" i="9"/>
  <c r="G247" i="9"/>
  <c r="G248" i="9"/>
  <c r="G249" i="9"/>
  <c r="G250" i="9"/>
  <c r="G251" i="9"/>
  <c r="G252" i="9"/>
  <c r="G253" i="9"/>
  <c r="G254" i="9"/>
  <c r="G255" i="9"/>
  <c r="G256" i="9"/>
  <c r="G257" i="9"/>
  <c r="G258" i="9"/>
  <c r="G259" i="9"/>
  <c r="G260" i="9"/>
  <c r="G261" i="9"/>
  <c r="G262" i="9"/>
  <c r="G263" i="9"/>
  <c r="G264" i="9"/>
  <c r="G265" i="9"/>
  <c r="G266" i="9"/>
  <c r="G267" i="9"/>
  <c r="G268" i="9"/>
  <c r="G269" i="9"/>
  <c r="G270" i="9"/>
  <c r="G271" i="9"/>
  <c r="G272" i="9"/>
  <c r="G273" i="9"/>
  <c r="G274" i="9"/>
  <c r="G275" i="9"/>
  <c r="G276" i="9"/>
  <c r="G277" i="9"/>
  <c r="G278" i="9"/>
  <c r="G279" i="9"/>
  <c r="G280" i="9"/>
  <c r="G281" i="9"/>
  <c r="G282" i="9"/>
  <c r="G283" i="9"/>
  <c r="G284" i="9"/>
  <c r="G285" i="9"/>
  <c r="G286" i="9"/>
  <c r="G287" i="9"/>
  <c r="G288" i="9"/>
  <c r="G289" i="9"/>
  <c r="G290" i="9"/>
  <c r="G291" i="9"/>
  <c r="G292" i="9"/>
  <c r="G293" i="9"/>
  <c r="G294" i="9"/>
  <c r="G295" i="9"/>
  <c r="G296" i="9"/>
  <c r="G297" i="9"/>
  <c r="G298" i="9"/>
  <c r="G299" i="9"/>
  <c r="G300" i="9"/>
  <c r="G301" i="9"/>
  <c r="G302" i="9"/>
  <c r="G303" i="9"/>
  <c r="G304" i="9"/>
  <c r="G305" i="9"/>
  <c r="G306" i="9"/>
  <c r="G307" i="9"/>
  <c r="G308" i="9"/>
  <c r="G309" i="9"/>
  <c r="G310" i="9"/>
  <c r="G311" i="9"/>
  <c r="G312" i="9"/>
  <c r="G313" i="9"/>
  <c r="G314" i="9"/>
  <c r="G315" i="9"/>
  <c r="G316" i="9"/>
  <c r="G317" i="9"/>
  <c r="G318" i="9"/>
  <c r="G319" i="9"/>
  <c r="G320" i="9"/>
  <c r="G321" i="9"/>
  <c r="G322" i="9"/>
  <c r="G323" i="9"/>
  <c r="G324" i="9"/>
  <c r="G325" i="9"/>
  <c r="G326" i="9"/>
  <c r="G327" i="9"/>
  <c r="G328" i="9"/>
  <c r="G329" i="9"/>
  <c r="G330" i="9"/>
  <c r="G331" i="9"/>
  <c r="G332" i="9"/>
  <c r="G333" i="9"/>
  <c r="G334" i="9"/>
  <c r="G335" i="9"/>
  <c r="G336" i="9"/>
  <c r="G337" i="9"/>
  <c r="G338" i="9"/>
  <c r="G339" i="9"/>
  <c r="G340" i="9"/>
  <c r="G341" i="9"/>
  <c r="G342" i="9"/>
  <c r="G343" i="9"/>
  <c r="G344" i="9"/>
  <c r="G345" i="9"/>
  <c r="G346" i="9"/>
  <c r="G347" i="9"/>
  <c r="G348" i="9"/>
  <c r="G349" i="9"/>
  <c r="G350" i="9"/>
  <c r="G351" i="9"/>
  <c r="G352" i="9"/>
  <c r="G353" i="9"/>
  <c r="G354" i="9"/>
  <c r="G355" i="9"/>
  <c r="G356" i="9"/>
  <c r="G357" i="9"/>
  <c r="G358" i="9"/>
  <c r="G359" i="9"/>
  <c r="G360" i="9"/>
  <c r="G361" i="9"/>
  <c r="G362" i="9"/>
  <c r="G363" i="9"/>
  <c r="G364" i="9"/>
  <c r="G365" i="9"/>
  <c r="G366" i="9"/>
  <c r="G367" i="9"/>
  <c r="G368" i="9"/>
  <c r="G369" i="9"/>
  <c r="G370" i="9"/>
  <c r="G371" i="9"/>
  <c r="G372" i="9"/>
  <c r="G373" i="9"/>
  <c r="G374" i="9"/>
  <c r="G375" i="9"/>
  <c r="G376" i="9"/>
  <c r="G377" i="9"/>
  <c r="G378" i="9"/>
  <c r="G379" i="9"/>
  <c r="G380" i="9"/>
  <c r="G381" i="9"/>
  <c r="G382" i="9"/>
  <c r="G383" i="9"/>
  <c r="G384" i="9"/>
  <c r="G385" i="9"/>
  <c r="G386" i="9"/>
  <c r="G387" i="9"/>
  <c r="G388" i="9"/>
  <c r="G389" i="9"/>
  <c r="G390" i="9"/>
  <c r="G391" i="9"/>
  <c r="G392" i="9"/>
  <c r="G393" i="9"/>
  <c r="G394" i="9"/>
  <c r="G395" i="9"/>
  <c r="G396" i="9"/>
  <c r="G397" i="9"/>
  <c r="G398" i="9"/>
  <c r="G399" i="9"/>
  <c r="G400" i="9"/>
  <c r="G401" i="9"/>
  <c r="G402" i="9"/>
  <c r="G403" i="9"/>
  <c r="G404" i="9"/>
  <c r="G405" i="9"/>
  <c r="G406" i="9"/>
  <c r="G407" i="9"/>
  <c r="G408" i="9"/>
  <c r="G409" i="9"/>
  <c r="G410" i="9"/>
  <c r="G411" i="9"/>
  <c r="G412" i="9"/>
  <c r="G413" i="9"/>
  <c r="G414" i="9"/>
  <c r="G415" i="9"/>
  <c r="G416" i="9"/>
  <c r="G417" i="9"/>
  <c r="G418" i="9"/>
  <c r="G419" i="9"/>
  <c r="G420" i="9"/>
  <c r="G421" i="9"/>
  <c r="G422" i="9"/>
  <c r="G423" i="9"/>
  <c r="G424" i="9"/>
  <c r="G425" i="9"/>
  <c r="G426" i="9"/>
  <c r="G427" i="9"/>
  <c r="G428" i="9"/>
  <c r="G429" i="9"/>
  <c r="G430" i="9"/>
  <c r="G431" i="9"/>
  <c r="G432" i="9"/>
  <c r="G433" i="9"/>
  <c r="G434" i="9"/>
  <c r="G435" i="9"/>
  <c r="G436" i="9"/>
  <c r="G437" i="9"/>
  <c r="G438" i="9"/>
  <c r="G439" i="9"/>
  <c r="G440" i="9"/>
  <c r="G441" i="9"/>
  <c r="G442" i="9"/>
  <c r="G443" i="9"/>
  <c r="G444" i="9"/>
  <c r="G445" i="9"/>
  <c r="G446" i="9"/>
  <c r="G447" i="9"/>
  <c r="G448" i="9"/>
  <c r="G449" i="9"/>
  <c r="G450" i="9"/>
  <c r="G451" i="9"/>
  <c r="G452" i="9"/>
  <c r="G453" i="9"/>
  <c r="G454" i="9"/>
  <c r="G455" i="9"/>
  <c r="G456" i="9"/>
  <c r="G457" i="9"/>
  <c r="G458" i="9"/>
  <c r="G459" i="9"/>
  <c r="G460" i="9"/>
  <c r="G461" i="9"/>
  <c r="G462" i="9"/>
  <c r="G463" i="9"/>
  <c r="G464" i="9"/>
  <c r="G465" i="9"/>
  <c r="G466" i="9"/>
  <c r="G467" i="9"/>
  <c r="G468" i="9"/>
  <c r="G469" i="9"/>
  <c r="G470" i="9"/>
  <c r="G471" i="9"/>
  <c r="G472" i="9"/>
  <c r="G473" i="9"/>
  <c r="G474" i="9"/>
  <c r="G475" i="9"/>
  <c r="G476" i="9"/>
  <c r="G477" i="9"/>
  <c r="G478" i="9"/>
  <c r="G479" i="9"/>
  <c r="G480" i="9"/>
  <c r="G481" i="9"/>
  <c r="G482" i="9"/>
  <c r="G483" i="9"/>
  <c r="G484" i="9"/>
  <c r="G485" i="9"/>
  <c r="G486" i="9"/>
  <c r="G487" i="9"/>
  <c r="G488" i="9"/>
  <c r="G489" i="9"/>
  <c r="G490" i="9"/>
  <c r="G491" i="9"/>
  <c r="G492" i="9"/>
  <c r="G493" i="9"/>
  <c r="G494" i="9"/>
  <c r="G495" i="9"/>
  <c r="G496" i="9"/>
  <c r="G497" i="9"/>
  <c r="G498" i="9"/>
  <c r="G499" i="9"/>
  <c r="G500" i="9"/>
  <c r="G501" i="9"/>
  <c r="G502" i="9"/>
  <c r="G503" i="9"/>
  <c r="G504" i="9"/>
  <c r="G505" i="9"/>
  <c r="G506" i="9"/>
  <c r="G507" i="9"/>
  <c r="G508" i="9"/>
  <c r="G509" i="9"/>
  <c r="G510" i="9"/>
  <c r="G511" i="9"/>
  <c r="G512" i="9"/>
  <c r="G513" i="9"/>
  <c r="G514" i="9"/>
  <c r="G515" i="9"/>
  <c r="G516" i="9"/>
  <c r="G517" i="9"/>
  <c r="G518" i="9"/>
  <c r="G519" i="9"/>
  <c r="G520" i="9"/>
  <c r="G521" i="9"/>
  <c r="G522" i="9"/>
  <c r="G523" i="9"/>
  <c r="G524" i="9"/>
  <c r="G525" i="9"/>
  <c r="G526" i="9"/>
  <c r="G527" i="9"/>
  <c r="G528" i="9"/>
  <c r="G529" i="9"/>
  <c r="G530" i="9"/>
  <c r="G531" i="9"/>
  <c r="G532" i="9"/>
  <c r="G533" i="9"/>
  <c r="G534" i="9"/>
  <c r="G535" i="9"/>
  <c r="G536" i="9"/>
  <c r="G537" i="9"/>
  <c r="G538" i="9"/>
  <c r="G539" i="9"/>
  <c r="G540" i="9"/>
  <c r="G541" i="9"/>
  <c r="G542" i="9"/>
  <c r="G543" i="9"/>
  <c r="G544" i="9"/>
  <c r="G545" i="9"/>
  <c r="G546" i="9"/>
  <c r="G547" i="9"/>
  <c r="G548" i="9"/>
  <c r="G549" i="9"/>
  <c r="G550" i="9"/>
  <c r="G551" i="9"/>
  <c r="G552" i="9"/>
  <c r="G553" i="9"/>
  <c r="G554" i="9"/>
  <c r="G555" i="9"/>
  <c r="G556" i="9"/>
  <c r="G557" i="9"/>
  <c r="G558" i="9"/>
  <c r="G559" i="9"/>
  <c r="G560" i="9"/>
  <c r="G561" i="9"/>
  <c r="G562" i="9"/>
  <c r="G563" i="9"/>
  <c r="G564" i="9"/>
  <c r="G565" i="9"/>
  <c r="G566" i="9"/>
  <c r="G567" i="9"/>
  <c r="G568" i="9"/>
  <c r="G569" i="9"/>
  <c r="G570" i="9"/>
  <c r="G571" i="9"/>
  <c r="G572" i="9"/>
  <c r="G573" i="9"/>
  <c r="G574" i="9"/>
  <c r="G575" i="9"/>
  <c r="G576" i="9"/>
  <c r="G577" i="9"/>
  <c r="G578" i="9"/>
  <c r="G579" i="9"/>
  <c r="G580" i="9"/>
  <c r="G581" i="9"/>
  <c r="G582" i="9"/>
  <c r="G583" i="9"/>
  <c r="G584" i="9"/>
  <c r="G585" i="9"/>
  <c r="G586" i="9"/>
  <c r="G587" i="9"/>
  <c r="G588" i="9"/>
  <c r="G589" i="9"/>
  <c r="G590" i="9"/>
  <c r="G591" i="9"/>
  <c r="G592" i="9"/>
  <c r="G593" i="9"/>
  <c r="K5" i="9"/>
  <c r="L5" i="9"/>
  <c r="L9" i="9"/>
  <c r="L10" i="9"/>
  <c r="L13" i="9"/>
  <c r="L16" i="9"/>
  <c r="L19" i="9"/>
  <c r="L20" i="9"/>
  <c r="L22" i="9"/>
  <c r="L24" i="9"/>
  <c r="M5" i="4"/>
  <c r="M7" i="4"/>
  <c r="M9" i="4"/>
  <c r="M11" i="4"/>
  <c r="M13" i="4"/>
  <c r="M18" i="4"/>
  <c r="M20" i="4"/>
  <c r="M16" i="4"/>
  <c r="M22" i="4"/>
  <c r="M27" i="4"/>
  <c r="M24" i="4"/>
  <c r="M162" i="4"/>
  <c r="M33" i="4"/>
  <c r="M35" i="4"/>
  <c r="M38" i="4"/>
  <c r="M40" i="4"/>
  <c r="M42" i="4"/>
  <c r="M45" i="4"/>
  <c r="M48" i="4"/>
  <c r="M55" i="4"/>
  <c r="M58" i="4"/>
  <c r="M62" i="4"/>
  <c r="M64" i="4"/>
  <c r="M66" i="4"/>
  <c r="M69" i="4"/>
  <c r="M71" i="4"/>
  <c r="M73" i="4"/>
  <c r="M75" i="4"/>
  <c r="M77" i="4"/>
  <c r="M5" i="20"/>
  <c r="M30" i="4"/>
  <c r="M8" i="20"/>
  <c r="M34" i="4"/>
  <c r="N15" i="19"/>
  <c r="M133" i="4"/>
  <c r="M9" i="20"/>
  <c r="M10" i="20"/>
  <c r="N26" i="19"/>
  <c r="M11" i="20"/>
  <c r="M80" i="4"/>
  <c r="M82" i="4"/>
  <c r="N28" i="19"/>
  <c r="M12" i="20"/>
  <c r="M13" i="20"/>
  <c r="M14" i="20"/>
  <c r="N21" i="19"/>
  <c r="M35" i="20"/>
  <c r="M15" i="20"/>
  <c r="M17" i="20"/>
  <c r="L114" i="4"/>
  <c r="L116" i="4"/>
  <c r="M6" i="18"/>
  <c r="M114" i="4"/>
  <c r="M116" i="4"/>
  <c r="N6" i="18"/>
  <c r="M19" i="20"/>
  <c r="L127" i="4"/>
  <c r="L129" i="4"/>
  <c r="L131" i="4"/>
  <c r="L133" i="4"/>
  <c r="L135" i="4"/>
  <c r="M8" i="18"/>
  <c r="M127" i="4"/>
  <c r="M129" i="4"/>
  <c r="M131" i="4"/>
  <c r="M135" i="4"/>
  <c r="N8" i="18"/>
  <c r="M20" i="20"/>
  <c r="L137" i="4"/>
  <c r="L140" i="4"/>
  <c r="M9" i="18"/>
  <c r="M137" i="4"/>
  <c r="M140" i="4"/>
  <c r="N9" i="18"/>
  <c r="M21" i="20"/>
  <c r="M185" i="4"/>
  <c r="M188" i="4"/>
  <c r="M190" i="4"/>
  <c r="M192" i="4"/>
  <c r="M194" i="4"/>
  <c r="M196" i="4"/>
  <c r="N23" i="18"/>
  <c r="L185" i="4"/>
  <c r="L188" i="4"/>
  <c r="L190" i="4"/>
  <c r="L192" i="4"/>
  <c r="L194" i="4"/>
  <c r="L196" i="4"/>
  <c r="M23" i="18"/>
  <c r="M22" i="20"/>
  <c r="L142" i="4"/>
  <c r="L144" i="4"/>
  <c r="M10" i="18"/>
  <c r="M142" i="4"/>
  <c r="M144" i="4"/>
  <c r="N10" i="18"/>
  <c r="M23" i="20"/>
  <c r="M198" i="4"/>
  <c r="M200" i="4"/>
  <c r="N24" i="18"/>
  <c r="L198" i="4"/>
  <c r="L200" i="4"/>
  <c r="M24" i="18"/>
  <c r="M24" i="20"/>
  <c r="M25" i="20"/>
  <c r="M90" i="4"/>
  <c r="M27" i="20"/>
  <c r="L165" i="4"/>
  <c r="L168" i="4"/>
  <c r="M16" i="18"/>
  <c r="M165" i="4"/>
  <c r="M168" i="4"/>
  <c r="N16" i="18"/>
  <c r="M28" i="20"/>
  <c r="M211" i="4"/>
  <c r="M214" i="4"/>
  <c r="N28" i="18"/>
  <c r="L211" i="4"/>
  <c r="L214" i="4"/>
  <c r="M28" i="18"/>
  <c r="M29" i="20"/>
  <c r="M30" i="20"/>
  <c r="M153" i="4"/>
  <c r="M155" i="4"/>
  <c r="M32" i="20"/>
  <c r="N20" i="19"/>
  <c r="M33" i="20"/>
  <c r="L120" i="4"/>
  <c r="L122" i="4"/>
  <c r="M7" i="18"/>
  <c r="M120" i="4"/>
  <c r="M122" i="4"/>
  <c r="N7" i="18"/>
  <c r="M34" i="20"/>
  <c r="M36" i="20"/>
  <c r="N21" i="18"/>
  <c r="M180" i="4"/>
  <c r="M181" i="4"/>
  <c r="N22" i="18"/>
  <c r="M21" i="18"/>
  <c r="L180" i="4"/>
  <c r="L181" i="4"/>
  <c r="M22" i="18"/>
  <c r="M38" i="20"/>
  <c r="M205" i="4"/>
  <c r="M207" i="4"/>
  <c r="N27" i="18"/>
  <c r="L205" i="4"/>
  <c r="L207" i="4"/>
  <c r="M27" i="18"/>
  <c r="M39" i="20"/>
  <c r="L159" i="12"/>
  <c r="M97" i="4"/>
  <c r="M100" i="4"/>
  <c r="N31" i="19"/>
  <c r="M41" i="20"/>
  <c r="M225" i="4"/>
  <c r="M226" i="4"/>
  <c r="N36" i="18"/>
  <c r="L225" i="4"/>
  <c r="L226" i="4"/>
  <c r="M36" i="18"/>
  <c r="M42" i="20"/>
  <c r="M44" i="20"/>
  <c r="M46" i="20"/>
  <c r="L110" i="4"/>
  <c r="M5" i="18"/>
  <c r="M47" i="20"/>
  <c r="M48" i="20"/>
  <c r="C4" i="17"/>
  <c r="F7" i="17"/>
  <c r="C5" i="17"/>
  <c r="M112" i="4"/>
  <c r="M110" i="4"/>
  <c r="M111" i="4"/>
  <c r="N111" i="4"/>
  <c r="M153" i="7"/>
  <c r="N148" i="7"/>
  <c r="M146" i="7"/>
  <c r="N140" i="7"/>
  <c r="N250" i="7"/>
  <c r="N251" i="7"/>
  <c r="N257" i="7"/>
  <c r="N149" i="7"/>
  <c r="N153" i="7"/>
  <c r="N20" i="7"/>
  <c r="N162" i="4"/>
  <c r="N34" i="4"/>
  <c r="D162" i="4"/>
  <c r="D34" i="4"/>
  <c r="E162" i="4"/>
  <c r="E34" i="4"/>
  <c r="F162" i="4"/>
  <c r="F34" i="4"/>
  <c r="G162" i="4"/>
  <c r="G34" i="4"/>
  <c r="H162" i="4"/>
  <c r="H34" i="4"/>
  <c r="I162" i="4"/>
  <c r="I34" i="4"/>
  <c r="J162" i="4"/>
  <c r="J34" i="4"/>
  <c r="K162" i="4"/>
  <c r="K34" i="4"/>
  <c r="L162" i="4"/>
  <c r="L34" i="4"/>
  <c r="O148" i="7"/>
  <c r="M155" i="7"/>
  <c r="M156" i="7"/>
  <c r="N156" i="7"/>
  <c r="O250" i="7"/>
  <c r="N157" i="7"/>
  <c r="O251" i="7"/>
  <c r="O252" i="7"/>
  <c r="O257" i="7"/>
  <c r="O149" i="7"/>
  <c r="O153" i="7"/>
  <c r="O20" i="7"/>
  <c r="O162" i="4"/>
  <c r="O34" i="4"/>
  <c r="P148" i="7"/>
  <c r="O156" i="7"/>
  <c r="P250" i="7"/>
  <c r="O157" i="7"/>
  <c r="P251" i="7"/>
  <c r="O158" i="7"/>
  <c r="P252" i="7"/>
  <c r="P253" i="7"/>
  <c r="P257" i="7"/>
  <c r="P149" i="7"/>
  <c r="P153" i="7"/>
  <c r="P20" i="7"/>
  <c r="P162" i="4"/>
  <c r="P34" i="4"/>
  <c r="Q148" i="7"/>
  <c r="P156" i="7"/>
  <c r="Q250" i="7"/>
  <c r="P157" i="7"/>
  <c r="Q251" i="7"/>
  <c r="P158" i="7"/>
  <c r="Q252" i="7"/>
  <c r="P159" i="7"/>
  <c r="Q253" i="7"/>
  <c r="Q254" i="7"/>
  <c r="Q257" i="7"/>
  <c r="Q149" i="7"/>
  <c r="Q153" i="7"/>
  <c r="Q20" i="7"/>
  <c r="Q162" i="4"/>
  <c r="Q34" i="4"/>
  <c r="R148" i="7"/>
  <c r="Q156" i="7"/>
  <c r="R250" i="7"/>
  <c r="Q157" i="7"/>
  <c r="R251" i="7"/>
  <c r="Q158" i="7"/>
  <c r="R252" i="7"/>
  <c r="Q159" i="7"/>
  <c r="R253" i="7"/>
  <c r="Q160" i="7"/>
  <c r="R254" i="7"/>
  <c r="R255" i="7"/>
  <c r="R257" i="7"/>
  <c r="R149" i="7"/>
  <c r="R153" i="7"/>
  <c r="R20" i="7"/>
  <c r="R162" i="4"/>
  <c r="R34" i="4"/>
  <c r="S148" i="7"/>
  <c r="R156" i="7"/>
  <c r="S250" i="7"/>
  <c r="R157" i="7"/>
  <c r="S251" i="7"/>
  <c r="R158" i="7"/>
  <c r="S252" i="7"/>
  <c r="R159" i="7"/>
  <c r="S253" i="7"/>
  <c r="R160" i="7"/>
  <c r="S254" i="7"/>
  <c r="R161" i="7"/>
  <c r="S255" i="7"/>
  <c r="S256" i="7"/>
  <c r="S257" i="7"/>
  <c r="S149" i="7"/>
  <c r="S153" i="7"/>
  <c r="S20" i="7"/>
  <c r="S162" i="4"/>
  <c r="S34" i="4"/>
  <c r="N47" i="6"/>
  <c r="N39" i="6"/>
  <c r="N49" i="6"/>
  <c r="N41" i="6"/>
  <c r="N56" i="6"/>
  <c r="N55" i="6"/>
  <c r="N52" i="6"/>
  <c r="N7" i="4"/>
  <c r="E52" i="5"/>
  <c r="N79" i="6"/>
  <c r="E54" i="5"/>
  <c r="N81" i="6"/>
  <c r="N82" i="6"/>
  <c r="N83" i="6"/>
  <c r="M42" i="7"/>
  <c r="N36" i="7"/>
  <c r="N206" i="7"/>
  <c r="N263" i="7"/>
  <c r="N38" i="7"/>
  <c r="N207" i="7"/>
  <c r="N213" i="7"/>
  <c r="N45" i="7"/>
  <c r="M68" i="7"/>
  <c r="M75" i="7"/>
  <c r="M77" i="7"/>
  <c r="M78" i="7"/>
  <c r="N217" i="7"/>
  <c r="N266" i="7"/>
  <c r="N64" i="7"/>
  <c r="N218" i="7"/>
  <c r="N224" i="7"/>
  <c r="N71" i="7"/>
  <c r="M94" i="7"/>
  <c r="M101" i="7"/>
  <c r="M103" i="7"/>
  <c r="N228" i="7"/>
  <c r="N269" i="7"/>
  <c r="N90" i="7"/>
  <c r="N229" i="7"/>
  <c r="N235" i="7"/>
  <c r="N97" i="7"/>
  <c r="M120" i="7"/>
  <c r="N114" i="7"/>
  <c r="N239" i="7"/>
  <c r="N115" i="7"/>
  <c r="N240" i="7"/>
  <c r="N246" i="7"/>
  <c r="N123" i="7"/>
  <c r="N17" i="7"/>
  <c r="N21" i="7"/>
  <c r="N7" i="7"/>
  <c r="N121" i="6"/>
  <c r="N123" i="6"/>
  <c r="N122" i="6"/>
  <c r="N68" i="6"/>
  <c r="N84" i="6"/>
  <c r="N85" i="6"/>
  <c r="N11" i="4"/>
  <c r="N13" i="4"/>
  <c r="N91" i="6"/>
  <c r="K108" i="6"/>
  <c r="K18" i="6"/>
  <c r="K91" i="6"/>
  <c r="K109" i="6"/>
  <c r="L108" i="6"/>
  <c r="L18" i="6"/>
  <c r="L91" i="6"/>
  <c r="L109" i="6"/>
  <c r="M108" i="6"/>
  <c r="M18" i="6"/>
  <c r="M91" i="6"/>
  <c r="M109" i="6"/>
  <c r="N109" i="6"/>
  <c r="N108" i="6"/>
  <c r="N18" i="4"/>
  <c r="K100" i="6"/>
  <c r="K101" i="6"/>
  <c r="L100" i="6"/>
  <c r="L101" i="6"/>
  <c r="M100" i="6"/>
  <c r="M101" i="6"/>
  <c r="N101" i="6"/>
  <c r="N100" i="6"/>
  <c r="N20" i="4"/>
  <c r="N16" i="4"/>
  <c r="N22" i="4"/>
  <c r="N27" i="4"/>
  <c r="N24" i="4"/>
  <c r="O21" i="7"/>
  <c r="N161" i="4"/>
  <c r="N33" i="4"/>
  <c r="N35" i="4"/>
  <c r="P21" i="7"/>
  <c r="O161" i="4"/>
  <c r="O33" i="4"/>
  <c r="Q21" i="7"/>
  <c r="P161" i="4"/>
  <c r="P33" i="4"/>
  <c r="R21" i="7"/>
  <c r="Q161" i="4"/>
  <c r="Q33" i="4"/>
  <c r="S21" i="7"/>
  <c r="R161" i="4"/>
  <c r="R33" i="4"/>
  <c r="S161" i="4"/>
  <c r="S33" i="4"/>
  <c r="N146" i="7"/>
  <c r="N19" i="7"/>
  <c r="N163" i="4"/>
  <c r="D33" i="4"/>
  <c r="E33" i="4"/>
  <c r="F33" i="4"/>
  <c r="G33" i="4"/>
  <c r="H33" i="4"/>
  <c r="I33" i="4"/>
  <c r="J33" i="4"/>
  <c r="K33" i="4"/>
  <c r="L33" i="4"/>
  <c r="O47" i="6"/>
  <c r="O39" i="6"/>
  <c r="O54" i="6"/>
  <c r="O53" i="6"/>
  <c r="O49" i="6"/>
  <c r="O41" i="6"/>
  <c r="O56" i="6"/>
  <c r="O55" i="6"/>
  <c r="O57" i="6"/>
  <c r="O52" i="6"/>
  <c r="O18" i="6"/>
  <c r="O7" i="4"/>
  <c r="F52" i="5"/>
  <c r="O79" i="6"/>
  <c r="F54" i="5"/>
  <c r="O81" i="6"/>
  <c r="O82" i="6"/>
  <c r="O83" i="6"/>
  <c r="M49" i="7"/>
  <c r="M51" i="7"/>
  <c r="M52" i="7"/>
  <c r="N52" i="7"/>
  <c r="O206" i="7"/>
  <c r="N53" i="7"/>
  <c r="O207" i="7"/>
  <c r="O263" i="7"/>
  <c r="O38" i="7"/>
  <c r="O208" i="7"/>
  <c r="O213" i="7"/>
  <c r="O45" i="7"/>
  <c r="N78" i="7"/>
  <c r="O217" i="7"/>
  <c r="N79" i="7"/>
  <c r="O218" i="7"/>
  <c r="O266" i="7"/>
  <c r="O64" i="7"/>
  <c r="O219" i="7"/>
  <c r="O224" i="7"/>
  <c r="O71" i="7"/>
  <c r="M104" i="7"/>
  <c r="N104" i="7"/>
  <c r="O228" i="7"/>
  <c r="N105" i="7"/>
  <c r="O229" i="7"/>
  <c r="O269" i="7"/>
  <c r="O90" i="7"/>
  <c r="O230" i="7"/>
  <c r="O235" i="7"/>
  <c r="O97" i="7"/>
  <c r="M127" i="7"/>
  <c r="M129" i="7"/>
  <c r="M130" i="7"/>
  <c r="N130" i="7"/>
  <c r="O239" i="7"/>
  <c r="N131" i="7"/>
  <c r="O240" i="7"/>
  <c r="O115" i="7"/>
  <c r="O241" i="7"/>
  <c r="O246" i="7"/>
  <c r="O123" i="7"/>
  <c r="O17" i="7"/>
  <c r="O7" i="7"/>
  <c r="O121" i="6"/>
  <c r="O123" i="6"/>
  <c r="O122" i="6"/>
  <c r="O68" i="6"/>
  <c r="O84" i="6"/>
  <c r="O85" i="6"/>
  <c r="O11" i="4"/>
  <c r="O13" i="4"/>
  <c r="O91" i="6"/>
  <c r="O109" i="6"/>
  <c r="O108" i="6"/>
  <c r="O18" i="4"/>
  <c r="O101" i="6"/>
  <c r="O100" i="6"/>
  <c r="O20" i="4"/>
  <c r="O16" i="4"/>
  <c r="O22" i="4"/>
  <c r="O27" i="4"/>
  <c r="O24" i="4"/>
  <c r="O35" i="4"/>
  <c r="P47" i="6"/>
  <c r="P39" i="6"/>
  <c r="P54" i="6"/>
  <c r="P53" i="6"/>
  <c r="P49" i="6"/>
  <c r="P41" i="6"/>
  <c r="P56" i="6"/>
  <c r="P55" i="6"/>
  <c r="P57" i="6"/>
  <c r="P52" i="6"/>
  <c r="P18" i="6"/>
  <c r="P7" i="4"/>
  <c r="G52" i="5"/>
  <c r="P79" i="6"/>
  <c r="G54" i="5"/>
  <c r="P81" i="6"/>
  <c r="P82" i="6"/>
  <c r="P83" i="6"/>
  <c r="O52" i="7"/>
  <c r="P206" i="7"/>
  <c r="O53" i="7"/>
  <c r="P207" i="7"/>
  <c r="O54" i="7"/>
  <c r="P208" i="7"/>
  <c r="P263" i="7"/>
  <c r="P38" i="7"/>
  <c r="P209" i="7"/>
  <c r="P213" i="7"/>
  <c r="P45" i="7"/>
  <c r="O78" i="7"/>
  <c r="P217" i="7"/>
  <c r="O79" i="7"/>
  <c r="P218" i="7"/>
  <c r="O80" i="7"/>
  <c r="P219" i="7"/>
  <c r="P266" i="7"/>
  <c r="P64" i="7"/>
  <c r="P220" i="7"/>
  <c r="P224" i="7"/>
  <c r="P71" i="7"/>
  <c r="O104" i="7"/>
  <c r="P228" i="7"/>
  <c r="O105" i="7"/>
  <c r="P229" i="7"/>
  <c r="O106" i="7"/>
  <c r="P230" i="7"/>
  <c r="P269" i="7"/>
  <c r="P90" i="7"/>
  <c r="P231" i="7"/>
  <c r="P235" i="7"/>
  <c r="P97" i="7"/>
  <c r="O130" i="7"/>
  <c r="P239" i="7"/>
  <c r="O131" i="7"/>
  <c r="P240" i="7"/>
  <c r="O132" i="7"/>
  <c r="P241" i="7"/>
  <c r="P115" i="7"/>
  <c r="P242" i="7"/>
  <c r="P246" i="7"/>
  <c r="P123" i="7"/>
  <c r="P17" i="7"/>
  <c r="P7" i="7"/>
  <c r="P121" i="6"/>
  <c r="P123" i="6"/>
  <c r="P122" i="6"/>
  <c r="P68" i="6"/>
  <c r="P84" i="6"/>
  <c r="P85" i="6"/>
  <c r="P11" i="4"/>
  <c r="P13" i="4"/>
  <c r="P91" i="6"/>
  <c r="P109" i="6"/>
  <c r="P108" i="6"/>
  <c r="P18" i="4"/>
  <c r="P101" i="6"/>
  <c r="P100" i="6"/>
  <c r="P20" i="4"/>
  <c r="P16" i="4"/>
  <c r="P22" i="4"/>
  <c r="P27" i="4"/>
  <c r="P24" i="4"/>
  <c r="P35" i="4"/>
  <c r="Q47" i="6"/>
  <c r="Q39" i="6"/>
  <c r="Q54" i="6"/>
  <c r="Q53" i="6"/>
  <c r="Q49" i="6"/>
  <c r="Q41" i="6"/>
  <c r="Q56" i="6"/>
  <c r="Q55" i="6"/>
  <c r="Q57" i="6"/>
  <c r="Q52" i="6"/>
  <c r="Q18" i="6"/>
  <c r="Q7" i="4"/>
  <c r="H52" i="5"/>
  <c r="Q79" i="6"/>
  <c r="H54" i="5"/>
  <c r="Q81" i="6"/>
  <c r="Q82" i="6"/>
  <c r="Q83" i="6"/>
  <c r="P52" i="7"/>
  <c r="Q206" i="7"/>
  <c r="P53" i="7"/>
  <c r="Q207" i="7"/>
  <c r="P54" i="7"/>
  <c r="Q208" i="7"/>
  <c r="P55" i="7"/>
  <c r="Q209" i="7"/>
  <c r="Q263" i="7"/>
  <c r="Q38" i="7"/>
  <c r="Q210" i="7"/>
  <c r="Q213" i="7"/>
  <c r="Q45" i="7"/>
  <c r="P78" i="7"/>
  <c r="Q217" i="7"/>
  <c r="P79" i="7"/>
  <c r="Q218" i="7"/>
  <c r="P80" i="7"/>
  <c r="Q219" i="7"/>
  <c r="P81" i="7"/>
  <c r="Q220" i="7"/>
  <c r="Q266" i="7"/>
  <c r="Q64" i="7"/>
  <c r="Q221" i="7"/>
  <c r="Q224" i="7"/>
  <c r="Q71" i="7"/>
  <c r="P104" i="7"/>
  <c r="Q228" i="7"/>
  <c r="P105" i="7"/>
  <c r="Q229" i="7"/>
  <c r="P106" i="7"/>
  <c r="Q230" i="7"/>
  <c r="P107" i="7"/>
  <c r="Q231" i="7"/>
  <c r="Q269" i="7"/>
  <c r="Q90" i="7"/>
  <c r="Q232" i="7"/>
  <c r="Q235" i="7"/>
  <c r="Q97" i="7"/>
  <c r="P130" i="7"/>
  <c r="Q239" i="7"/>
  <c r="P131" i="7"/>
  <c r="Q240" i="7"/>
  <c r="P132" i="7"/>
  <c r="Q241" i="7"/>
  <c r="P133" i="7"/>
  <c r="Q242" i="7"/>
  <c r="Q115" i="7"/>
  <c r="Q243" i="7"/>
  <c r="Q246" i="7"/>
  <c r="Q123" i="7"/>
  <c r="Q17" i="7"/>
  <c r="Q7" i="7"/>
  <c r="Q121" i="6"/>
  <c r="Q123" i="6"/>
  <c r="Q122" i="6"/>
  <c r="Q68" i="6"/>
  <c r="Q84" i="6"/>
  <c r="Q85" i="6"/>
  <c r="Q11" i="4"/>
  <c r="Q13" i="4"/>
  <c r="Q91" i="6"/>
  <c r="Q109" i="6"/>
  <c r="Q108" i="6"/>
  <c r="Q18" i="4"/>
  <c r="Q101" i="6"/>
  <c r="Q100" i="6"/>
  <c r="Q20" i="4"/>
  <c r="Q16" i="4"/>
  <c r="Q22" i="4"/>
  <c r="Q27" i="4"/>
  <c r="Q24" i="4"/>
  <c r="Q35" i="4"/>
  <c r="R47" i="6"/>
  <c r="R39" i="6"/>
  <c r="R54" i="6"/>
  <c r="R53" i="6"/>
  <c r="R49" i="6"/>
  <c r="R41" i="6"/>
  <c r="R56" i="6"/>
  <c r="R55" i="6"/>
  <c r="R57" i="6"/>
  <c r="R52" i="6"/>
  <c r="R18" i="6"/>
  <c r="R7" i="4"/>
  <c r="I52" i="5"/>
  <c r="R79" i="6"/>
  <c r="I54" i="5"/>
  <c r="R81" i="6"/>
  <c r="R82" i="6"/>
  <c r="R83" i="6"/>
  <c r="Q52" i="7"/>
  <c r="R206" i="7"/>
  <c r="Q53" i="7"/>
  <c r="R207" i="7"/>
  <c r="Q54" i="7"/>
  <c r="R208" i="7"/>
  <c r="Q55" i="7"/>
  <c r="R209" i="7"/>
  <c r="Q56" i="7"/>
  <c r="R210" i="7"/>
  <c r="R263" i="7"/>
  <c r="R38" i="7"/>
  <c r="R211" i="7"/>
  <c r="R213" i="7"/>
  <c r="R45" i="7"/>
  <c r="Q78" i="7"/>
  <c r="R217" i="7"/>
  <c r="Q79" i="7"/>
  <c r="R218" i="7"/>
  <c r="Q80" i="7"/>
  <c r="R219" i="7"/>
  <c r="Q81" i="7"/>
  <c r="R220" i="7"/>
  <c r="Q82" i="7"/>
  <c r="R221" i="7"/>
  <c r="R266" i="7"/>
  <c r="R64" i="7"/>
  <c r="R222" i="7"/>
  <c r="R224" i="7"/>
  <c r="R71" i="7"/>
  <c r="Q104" i="7"/>
  <c r="R228" i="7"/>
  <c r="Q105" i="7"/>
  <c r="R229" i="7"/>
  <c r="Q106" i="7"/>
  <c r="R230" i="7"/>
  <c r="Q107" i="7"/>
  <c r="R231" i="7"/>
  <c r="Q108" i="7"/>
  <c r="R232" i="7"/>
  <c r="R269" i="7"/>
  <c r="R90" i="7"/>
  <c r="R233" i="7"/>
  <c r="R235" i="7"/>
  <c r="R97" i="7"/>
  <c r="Q130" i="7"/>
  <c r="R239" i="7"/>
  <c r="Q131" i="7"/>
  <c r="R240" i="7"/>
  <c r="Q132" i="7"/>
  <c r="R241" i="7"/>
  <c r="Q133" i="7"/>
  <c r="R242" i="7"/>
  <c r="Q134" i="7"/>
  <c r="R243" i="7"/>
  <c r="R115" i="7"/>
  <c r="R244" i="7"/>
  <c r="R246" i="7"/>
  <c r="R123" i="7"/>
  <c r="R17" i="7"/>
  <c r="R7" i="7"/>
  <c r="R121" i="6"/>
  <c r="R123" i="6"/>
  <c r="R122" i="6"/>
  <c r="R68" i="6"/>
  <c r="R84" i="6"/>
  <c r="R85" i="6"/>
  <c r="R11" i="4"/>
  <c r="R13" i="4"/>
  <c r="R91" i="6"/>
  <c r="R109" i="6"/>
  <c r="R108" i="6"/>
  <c r="R18" i="4"/>
  <c r="R101" i="6"/>
  <c r="R100" i="6"/>
  <c r="R20" i="4"/>
  <c r="R16" i="4"/>
  <c r="R22" i="4"/>
  <c r="R27" i="4"/>
  <c r="R24" i="4"/>
  <c r="R35" i="4"/>
  <c r="S47" i="6"/>
  <c r="S39" i="6"/>
  <c r="S54" i="6"/>
  <c r="S53" i="6"/>
  <c r="S49" i="6"/>
  <c r="S41" i="6"/>
  <c r="S56" i="6"/>
  <c r="S55" i="6"/>
  <c r="S57" i="6"/>
  <c r="S52" i="6"/>
  <c r="S18" i="6"/>
  <c r="S7" i="4"/>
  <c r="J52" i="5"/>
  <c r="S79" i="6"/>
  <c r="J54" i="5"/>
  <c r="S81" i="6"/>
  <c r="S82" i="6"/>
  <c r="S83" i="6"/>
  <c r="R52" i="7"/>
  <c r="S206" i="7"/>
  <c r="R53" i="7"/>
  <c r="S207" i="7"/>
  <c r="R54" i="7"/>
  <c r="S208" i="7"/>
  <c r="R55" i="7"/>
  <c r="S209" i="7"/>
  <c r="R56" i="7"/>
  <c r="S210" i="7"/>
  <c r="R57" i="7"/>
  <c r="S211" i="7"/>
  <c r="S263" i="7"/>
  <c r="S38" i="7"/>
  <c r="S212" i="7"/>
  <c r="S213" i="7"/>
  <c r="S45" i="7"/>
  <c r="R78" i="7"/>
  <c r="S217" i="7"/>
  <c r="R79" i="7"/>
  <c r="S218" i="7"/>
  <c r="R80" i="7"/>
  <c r="S219" i="7"/>
  <c r="R81" i="7"/>
  <c r="S220" i="7"/>
  <c r="R82" i="7"/>
  <c r="S221" i="7"/>
  <c r="R83" i="7"/>
  <c r="S222" i="7"/>
  <c r="S266" i="7"/>
  <c r="S64" i="7"/>
  <c r="S223" i="7"/>
  <c r="S224" i="7"/>
  <c r="S71" i="7"/>
  <c r="R104" i="7"/>
  <c r="S228" i="7"/>
  <c r="R105" i="7"/>
  <c r="S229" i="7"/>
  <c r="R106" i="7"/>
  <c r="S230" i="7"/>
  <c r="R107" i="7"/>
  <c r="S231" i="7"/>
  <c r="R108" i="7"/>
  <c r="S232" i="7"/>
  <c r="R109" i="7"/>
  <c r="S233" i="7"/>
  <c r="S269" i="7"/>
  <c r="S90" i="7"/>
  <c r="S234" i="7"/>
  <c r="S235" i="7"/>
  <c r="S97" i="7"/>
  <c r="R130" i="7"/>
  <c r="S239" i="7"/>
  <c r="R131" i="7"/>
  <c r="S240" i="7"/>
  <c r="R132" i="7"/>
  <c r="S241" i="7"/>
  <c r="R133" i="7"/>
  <c r="S242" i="7"/>
  <c r="R134" i="7"/>
  <c r="S243" i="7"/>
  <c r="R135" i="7"/>
  <c r="S244" i="7"/>
  <c r="S115" i="7"/>
  <c r="S245" i="7"/>
  <c r="S246" i="7"/>
  <c r="S123" i="7"/>
  <c r="S17" i="7"/>
  <c r="S7" i="7"/>
  <c r="S121" i="6"/>
  <c r="S123" i="6"/>
  <c r="S122" i="6"/>
  <c r="S68" i="6"/>
  <c r="S84" i="6"/>
  <c r="S85" i="6"/>
  <c r="S11" i="4"/>
  <c r="S13" i="4"/>
  <c r="S91" i="6"/>
  <c r="S109" i="6"/>
  <c r="S108" i="6"/>
  <c r="S18" i="4"/>
  <c r="S101" i="6"/>
  <c r="S100" i="6"/>
  <c r="S20" i="4"/>
  <c r="S16" i="4"/>
  <c r="S22" i="4"/>
  <c r="S27" i="4"/>
  <c r="S24" i="4"/>
  <c r="S35" i="4"/>
  <c r="N30" i="4"/>
  <c r="C6" i="16"/>
  <c r="O7" i="16"/>
  <c r="P8" i="16"/>
  <c r="P7" i="16"/>
  <c r="P9" i="16"/>
  <c r="C10" i="16"/>
  <c r="O11" i="16"/>
  <c r="P12" i="16"/>
  <c r="P11" i="16"/>
  <c r="P13" i="16"/>
  <c r="O15" i="16"/>
  <c r="P16" i="16"/>
  <c r="P15" i="16"/>
  <c r="P17" i="16"/>
  <c r="P24" i="16"/>
  <c r="P25" i="16"/>
  <c r="P26" i="16"/>
  <c r="P31" i="16"/>
  <c r="P30" i="16"/>
  <c r="P29" i="16"/>
  <c r="O5" i="16"/>
  <c r="O18" i="16"/>
  <c r="P22" i="16"/>
  <c r="Q22" i="16"/>
  <c r="Q24" i="16"/>
  <c r="Q25" i="16"/>
  <c r="Q26" i="16"/>
  <c r="R22" i="16"/>
  <c r="R24" i="16"/>
  <c r="R25" i="16"/>
  <c r="S22" i="16"/>
  <c r="S24" i="16"/>
  <c r="S25" i="16"/>
  <c r="T22" i="16"/>
  <c r="T24" i="16"/>
  <c r="T25" i="16"/>
  <c r="U22" i="16"/>
  <c r="U24" i="16"/>
  <c r="Q8" i="16"/>
  <c r="Q12" i="16"/>
  <c r="E42" i="7"/>
  <c r="E68" i="7"/>
  <c r="E94" i="7"/>
  <c r="E120" i="7"/>
  <c r="E15" i="7"/>
  <c r="E49" i="7"/>
  <c r="E75" i="7"/>
  <c r="E101" i="7"/>
  <c r="E127" i="7"/>
  <c r="E16" i="7"/>
  <c r="D146" i="7"/>
  <c r="E140" i="7"/>
  <c r="E146" i="7"/>
  <c r="E19" i="7"/>
  <c r="E153" i="7"/>
  <c r="E20" i="7"/>
  <c r="E6" i="7"/>
  <c r="F42" i="7"/>
  <c r="F68" i="7"/>
  <c r="F94" i="7"/>
  <c r="F120" i="7"/>
  <c r="F15" i="7"/>
  <c r="F49" i="7"/>
  <c r="F75" i="7"/>
  <c r="F101" i="7"/>
  <c r="F127" i="7"/>
  <c r="F16" i="7"/>
  <c r="F140" i="7"/>
  <c r="F146" i="7"/>
  <c r="F19" i="7"/>
  <c r="F148" i="7"/>
  <c r="F153" i="7"/>
  <c r="F20" i="7"/>
  <c r="F6" i="7"/>
  <c r="G42" i="7"/>
  <c r="G68" i="7"/>
  <c r="G94" i="7"/>
  <c r="G120" i="7"/>
  <c r="G15" i="7"/>
  <c r="G49" i="7"/>
  <c r="G75" i="7"/>
  <c r="G101" i="7"/>
  <c r="G127" i="7"/>
  <c r="G16" i="7"/>
  <c r="G140" i="7"/>
  <c r="G146" i="7"/>
  <c r="G19" i="7"/>
  <c r="G148" i="7"/>
  <c r="G153" i="7"/>
  <c r="G20" i="7"/>
  <c r="G6" i="7"/>
  <c r="H42" i="7"/>
  <c r="H68" i="7"/>
  <c r="H94" i="7"/>
  <c r="H120" i="7"/>
  <c r="H15" i="7"/>
  <c r="H49" i="7"/>
  <c r="H75" i="7"/>
  <c r="H101" i="7"/>
  <c r="H127" i="7"/>
  <c r="H16" i="7"/>
  <c r="H140" i="7"/>
  <c r="H146" i="7"/>
  <c r="H19" i="7"/>
  <c r="H148" i="7"/>
  <c r="H153" i="7"/>
  <c r="H20" i="7"/>
  <c r="H6" i="7"/>
  <c r="I42" i="7"/>
  <c r="I68" i="7"/>
  <c r="I94" i="7"/>
  <c r="I120" i="7"/>
  <c r="I15" i="7"/>
  <c r="I49" i="7"/>
  <c r="I75" i="7"/>
  <c r="I101" i="7"/>
  <c r="I127" i="7"/>
  <c r="I16" i="7"/>
  <c r="I140" i="7"/>
  <c r="I146" i="7"/>
  <c r="I19" i="7"/>
  <c r="I148" i="7"/>
  <c r="I153" i="7"/>
  <c r="I20" i="7"/>
  <c r="I6" i="7"/>
  <c r="J42" i="7"/>
  <c r="J68" i="7"/>
  <c r="J94" i="7"/>
  <c r="J120" i="7"/>
  <c r="J15" i="7"/>
  <c r="J49" i="7"/>
  <c r="J75" i="7"/>
  <c r="J101" i="7"/>
  <c r="J127" i="7"/>
  <c r="J16" i="7"/>
  <c r="J140" i="7"/>
  <c r="J146" i="7"/>
  <c r="J19" i="7"/>
  <c r="J148" i="7"/>
  <c r="J153" i="7"/>
  <c r="J20" i="7"/>
  <c r="J6" i="7"/>
  <c r="K42" i="7"/>
  <c r="K68" i="7"/>
  <c r="K94" i="7"/>
  <c r="K120" i="7"/>
  <c r="K15" i="7"/>
  <c r="K49" i="7"/>
  <c r="K75" i="7"/>
  <c r="K101" i="7"/>
  <c r="K127" i="7"/>
  <c r="K16" i="7"/>
  <c r="K140" i="7"/>
  <c r="K146" i="7"/>
  <c r="K19" i="7"/>
  <c r="K153" i="7"/>
  <c r="K20" i="7"/>
  <c r="K6" i="7"/>
  <c r="L42" i="7"/>
  <c r="L68" i="7"/>
  <c r="L94" i="7"/>
  <c r="L120" i="7"/>
  <c r="L15" i="7"/>
  <c r="L49" i="7"/>
  <c r="L75" i="7"/>
  <c r="L101" i="7"/>
  <c r="L127" i="7"/>
  <c r="L16" i="7"/>
  <c r="L146" i="7"/>
  <c r="L19" i="7"/>
  <c r="L153" i="7"/>
  <c r="L20" i="7"/>
  <c r="L6" i="7"/>
  <c r="M16" i="7"/>
  <c r="M19" i="7"/>
  <c r="M20" i="7"/>
  <c r="M6" i="7"/>
  <c r="E17" i="7"/>
  <c r="E21" i="7"/>
  <c r="E7" i="7"/>
  <c r="F17" i="7"/>
  <c r="F21" i="7"/>
  <c r="F7" i="7"/>
  <c r="G17" i="7"/>
  <c r="G21" i="7"/>
  <c r="G7" i="7"/>
  <c r="H17" i="7"/>
  <c r="H21" i="7"/>
  <c r="H7" i="7"/>
  <c r="I17" i="7"/>
  <c r="I21" i="7"/>
  <c r="I7" i="7"/>
  <c r="J17" i="7"/>
  <c r="J21" i="7"/>
  <c r="J7" i="7"/>
  <c r="K17" i="7"/>
  <c r="K21" i="7"/>
  <c r="K7" i="7"/>
  <c r="L17" i="7"/>
  <c r="L21" i="7"/>
  <c r="L7" i="7"/>
  <c r="M17" i="7"/>
  <c r="M21" i="7"/>
  <c r="M7" i="7"/>
  <c r="N70" i="7"/>
  <c r="N75" i="7"/>
  <c r="N96" i="7"/>
  <c r="N101" i="7"/>
  <c r="N44" i="7"/>
  <c r="N49" i="7"/>
  <c r="N122" i="7"/>
  <c r="N127" i="7"/>
  <c r="N16" i="7"/>
  <c r="N42" i="7"/>
  <c r="N62" i="7"/>
  <c r="N68" i="7"/>
  <c r="N88" i="7"/>
  <c r="N94" i="7"/>
  <c r="N120" i="7"/>
  <c r="N15" i="7"/>
  <c r="N6" i="7"/>
  <c r="O70" i="7"/>
  <c r="O75" i="7"/>
  <c r="O96" i="7"/>
  <c r="O101" i="7"/>
  <c r="O122" i="7"/>
  <c r="O127" i="7"/>
  <c r="O44" i="7"/>
  <c r="O49" i="7"/>
  <c r="O16" i="7"/>
  <c r="O36" i="7"/>
  <c r="O42" i="7"/>
  <c r="O62" i="7"/>
  <c r="O68" i="7"/>
  <c r="O88" i="7"/>
  <c r="O94" i="7"/>
  <c r="O114" i="7"/>
  <c r="O120" i="7"/>
  <c r="O15" i="7"/>
  <c r="O140" i="7"/>
  <c r="O146" i="7"/>
  <c r="O19" i="7"/>
  <c r="O6" i="7"/>
  <c r="P70" i="7"/>
  <c r="P75" i="7"/>
  <c r="P96" i="7"/>
  <c r="P101" i="7"/>
  <c r="P122" i="7"/>
  <c r="P127" i="7"/>
  <c r="P44" i="7"/>
  <c r="P49" i="7"/>
  <c r="P16" i="7"/>
  <c r="P36" i="7"/>
  <c r="P42" i="7"/>
  <c r="P62" i="7"/>
  <c r="P68" i="7"/>
  <c r="P88" i="7"/>
  <c r="P94" i="7"/>
  <c r="P114" i="7"/>
  <c r="P120" i="7"/>
  <c r="P15" i="7"/>
  <c r="P140" i="7"/>
  <c r="P146" i="7"/>
  <c r="P19" i="7"/>
  <c r="P6" i="7"/>
  <c r="Q70" i="7"/>
  <c r="Q75" i="7"/>
  <c r="Q96" i="7"/>
  <c r="Q101" i="7"/>
  <c r="Q122" i="7"/>
  <c r="Q127" i="7"/>
  <c r="Q44" i="7"/>
  <c r="Q49" i="7"/>
  <c r="Q16" i="7"/>
  <c r="Q36" i="7"/>
  <c r="Q42" i="7"/>
  <c r="Q62" i="7"/>
  <c r="Q68" i="7"/>
  <c r="Q88" i="7"/>
  <c r="Q94" i="7"/>
  <c r="Q114" i="7"/>
  <c r="Q120" i="7"/>
  <c r="Q15" i="7"/>
  <c r="Q140" i="7"/>
  <c r="Q146" i="7"/>
  <c r="Q19" i="7"/>
  <c r="Q6" i="7"/>
  <c r="R70" i="7"/>
  <c r="R75" i="7"/>
  <c r="R96" i="7"/>
  <c r="R101" i="7"/>
  <c r="R122" i="7"/>
  <c r="R127" i="7"/>
  <c r="R44" i="7"/>
  <c r="R49" i="7"/>
  <c r="R16" i="7"/>
  <c r="R36" i="7"/>
  <c r="R42" i="7"/>
  <c r="R62" i="7"/>
  <c r="R68" i="7"/>
  <c r="R88" i="7"/>
  <c r="R94" i="7"/>
  <c r="R114" i="7"/>
  <c r="R120" i="7"/>
  <c r="R15" i="7"/>
  <c r="R140" i="7"/>
  <c r="R146" i="7"/>
  <c r="R19" i="7"/>
  <c r="R6" i="7"/>
  <c r="S70" i="7"/>
  <c r="S75" i="7"/>
  <c r="S96" i="7"/>
  <c r="S101" i="7"/>
  <c r="S122" i="7"/>
  <c r="S127" i="7"/>
  <c r="S44" i="7"/>
  <c r="S49" i="7"/>
  <c r="S16" i="7"/>
  <c r="S36" i="7"/>
  <c r="S42" i="7"/>
  <c r="S62" i="7"/>
  <c r="S68" i="7"/>
  <c r="S88" i="7"/>
  <c r="S94" i="7"/>
  <c r="S114" i="7"/>
  <c r="S120" i="7"/>
  <c r="S15" i="7"/>
  <c r="S140" i="7"/>
  <c r="S146" i="7"/>
  <c r="S19" i="7"/>
  <c r="S6" i="7"/>
  <c r="N66" i="6"/>
  <c r="M66" i="6"/>
  <c r="Q9" i="16"/>
  <c r="N96" i="6"/>
  <c r="O66" i="6"/>
  <c r="P66" i="6"/>
  <c r="Q66" i="6"/>
  <c r="R66" i="6"/>
  <c r="S66" i="6"/>
  <c r="L66" i="6"/>
  <c r="G9" i="6"/>
  <c r="H9" i="6"/>
  <c r="I9" i="6"/>
  <c r="J9" i="6"/>
  <c r="K9" i="6"/>
  <c r="L9" i="6"/>
  <c r="M9" i="6"/>
  <c r="N9" i="6"/>
  <c r="O9" i="6"/>
  <c r="P9" i="6"/>
  <c r="Q9" i="6"/>
  <c r="R9" i="6"/>
  <c r="S9" i="6"/>
  <c r="F9" i="6"/>
  <c r="C32" i="17"/>
  <c r="D29" i="5"/>
  <c r="D180" i="4"/>
  <c r="D181" i="4"/>
  <c r="D185" i="4"/>
  <c r="D188" i="4"/>
  <c r="D190" i="4"/>
  <c r="D192" i="4"/>
  <c r="D194" i="4"/>
  <c r="D196" i="4"/>
  <c r="D198" i="4"/>
  <c r="D200" i="4"/>
  <c r="D205" i="4"/>
  <c r="D207" i="4"/>
  <c r="D211" i="4"/>
  <c r="D214" i="4"/>
  <c r="D220" i="4"/>
  <c r="D222" i="4"/>
  <c r="D225" i="4"/>
  <c r="D226" i="4"/>
  <c r="D228" i="4"/>
  <c r="D229" i="4"/>
  <c r="D231" i="4"/>
  <c r="D233" i="4"/>
  <c r="D235" i="4"/>
  <c r="D237" i="4"/>
  <c r="D239" i="4"/>
  <c r="D241" i="4"/>
  <c r="D250" i="4"/>
  <c r="E180" i="4"/>
  <c r="E181" i="4"/>
  <c r="E185" i="4"/>
  <c r="E188" i="4"/>
  <c r="E190" i="4"/>
  <c r="E192" i="4"/>
  <c r="E194" i="4"/>
  <c r="E196" i="4"/>
  <c r="E198" i="4"/>
  <c r="E200" i="4"/>
  <c r="E205" i="4"/>
  <c r="E207" i="4"/>
  <c r="E211" i="4"/>
  <c r="E214" i="4"/>
  <c r="E220" i="4"/>
  <c r="E222" i="4"/>
  <c r="E225" i="4"/>
  <c r="E226" i="4"/>
  <c r="E228" i="4"/>
  <c r="E229" i="4"/>
  <c r="E231" i="4"/>
  <c r="E233" i="4"/>
  <c r="E235" i="4"/>
  <c r="E237" i="4"/>
  <c r="E239" i="4"/>
  <c r="E241" i="4"/>
  <c r="E250" i="4"/>
  <c r="F180" i="4"/>
  <c r="F181" i="4"/>
  <c r="F185" i="4"/>
  <c r="F188" i="4"/>
  <c r="F190" i="4"/>
  <c r="F192" i="4"/>
  <c r="F194" i="4"/>
  <c r="F196" i="4"/>
  <c r="F198" i="4"/>
  <c r="F200" i="4"/>
  <c r="F205" i="4"/>
  <c r="F207" i="4"/>
  <c r="F211" i="4"/>
  <c r="F214" i="4"/>
  <c r="F220" i="4"/>
  <c r="F222" i="4"/>
  <c r="F225" i="4"/>
  <c r="F226" i="4"/>
  <c r="F228" i="4"/>
  <c r="F229" i="4"/>
  <c r="F231" i="4"/>
  <c r="F233" i="4"/>
  <c r="F235" i="4"/>
  <c r="F237" i="4"/>
  <c r="F239" i="4"/>
  <c r="F241" i="4"/>
  <c r="F250" i="4"/>
  <c r="G180" i="4"/>
  <c r="G181" i="4"/>
  <c r="G185" i="4"/>
  <c r="G188" i="4"/>
  <c r="G190" i="4"/>
  <c r="G192" i="4"/>
  <c r="G194" i="4"/>
  <c r="G196" i="4"/>
  <c r="G198" i="4"/>
  <c r="G200" i="4"/>
  <c r="G205" i="4"/>
  <c r="G207" i="4"/>
  <c r="G211" i="4"/>
  <c r="G214" i="4"/>
  <c r="G220" i="4"/>
  <c r="G222" i="4"/>
  <c r="G225" i="4"/>
  <c r="G226" i="4"/>
  <c r="G228" i="4"/>
  <c r="G229" i="4"/>
  <c r="G231" i="4"/>
  <c r="G233" i="4"/>
  <c r="G235" i="4"/>
  <c r="G237" i="4"/>
  <c r="G239" i="4"/>
  <c r="G241" i="4"/>
  <c r="G250" i="4"/>
  <c r="H180" i="4"/>
  <c r="H181" i="4"/>
  <c r="H185" i="4"/>
  <c r="H188" i="4"/>
  <c r="H190" i="4"/>
  <c r="H192" i="4"/>
  <c r="H194" i="4"/>
  <c r="H196" i="4"/>
  <c r="H198" i="4"/>
  <c r="H200" i="4"/>
  <c r="H205" i="4"/>
  <c r="H207" i="4"/>
  <c r="H211" i="4"/>
  <c r="H214" i="4"/>
  <c r="H220" i="4"/>
  <c r="H222" i="4"/>
  <c r="H225" i="4"/>
  <c r="H226" i="4"/>
  <c r="H228" i="4"/>
  <c r="H229" i="4"/>
  <c r="H231" i="4"/>
  <c r="H233" i="4"/>
  <c r="H235" i="4"/>
  <c r="H237" i="4"/>
  <c r="H239" i="4"/>
  <c r="H241" i="4"/>
  <c r="H250" i="4"/>
  <c r="I180" i="4"/>
  <c r="I181" i="4"/>
  <c r="I185" i="4"/>
  <c r="I188" i="4"/>
  <c r="I190" i="4"/>
  <c r="I192" i="4"/>
  <c r="I194" i="4"/>
  <c r="I196" i="4"/>
  <c r="I198" i="4"/>
  <c r="I200" i="4"/>
  <c r="I205" i="4"/>
  <c r="I207" i="4"/>
  <c r="I211" i="4"/>
  <c r="I214" i="4"/>
  <c r="I220" i="4"/>
  <c r="I222" i="4"/>
  <c r="I225" i="4"/>
  <c r="I226" i="4"/>
  <c r="I228" i="4"/>
  <c r="I229" i="4"/>
  <c r="I231" i="4"/>
  <c r="I233" i="4"/>
  <c r="I235" i="4"/>
  <c r="I237" i="4"/>
  <c r="I239" i="4"/>
  <c r="I241" i="4"/>
  <c r="I250" i="4"/>
  <c r="J180" i="4"/>
  <c r="J181" i="4"/>
  <c r="J185" i="4"/>
  <c r="J188" i="4"/>
  <c r="J190" i="4"/>
  <c r="J192" i="4"/>
  <c r="J194" i="4"/>
  <c r="J196" i="4"/>
  <c r="J198" i="4"/>
  <c r="J200" i="4"/>
  <c r="J205" i="4"/>
  <c r="J207" i="4"/>
  <c r="J211" i="4"/>
  <c r="J214" i="4"/>
  <c r="J220" i="4"/>
  <c r="J222" i="4"/>
  <c r="J225" i="4"/>
  <c r="J226" i="4"/>
  <c r="J228" i="4"/>
  <c r="J229" i="4"/>
  <c r="J231" i="4"/>
  <c r="J233" i="4"/>
  <c r="J235" i="4"/>
  <c r="J237" i="4"/>
  <c r="J239" i="4"/>
  <c r="J241" i="4"/>
  <c r="J250" i="4"/>
  <c r="K180" i="4"/>
  <c r="K181" i="4"/>
  <c r="K185" i="4"/>
  <c r="K188" i="4"/>
  <c r="K190" i="4"/>
  <c r="K192" i="4"/>
  <c r="K194" i="4"/>
  <c r="K196" i="4"/>
  <c r="K198" i="4"/>
  <c r="K200" i="4"/>
  <c r="K205" i="4"/>
  <c r="K207" i="4"/>
  <c r="K211" i="4"/>
  <c r="K214" i="4"/>
  <c r="K220" i="4"/>
  <c r="K222" i="4"/>
  <c r="K225" i="4"/>
  <c r="K226" i="4"/>
  <c r="K228" i="4"/>
  <c r="K229" i="4"/>
  <c r="K231" i="4"/>
  <c r="K233" i="4"/>
  <c r="K235" i="4"/>
  <c r="K237" i="4"/>
  <c r="K239" i="4"/>
  <c r="K241" i="4"/>
  <c r="K250" i="4"/>
  <c r="L220" i="4"/>
  <c r="L222" i="4"/>
  <c r="L228" i="4"/>
  <c r="L229" i="4"/>
  <c r="L231" i="4"/>
  <c r="L233" i="4"/>
  <c r="L235" i="4"/>
  <c r="L237" i="4"/>
  <c r="L239" i="4"/>
  <c r="L241" i="4"/>
  <c r="L250" i="4"/>
  <c r="M220" i="4"/>
  <c r="M222" i="4"/>
  <c r="M228" i="4"/>
  <c r="M229" i="4"/>
  <c r="M231" i="4"/>
  <c r="M233" i="4"/>
  <c r="M235" i="4"/>
  <c r="M237" i="4"/>
  <c r="M239" i="4"/>
  <c r="M241" i="4"/>
  <c r="M250" i="4"/>
  <c r="D243" i="4"/>
  <c r="E243" i="4"/>
  <c r="F243" i="4"/>
  <c r="G243" i="4"/>
  <c r="H243" i="4"/>
  <c r="I243" i="4"/>
  <c r="J243" i="4"/>
  <c r="K243" i="4"/>
  <c r="L243" i="4"/>
  <c r="M243" i="4"/>
  <c r="E191" i="7"/>
  <c r="P2" i="24"/>
  <c r="O8" i="7"/>
  <c r="O32" i="20"/>
  <c r="P8" i="7"/>
  <c r="P32" i="20"/>
  <c r="Q8" i="7"/>
  <c r="Q32" i="20"/>
  <c r="R8" i="7"/>
  <c r="R32" i="20"/>
  <c r="S8" i="7"/>
  <c r="S32" i="20"/>
  <c r="N8" i="7"/>
  <c r="N32" i="20"/>
  <c r="O9" i="20"/>
  <c r="P9" i="20"/>
  <c r="Q9" i="20"/>
  <c r="R9" i="20"/>
  <c r="S9" i="20"/>
  <c r="N9" i="20"/>
  <c r="E30" i="7"/>
  <c r="F30" i="7"/>
  <c r="G30" i="7"/>
  <c r="H30" i="7"/>
  <c r="I30" i="7"/>
  <c r="J30" i="7"/>
  <c r="K30" i="7"/>
  <c r="L30" i="7"/>
  <c r="M30" i="7"/>
  <c r="N30" i="7"/>
  <c r="O30" i="7"/>
  <c r="P30" i="7"/>
  <c r="Q30" i="7"/>
  <c r="R30" i="7"/>
  <c r="S30" i="7"/>
  <c r="K156" i="4"/>
  <c r="I156" i="4"/>
  <c r="I153" i="4"/>
  <c r="I155" i="4"/>
  <c r="I152" i="4"/>
  <c r="I158" i="4"/>
  <c r="G156" i="4"/>
  <c r="S24" i="9"/>
  <c r="T23" i="9"/>
  <c r="BG548" i="9"/>
  <c r="BF548" i="9"/>
  <c r="BG547" i="9"/>
  <c r="BF547" i="9"/>
  <c r="BG546" i="9"/>
  <c r="BF546" i="9"/>
  <c r="BG545" i="9"/>
  <c r="BF545" i="9"/>
  <c r="BF544" i="9"/>
  <c r="BE544" i="9"/>
  <c r="BG544" i="9"/>
  <c r="BF543" i="9"/>
  <c r="BG542" i="9"/>
  <c r="BF542" i="9"/>
  <c r="BG541" i="9"/>
  <c r="BF541" i="9"/>
  <c r="BG540" i="9"/>
  <c r="BF540" i="9"/>
  <c r="BG539" i="9"/>
  <c r="BF539" i="9"/>
  <c r="BG538" i="9"/>
  <c r="BF538" i="9"/>
  <c r="BG537" i="9"/>
  <c r="BF537" i="9"/>
  <c r="BG536" i="9"/>
  <c r="BF536" i="9"/>
  <c r="BG535" i="9"/>
  <c r="BF535" i="9"/>
  <c r="BG534" i="9"/>
  <c r="BF534" i="9"/>
  <c r="BG533" i="9"/>
  <c r="BF533" i="9"/>
  <c r="BG532" i="9"/>
  <c r="BF532" i="9"/>
  <c r="BG531" i="9"/>
  <c r="BF531" i="9"/>
  <c r="BG530" i="9"/>
  <c r="BF530" i="9"/>
  <c r="BG529" i="9"/>
  <c r="BF529" i="9"/>
  <c r="BG528" i="9"/>
  <c r="BF528" i="9"/>
  <c r="BG527" i="9"/>
  <c r="BF527" i="9"/>
  <c r="BG526" i="9"/>
  <c r="BF526" i="9"/>
  <c r="BG525" i="9"/>
  <c r="BF525" i="9"/>
  <c r="BG524" i="9"/>
  <c r="BF524" i="9"/>
  <c r="BG523" i="9"/>
  <c r="BF523" i="9"/>
  <c r="BG522" i="9"/>
  <c r="BF522" i="9"/>
  <c r="BG521" i="9"/>
  <c r="BF521" i="9"/>
  <c r="BG520" i="9"/>
  <c r="BF520" i="9"/>
  <c r="BG519" i="9"/>
  <c r="BF519" i="9"/>
  <c r="BG518" i="9"/>
  <c r="BF518" i="9"/>
  <c r="BG517" i="9"/>
  <c r="BF517" i="9"/>
  <c r="BG516" i="9"/>
  <c r="BF516" i="9"/>
  <c r="BG515" i="9"/>
  <c r="BF515" i="9"/>
  <c r="BG514" i="9"/>
  <c r="BF514" i="9"/>
  <c r="BG513" i="9"/>
  <c r="BF513" i="9"/>
  <c r="BG512" i="9"/>
  <c r="BF512" i="9"/>
  <c r="BG511" i="9"/>
  <c r="BF511" i="9"/>
  <c r="BG510" i="9"/>
  <c r="BF510" i="9"/>
  <c r="BG509" i="9"/>
  <c r="BF509" i="9"/>
  <c r="BG508" i="9"/>
  <c r="BF508" i="9"/>
  <c r="BG507" i="9"/>
  <c r="BF507" i="9"/>
  <c r="BG506" i="9"/>
  <c r="BF506" i="9"/>
  <c r="BG505" i="9"/>
  <c r="BF505" i="9"/>
  <c r="BG504" i="9"/>
  <c r="BF504" i="9"/>
  <c r="BG503" i="9"/>
  <c r="BF503" i="9"/>
  <c r="BG502" i="9"/>
  <c r="BF502" i="9"/>
  <c r="BG501" i="9"/>
  <c r="BF501" i="9"/>
  <c r="BG500" i="9"/>
  <c r="BF500" i="9"/>
  <c r="BG499" i="9"/>
  <c r="BF499" i="9"/>
  <c r="BG498" i="9"/>
  <c r="BF498" i="9"/>
  <c r="BG497" i="9"/>
  <c r="BF497" i="9"/>
  <c r="BG496" i="9"/>
  <c r="BF496" i="9"/>
  <c r="BG495" i="9"/>
  <c r="BF495" i="9"/>
  <c r="BG494" i="9"/>
  <c r="BF494" i="9"/>
  <c r="BF493" i="9"/>
  <c r="BE493" i="9"/>
  <c r="BG492" i="9"/>
  <c r="BF492" i="9"/>
  <c r="BG491" i="9"/>
  <c r="BF491" i="9"/>
  <c r="BG490" i="9"/>
  <c r="BF490" i="9"/>
  <c r="BG489" i="9"/>
  <c r="BF489" i="9"/>
  <c r="BG488" i="9"/>
  <c r="BF488" i="9"/>
  <c r="BG487" i="9"/>
  <c r="BF487" i="9"/>
  <c r="BG486" i="9"/>
  <c r="BF486" i="9"/>
  <c r="BG485" i="9"/>
  <c r="BF485" i="9"/>
  <c r="BG484" i="9"/>
  <c r="BF484" i="9"/>
  <c r="BG483" i="9"/>
  <c r="BF483" i="9"/>
  <c r="BG482" i="9"/>
  <c r="BF482" i="9"/>
  <c r="BG481" i="9"/>
  <c r="BF481" i="9"/>
  <c r="BG480" i="9"/>
  <c r="BF480" i="9"/>
  <c r="BG479" i="9"/>
  <c r="BF479" i="9"/>
  <c r="BG478" i="9"/>
  <c r="BF478" i="9"/>
  <c r="BG477" i="9"/>
  <c r="BF477" i="9"/>
  <c r="BG476" i="9"/>
  <c r="BF476" i="9"/>
  <c r="BG475" i="9"/>
  <c r="BF475" i="9"/>
  <c r="BG474" i="9"/>
  <c r="BF474" i="9"/>
  <c r="BG473" i="9"/>
  <c r="BF473" i="9"/>
  <c r="BG472" i="9"/>
  <c r="BF472" i="9"/>
  <c r="BG471" i="9"/>
  <c r="BF471" i="9"/>
  <c r="BG470" i="9"/>
  <c r="BF470" i="9"/>
  <c r="BG469" i="9"/>
  <c r="BF469" i="9"/>
  <c r="BG468" i="9"/>
  <c r="BF468" i="9"/>
  <c r="BG467" i="9"/>
  <c r="BF467" i="9"/>
  <c r="BG466" i="9"/>
  <c r="BF466" i="9"/>
  <c r="BG465" i="9"/>
  <c r="BF465" i="9"/>
  <c r="BG464" i="9"/>
  <c r="BF464" i="9"/>
  <c r="BG463" i="9"/>
  <c r="BF463" i="9"/>
  <c r="BG462" i="9"/>
  <c r="BF462" i="9"/>
  <c r="BG461" i="9"/>
  <c r="BF461" i="9"/>
  <c r="BG460" i="9"/>
  <c r="BF460" i="9"/>
  <c r="BG459" i="9"/>
  <c r="BF459" i="9"/>
  <c r="BG458" i="9"/>
  <c r="BF458" i="9"/>
  <c r="BG457" i="9"/>
  <c r="BF457" i="9"/>
  <c r="BG456" i="9"/>
  <c r="BF456" i="9"/>
  <c r="BG455" i="9"/>
  <c r="BF455" i="9"/>
  <c r="BG454" i="9"/>
  <c r="BF454" i="9"/>
  <c r="BG453" i="9"/>
  <c r="BF453" i="9"/>
  <c r="BG452" i="9"/>
  <c r="BF452" i="9"/>
  <c r="BG451" i="9"/>
  <c r="BF451" i="9"/>
  <c r="BG450" i="9"/>
  <c r="BF450" i="9"/>
  <c r="BG449" i="9"/>
  <c r="BF449" i="9"/>
  <c r="BG448" i="9"/>
  <c r="BF448" i="9"/>
  <c r="BG447" i="9"/>
  <c r="BF447" i="9"/>
  <c r="BG446" i="9"/>
  <c r="BF446" i="9"/>
  <c r="BG445" i="9"/>
  <c r="BF445" i="9"/>
  <c r="BG444" i="9"/>
  <c r="BF444" i="9"/>
  <c r="BG443" i="9"/>
  <c r="BF443" i="9"/>
  <c r="BG442" i="9"/>
  <c r="BF442" i="9"/>
  <c r="BG441" i="9"/>
  <c r="BF441" i="9"/>
  <c r="BG440" i="9"/>
  <c r="BF440" i="9"/>
  <c r="BG439" i="9"/>
  <c r="BF439" i="9"/>
  <c r="BF438" i="9"/>
  <c r="BE438" i="9"/>
  <c r="BG438" i="9"/>
  <c r="BF437" i="9"/>
  <c r="BG436" i="9"/>
  <c r="BF436" i="9"/>
  <c r="BG435" i="9"/>
  <c r="BF435" i="9"/>
  <c r="BG434" i="9"/>
  <c r="BF434" i="9"/>
  <c r="BG433" i="9"/>
  <c r="BF433" i="9"/>
  <c r="BG432" i="9"/>
  <c r="BF432" i="9"/>
  <c r="BG431" i="9"/>
  <c r="BF431" i="9"/>
  <c r="BG430" i="9"/>
  <c r="BF430" i="9"/>
  <c r="BG429" i="9"/>
  <c r="BF429" i="9"/>
  <c r="BG428" i="9"/>
  <c r="BF428" i="9"/>
  <c r="BG427" i="9"/>
  <c r="BF427" i="9"/>
  <c r="BG426" i="9"/>
  <c r="BF426" i="9"/>
  <c r="BG425" i="9"/>
  <c r="BF425" i="9"/>
  <c r="BG424" i="9"/>
  <c r="BF424" i="9"/>
  <c r="BG423" i="9"/>
  <c r="BF423" i="9"/>
  <c r="BG422" i="9"/>
  <c r="BF422" i="9"/>
  <c r="BG421" i="9"/>
  <c r="BF421" i="9"/>
  <c r="BG420" i="9"/>
  <c r="BF420" i="9"/>
  <c r="BG419" i="9"/>
  <c r="BF419" i="9"/>
  <c r="BG418" i="9"/>
  <c r="BF418" i="9"/>
  <c r="BG417" i="9"/>
  <c r="BF417" i="9"/>
  <c r="BG416" i="9"/>
  <c r="BF416" i="9"/>
  <c r="BG415" i="9"/>
  <c r="BF415" i="9"/>
  <c r="BG414" i="9"/>
  <c r="BF414" i="9"/>
  <c r="BG413" i="9"/>
  <c r="BF413" i="9"/>
  <c r="BG412" i="9"/>
  <c r="BF412" i="9"/>
  <c r="BG411" i="9"/>
  <c r="BF411" i="9"/>
  <c r="BG410" i="9"/>
  <c r="BF410" i="9"/>
  <c r="BG409" i="9"/>
  <c r="BF409" i="9"/>
  <c r="BG408" i="9"/>
  <c r="BF408" i="9"/>
  <c r="BG407" i="9"/>
  <c r="BF407" i="9"/>
  <c r="BG406" i="9"/>
  <c r="BF406" i="9"/>
  <c r="BG405" i="9"/>
  <c r="BF405" i="9"/>
  <c r="BG404" i="9"/>
  <c r="BF404" i="9"/>
  <c r="BG403" i="9"/>
  <c r="BF403" i="9"/>
  <c r="BG402" i="9"/>
  <c r="BF402" i="9"/>
  <c r="BG401" i="9"/>
  <c r="BF401" i="9"/>
  <c r="BG400" i="9"/>
  <c r="BF400" i="9"/>
  <c r="BG399" i="9"/>
  <c r="BF399" i="9"/>
  <c r="BG398" i="9"/>
  <c r="BF398" i="9"/>
  <c r="BG397" i="9"/>
  <c r="BF397" i="9"/>
  <c r="BG396" i="9"/>
  <c r="BF396" i="9"/>
  <c r="BG395" i="9"/>
  <c r="BF395" i="9"/>
  <c r="BG394" i="9"/>
  <c r="BF394" i="9"/>
  <c r="BG393" i="9"/>
  <c r="BF393" i="9"/>
  <c r="BG392" i="9"/>
  <c r="BF392" i="9"/>
  <c r="BG391" i="9"/>
  <c r="BF391" i="9"/>
  <c r="BG390" i="9"/>
  <c r="BF390" i="9"/>
  <c r="BG389" i="9"/>
  <c r="BF389" i="9"/>
  <c r="BF388" i="9"/>
  <c r="BE388" i="9"/>
  <c r="BG388" i="9"/>
  <c r="BF387" i="9"/>
  <c r="BG386" i="9"/>
  <c r="BF386" i="9"/>
  <c r="BG385" i="9"/>
  <c r="BF385" i="9"/>
  <c r="BG384" i="9"/>
  <c r="BF384" i="9"/>
  <c r="BG383" i="9"/>
  <c r="BF383" i="9"/>
  <c r="BG382" i="9"/>
  <c r="BF382" i="9"/>
  <c r="BG381" i="9"/>
  <c r="BF381" i="9"/>
  <c r="BG380" i="9"/>
  <c r="BF380" i="9"/>
  <c r="BG379" i="9"/>
  <c r="BF379" i="9"/>
  <c r="BG378" i="9"/>
  <c r="BF378" i="9"/>
  <c r="BG377" i="9"/>
  <c r="BF377" i="9"/>
  <c r="BG376" i="9"/>
  <c r="BF376" i="9"/>
  <c r="BG375" i="9"/>
  <c r="BF375" i="9"/>
  <c r="BG374" i="9"/>
  <c r="BF374" i="9"/>
  <c r="BG373" i="9"/>
  <c r="BF373" i="9"/>
  <c r="BG372" i="9"/>
  <c r="BF372" i="9"/>
  <c r="BG371" i="9"/>
  <c r="BF371" i="9"/>
  <c r="BG370" i="9"/>
  <c r="BF370" i="9"/>
  <c r="BG369" i="9"/>
  <c r="BF369" i="9"/>
  <c r="BG368" i="9"/>
  <c r="BF368" i="9"/>
  <c r="BG367" i="9"/>
  <c r="BF367" i="9"/>
  <c r="BG366" i="9"/>
  <c r="BF366" i="9"/>
  <c r="BG365" i="9"/>
  <c r="BF365" i="9"/>
  <c r="BG364" i="9"/>
  <c r="BF364" i="9"/>
  <c r="BG363" i="9"/>
  <c r="BF363" i="9"/>
  <c r="BG362" i="9"/>
  <c r="BF362" i="9"/>
  <c r="BG361" i="9"/>
  <c r="BF361" i="9"/>
  <c r="BG360" i="9"/>
  <c r="BF360" i="9"/>
  <c r="BG359" i="9"/>
  <c r="BF359" i="9"/>
  <c r="BG358" i="9"/>
  <c r="BF358" i="9"/>
  <c r="BG357" i="9"/>
  <c r="BF357" i="9"/>
  <c r="BG356" i="9"/>
  <c r="BF356" i="9"/>
  <c r="BG355" i="9"/>
  <c r="BF355" i="9"/>
  <c r="BG354" i="9"/>
  <c r="BF354" i="9"/>
  <c r="BG353" i="9"/>
  <c r="BF353" i="9"/>
  <c r="BG352" i="9"/>
  <c r="BF352" i="9"/>
  <c r="BG351" i="9"/>
  <c r="BF351" i="9"/>
  <c r="BG350" i="9"/>
  <c r="BF350" i="9"/>
  <c r="BG349" i="9"/>
  <c r="BF349" i="9"/>
  <c r="BG348" i="9"/>
  <c r="BF348" i="9"/>
  <c r="BG347" i="9"/>
  <c r="BF347" i="9"/>
  <c r="BG346" i="9"/>
  <c r="BF346" i="9"/>
  <c r="BG345" i="9"/>
  <c r="BF345" i="9"/>
  <c r="BG344" i="9"/>
  <c r="BF344" i="9"/>
  <c r="BG343" i="9"/>
  <c r="BF343" i="9"/>
  <c r="BG342" i="9"/>
  <c r="BF342" i="9"/>
  <c r="BG341" i="9"/>
  <c r="BF341" i="9"/>
  <c r="BG340" i="9"/>
  <c r="BF340" i="9"/>
  <c r="BG339" i="9"/>
  <c r="BF339" i="9"/>
  <c r="BG338" i="9"/>
  <c r="BF338" i="9"/>
  <c r="BF337" i="9"/>
  <c r="BE337" i="9"/>
  <c r="BG337" i="9"/>
  <c r="BF336" i="9"/>
  <c r="BG335" i="9"/>
  <c r="BF335" i="9"/>
  <c r="BG334" i="9"/>
  <c r="BF334" i="9"/>
  <c r="BG333" i="9"/>
  <c r="BF333" i="9"/>
  <c r="BG332" i="9"/>
  <c r="BF332" i="9"/>
  <c r="BG331" i="9"/>
  <c r="BF331" i="9"/>
  <c r="BG330" i="9"/>
  <c r="BF330" i="9"/>
  <c r="BG329" i="9"/>
  <c r="BF329" i="9"/>
  <c r="BG328" i="9"/>
  <c r="BF328" i="9"/>
  <c r="BG327" i="9"/>
  <c r="BF327" i="9"/>
  <c r="BG326" i="9"/>
  <c r="BF326" i="9"/>
  <c r="BG325" i="9"/>
  <c r="BF325" i="9"/>
  <c r="BG324" i="9"/>
  <c r="BF324" i="9"/>
  <c r="BG323" i="9"/>
  <c r="BF323" i="9"/>
  <c r="BG322" i="9"/>
  <c r="BF322" i="9"/>
  <c r="BG321" i="9"/>
  <c r="BF321" i="9"/>
  <c r="BG320" i="9"/>
  <c r="BF320" i="9"/>
  <c r="BG319" i="9"/>
  <c r="BF319" i="9"/>
  <c r="BG318" i="9"/>
  <c r="BF318" i="9"/>
  <c r="BG317" i="9"/>
  <c r="BF317" i="9"/>
  <c r="BG316" i="9"/>
  <c r="BF316" i="9"/>
  <c r="BG315" i="9"/>
  <c r="BF315" i="9"/>
  <c r="BG314" i="9"/>
  <c r="BF314" i="9"/>
  <c r="BG313" i="9"/>
  <c r="BF313" i="9"/>
  <c r="BG312" i="9"/>
  <c r="BF312" i="9"/>
  <c r="BG311" i="9"/>
  <c r="BF311" i="9"/>
  <c r="BG310" i="9"/>
  <c r="BF310" i="9"/>
  <c r="BG309" i="9"/>
  <c r="BF309" i="9"/>
  <c r="BG308" i="9"/>
  <c r="BF308" i="9"/>
  <c r="BG307" i="9"/>
  <c r="BF307" i="9"/>
  <c r="BG306" i="9"/>
  <c r="BF306" i="9"/>
  <c r="BG305" i="9"/>
  <c r="BF305" i="9"/>
  <c r="BG304" i="9"/>
  <c r="BF304" i="9"/>
  <c r="BG303" i="9"/>
  <c r="BF303" i="9"/>
  <c r="BG302" i="9"/>
  <c r="BF302" i="9"/>
  <c r="BG301" i="9"/>
  <c r="BF301" i="9"/>
  <c r="BG300" i="9"/>
  <c r="BF300" i="9"/>
  <c r="BG299" i="9"/>
  <c r="BF299" i="9"/>
  <c r="BG298" i="9"/>
  <c r="BF298" i="9"/>
  <c r="BG297" i="9"/>
  <c r="BF297" i="9"/>
  <c r="BG296" i="9"/>
  <c r="BF296" i="9"/>
  <c r="BG295" i="9"/>
  <c r="BF295" i="9"/>
  <c r="BG294" i="9"/>
  <c r="BF294" i="9"/>
  <c r="BG293" i="9"/>
  <c r="BF293" i="9"/>
  <c r="BG292" i="9"/>
  <c r="BF292" i="9"/>
  <c r="BG291" i="9"/>
  <c r="BF291" i="9"/>
  <c r="BG290" i="9"/>
  <c r="BF290" i="9"/>
  <c r="BG289" i="9"/>
  <c r="BF289" i="9"/>
  <c r="BG288" i="9"/>
  <c r="BF288" i="9"/>
  <c r="BG287" i="9"/>
  <c r="BF287" i="9"/>
  <c r="BG286" i="9"/>
  <c r="BF286" i="9"/>
  <c r="BG285" i="9"/>
  <c r="BF285" i="9"/>
  <c r="BG284" i="9"/>
  <c r="BF284" i="9"/>
  <c r="BG283" i="9"/>
  <c r="BF283" i="9"/>
  <c r="BF282" i="9"/>
  <c r="BE282" i="9"/>
  <c r="BG282" i="9"/>
  <c r="BG281" i="9"/>
  <c r="BF281" i="9"/>
  <c r="BG280" i="9"/>
  <c r="BF280" i="9"/>
  <c r="BG279" i="9"/>
  <c r="BF279" i="9"/>
  <c r="BG278" i="9"/>
  <c r="BF278" i="9"/>
  <c r="BG277" i="9"/>
  <c r="BF277" i="9"/>
  <c r="BG276" i="9"/>
  <c r="BF276" i="9"/>
  <c r="BG275" i="9"/>
  <c r="BF275" i="9"/>
  <c r="BG274" i="9"/>
  <c r="BF274" i="9"/>
  <c r="BG273" i="9"/>
  <c r="BF273" i="9"/>
  <c r="BG272" i="9"/>
  <c r="BF272" i="9"/>
  <c r="BG271" i="9"/>
  <c r="BF271" i="9"/>
  <c r="BG270" i="9"/>
  <c r="BF270" i="9"/>
  <c r="BG269" i="9"/>
  <c r="BF269" i="9"/>
  <c r="BG268" i="9"/>
  <c r="BF268" i="9"/>
  <c r="BG267" i="9"/>
  <c r="BF267" i="9"/>
  <c r="BG266" i="9"/>
  <c r="BF266" i="9"/>
  <c r="BG265" i="9"/>
  <c r="BF265" i="9"/>
  <c r="BG264" i="9"/>
  <c r="BF264" i="9"/>
  <c r="BG263" i="9"/>
  <c r="BF263" i="9"/>
  <c r="BG262" i="9"/>
  <c r="BF262" i="9"/>
  <c r="BG261" i="9"/>
  <c r="BF261" i="9"/>
  <c r="BG260" i="9"/>
  <c r="BF260" i="9"/>
  <c r="BG259" i="9"/>
  <c r="BF259" i="9"/>
  <c r="BG258" i="9"/>
  <c r="BF258" i="9"/>
  <c r="BG257" i="9"/>
  <c r="BF257" i="9"/>
  <c r="BG256" i="9"/>
  <c r="BF256" i="9"/>
  <c r="BG255" i="9"/>
  <c r="BF255" i="9"/>
  <c r="BG254" i="9"/>
  <c r="BF254" i="9"/>
  <c r="BG253" i="9"/>
  <c r="BF253" i="9"/>
  <c r="BG252" i="9"/>
  <c r="BF252" i="9"/>
  <c r="BG251" i="9"/>
  <c r="BF251" i="9"/>
  <c r="BG250" i="9"/>
  <c r="BF250" i="9"/>
  <c r="BG249" i="9"/>
  <c r="BF249" i="9"/>
  <c r="BG248" i="9"/>
  <c r="BF248" i="9"/>
  <c r="BG247" i="9"/>
  <c r="BF247" i="9"/>
  <c r="BG246" i="9"/>
  <c r="BF246" i="9"/>
  <c r="BG245" i="9"/>
  <c r="BF245" i="9"/>
  <c r="BG244" i="9"/>
  <c r="BF244" i="9"/>
  <c r="BG243" i="9"/>
  <c r="BF243" i="9"/>
  <c r="BG242" i="9"/>
  <c r="BF242" i="9"/>
  <c r="BG241" i="9"/>
  <c r="BF241" i="9"/>
  <c r="BG240" i="9"/>
  <c r="BF240" i="9"/>
  <c r="BG239" i="9"/>
  <c r="BF239" i="9"/>
  <c r="BG238" i="9"/>
  <c r="BF238" i="9"/>
  <c r="BG237" i="9"/>
  <c r="BF237" i="9"/>
  <c r="BG236" i="9"/>
  <c r="BF236" i="9"/>
  <c r="BG235" i="9"/>
  <c r="BF235" i="9"/>
  <c r="BG234" i="9"/>
  <c r="BF234" i="9"/>
  <c r="BG233" i="9"/>
  <c r="BF233" i="9"/>
  <c r="BG232" i="9"/>
  <c r="BF232" i="9"/>
  <c r="BG231" i="9"/>
  <c r="BF231" i="9"/>
  <c r="BG230" i="9"/>
  <c r="BF230" i="9"/>
  <c r="BG229" i="9"/>
  <c r="BF229" i="9"/>
  <c r="BG228" i="9"/>
  <c r="BF228" i="9"/>
  <c r="BG227" i="9"/>
  <c r="BF227" i="9"/>
  <c r="BG226" i="9"/>
  <c r="BF226" i="9"/>
  <c r="BG225" i="9"/>
  <c r="BF225" i="9"/>
  <c r="BG224" i="9"/>
  <c r="BF224" i="9"/>
  <c r="BG223" i="9"/>
  <c r="BF223" i="9"/>
  <c r="BG222" i="9"/>
  <c r="BF222" i="9"/>
  <c r="BG221" i="9"/>
  <c r="BF221" i="9"/>
  <c r="BG220" i="9"/>
  <c r="BF220" i="9"/>
  <c r="BG219" i="9"/>
  <c r="BF219" i="9"/>
  <c r="BG218" i="9"/>
  <c r="BF218" i="9"/>
  <c r="BG217" i="9"/>
  <c r="BF217" i="9"/>
  <c r="BG216" i="9"/>
  <c r="BF216" i="9"/>
  <c r="BG215" i="9"/>
  <c r="BF215" i="9"/>
  <c r="BG214" i="9"/>
  <c r="BF214" i="9"/>
  <c r="BG213" i="9"/>
  <c r="BF213" i="9"/>
  <c r="BG212" i="9"/>
  <c r="BF212" i="9"/>
  <c r="BG211" i="9"/>
  <c r="BF211" i="9"/>
  <c r="BG210" i="9"/>
  <c r="BF210" i="9"/>
  <c r="BG209" i="9"/>
  <c r="BF209" i="9"/>
  <c r="BG208" i="9"/>
  <c r="BF208" i="9"/>
  <c r="BG207" i="9"/>
  <c r="BF207" i="9"/>
  <c r="BG206" i="9"/>
  <c r="BF206" i="9"/>
  <c r="BG205" i="9"/>
  <c r="BF205" i="9"/>
  <c r="BG204" i="9"/>
  <c r="BF204" i="9"/>
  <c r="BG203" i="9"/>
  <c r="BF203" i="9"/>
  <c r="BG202" i="9"/>
  <c r="BF202" i="9"/>
  <c r="BG201" i="9"/>
  <c r="BF201" i="9"/>
  <c r="BG200" i="9"/>
  <c r="BF200" i="9"/>
  <c r="BG199" i="9"/>
  <c r="BF199" i="9"/>
  <c r="BG198" i="9"/>
  <c r="BF198" i="9"/>
  <c r="BG197" i="9"/>
  <c r="BF197" i="9"/>
  <c r="BG196" i="9"/>
  <c r="BF196" i="9"/>
  <c r="BG195" i="9"/>
  <c r="BF195" i="9"/>
  <c r="BG194" i="9"/>
  <c r="BF194" i="9"/>
  <c r="BG193" i="9"/>
  <c r="BF193" i="9"/>
  <c r="BG192" i="9"/>
  <c r="BF192" i="9"/>
  <c r="BG191" i="9"/>
  <c r="BF191" i="9"/>
  <c r="BG190" i="9"/>
  <c r="BF190" i="9"/>
  <c r="BG189" i="9"/>
  <c r="BF189" i="9"/>
  <c r="BG188" i="9"/>
  <c r="BF188" i="9"/>
  <c r="BG187" i="9"/>
  <c r="BF187" i="9"/>
  <c r="BG186" i="9"/>
  <c r="BF186" i="9"/>
  <c r="BG185" i="9"/>
  <c r="BF185" i="9"/>
  <c r="BG184" i="9"/>
  <c r="BF184" i="9"/>
  <c r="BG183" i="9"/>
  <c r="BF183" i="9"/>
  <c r="BG182" i="9"/>
  <c r="BF182" i="9"/>
  <c r="BG181" i="9"/>
  <c r="BF181" i="9"/>
  <c r="BG180" i="9"/>
  <c r="BF180" i="9"/>
  <c r="BG179" i="9"/>
  <c r="BF179" i="9"/>
  <c r="BG178" i="9"/>
  <c r="BF178" i="9"/>
  <c r="BF177" i="9"/>
  <c r="BE177" i="9"/>
  <c r="BG177" i="9"/>
  <c r="BF176" i="9"/>
  <c r="BG175" i="9"/>
  <c r="BF175" i="9"/>
  <c r="BG174" i="9"/>
  <c r="BF174" i="9"/>
  <c r="BG173" i="9"/>
  <c r="BF173" i="9"/>
  <c r="BG172" i="9"/>
  <c r="BF172" i="9"/>
  <c r="BG171" i="9"/>
  <c r="BF171" i="9"/>
  <c r="BG170" i="9"/>
  <c r="BF170" i="9"/>
  <c r="BG169" i="9"/>
  <c r="BF169" i="9"/>
  <c r="BG168" i="9"/>
  <c r="BF168" i="9"/>
  <c r="BG167" i="9"/>
  <c r="BF167" i="9"/>
  <c r="BG166" i="9"/>
  <c r="BF166" i="9"/>
  <c r="BG165" i="9"/>
  <c r="BF165" i="9"/>
  <c r="BG164" i="9"/>
  <c r="BF164" i="9"/>
  <c r="BG163" i="9"/>
  <c r="BF163" i="9"/>
  <c r="BG162" i="9"/>
  <c r="BF162" i="9"/>
  <c r="BG161" i="9"/>
  <c r="BF161" i="9"/>
  <c r="BG160" i="9"/>
  <c r="BF160" i="9"/>
  <c r="BG159" i="9"/>
  <c r="BF159" i="9"/>
  <c r="BG158" i="9"/>
  <c r="BF158" i="9"/>
  <c r="BG157" i="9"/>
  <c r="BF157" i="9"/>
  <c r="BG156" i="9"/>
  <c r="BF156" i="9"/>
  <c r="BG155" i="9"/>
  <c r="BF155" i="9"/>
  <c r="BG154" i="9"/>
  <c r="BF154" i="9"/>
  <c r="BG153" i="9"/>
  <c r="BF153" i="9"/>
  <c r="BG152" i="9"/>
  <c r="BF152" i="9"/>
  <c r="BG151" i="9"/>
  <c r="BF151" i="9"/>
  <c r="BG150" i="9"/>
  <c r="BF150" i="9"/>
  <c r="BG149" i="9"/>
  <c r="BF149" i="9"/>
  <c r="BG148" i="9"/>
  <c r="BF148" i="9"/>
  <c r="BG147" i="9"/>
  <c r="BF147" i="9"/>
  <c r="BG146" i="9"/>
  <c r="BF146" i="9"/>
  <c r="BG145" i="9"/>
  <c r="BF145" i="9"/>
  <c r="BG144" i="9"/>
  <c r="BF144" i="9"/>
  <c r="BG143" i="9"/>
  <c r="BF143" i="9"/>
  <c r="BG142" i="9"/>
  <c r="BF142" i="9"/>
  <c r="BG141" i="9"/>
  <c r="BF141" i="9"/>
  <c r="BG140" i="9"/>
  <c r="BF140" i="9"/>
  <c r="BG139" i="9"/>
  <c r="BF139" i="9"/>
  <c r="BG138" i="9"/>
  <c r="BF138" i="9"/>
  <c r="BG137" i="9"/>
  <c r="BF137" i="9"/>
  <c r="BG136" i="9"/>
  <c r="BF136" i="9"/>
  <c r="BG135" i="9"/>
  <c r="BF135" i="9"/>
  <c r="BG134" i="9"/>
  <c r="BF134" i="9"/>
  <c r="BG133" i="9"/>
  <c r="BF133" i="9"/>
  <c r="BG132" i="9"/>
  <c r="BF132" i="9"/>
  <c r="BG131" i="9"/>
  <c r="BF131" i="9"/>
  <c r="BG130" i="9"/>
  <c r="BF130" i="9"/>
  <c r="BG129" i="9"/>
  <c r="BF129" i="9"/>
  <c r="BG128" i="9"/>
  <c r="BF128" i="9"/>
  <c r="BG127" i="9"/>
  <c r="BF127" i="9"/>
  <c r="BF126" i="9"/>
  <c r="BE126" i="9"/>
  <c r="BG126" i="9"/>
  <c r="BF125" i="9"/>
  <c r="BG124" i="9"/>
  <c r="BF124" i="9"/>
  <c r="BG123" i="9"/>
  <c r="BF123" i="9"/>
  <c r="BG122" i="9"/>
  <c r="BF122" i="9"/>
  <c r="BG121" i="9"/>
  <c r="BF121" i="9"/>
  <c r="BG120" i="9"/>
  <c r="BF120" i="9"/>
  <c r="BG119" i="9"/>
  <c r="BF119" i="9"/>
  <c r="BG118" i="9"/>
  <c r="BF118" i="9"/>
  <c r="BG117" i="9"/>
  <c r="BF117" i="9"/>
  <c r="BG116" i="9"/>
  <c r="BF116" i="9"/>
  <c r="BG115" i="9"/>
  <c r="BF115" i="9"/>
  <c r="BG114" i="9"/>
  <c r="BF114" i="9"/>
  <c r="BG113" i="9"/>
  <c r="BF113" i="9"/>
  <c r="BG112" i="9"/>
  <c r="BF112" i="9"/>
  <c r="BG111" i="9"/>
  <c r="BF111" i="9"/>
  <c r="BG110" i="9"/>
  <c r="BF110" i="9"/>
  <c r="BG109" i="9"/>
  <c r="BF109" i="9"/>
  <c r="BG108" i="9"/>
  <c r="BF108" i="9"/>
  <c r="BG107" i="9"/>
  <c r="BF107" i="9"/>
  <c r="BG106" i="9"/>
  <c r="BF106" i="9"/>
  <c r="BG105" i="9"/>
  <c r="BF105" i="9"/>
  <c r="BG104" i="9"/>
  <c r="BF104" i="9"/>
  <c r="BG103" i="9"/>
  <c r="BF103" i="9"/>
  <c r="BG102" i="9"/>
  <c r="BF102" i="9"/>
  <c r="BG101" i="9"/>
  <c r="BF101" i="9"/>
  <c r="BG100" i="9"/>
  <c r="BF100" i="9"/>
  <c r="BG99" i="9"/>
  <c r="BF99" i="9"/>
  <c r="BG98" i="9"/>
  <c r="BF98" i="9"/>
  <c r="BG97" i="9"/>
  <c r="BF97" i="9"/>
  <c r="BG96" i="9"/>
  <c r="BF96" i="9"/>
  <c r="BG95" i="9"/>
  <c r="BF95" i="9"/>
  <c r="BG94" i="9"/>
  <c r="BF94" i="9"/>
  <c r="BG93" i="9"/>
  <c r="BF93" i="9"/>
  <c r="BG92" i="9"/>
  <c r="BF92" i="9"/>
  <c r="BG91" i="9"/>
  <c r="BF91" i="9"/>
  <c r="BG90" i="9"/>
  <c r="BF90" i="9"/>
  <c r="BG89" i="9"/>
  <c r="BF89" i="9"/>
  <c r="BG88" i="9"/>
  <c r="BF88" i="9"/>
  <c r="BG87" i="9"/>
  <c r="BF87" i="9"/>
  <c r="BG86" i="9"/>
  <c r="BF86" i="9"/>
  <c r="BG85" i="9"/>
  <c r="BF85" i="9"/>
  <c r="BG84" i="9"/>
  <c r="BF84" i="9"/>
  <c r="BG83" i="9"/>
  <c r="BF83" i="9"/>
  <c r="BG82" i="9"/>
  <c r="BF82" i="9"/>
  <c r="BG81" i="9"/>
  <c r="BF81" i="9"/>
  <c r="BG80" i="9"/>
  <c r="BF80" i="9"/>
  <c r="BG79" i="9"/>
  <c r="BF79" i="9"/>
  <c r="BG78" i="9"/>
  <c r="BF78" i="9"/>
  <c r="BG77" i="9"/>
  <c r="BF77" i="9"/>
  <c r="BG76" i="9"/>
  <c r="BF76" i="9"/>
  <c r="BG75" i="9"/>
  <c r="BF75" i="9"/>
  <c r="BG74" i="9"/>
  <c r="BF74" i="9"/>
  <c r="BG73" i="9"/>
  <c r="BF73" i="9"/>
  <c r="BG72" i="9"/>
  <c r="BF72" i="9"/>
  <c r="BG71" i="9"/>
  <c r="BF71" i="9"/>
  <c r="BG70" i="9"/>
  <c r="BF70" i="9"/>
  <c r="BG69" i="9"/>
  <c r="BF69" i="9"/>
  <c r="BG68" i="9"/>
  <c r="BF68" i="9"/>
  <c r="BG67" i="9"/>
  <c r="BF67" i="9"/>
  <c r="BG66" i="9"/>
  <c r="BF66" i="9"/>
  <c r="BG65" i="9"/>
  <c r="BF65" i="9"/>
  <c r="BG64" i="9"/>
  <c r="BF64" i="9"/>
  <c r="BG63" i="9"/>
  <c r="BF63" i="9"/>
  <c r="BG62" i="9"/>
  <c r="BF62" i="9"/>
  <c r="BG61" i="9"/>
  <c r="BF61" i="9"/>
  <c r="BG60" i="9"/>
  <c r="BF60" i="9"/>
  <c r="BG59" i="9"/>
  <c r="BF59" i="9"/>
  <c r="BG58" i="9"/>
  <c r="BF58" i="9"/>
  <c r="BG57" i="9"/>
  <c r="BF57" i="9"/>
  <c r="BG56" i="9"/>
  <c r="BF56" i="9"/>
  <c r="BG55" i="9"/>
  <c r="BF55" i="9"/>
  <c r="BG54" i="9"/>
  <c r="BF54" i="9"/>
  <c r="BG53" i="9"/>
  <c r="BF53" i="9"/>
  <c r="BG52" i="9"/>
  <c r="BF52" i="9"/>
  <c r="BG51" i="9"/>
  <c r="BF51" i="9"/>
  <c r="BG50" i="9"/>
  <c r="BF50" i="9"/>
  <c r="BG49" i="9"/>
  <c r="BF49" i="9"/>
  <c r="BG48" i="9"/>
  <c r="BF48" i="9"/>
  <c r="BG47" i="9"/>
  <c r="BF47" i="9"/>
  <c r="BG46" i="9"/>
  <c r="BF46" i="9"/>
  <c r="BG45" i="9"/>
  <c r="BF45" i="9"/>
  <c r="BG44" i="9"/>
  <c r="BF44" i="9"/>
  <c r="BG43" i="9"/>
  <c r="BF43" i="9"/>
  <c r="BG42" i="9"/>
  <c r="BF42" i="9"/>
  <c r="BG41" i="9"/>
  <c r="BF41" i="9"/>
  <c r="BG40" i="9"/>
  <c r="BF40" i="9"/>
  <c r="BG39" i="9"/>
  <c r="BF39" i="9"/>
  <c r="BG38" i="9"/>
  <c r="BF38" i="9"/>
  <c r="BG37" i="9"/>
  <c r="BF37" i="9"/>
  <c r="BG36" i="9"/>
  <c r="BF36" i="9"/>
  <c r="BG35" i="9"/>
  <c r="BF35" i="9"/>
  <c r="BG34" i="9"/>
  <c r="BF34" i="9"/>
  <c r="BG33" i="9"/>
  <c r="BF33" i="9"/>
  <c r="BG32" i="9"/>
  <c r="BF32" i="9"/>
  <c r="BG31" i="9"/>
  <c r="BF31" i="9"/>
  <c r="BG125" i="9"/>
  <c r="BG387" i="9"/>
  <c r="BG437" i="9"/>
  <c r="BG176" i="9"/>
  <c r="BG336" i="9"/>
  <c r="BG493" i="9"/>
  <c r="BG543" i="9"/>
  <c r="R11" i="5"/>
  <c r="R12" i="5"/>
  <c r="R13" i="5"/>
  <c r="R14" i="5"/>
  <c r="R9" i="5"/>
  <c r="R8" i="5"/>
  <c r="O27" i="17"/>
  <c r="N27" i="17"/>
  <c r="Q27" i="17"/>
  <c r="R27" i="17"/>
  <c r="M29" i="17"/>
  <c r="M31" i="17"/>
  <c r="M32" i="17"/>
  <c r="M28" i="17"/>
  <c r="K114" i="4"/>
  <c r="K116" i="4"/>
  <c r="P89" i="4"/>
  <c r="Q89" i="4"/>
  <c r="R89" i="4"/>
  <c r="S89" i="4"/>
  <c r="I165" i="4"/>
  <c r="N214" i="4"/>
  <c r="O28" i="18"/>
  <c r="S5" i="16"/>
  <c r="T5" i="16"/>
  <c r="U5" i="16"/>
  <c r="M71" i="6"/>
  <c r="L71" i="6"/>
  <c r="M49" i="6"/>
  <c r="I217" i="7"/>
  <c r="I228" i="7"/>
  <c r="J228" i="7"/>
  <c r="K228" i="7"/>
  <c r="L228" i="7"/>
  <c r="M228" i="7"/>
  <c r="M217" i="7"/>
  <c r="M235" i="7"/>
  <c r="L49" i="6"/>
  <c r="F47" i="6"/>
  <c r="G47" i="6"/>
  <c r="H47" i="6"/>
  <c r="I47" i="6"/>
  <c r="J47" i="6"/>
  <c r="K47" i="6"/>
  <c r="L47" i="6"/>
  <c r="O115" i="4"/>
  <c r="P115" i="4"/>
  <c r="Q115" i="4"/>
  <c r="K118" i="6"/>
  <c r="L118" i="6"/>
  <c r="M118" i="6"/>
  <c r="M33" i="6"/>
  <c r="N97" i="4"/>
  <c r="N89" i="4"/>
  <c r="D21" i="5"/>
  <c r="D48" i="5"/>
  <c r="D47" i="5"/>
  <c r="Q63" i="17"/>
  <c r="R63" i="17"/>
  <c r="O63" i="17"/>
  <c r="N63" i="17"/>
  <c r="S23" i="9"/>
  <c r="R23" i="9"/>
  <c r="Q23" i="9"/>
  <c r="P23" i="9"/>
  <c r="R24" i="9"/>
  <c r="AW31" i="9"/>
  <c r="AV31" i="9"/>
  <c r="AW55" i="9"/>
  <c r="AV55" i="9"/>
  <c r="AW54" i="9"/>
  <c r="AV54" i="9"/>
  <c r="AW53" i="9"/>
  <c r="AV53" i="9"/>
  <c r="AW52" i="9"/>
  <c r="AV52" i="9"/>
  <c r="AW51" i="9"/>
  <c r="AV51" i="9"/>
  <c r="AW50" i="9"/>
  <c r="AV50" i="9"/>
  <c r="AW49" i="9"/>
  <c r="AV49" i="9"/>
  <c r="AW48" i="9"/>
  <c r="AV48" i="9"/>
  <c r="AW47" i="9"/>
  <c r="AV47" i="9"/>
  <c r="AW46" i="9"/>
  <c r="AV46" i="9"/>
  <c r="AW45" i="9"/>
  <c r="AV45" i="9"/>
  <c r="AW44" i="9"/>
  <c r="AV44" i="9"/>
  <c r="AW43" i="9"/>
  <c r="AV43" i="9"/>
  <c r="AW42" i="9"/>
  <c r="AV42" i="9"/>
  <c r="AW41" i="9"/>
  <c r="AV41" i="9"/>
  <c r="AW40" i="9"/>
  <c r="AV40" i="9"/>
  <c r="AW39" i="9"/>
  <c r="AV39" i="9"/>
  <c r="AW38" i="9"/>
  <c r="AV38" i="9"/>
  <c r="AW37" i="9"/>
  <c r="AV37" i="9"/>
  <c r="AW36" i="9"/>
  <c r="AV36" i="9"/>
  <c r="AW35" i="9"/>
  <c r="AV35" i="9"/>
  <c r="AW34" i="9"/>
  <c r="AV34" i="9"/>
  <c r="AW33" i="9"/>
  <c r="AV33" i="9"/>
  <c r="AW32" i="9"/>
  <c r="AV32" i="9"/>
  <c r="AM102" i="9"/>
  <c r="AL102" i="9"/>
  <c r="AM101" i="9"/>
  <c r="AL101" i="9"/>
  <c r="AM100" i="9"/>
  <c r="AL100" i="9"/>
  <c r="AM99" i="9"/>
  <c r="AL99" i="9"/>
  <c r="AM98" i="9"/>
  <c r="AL98" i="9"/>
  <c r="AM97" i="9"/>
  <c r="AL97" i="9"/>
  <c r="AM96" i="9"/>
  <c r="AL96" i="9"/>
  <c r="AM95" i="9"/>
  <c r="AL95" i="9"/>
  <c r="AM94" i="9"/>
  <c r="AL94" i="9"/>
  <c r="AM93" i="9"/>
  <c r="AL93" i="9"/>
  <c r="AM92" i="9"/>
  <c r="AL92" i="9"/>
  <c r="AM91" i="9"/>
  <c r="AL91" i="9"/>
  <c r="AM90" i="9"/>
  <c r="AL90" i="9"/>
  <c r="AM89" i="9"/>
  <c r="AL89" i="9"/>
  <c r="AM88" i="9"/>
  <c r="AL88" i="9"/>
  <c r="AM87" i="9"/>
  <c r="AL87" i="9"/>
  <c r="AM86" i="9"/>
  <c r="AL86" i="9"/>
  <c r="AM85" i="9"/>
  <c r="AL85" i="9"/>
  <c r="AM84" i="9"/>
  <c r="AL84" i="9"/>
  <c r="AM83" i="9"/>
  <c r="AL83" i="9"/>
  <c r="AM82" i="9"/>
  <c r="AL82" i="9"/>
  <c r="AM81" i="9"/>
  <c r="AL81" i="9"/>
  <c r="AM80" i="9"/>
  <c r="AL80" i="9"/>
  <c r="AM79" i="9"/>
  <c r="AL79" i="9"/>
  <c r="AM78" i="9"/>
  <c r="AL78" i="9"/>
  <c r="AM77" i="9"/>
  <c r="AL77" i="9"/>
  <c r="AM76" i="9"/>
  <c r="AL76" i="9"/>
  <c r="AM75" i="9"/>
  <c r="AL75" i="9"/>
  <c r="AM74" i="9"/>
  <c r="AL74" i="9"/>
  <c r="AM73" i="9"/>
  <c r="AL73" i="9"/>
  <c r="AM72" i="9"/>
  <c r="AL72" i="9"/>
  <c r="AM71" i="9"/>
  <c r="AL71" i="9"/>
  <c r="AM70" i="9"/>
  <c r="AL70" i="9"/>
  <c r="AM69" i="9"/>
  <c r="AL69" i="9"/>
  <c r="AM68" i="9"/>
  <c r="AL68" i="9"/>
  <c r="AM67" i="9"/>
  <c r="AL67" i="9"/>
  <c r="AM66" i="9"/>
  <c r="AL66" i="9"/>
  <c r="AM65" i="9"/>
  <c r="AL65" i="9"/>
  <c r="AM64" i="9"/>
  <c r="AL64" i="9"/>
  <c r="AM63" i="9"/>
  <c r="AL63" i="9"/>
  <c r="AM62" i="9"/>
  <c r="AL62" i="9"/>
  <c r="AM61" i="9"/>
  <c r="AL61" i="9"/>
  <c r="AM60" i="9"/>
  <c r="AL60" i="9"/>
  <c r="AM59" i="9"/>
  <c r="AL59" i="9"/>
  <c r="AM58" i="9"/>
  <c r="AL58" i="9"/>
  <c r="AM57" i="9"/>
  <c r="AL57" i="9"/>
  <c r="AM56" i="9"/>
  <c r="AL56" i="9"/>
  <c r="AM55" i="9"/>
  <c r="AL55" i="9"/>
  <c r="AM54" i="9"/>
  <c r="AL54" i="9"/>
  <c r="AM53" i="9"/>
  <c r="AL53" i="9"/>
  <c r="AM52" i="9"/>
  <c r="AL52" i="9"/>
  <c r="AM51" i="9"/>
  <c r="AL51" i="9"/>
  <c r="AM50" i="9"/>
  <c r="AL50" i="9"/>
  <c r="AM49" i="9"/>
  <c r="AL49" i="9"/>
  <c r="AM48" i="9"/>
  <c r="AL48" i="9"/>
  <c r="AM47" i="9"/>
  <c r="AL47" i="9"/>
  <c r="AM46" i="9"/>
  <c r="AL46" i="9"/>
  <c r="AM45" i="9"/>
  <c r="AL45" i="9"/>
  <c r="AM44" i="9"/>
  <c r="AL44" i="9"/>
  <c r="AM43" i="9"/>
  <c r="AL43" i="9"/>
  <c r="AM42" i="9"/>
  <c r="AL42" i="9"/>
  <c r="AM41" i="9"/>
  <c r="AL41" i="9"/>
  <c r="AM40" i="9"/>
  <c r="AL40" i="9"/>
  <c r="AM39" i="9"/>
  <c r="AL39" i="9"/>
  <c r="AM38" i="9"/>
  <c r="AL38" i="9"/>
  <c r="AM37" i="9"/>
  <c r="AL37" i="9"/>
  <c r="AM36" i="9"/>
  <c r="AL36" i="9"/>
  <c r="AM35" i="9"/>
  <c r="AL35" i="9"/>
  <c r="AM34" i="9"/>
  <c r="AL34" i="9"/>
  <c r="AM33" i="9"/>
  <c r="AL33" i="9"/>
  <c r="AM32" i="9"/>
  <c r="AL32" i="9"/>
  <c r="AM31" i="9"/>
  <c r="AL31" i="9"/>
  <c r="Q24" i="9"/>
  <c r="AC334" i="9"/>
  <c r="AB334" i="9"/>
  <c r="AC333" i="9"/>
  <c r="AB333" i="9"/>
  <c r="AC332" i="9"/>
  <c r="AB332" i="9"/>
  <c r="AC331" i="9"/>
  <c r="AB331" i="9"/>
  <c r="AC330" i="9"/>
  <c r="AB330" i="9"/>
  <c r="AC329" i="9"/>
  <c r="AB329" i="9"/>
  <c r="AC328" i="9"/>
  <c r="AB328" i="9"/>
  <c r="AC327" i="9"/>
  <c r="AB327" i="9"/>
  <c r="AC326" i="9"/>
  <c r="AB326" i="9"/>
  <c r="AC325" i="9"/>
  <c r="AB325" i="9"/>
  <c r="AC324" i="9"/>
  <c r="AB324" i="9"/>
  <c r="AC323" i="9"/>
  <c r="AB323" i="9"/>
  <c r="AC322" i="9"/>
  <c r="AB322" i="9"/>
  <c r="AC321" i="9"/>
  <c r="AB321" i="9"/>
  <c r="AC320" i="9"/>
  <c r="AB320" i="9"/>
  <c r="AC319" i="9"/>
  <c r="AB319" i="9"/>
  <c r="AC318" i="9"/>
  <c r="AB318" i="9"/>
  <c r="AC317" i="9"/>
  <c r="AB317" i="9"/>
  <c r="AC316" i="9"/>
  <c r="AB316" i="9"/>
  <c r="AC315" i="9"/>
  <c r="AB315" i="9"/>
  <c r="AC314" i="9"/>
  <c r="AB314" i="9"/>
  <c r="AC313" i="9"/>
  <c r="AB313" i="9"/>
  <c r="AC312" i="9"/>
  <c r="AB312" i="9"/>
  <c r="AC311" i="9"/>
  <c r="AB311" i="9"/>
  <c r="AC310" i="9"/>
  <c r="AB310" i="9"/>
  <c r="AC309" i="9"/>
  <c r="AB309" i="9"/>
  <c r="AC308" i="9"/>
  <c r="AB308" i="9"/>
  <c r="AC307" i="9"/>
  <c r="AB307" i="9"/>
  <c r="AC306" i="9"/>
  <c r="AB306" i="9"/>
  <c r="AC305" i="9"/>
  <c r="AB305" i="9"/>
  <c r="AC304" i="9"/>
  <c r="AB304" i="9"/>
  <c r="AC303" i="9"/>
  <c r="AB303" i="9"/>
  <c r="AC302" i="9"/>
  <c r="AB302" i="9"/>
  <c r="AC301" i="9"/>
  <c r="AB301" i="9"/>
  <c r="AC300" i="9"/>
  <c r="AB300" i="9"/>
  <c r="AC299" i="9"/>
  <c r="AB299" i="9"/>
  <c r="AC298" i="9"/>
  <c r="AB298" i="9"/>
  <c r="AC297" i="9"/>
  <c r="AB297" i="9"/>
  <c r="AC296" i="9"/>
  <c r="AB296" i="9"/>
  <c r="AC295" i="9"/>
  <c r="AB295" i="9"/>
  <c r="AC294" i="9"/>
  <c r="AB294" i="9"/>
  <c r="AC293" i="9"/>
  <c r="AB293" i="9"/>
  <c r="AC292" i="9"/>
  <c r="AB292" i="9"/>
  <c r="AC291" i="9"/>
  <c r="AB291" i="9"/>
  <c r="AC290" i="9"/>
  <c r="AB290" i="9"/>
  <c r="AC289" i="9"/>
  <c r="AB289" i="9"/>
  <c r="AC288" i="9"/>
  <c r="AB288" i="9"/>
  <c r="AC287" i="9"/>
  <c r="AB287" i="9"/>
  <c r="AC286" i="9"/>
  <c r="AB286" i="9"/>
  <c r="AC285" i="9"/>
  <c r="AB285" i="9"/>
  <c r="AC284" i="9"/>
  <c r="AB284" i="9"/>
  <c r="AC283" i="9"/>
  <c r="AB283" i="9"/>
  <c r="AC282" i="9"/>
  <c r="AB282" i="9"/>
  <c r="AC281" i="9"/>
  <c r="AB281" i="9"/>
  <c r="AC280" i="9"/>
  <c r="AB280" i="9"/>
  <c r="AC279" i="9"/>
  <c r="AB279" i="9"/>
  <c r="AC278" i="9"/>
  <c r="AB278" i="9"/>
  <c r="AC277" i="9"/>
  <c r="AB277" i="9"/>
  <c r="AC276" i="9"/>
  <c r="AB276" i="9"/>
  <c r="AC275" i="9"/>
  <c r="AB275" i="9"/>
  <c r="AC274" i="9"/>
  <c r="AB274" i="9"/>
  <c r="AC273" i="9"/>
  <c r="AB273" i="9"/>
  <c r="AC272" i="9"/>
  <c r="AB272" i="9"/>
  <c r="AC271" i="9"/>
  <c r="AB271" i="9"/>
  <c r="AC270" i="9"/>
  <c r="AB270" i="9"/>
  <c r="AC269" i="9"/>
  <c r="AB269" i="9"/>
  <c r="AC268" i="9"/>
  <c r="AB268" i="9"/>
  <c r="AC267" i="9"/>
  <c r="AB267" i="9"/>
  <c r="AC266" i="9"/>
  <c r="AB266" i="9"/>
  <c r="AC265" i="9"/>
  <c r="AB265" i="9"/>
  <c r="AC264" i="9"/>
  <c r="AB264" i="9"/>
  <c r="AC263" i="9"/>
  <c r="AB263" i="9"/>
  <c r="AC262" i="9"/>
  <c r="AB262" i="9"/>
  <c r="AC261" i="9"/>
  <c r="AB261" i="9"/>
  <c r="AC260" i="9"/>
  <c r="AB260" i="9"/>
  <c r="AC259" i="9"/>
  <c r="AB259" i="9"/>
  <c r="AC258" i="9"/>
  <c r="AB258" i="9"/>
  <c r="AC257" i="9"/>
  <c r="AB257" i="9"/>
  <c r="AC256" i="9"/>
  <c r="AB256" i="9"/>
  <c r="AC255" i="9"/>
  <c r="AB255" i="9"/>
  <c r="AC254" i="9"/>
  <c r="AB254" i="9"/>
  <c r="AC253" i="9"/>
  <c r="AB253" i="9"/>
  <c r="AC252" i="9"/>
  <c r="AB252" i="9"/>
  <c r="AC251" i="9"/>
  <c r="AB251" i="9"/>
  <c r="AC250" i="9"/>
  <c r="AB250" i="9"/>
  <c r="AC249" i="9"/>
  <c r="AB249" i="9"/>
  <c r="AC248" i="9"/>
  <c r="AB248" i="9"/>
  <c r="AC247" i="9"/>
  <c r="AB247" i="9"/>
  <c r="AC246" i="9"/>
  <c r="AB246" i="9"/>
  <c r="AC245" i="9"/>
  <c r="AB245" i="9"/>
  <c r="AC244" i="9"/>
  <c r="AB244" i="9"/>
  <c r="AC243" i="9"/>
  <c r="AB243" i="9"/>
  <c r="AC242" i="9"/>
  <c r="AB242" i="9"/>
  <c r="AC241" i="9"/>
  <c r="AB241" i="9"/>
  <c r="AC240" i="9"/>
  <c r="AB240" i="9"/>
  <c r="AC239" i="9"/>
  <c r="AB239" i="9"/>
  <c r="AC238" i="9"/>
  <c r="AB238" i="9"/>
  <c r="AC237" i="9"/>
  <c r="AB237" i="9"/>
  <c r="AC236" i="9"/>
  <c r="AB236" i="9"/>
  <c r="AC235" i="9"/>
  <c r="AB235" i="9"/>
  <c r="AC234" i="9"/>
  <c r="AB234" i="9"/>
  <c r="AC233" i="9"/>
  <c r="AB233" i="9"/>
  <c r="AC232" i="9"/>
  <c r="AB232" i="9"/>
  <c r="AC231" i="9"/>
  <c r="AB231" i="9"/>
  <c r="AC230" i="9"/>
  <c r="AB230" i="9"/>
  <c r="AC229" i="9"/>
  <c r="AB229" i="9"/>
  <c r="AC228" i="9"/>
  <c r="AB228" i="9"/>
  <c r="AC227" i="9"/>
  <c r="AB227" i="9"/>
  <c r="AC226" i="9"/>
  <c r="AB226" i="9"/>
  <c r="AC225" i="9"/>
  <c r="AB225" i="9"/>
  <c r="AC224" i="9"/>
  <c r="AB224" i="9"/>
  <c r="AC223" i="9"/>
  <c r="AB223" i="9"/>
  <c r="AC222" i="9"/>
  <c r="AB222" i="9"/>
  <c r="AC221" i="9"/>
  <c r="AB221" i="9"/>
  <c r="AC220" i="9"/>
  <c r="AB220" i="9"/>
  <c r="AC219" i="9"/>
  <c r="AB219" i="9"/>
  <c r="AC218" i="9"/>
  <c r="AB218" i="9"/>
  <c r="AC217" i="9"/>
  <c r="AB217" i="9"/>
  <c r="AC216" i="9"/>
  <c r="AB216" i="9"/>
  <c r="AC215" i="9"/>
  <c r="AB215" i="9"/>
  <c r="AC214" i="9"/>
  <c r="AB214" i="9"/>
  <c r="AC213" i="9"/>
  <c r="AB213" i="9"/>
  <c r="AC212" i="9"/>
  <c r="AB212" i="9"/>
  <c r="AC211" i="9"/>
  <c r="AB211" i="9"/>
  <c r="AC210" i="9"/>
  <c r="AB210" i="9"/>
  <c r="AC209" i="9"/>
  <c r="AB209" i="9"/>
  <c r="AC208" i="9"/>
  <c r="AB208" i="9"/>
  <c r="AC207" i="9"/>
  <c r="AB207" i="9"/>
  <c r="AC206" i="9"/>
  <c r="AB206" i="9"/>
  <c r="AC205" i="9"/>
  <c r="AB205" i="9"/>
  <c r="AC204" i="9"/>
  <c r="AB204" i="9"/>
  <c r="AC203" i="9"/>
  <c r="AB203" i="9"/>
  <c r="AC202" i="9"/>
  <c r="AB202" i="9"/>
  <c r="AC201" i="9"/>
  <c r="AB201" i="9"/>
  <c r="AC200" i="9"/>
  <c r="AB200" i="9"/>
  <c r="AC199" i="9"/>
  <c r="AB199" i="9"/>
  <c r="AC198" i="9"/>
  <c r="AB198" i="9"/>
  <c r="AC197" i="9"/>
  <c r="AB197" i="9"/>
  <c r="AC196" i="9"/>
  <c r="AB196" i="9"/>
  <c r="AC195" i="9"/>
  <c r="AB195" i="9"/>
  <c r="AC194" i="9"/>
  <c r="AB194" i="9"/>
  <c r="AC193" i="9"/>
  <c r="AB193" i="9"/>
  <c r="AC192" i="9"/>
  <c r="AB192" i="9"/>
  <c r="AC191" i="9"/>
  <c r="AB191" i="9"/>
  <c r="AC190" i="9"/>
  <c r="AB190" i="9"/>
  <c r="AC189" i="9"/>
  <c r="AB189" i="9"/>
  <c r="AC188" i="9"/>
  <c r="AB188" i="9"/>
  <c r="AC187" i="9"/>
  <c r="AB187" i="9"/>
  <c r="AC186" i="9"/>
  <c r="AB186" i="9"/>
  <c r="AC185" i="9"/>
  <c r="AB185" i="9"/>
  <c r="AC184" i="9"/>
  <c r="AB184" i="9"/>
  <c r="AC183" i="9"/>
  <c r="AB183" i="9"/>
  <c r="AC182" i="9"/>
  <c r="AB182" i="9"/>
  <c r="AC181" i="9"/>
  <c r="AB181" i="9"/>
  <c r="AC180" i="9"/>
  <c r="AB180" i="9"/>
  <c r="AC179" i="9"/>
  <c r="AB179" i="9"/>
  <c r="AC178" i="9"/>
  <c r="AB178" i="9"/>
  <c r="AC177" i="9"/>
  <c r="AB177" i="9"/>
  <c r="AC176" i="9"/>
  <c r="AB176" i="9"/>
  <c r="AC175" i="9"/>
  <c r="AB175" i="9"/>
  <c r="AC174" i="9"/>
  <c r="AB174" i="9"/>
  <c r="AC173" i="9"/>
  <c r="AB173" i="9"/>
  <c r="AC172" i="9"/>
  <c r="AB172" i="9"/>
  <c r="AC171" i="9"/>
  <c r="AB171" i="9"/>
  <c r="AC170" i="9"/>
  <c r="AB170" i="9"/>
  <c r="AC169" i="9"/>
  <c r="AB169" i="9"/>
  <c r="AC168" i="9"/>
  <c r="AB168" i="9"/>
  <c r="AC167" i="9"/>
  <c r="AB167" i="9"/>
  <c r="AC166" i="9"/>
  <c r="AB166" i="9"/>
  <c r="AC165" i="9"/>
  <c r="AB165" i="9"/>
  <c r="AC164" i="9"/>
  <c r="AB164" i="9"/>
  <c r="AC163" i="9"/>
  <c r="AB163" i="9"/>
  <c r="AC162" i="9"/>
  <c r="AB162" i="9"/>
  <c r="AC161" i="9"/>
  <c r="AB161" i="9"/>
  <c r="AC160" i="9"/>
  <c r="AB160" i="9"/>
  <c r="AC159" i="9"/>
  <c r="AB159" i="9"/>
  <c r="AC158" i="9"/>
  <c r="AB158" i="9"/>
  <c r="AC157" i="9"/>
  <c r="AB157" i="9"/>
  <c r="AC156" i="9"/>
  <c r="AB156" i="9"/>
  <c r="AC155" i="9"/>
  <c r="AB155" i="9"/>
  <c r="AC154" i="9"/>
  <c r="AB154" i="9"/>
  <c r="AC153" i="9"/>
  <c r="AB153" i="9"/>
  <c r="AC152" i="9"/>
  <c r="AB152" i="9"/>
  <c r="AC151" i="9"/>
  <c r="AB151" i="9"/>
  <c r="AC150" i="9"/>
  <c r="AB150" i="9"/>
  <c r="AC149" i="9"/>
  <c r="AB149" i="9"/>
  <c r="AC148" i="9"/>
  <c r="AB148" i="9"/>
  <c r="AC147" i="9"/>
  <c r="AB147" i="9"/>
  <c r="AC146" i="9"/>
  <c r="AB146" i="9"/>
  <c r="AC145" i="9"/>
  <c r="AB145" i="9"/>
  <c r="AC144" i="9"/>
  <c r="AB144" i="9"/>
  <c r="AC143" i="9"/>
  <c r="AB143" i="9"/>
  <c r="AC142" i="9"/>
  <c r="AB142" i="9"/>
  <c r="AC141" i="9"/>
  <c r="AB141" i="9"/>
  <c r="AC140" i="9"/>
  <c r="AB140" i="9"/>
  <c r="AC139" i="9"/>
  <c r="AB139" i="9"/>
  <c r="AC138" i="9"/>
  <c r="AB138" i="9"/>
  <c r="AC137" i="9"/>
  <c r="AB137" i="9"/>
  <c r="AC136" i="9"/>
  <c r="AB136" i="9"/>
  <c r="AC135" i="9"/>
  <c r="AB135" i="9"/>
  <c r="AC134" i="9"/>
  <c r="AB134" i="9"/>
  <c r="AC133" i="9"/>
  <c r="AB133" i="9"/>
  <c r="AC132" i="9"/>
  <c r="AB132" i="9"/>
  <c r="AC131" i="9"/>
  <c r="AB131" i="9"/>
  <c r="AC130" i="9"/>
  <c r="AB130" i="9"/>
  <c r="AC129" i="9"/>
  <c r="AB129" i="9"/>
  <c r="AC128" i="9"/>
  <c r="AB128" i="9"/>
  <c r="AC127" i="9"/>
  <c r="AB127" i="9"/>
  <c r="AC126" i="9"/>
  <c r="AB126" i="9"/>
  <c r="AC125" i="9"/>
  <c r="AB125" i="9"/>
  <c r="AC124" i="9"/>
  <c r="AB124" i="9"/>
  <c r="AC123" i="9"/>
  <c r="AB123" i="9"/>
  <c r="AC122" i="9"/>
  <c r="AB122" i="9"/>
  <c r="AC121" i="9"/>
  <c r="AB121" i="9"/>
  <c r="AC120" i="9"/>
  <c r="AB120" i="9"/>
  <c r="AC119" i="9"/>
  <c r="AB119" i="9"/>
  <c r="AC118" i="9"/>
  <c r="AB118" i="9"/>
  <c r="AC117" i="9"/>
  <c r="AB117" i="9"/>
  <c r="AC116" i="9"/>
  <c r="AB116" i="9"/>
  <c r="AC115" i="9"/>
  <c r="AB115" i="9"/>
  <c r="AC114" i="9"/>
  <c r="AB114" i="9"/>
  <c r="AC113" i="9"/>
  <c r="AB113" i="9"/>
  <c r="AC112" i="9"/>
  <c r="AB112" i="9"/>
  <c r="AC111" i="9"/>
  <c r="AB111" i="9"/>
  <c r="AC110" i="9"/>
  <c r="AB110" i="9"/>
  <c r="AC109" i="9"/>
  <c r="AB109" i="9"/>
  <c r="AC108" i="9"/>
  <c r="AB108" i="9"/>
  <c r="AC107" i="9"/>
  <c r="AB107" i="9"/>
  <c r="AC106" i="9"/>
  <c r="AB106" i="9"/>
  <c r="AC105" i="9"/>
  <c r="AB105" i="9"/>
  <c r="AC104" i="9"/>
  <c r="AB104" i="9"/>
  <c r="AC103" i="9"/>
  <c r="AB103" i="9"/>
  <c r="AC102" i="9"/>
  <c r="AB102" i="9"/>
  <c r="AC101" i="9"/>
  <c r="AB101" i="9"/>
  <c r="AC100" i="9"/>
  <c r="AB100" i="9"/>
  <c r="AC99" i="9"/>
  <c r="AB99" i="9"/>
  <c r="AC98" i="9"/>
  <c r="AB98" i="9"/>
  <c r="AC97" i="9"/>
  <c r="AB97" i="9"/>
  <c r="AC96" i="9"/>
  <c r="AB96" i="9"/>
  <c r="AC95" i="9"/>
  <c r="AB95" i="9"/>
  <c r="AC94" i="9"/>
  <c r="AB94" i="9"/>
  <c r="AC93" i="9"/>
  <c r="AB93" i="9"/>
  <c r="AC92" i="9"/>
  <c r="AB92" i="9"/>
  <c r="AC91" i="9"/>
  <c r="AB91" i="9"/>
  <c r="AC90" i="9"/>
  <c r="AB90" i="9"/>
  <c r="AC89" i="9"/>
  <c r="AB89" i="9"/>
  <c r="AC88" i="9"/>
  <c r="AB88" i="9"/>
  <c r="AC87" i="9"/>
  <c r="AB87" i="9"/>
  <c r="AC86" i="9"/>
  <c r="AB86" i="9"/>
  <c r="AC85" i="9"/>
  <c r="AB85" i="9"/>
  <c r="AC84" i="9"/>
  <c r="AB84" i="9"/>
  <c r="AC83" i="9"/>
  <c r="AB83" i="9"/>
  <c r="AC82" i="9"/>
  <c r="AB82" i="9"/>
  <c r="AC81" i="9"/>
  <c r="AB81" i="9"/>
  <c r="AC80" i="9"/>
  <c r="AB80" i="9"/>
  <c r="AC79" i="9"/>
  <c r="AB79" i="9"/>
  <c r="AC78" i="9"/>
  <c r="AB78" i="9"/>
  <c r="AC77" i="9"/>
  <c r="AB77" i="9"/>
  <c r="AC76" i="9"/>
  <c r="AB76" i="9"/>
  <c r="AC75" i="9"/>
  <c r="AB75" i="9"/>
  <c r="AC74" i="9"/>
  <c r="AB74" i="9"/>
  <c r="AC73" i="9"/>
  <c r="AB73" i="9"/>
  <c r="AC72" i="9"/>
  <c r="AB72" i="9"/>
  <c r="AC71" i="9"/>
  <c r="AB71" i="9"/>
  <c r="AC70" i="9"/>
  <c r="AB70" i="9"/>
  <c r="AC69" i="9"/>
  <c r="AB69" i="9"/>
  <c r="AC68" i="9"/>
  <c r="AB68" i="9"/>
  <c r="AC67" i="9"/>
  <c r="AB67" i="9"/>
  <c r="AC66" i="9"/>
  <c r="AB66" i="9"/>
  <c r="AC65" i="9"/>
  <c r="AB65" i="9"/>
  <c r="AC64" i="9"/>
  <c r="AB64" i="9"/>
  <c r="AC63" i="9"/>
  <c r="AB63" i="9"/>
  <c r="AC62" i="9"/>
  <c r="AB62" i="9"/>
  <c r="AC61" i="9"/>
  <c r="AB61" i="9"/>
  <c r="AC60" i="9"/>
  <c r="AB60" i="9"/>
  <c r="AC59" i="9"/>
  <c r="AB59" i="9"/>
  <c r="AC58" i="9"/>
  <c r="AB58" i="9"/>
  <c r="AC57" i="9"/>
  <c r="AB57" i="9"/>
  <c r="AC56" i="9"/>
  <c r="AB56" i="9"/>
  <c r="AC55" i="9"/>
  <c r="AB55" i="9"/>
  <c r="AC54" i="9"/>
  <c r="AB54" i="9"/>
  <c r="AC53" i="9"/>
  <c r="AB53" i="9"/>
  <c r="AC52" i="9"/>
  <c r="AB52" i="9"/>
  <c r="AC51" i="9"/>
  <c r="AB51" i="9"/>
  <c r="AC50" i="9"/>
  <c r="AB50" i="9"/>
  <c r="AC49" i="9"/>
  <c r="AB49" i="9"/>
  <c r="AC48" i="9"/>
  <c r="AB48" i="9"/>
  <c r="AC47" i="9"/>
  <c r="AB47" i="9"/>
  <c r="AC46" i="9"/>
  <c r="AB46" i="9"/>
  <c r="AC45" i="9"/>
  <c r="AB45" i="9"/>
  <c r="AC44" i="9"/>
  <c r="AB44" i="9"/>
  <c r="AC43" i="9"/>
  <c r="AB43" i="9"/>
  <c r="AC42" i="9"/>
  <c r="AB42" i="9"/>
  <c r="AC41" i="9"/>
  <c r="AB41" i="9"/>
  <c r="AC40" i="9"/>
  <c r="AB40" i="9"/>
  <c r="AC39" i="9"/>
  <c r="AB39" i="9"/>
  <c r="AC38" i="9"/>
  <c r="AB38" i="9"/>
  <c r="AC37" i="9"/>
  <c r="AB37" i="9"/>
  <c r="AC36" i="9"/>
  <c r="AB36" i="9"/>
  <c r="AC35" i="9"/>
  <c r="AB35" i="9"/>
  <c r="AC34" i="9"/>
  <c r="AB34" i="9"/>
  <c r="AC33" i="9"/>
  <c r="AB33" i="9"/>
  <c r="AC32" i="9"/>
  <c r="AB32" i="9"/>
  <c r="AC31" i="9"/>
  <c r="AB31" i="9"/>
  <c r="P24" i="9"/>
  <c r="S1497" i="9"/>
  <c r="R1497" i="9"/>
  <c r="S1496" i="9"/>
  <c r="R1496" i="9"/>
  <c r="S1495" i="9"/>
  <c r="R1495" i="9"/>
  <c r="S1494" i="9"/>
  <c r="R1494" i="9"/>
  <c r="S1493" i="9"/>
  <c r="R1493" i="9"/>
  <c r="S1492" i="9"/>
  <c r="R1492" i="9"/>
  <c r="S1491" i="9"/>
  <c r="R1491" i="9"/>
  <c r="S1490" i="9"/>
  <c r="R1490" i="9"/>
  <c r="S1489" i="9"/>
  <c r="R1489" i="9"/>
  <c r="S1488" i="9"/>
  <c r="R1488" i="9"/>
  <c r="S1487" i="9"/>
  <c r="R1487" i="9"/>
  <c r="S1486" i="9"/>
  <c r="R1486" i="9"/>
  <c r="S1485" i="9"/>
  <c r="R1485" i="9"/>
  <c r="S1484" i="9"/>
  <c r="R1484" i="9"/>
  <c r="S1483" i="9"/>
  <c r="R1483" i="9"/>
  <c r="S1482" i="9"/>
  <c r="R1482" i="9"/>
  <c r="S1481" i="9"/>
  <c r="R1481" i="9"/>
  <c r="S1480" i="9"/>
  <c r="R1480" i="9"/>
  <c r="S1479" i="9"/>
  <c r="R1479" i="9"/>
  <c r="S1478" i="9"/>
  <c r="R1478" i="9"/>
  <c r="S1477" i="9"/>
  <c r="R1477" i="9"/>
  <c r="S1476" i="9"/>
  <c r="R1476" i="9"/>
  <c r="S1475" i="9"/>
  <c r="R1475" i="9"/>
  <c r="S1474" i="9"/>
  <c r="R1474" i="9"/>
  <c r="S1473" i="9"/>
  <c r="R1473" i="9"/>
  <c r="S1472" i="9"/>
  <c r="R1472" i="9"/>
  <c r="S1471" i="9"/>
  <c r="R1471" i="9"/>
  <c r="S1470" i="9"/>
  <c r="R1470" i="9"/>
  <c r="S1469" i="9"/>
  <c r="R1469" i="9"/>
  <c r="S1468" i="9"/>
  <c r="R1468" i="9"/>
  <c r="S1467" i="9"/>
  <c r="R1467" i="9"/>
  <c r="S1466" i="9"/>
  <c r="R1466" i="9"/>
  <c r="S1465" i="9"/>
  <c r="R1465" i="9"/>
  <c r="S1464" i="9"/>
  <c r="R1464" i="9"/>
  <c r="S1463" i="9"/>
  <c r="R1463" i="9"/>
  <c r="S1462" i="9"/>
  <c r="R1462" i="9"/>
  <c r="S1461" i="9"/>
  <c r="R1461" i="9"/>
  <c r="S1460" i="9"/>
  <c r="R1460" i="9"/>
  <c r="S1459" i="9"/>
  <c r="R1459" i="9"/>
  <c r="S1458" i="9"/>
  <c r="R1458" i="9"/>
  <c r="S1457" i="9"/>
  <c r="R1457" i="9"/>
  <c r="S1456" i="9"/>
  <c r="R1456" i="9"/>
  <c r="S1455" i="9"/>
  <c r="R1455" i="9"/>
  <c r="S1454" i="9"/>
  <c r="R1454" i="9"/>
  <c r="S1453" i="9"/>
  <c r="R1453" i="9"/>
  <c r="S1452" i="9"/>
  <c r="R1452" i="9"/>
  <c r="S1451" i="9"/>
  <c r="R1451" i="9"/>
  <c r="S1450" i="9"/>
  <c r="R1450" i="9"/>
  <c r="S1449" i="9"/>
  <c r="R1449" i="9"/>
  <c r="S1448" i="9"/>
  <c r="R1448" i="9"/>
  <c r="S1447" i="9"/>
  <c r="R1447" i="9"/>
  <c r="S1446" i="9"/>
  <c r="R1446" i="9"/>
  <c r="S1445" i="9"/>
  <c r="R1445" i="9"/>
  <c r="S1444" i="9"/>
  <c r="R1444" i="9"/>
  <c r="S1443" i="9"/>
  <c r="R1443" i="9"/>
  <c r="S1442" i="9"/>
  <c r="R1442" i="9"/>
  <c r="S1441" i="9"/>
  <c r="R1441" i="9"/>
  <c r="S1440" i="9"/>
  <c r="R1440" i="9"/>
  <c r="S1439" i="9"/>
  <c r="R1439" i="9"/>
  <c r="S1438" i="9"/>
  <c r="R1438" i="9"/>
  <c r="S1437" i="9"/>
  <c r="R1437" i="9"/>
  <c r="S1436" i="9"/>
  <c r="R1436" i="9"/>
  <c r="S1435" i="9"/>
  <c r="R1435" i="9"/>
  <c r="S1434" i="9"/>
  <c r="R1434" i="9"/>
  <c r="S1433" i="9"/>
  <c r="R1433" i="9"/>
  <c r="S1432" i="9"/>
  <c r="R1432" i="9"/>
  <c r="S1431" i="9"/>
  <c r="R1431" i="9"/>
  <c r="S1430" i="9"/>
  <c r="R1430" i="9"/>
  <c r="S1429" i="9"/>
  <c r="R1429" i="9"/>
  <c r="S1428" i="9"/>
  <c r="R1428" i="9"/>
  <c r="S1427" i="9"/>
  <c r="R1427" i="9"/>
  <c r="S1426" i="9"/>
  <c r="R1426" i="9"/>
  <c r="S1425" i="9"/>
  <c r="R1425" i="9"/>
  <c r="S1424" i="9"/>
  <c r="R1424" i="9"/>
  <c r="S1423" i="9"/>
  <c r="R1423" i="9"/>
  <c r="S1422" i="9"/>
  <c r="R1422" i="9"/>
  <c r="S1421" i="9"/>
  <c r="R1421" i="9"/>
  <c r="S1420" i="9"/>
  <c r="R1420" i="9"/>
  <c r="S1419" i="9"/>
  <c r="R1419" i="9"/>
  <c r="S1418" i="9"/>
  <c r="R1418" i="9"/>
  <c r="S1417" i="9"/>
  <c r="R1417" i="9"/>
  <c r="S1416" i="9"/>
  <c r="R1416" i="9"/>
  <c r="S1415" i="9"/>
  <c r="R1415" i="9"/>
  <c r="S1414" i="9"/>
  <c r="R1414" i="9"/>
  <c r="S1413" i="9"/>
  <c r="R1413" i="9"/>
  <c r="S1412" i="9"/>
  <c r="R1412" i="9"/>
  <c r="S1411" i="9"/>
  <c r="R1411" i="9"/>
  <c r="S1410" i="9"/>
  <c r="R1410" i="9"/>
  <c r="S1409" i="9"/>
  <c r="R1409" i="9"/>
  <c r="S1408" i="9"/>
  <c r="R1408" i="9"/>
  <c r="S1407" i="9"/>
  <c r="R1407" i="9"/>
  <c r="S1406" i="9"/>
  <c r="R1406" i="9"/>
  <c r="S1405" i="9"/>
  <c r="R1405" i="9"/>
  <c r="S1404" i="9"/>
  <c r="R1404" i="9"/>
  <c r="S1403" i="9"/>
  <c r="R1403" i="9"/>
  <c r="S1402" i="9"/>
  <c r="R1402" i="9"/>
  <c r="S1401" i="9"/>
  <c r="R1401" i="9"/>
  <c r="S1400" i="9"/>
  <c r="R1400" i="9"/>
  <c r="S1399" i="9"/>
  <c r="R1399" i="9"/>
  <c r="S1398" i="9"/>
  <c r="R1398" i="9"/>
  <c r="S1397" i="9"/>
  <c r="R1397" i="9"/>
  <c r="S1396" i="9"/>
  <c r="R1396" i="9"/>
  <c r="S1395" i="9"/>
  <c r="R1395" i="9"/>
  <c r="S1394" i="9"/>
  <c r="R1394" i="9"/>
  <c r="S1393" i="9"/>
  <c r="R1393" i="9"/>
  <c r="S1392" i="9"/>
  <c r="R1392" i="9"/>
  <c r="S1391" i="9"/>
  <c r="R1391" i="9"/>
  <c r="S1390" i="9"/>
  <c r="R1390" i="9"/>
  <c r="S1389" i="9"/>
  <c r="R1389" i="9"/>
  <c r="S1388" i="9"/>
  <c r="R1388" i="9"/>
  <c r="S1387" i="9"/>
  <c r="R1387" i="9"/>
  <c r="S1386" i="9"/>
  <c r="R1386" i="9"/>
  <c r="S1385" i="9"/>
  <c r="R1385" i="9"/>
  <c r="S1384" i="9"/>
  <c r="R1384" i="9"/>
  <c r="S1383" i="9"/>
  <c r="R1383" i="9"/>
  <c r="S1382" i="9"/>
  <c r="R1382" i="9"/>
  <c r="S1381" i="9"/>
  <c r="R1381" i="9"/>
  <c r="S1380" i="9"/>
  <c r="R1380" i="9"/>
  <c r="S1379" i="9"/>
  <c r="R1379" i="9"/>
  <c r="S1378" i="9"/>
  <c r="R1378" i="9"/>
  <c r="S1377" i="9"/>
  <c r="R1377" i="9"/>
  <c r="S1376" i="9"/>
  <c r="R1376" i="9"/>
  <c r="S1375" i="9"/>
  <c r="R1375" i="9"/>
  <c r="S1374" i="9"/>
  <c r="R1374" i="9"/>
  <c r="S1373" i="9"/>
  <c r="R1373" i="9"/>
  <c r="S1372" i="9"/>
  <c r="R1372" i="9"/>
  <c r="S1371" i="9"/>
  <c r="R1371" i="9"/>
  <c r="S1370" i="9"/>
  <c r="R1370" i="9"/>
  <c r="S1369" i="9"/>
  <c r="R1369" i="9"/>
  <c r="S1368" i="9"/>
  <c r="R1368" i="9"/>
  <c r="S1367" i="9"/>
  <c r="R1367" i="9"/>
  <c r="S1366" i="9"/>
  <c r="R1366" i="9"/>
  <c r="S1365" i="9"/>
  <c r="R1365" i="9"/>
  <c r="S1364" i="9"/>
  <c r="R1364" i="9"/>
  <c r="S1363" i="9"/>
  <c r="R1363" i="9"/>
  <c r="S1362" i="9"/>
  <c r="R1362" i="9"/>
  <c r="S1361" i="9"/>
  <c r="R1361" i="9"/>
  <c r="S1360" i="9"/>
  <c r="R1360" i="9"/>
  <c r="S1359" i="9"/>
  <c r="R1359" i="9"/>
  <c r="S1358" i="9"/>
  <c r="R1358" i="9"/>
  <c r="S1357" i="9"/>
  <c r="R1357" i="9"/>
  <c r="S1356" i="9"/>
  <c r="R1356" i="9"/>
  <c r="S1355" i="9"/>
  <c r="R1355" i="9"/>
  <c r="S1354" i="9"/>
  <c r="R1354" i="9"/>
  <c r="S1353" i="9"/>
  <c r="R1353" i="9"/>
  <c r="S1352" i="9"/>
  <c r="R1352" i="9"/>
  <c r="S1351" i="9"/>
  <c r="R1351" i="9"/>
  <c r="S1350" i="9"/>
  <c r="R1350" i="9"/>
  <c r="S1349" i="9"/>
  <c r="R1349" i="9"/>
  <c r="S1348" i="9"/>
  <c r="R1348" i="9"/>
  <c r="S1347" i="9"/>
  <c r="R1347" i="9"/>
  <c r="S1346" i="9"/>
  <c r="R1346" i="9"/>
  <c r="S1345" i="9"/>
  <c r="R1345" i="9"/>
  <c r="S1344" i="9"/>
  <c r="R1344" i="9"/>
  <c r="S1343" i="9"/>
  <c r="R1343" i="9"/>
  <c r="S1342" i="9"/>
  <c r="R1342" i="9"/>
  <c r="S1341" i="9"/>
  <c r="R1341" i="9"/>
  <c r="S1340" i="9"/>
  <c r="R1340" i="9"/>
  <c r="S1339" i="9"/>
  <c r="R1339" i="9"/>
  <c r="S1338" i="9"/>
  <c r="R1338" i="9"/>
  <c r="S1337" i="9"/>
  <c r="R1337" i="9"/>
  <c r="S1336" i="9"/>
  <c r="R1336" i="9"/>
  <c r="S1335" i="9"/>
  <c r="R1335" i="9"/>
  <c r="S1334" i="9"/>
  <c r="R1334" i="9"/>
  <c r="S1333" i="9"/>
  <c r="R1333" i="9"/>
  <c r="S1332" i="9"/>
  <c r="R1332" i="9"/>
  <c r="S1331" i="9"/>
  <c r="R1331" i="9"/>
  <c r="S1330" i="9"/>
  <c r="R1330" i="9"/>
  <c r="S1329" i="9"/>
  <c r="R1329" i="9"/>
  <c r="S1328" i="9"/>
  <c r="R1328" i="9"/>
  <c r="S1327" i="9"/>
  <c r="R1327" i="9"/>
  <c r="S1326" i="9"/>
  <c r="R1326" i="9"/>
  <c r="S1325" i="9"/>
  <c r="R1325" i="9"/>
  <c r="S1324" i="9"/>
  <c r="R1324" i="9"/>
  <c r="S1323" i="9"/>
  <c r="R1323" i="9"/>
  <c r="S1322" i="9"/>
  <c r="R1322" i="9"/>
  <c r="S1321" i="9"/>
  <c r="R1321" i="9"/>
  <c r="S1320" i="9"/>
  <c r="R1320" i="9"/>
  <c r="S1319" i="9"/>
  <c r="R1319" i="9"/>
  <c r="S1318" i="9"/>
  <c r="R1318" i="9"/>
  <c r="S1317" i="9"/>
  <c r="R1317" i="9"/>
  <c r="S1316" i="9"/>
  <c r="R1316" i="9"/>
  <c r="S1315" i="9"/>
  <c r="R1315" i="9"/>
  <c r="S1314" i="9"/>
  <c r="R1314" i="9"/>
  <c r="S1313" i="9"/>
  <c r="R1313" i="9"/>
  <c r="S1312" i="9"/>
  <c r="R1312" i="9"/>
  <c r="S1311" i="9"/>
  <c r="R1311" i="9"/>
  <c r="S1310" i="9"/>
  <c r="R1310" i="9"/>
  <c r="S1309" i="9"/>
  <c r="R1309" i="9"/>
  <c r="S1308" i="9"/>
  <c r="R1308" i="9"/>
  <c r="S1307" i="9"/>
  <c r="R1307" i="9"/>
  <c r="S1306" i="9"/>
  <c r="R1306" i="9"/>
  <c r="S1305" i="9"/>
  <c r="R1305" i="9"/>
  <c r="S1304" i="9"/>
  <c r="R1304" i="9"/>
  <c r="S1303" i="9"/>
  <c r="R1303" i="9"/>
  <c r="S1302" i="9"/>
  <c r="R1302" i="9"/>
  <c r="S1301" i="9"/>
  <c r="R1301" i="9"/>
  <c r="S1300" i="9"/>
  <c r="R1300" i="9"/>
  <c r="S1299" i="9"/>
  <c r="R1299" i="9"/>
  <c r="S1298" i="9"/>
  <c r="R1298" i="9"/>
  <c r="S1297" i="9"/>
  <c r="R1297" i="9"/>
  <c r="S1296" i="9"/>
  <c r="R1296" i="9"/>
  <c r="S1295" i="9"/>
  <c r="R1295" i="9"/>
  <c r="S1294" i="9"/>
  <c r="R1294" i="9"/>
  <c r="S1293" i="9"/>
  <c r="R1293" i="9"/>
  <c r="S1292" i="9"/>
  <c r="R1292" i="9"/>
  <c r="S1291" i="9"/>
  <c r="R1291" i="9"/>
  <c r="S1290" i="9"/>
  <c r="R1290" i="9"/>
  <c r="S1289" i="9"/>
  <c r="R1289" i="9"/>
  <c r="S1288" i="9"/>
  <c r="R1288" i="9"/>
  <c r="S1287" i="9"/>
  <c r="R1287" i="9"/>
  <c r="S1286" i="9"/>
  <c r="R1286" i="9"/>
  <c r="S1285" i="9"/>
  <c r="R1285" i="9"/>
  <c r="S1284" i="9"/>
  <c r="R1284" i="9"/>
  <c r="S1283" i="9"/>
  <c r="R1283" i="9"/>
  <c r="S1282" i="9"/>
  <c r="R1282" i="9"/>
  <c r="S1281" i="9"/>
  <c r="R1281" i="9"/>
  <c r="S1280" i="9"/>
  <c r="R1280" i="9"/>
  <c r="S1279" i="9"/>
  <c r="R1279" i="9"/>
  <c r="S1278" i="9"/>
  <c r="R1278" i="9"/>
  <c r="S1277" i="9"/>
  <c r="R1277" i="9"/>
  <c r="S1276" i="9"/>
  <c r="R1276" i="9"/>
  <c r="S1275" i="9"/>
  <c r="R1275" i="9"/>
  <c r="S1274" i="9"/>
  <c r="R1274" i="9"/>
  <c r="S1273" i="9"/>
  <c r="R1273" i="9"/>
  <c r="S1272" i="9"/>
  <c r="R1272" i="9"/>
  <c r="S1271" i="9"/>
  <c r="R1271" i="9"/>
  <c r="S1270" i="9"/>
  <c r="R1270" i="9"/>
  <c r="S1269" i="9"/>
  <c r="R1269" i="9"/>
  <c r="S1268" i="9"/>
  <c r="R1268" i="9"/>
  <c r="S1267" i="9"/>
  <c r="R1267" i="9"/>
  <c r="S1266" i="9"/>
  <c r="R1266" i="9"/>
  <c r="S1265" i="9"/>
  <c r="R1265" i="9"/>
  <c r="S1264" i="9"/>
  <c r="R1264" i="9"/>
  <c r="S1263" i="9"/>
  <c r="R1263" i="9"/>
  <c r="S1262" i="9"/>
  <c r="R1262" i="9"/>
  <c r="S1261" i="9"/>
  <c r="R1261" i="9"/>
  <c r="S1260" i="9"/>
  <c r="R1260" i="9"/>
  <c r="S1259" i="9"/>
  <c r="R1259" i="9"/>
  <c r="S1258" i="9"/>
  <c r="R1258" i="9"/>
  <c r="S1257" i="9"/>
  <c r="R1257" i="9"/>
  <c r="S1256" i="9"/>
  <c r="R1256" i="9"/>
  <c r="S1255" i="9"/>
  <c r="R1255" i="9"/>
  <c r="S1254" i="9"/>
  <c r="R1254" i="9"/>
  <c r="S1253" i="9"/>
  <c r="R1253" i="9"/>
  <c r="S1252" i="9"/>
  <c r="R1252" i="9"/>
  <c r="S1251" i="9"/>
  <c r="R1251" i="9"/>
  <c r="S1250" i="9"/>
  <c r="R1250" i="9"/>
  <c r="S1249" i="9"/>
  <c r="R1249" i="9"/>
  <c r="S1248" i="9"/>
  <c r="R1248" i="9"/>
  <c r="S1247" i="9"/>
  <c r="R1247" i="9"/>
  <c r="S1246" i="9"/>
  <c r="R1246" i="9"/>
  <c r="S1245" i="9"/>
  <c r="R1245" i="9"/>
  <c r="S1244" i="9"/>
  <c r="R1244" i="9"/>
  <c r="S1243" i="9"/>
  <c r="R1243" i="9"/>
  <c r="S1242" i="9"/>
  <c r="R1242" i="9"/>
  <c r="S1241" i="9"/>
  <c r="R1241" i="9"/>
  <c r="S1240" i="9"/>
  <c r="R1240" i="9"/>
  <c r="S1239" i="9"/>
  <c r="R1239" i="9"/>
  <c r="S1238" i="9"/>
  <c r="R1238" i="9"/>
  <c r="S1237" i="9"/>
  <c r="R1237" i="9"/>
  <c r="S1236" i="9"/>
  <c r="R1236" i="9"/>
  <c r="S1235" i="9"/>
  <c r="R1235" i="9"/>
  <c r="S1234" i="9"/>
  <c r="R1234" i="9"/>
  <c r="S1233" i="9"/>
  <c r="R1233" i="9"/>
  <c r="S1232" i="9"/>
  <c r="R1232" i="9"/>
  <c r="S1231" i="9"/>
  <c r="R1231" i="9"/>
  <c r="S1230" i="9"/>
  <c r="R1230" i="9"/>
  <c r="S1229" i="9"/>
  <c r="R1229" i="9"/>
  <c r="S1228" i="9"/>
  <c r="R1228" i="9"/>
  <c r="S1227" i="9"/>
  <c r="R1227" i="9"/>
  <c r="S1226" i="9"/>
  <c r="R1226" i="9"/>
  <c r="S1225" i="9"/>
  <c r="R1225" i="9"/>
  <c r="S1224" i="9"/>
  <c r="R1224" i="9"/>
  <c r="S1223" i="9"/>
  <c r="R1223" i="9"/>
  <c r="S1222" i="9"/>
  <c r="R1222" i="9"/>
  <c r="S1221" i="9"/>
  <c r="R1221" i="9"/>
  <c r="S1220" i="9"/>
  <c r="R1220" i="9"/>
  <c r="S1219" i="9"/>
  <c r="R1219" i="9"/>
  <c r="S1218" i="9"/>
  <c r="R1218" i="9"/>
  <c r="S1217" i="9"/>
  <c r="R1217" i="9"/>
  <c r="S1216" i="9"/>
  <c r="R1216" i="9"/>
  <c r="S1215" i="9"/>
  <c r="R1215" i="9"/>
  <c r="S1214" i="9"/>
  <c r="R1214" i="9"/>
  <c r="S1213" i="9"/>
  <c r="R1213" i="9"/>
  <c r="S1212" i="9"/>
  <c r="R1212" i="9"/>
  <c r="S1211" i="9"/>
  <c r="R1211" i="9"/>
  <c r="S1210" i="9"/>
  <c r="R1210" i="9"/>
  <c r="S1209" i="9"/>
  <c r="R1209" i="9"/>
  <c r="S1208" i="9"/>
  <c r="R1208" i="9"/>
  <c r="S1207" i="9"/>
  <c r="R1207" i="9"/>
  <c r="S1206" i="9"/>
  <c r="R1206" i="9"/>
  <c r="S1205" i="9"/>
  <c r="R1205" i="9"/>
  <c r="S1204" i="9"/>
  <c r="R1204" i="9"/>
  <c r="S1203" i="9"/>
  <c r="R1203" i="9"/>
  <c r="S1202" i="9"/>
  <c r="R1202" i="9"/>
  <c r="S1201" i="9"/>
  <c r="R1201" i="9"/>
  <c r="S1200" i="9"/>
  <c r="R1200" i="9"/>
  <c r="S1199" i="9"/>
  <c r="R1199" i="9"/>
  <c r="S1198" i="9"/>
  <c r="R1198" i="9"/>
  <c r="S1197" i="9"/>
  <c r="R1197" i="9"/>
  <c r="S1196" i="9"/>
  <c r="R1196" i="9"/>
  <c r="S1195" i="9"/>
  <c r="R1195" i="9"/>
  <c r="S1194" i="9"/>
  <c r="R1194" i="9"/>
  <c r="S1193" i="9"/>
  <c r="R1193" i="9"/>
  <c r="S1192" i="9"/>
  <c r="R1192" i="9"/>
  <c r="S1191" i="9"/>
  <c r="R1191" i="9"/>
  <c r="S1190" i="9"/>
  <c r="R1190" i="9"/>
  <c r="S1189" i="9"/>
  <c r="R1189" i="9"/>
  <c r="S1188" i="9"/>
  <c r="R1188" i="9"/>
  <c r="S1187" i="9"/>
  <c r="R1187" i="9"/>
  <c r="S1186" i="9"/>
  <c r="R1186" i="9"/>
  <c r="S1185" i="9"/>
  <c r="R1185" i="9"/>
  <c r="S1184" i="9"/>
  <c r="R1184" i="9"/>
  <c r="S1183" i="9"/>
  <c r="R1183" i="9"/>
  <c r="S1182" i="9"/>
  <c r="R1182" i="9"/>
  <c r="S1181" i="9"/>
  <c r="R1181" i="9"/>
  <c r="S1180" i="9"/>
  <c r="R1180" i="9"/>
  <c r="S1179" i="9"/>
  <c r="R1179" i="9"/>
  <c r="S1178" i="9"/>
  <c r="R1178" i="9"/>
  <c r="S1177" i="9"/>
  <c r="R1177" i="9"/>
  <c r="S1176" i="9"/>
  <c r="R1176" i="9"/>
  <c r="S1175" i="9"/>
  <c r="R1175" i="9"/>
  <c r="S1174" i="9"/>
  <c r="R1174" i="9"/>
  <c r="S1173" i="9"/>
  <c r="R1173" i="9"/>
  <c r="S1172" i="9"/>
  <c r="R1172" i="9"/>
  <c r="S1171" i="9"/>
  <c r="R1171" i="9"/>
  <c r="S1170" i="9"/>
  <c r="R1170" i="9"/>
  <c r="S1169" i="9"/>
  <c r="R1169" i="9"/>
  <c r="S1168" i="9"/>
  <c r="R1168" i="9"/>
  <c r="S1167" i="9"/>
  <c r="R1167" i="9"/>
  <c r="S1166" i="9"/>
  <c r="R1166" i="9"/>
  <c r="S1165" i="9"/>
  <c r="R1165" i="9"/>
  <c r="S1164" i="9"/>
  <c r="R1164" i="9"/>
  <c r="S1163" i="9"/>
  <c r="R1163" i="9"/>
  <c r="S1162" i="9"/>
  <c r="R1162" i="9"/>
  <c r="S1161" i="9"/>
  <c r="R1161" i="9"/>
  <c r="S1160" i="9"/>
  <c r="R1160" i="9"/>
  <c r="S1159" i="9"/>
  <c r="R1159" i="9"/>
  <c r="S1158" i="9"/>
  <c r="R1158" i="9"/>
  <c r="S1157" i="9"/>
  <c r="R1157" i="9"/>
  <c r="S1156" i="9"/>
  <c r="R1156" i="9"/>
  <c r="S1155" i="9"/>
  <c r="R1155" i="9"/>
  <c r="S1154" i="9"/>
  <c r="R1154" i="9"/>
  <c r="S1153" i="9"/>
  <c r="R1153" i="9"/>
  <c r="S1152" i="9"/>
  <c r="R1152" i="9"/>
  <c r="S1151" i="9"/>
  <c r="R1151" i="9"/>
  <c r="S1150" i="9"/>
  <c r="R1150" i="9"/>
  <c r="S1149" i="9"/>
  <c r="R1149" i="9"/>
  <c r="S1148" i="9"/>
  <c r="R1148" i="9"/>
  <c r="S1147" i="9"/>
  <c r="R1147" i="9"/>
  <c r="S1146" i="9"/>
  <c r="R1146" i="9"/>
  <c r="S1145" i="9"/>
  <c r="R1145" i="9"/>
  <c r="S1144" i="9"/>
  <c r="R1144" i="9"/>
  <c r="S1143" i="9"/>
  <c r="R1143" i="9"/>
  <c r="S1142" i="9"/>
  <c r="R1142" i="9"/>
  <c r="S1141" i="9"/>
  <c r="R1141" i="9"/>
  <c r="S1140" i="9"/>
  <c r="R1140" i="9"/>
  <c r="S1139" i="9"/>
  <c r="R1139" i="9"/>
  <c r="S1138" i="9"/>
  <c r="R1138" i="9"/>
  <c r="S1137" i="9"/>
  <c r="R1137" i="9"/>
  <c r="S1136" i="9"/>
  <c r="R1136" i="9"/>
  <c r="S1135" i="9"/>
  <c r="R1135" i="9"/>
  <c r="S1134" i="9"/>
  <c r="R1134" i="9"/>
  <c r="S1133" i="9"/>
  <c r="R1133" i="9"/>
  <c r="S1132" i="9"/>
  <c r="R1132" i="9"/>
  <c r="S1131" i="9"/>
  <c r="R1131" i="9"/>
  <c r="S1130" i="9"/>
  <c r="R1130" i="9"/>
  <c r="S1129" i="9"/>
  <c r="R1129" i="9"/>
  <c r="S1128" i="9"/>
  <c r="R1128" i="9"/>
  <c r="S1127" i="9"/>
  <c r="R1127" i="9"/>
  <c r="S1126" i="9"/>
  <c r="R1126" i="9"/>
  <c r="S1125" i="9"/>
  <c r="R1125" i="9"/>
  <c r="S1124" i="9"/>
  <c r="R1124" i="9"/>
  <c r="S1123" i="9"/>
  <c r="R1123" i="9"/>
  <c r="S1122" i="9"/>
  <c r="R1122" i="9"/>
  <c r="S1121" i="9"/>
  <c r="R1121" i="9"/>
  <c r="S1120" i="9"/>
  <c r="R1120" i="9"/>
  <c r="S1119" i="9"/>
  <c r="R1119" i="9"/>
  <c r="S1118" i="9"/>
  <c r="R1118" i="9"/>
  <c r="S1117" i="9"/>
  <c r="R1117" i="9"/>
  <c r="S1116" i="9"/>
  <c r="R1116" i="9"/>
  <c r="S1115" i="9"/>
  <c r="R1115" i="9"/>
  <c r="S1114" i="9"/>
  <c r="R1114" i="9"/>
  <c r="S1113" i="9"/>
  <c r="R1113" i="9"/>
  <c r="S1112" i="9"/>
  <c r="R1112" i="9"/>
  <c r="S1111" i="9"/>
  <c r="R1111" i="9"/>
  <c r="S1110" i="9"/>
  <c r="R1110" i="9"/>
  <c r="S1109" i="9"/>
  <c r="R1109" i="9"/>
  <c r="S1108" i="9"/>
  <c r="R1108" i="9"/>
  <c r="S1107" i="9"/>
  <c r="R1107" i="9"/>
  <c r="S1106" i="9"/>
  <c r="R1106" i="9"/>
  <c r="S1105" i="9"/>
  <c r="R1105" i="9"/>
  <c r="S1104" i="9"/>
  <c r="R1104" i="9"/>
  <c r="S1103" i="9"/>
  <c r="R1103" i="9"/>
  <c r="S1102" i="9"/>
  <c r="R1102" i="9"/>
  <c r="S1101" i="9"/>
  <c r="R1101" i="9"/>
  <c r="S1100" i="9"/>
  <c r="R1100" i="9"/>
  <c r="S1099" i="9"/>
  <c r="R1099" i="9"/>
  <c r="S1098" i="9"/>
  <c r="R1098" i="9"/>
  <c r="S1097" i="9"/>
  <c r="R1097" i="9"/>
  <c r="S1096" i="9"/>
  <c r="R1096" i="9"/>
  <c r="S1095" i="9"/>
  <c r="R1095" i="9"/>
  <c r="S1094" i="9"/>
  <c r="R1094" i="9"/>
  <c r="S1093" i="9"/>
  <c r="R1093" i="9"/>
  <c r="S1092" i="9"/>
  <c r="R1092" i="9"/>
  <c r="S1091" i="9"/>
  <c r="R1091" i="9"/>
  <c r="S1090" i="9"/>
  <c r="R1090" i="9"/>
  <c r="S1089" i="9"/>
  <c r="R1089" i="9"/>
  <c r="S1088" i="9"/>
  <c r="R1088" i="9"/>
  <c r="S1087" i="9"/>
  <c r="R1087" i="9"/>
  <c r="S1086" i="9"/>
  <c r="R1086" i="9"/>
  <c r="S1085" i="9"/>
  <c r="R1085" i="9"/>
  <c r="S1084" i="9"/>
  <c r="R1084" i="9"/>
  <c r="S1083" i="9"/>
  <c r="R1083" i="9"/>
  <c r="S1082" i="9"/>
  <c r="R1082" i="9"/>
  <c r="S1081" i="9"/>
  <c r="R1081" i="9"/>
  <c r="S1080" i="9"/>
  <c r="R1080" i="9"/>
  <c r="S1079" i="9"/>
  <c r="R1079" i="9"/>
  <c r="S1078" i="9"/>
  <c r="R1078" i="9"/>
  <c r="S1077" i="9"/>
  <c r="R1077" i="9"/>
  <c r="S1076" i="9"/>
  <c r="R1076" i="9"/>
  <c r="S1075" i="9"/>
  <c r="R1075" i="9"/>
  <c r="S1074" i="9"/>
  <c r="R1074" i="9"/>
  <c r="S1073" i="9"/>
  <c r="R1073" i="9"/>
  <c r="S1072" i="9"/>
  <c r="R1072" i="9"/>
  <c r="S1071" i="9"/>
  <c r="R1071" i="9"/>
  <c r="S1070" i="9"/>
  <c r="R1070" i="9"/>
  <c r="S1069" i="9"/>
  <c r="R1069" i="9"/>
  <c r="S1068" i="9"/>
  <c r="R1068" i="9"/>
  <c r="S1067" i="9"/>
  <c r="R1067" i="9"/>
  <c r="S1066" i="9"/>
  <c r="R1066" i="9"/>
  <c r="S1065" i="9"/>
  <c r="R1065" i="9"/>
  <c r="S1064" i="9"/>
  <c r="R1064" i="9"/>
  <c r="S1063" i="9"/>
  <c r="R1063" i="9"/>
  <c r="S1062" i="9"/>
  <c r="R1062" i="9"/>
  <c r="S1061" i="9"/>
  <c r="R1061" i="9"/>
  <c r="S1060" i="9"/>
  <c r="R1060" i="9"/>
  <c r="S1059" i="9"/>
  <c r="R1059" i="9"/>
  <c r="S1058" i="9"/>
  <c r="R1058" i="9"/>
  <c r="S1057" i="9"/>
  <c r="R1057" i="9"/>
  <c r="S1056" i="9"/>
  <c r="R1056" i="9"/>
  <c r="S1055" i="9"/>
  <c r="R1055" i="9"/>
  <c r="S1054" i="9"/>
  <c r="R1054" i="9"/>
  <c r="S1053" i="9"/>
  <c r="R1053" i="9"/>
  <c r="S1052" i="9"/>
  <c r="R1052" i="9"/>
  <c r="S1051" i="9"/>
  <c r="R1051" i="9"/>
  <c r="S1050" i="9"/>
  <c r="R1050" i="9"/>
  <c r="S1049" i="9"/>
  <c r="R1049" i="9"/>
  <c r="S1048" i="9"/>
  <c r="R1048" i="9"/>
  <c r="S1047" i="9"/>
  <c r="R1047" i="9"/>
  <c r="S1046" i="9"/>
  <c r="R1046" i="9"/>
  <c r="S1045" i="9"/>
  <c r="R1045" i="9"/>
  <c r="S1044" i="9"/>
  <c r="R1044" i="9"/>
  <c r="S1043" i="9"/>
  <c r="R1043" i="9"/>
  <c r="S1042" i="9"/>
  <c r="R1042" i="9"/>
  <c r="S1041" i="9"/>
  <c r="R1041" i="9"/>
  <c r="S1040" i="9"/>
  <c r="R1040" i="9"/>
  <c r="S1039" i="9"/>
  <c r="R1039" i="9"/>
  <c r="S1038" i="9"/>
  <c r="R1038" i="9"/>
  <c r="S1037" i="9"/>
  <c r="R1037" i="9"/>
  <c r="S1036" i="9"/>
  <c r="R1036" i="9"/>
  <c r="S1035" i="9"/>
  <c r="R1035" i="9"/>
  <c r="S1034" i="9"/>
  <c r="R1034" i="9"/>
  <c r="S1033" i="9"/>
  <c r="R1033" i="9"/>
  <c r="S1032" i="9"/>
  <c r="R1032" i="9"/>
  <c r="S1031" i="9"/>
  <c r="R1031" i="9"/>
  <c r="S1030" i="9"/>
  <c r="R1030" i="9"/>
  <c r="S1029" i="9"/>
  <c r="R1029" i="9"/>
  <c r="S1028" i="9"/>
  <c r="R1028" i="9"/>
  <c r="S1027" i="9"/>
  <c r="R1027" i="9"/>
  <c r="S1026" i="9"/>
  <c r="R1026" i="9"/>
  <c r="S1025" i="9"/>
  <c r="R1025" i="9"/>
  <c r="S1024" i="9"/>
  <c r="R1024" i="9"/>
  <c r="S1023" i="9"/>
  <c r="R1023" i="9"/>
  <c r="S1022" i="9"/>
  <c r="R1022" i="9"/>
  <c r="S1021" i="9"/>
  <c r="R1021" i="9"/>
  <c r="S1020" i="9"/>
  <c r="R1020" i="9"/>
  <c r="S1019" i="9"/>
  <c r="R1019" i="9"/>
  <c r="S1018" i="9"/>
  <c r="R1018" i="9"/>
  <c r="S1017" i="9"/>
  <c r="R1017" i="9"/>
  <c r="S1016" i="9"/>
  <c r="R1016" i="9"/>
  <c r="S1015" i="9"/>
  <c r="R1015" i="9"/>
  <c r="S1014" i="9"/>
  <c r="R1014" i="9"/>
  <c r="S1013" i="9"/>
  <c r="R1013" i="9"/>
  <c r="S1012" i="9"/>
  <c r="R1012" i="9"/>
  <c r="S1011" i="9"/>
  <c r="R1011" i="9"/>
  <c r="S1010" i="9"/>
  <c r="R1010" i="9"/>
  <c r="S1009" i="9"/>
  <c r="R1009" i="9"/>
  <c r="S1008" i="9"/>
  <c r="R1008" i="9"/>
  <c r="S1007" i="9"/>
  <c r="R1007" i="9"/>
  <c r="S1006" i="9"/>
  <c r="R1006" i="9"/>
  <c r="S1005" i="9"/>
  <c r="R1005" i="9"/>
  <c r="S1004" i="9"/>
  <c r="R1004" i="9"/>
  <c r="S1003" i="9"/>
  <c r="R1003" i="9"/>
  <c r="S1002" i="9"/>
  <c r="R1002" i="9"/>
  <c r="S1001" i="9"/>
  <c r="R1001" i="9"/>
  <c r="S1000" i="9"/>
  <c r="R1000" i="9"/>
  <c r="S999" i="9"/>
  <c r="R999" i="9"/>
  <c r="S998" i="9"/>
  <c r="R998" i="9"/>
  <c r="S997" i="9"/>
  <c r="R997" i="9"/>
  <c r="S996" i="9"/>
  <c r="R996" i="9"/>
  <c r="S995" i="9"/>
  <c r="R995" i="9"/>
  <c r="S994" i="9"/>
  <c r="R994" i="9"/>
  <c r="S993" i="9"/>
  <c r="R993" i="9"/>
  <c r="S992" i="9"/>
  <c r="R992" i="9"/>
  <c r="S991" i="9"/>
  <c r="R991" i="9"/>
  <c r="S990" i="9"/>
  <c r="R990" i="9"/>
  <c r="S989" i="9"/>
  <c r="R989" i="9"/>
  <c r="S988" i="9"/>
  <c r="R988" i="9"/>
  <c r="S987" i="9"/>
  <c r="R987" i="9"/>
  <c r="S986" i="9"/>
  <c r="R986" i="9"/>
  <c r="S985" i="9"/>
  <c r="R985" i="9"/>
  <c r="S984" i="9"/>
  <c r="R984" i="9"/>
  <c r="S983" i="9"/>
  <c r="R983" i="9"/>
  <c r="S982" i="9"/>
  <c r="R982" i="9"/>
  <c r="S981" i="9"/>
  <c r="R981" i="9"/>
  <c r="S980" i="9"/>
  <c r="R980" i="9"/>
  <c r="S979" i="9"/>
  <c r="R979" i="9"/>
  <c r="S978" i="9"/>
  <c r="R978" i="9"/>
  <c r="S977" i="9"/>
  <c r="R977" i="9"/>
  <c r="S976" i="9"/>
  <c r="R976" i="9"/>
  <c r="S975" i="9"/>
  <c r="R975" i="9"/>
  <c r="S974" i="9"/>
  <c r="R974" i="9"/>
  <c r="S973" i="9"/>
  <c r="R973" i="9"/>
  <c r="S972" i="9"/>
  <c r="R972" i="9"/>
  <c r="S971" i="9"/>
  <c r="R971" i="9"/>
  <c r="S970" i="9"/>
  <c r="R970" i="9"/>
  <c r="S969" i="9"/>
  <c r="R969" i="9"/>
  <c r="S968" i="9"/>
  <c r="R968" i="9"/>
  <c r="S967" i="9"/>
  <c r="R967" i="9"/>
  <c r="S966" i="9"/>
  <c r="R966" i="9"/>
  <c r="S965" i="9"/>
  <c r="R965" i="9"/>
  <c r="S964" i="9"/>
  <c r="R964" i="9"/>
  <c r="S963" i="9"/>
  <c r="R963" i="9"/>
  <c r="S962" i="9"/>
  <c r="R962" i="9"/>
  <c r="S961" i="9"/>
  <c r="R961" i="9"/>
  <c r="S960" i="9"/>
  <c r="R960" i="9"/>
  <c r="S959" i="9"/>
  <c r="R959" i="9"/>
  <c r="S958" i="9"/>
  <c r="R958" i="9"/>
  <c r="S957" i="9"/>
  <c r="R957" i="9"/>
  <c r="S956" i="9"/>
  <c r="R956" i="9"/>
  <c r="S955" i="9"/>
  <c r="R955" i="9"/>
  <c r="S954" i="9"/>
  <c r="R954" i="9"/>
  <c r="S953" i="9"/>
  <c r="R953" i="9"/>
  <c r="S952" i="9"/>
  <c r="R952" i="9"/>
  <c r="S951" i="9"/>
  <c r="R951" i="9"/>
  <c r="S950" i="9"/>
  <c r="R950" i="9"/>
  <c r="S949" i="9"/>
  <c r="R949" i="9"/>
  <c r="S948" i="9"/>
  <c r="R948" i="9"/>
  <c r="S947" i="9"/>
  <c r="R947" i="9"/>
  <c r="S946" i="9"/>
  <c r="R946" i="9"/>
  <c r="S945" i="9"/>
  <c r="R945" i="9"/>
  <c r="S944" i="9"/>
  <c r="R944" i="9"/>
  <c r="S943" i="9"/>
  <c r="R943" i="9"/>
  <c r="S942" i="9"/>
  <c r="R942" i="9"/>
  <c r="S941" i="9"/>
  <c r="R941" i="9"/>
  <c r="S940" i="9"/>
  <c r="R940" i="9"/>
  <c r="S939" i="9"/>
  <c r="R939" i="9"/>
  <c r="S938" i="9"/>
  <c r="R938" i="9"/>
  <c r="S937" i="9"/>
  <c r="R937" i="9"/>
  <c r="S936" i="9"/>
  <c r="R936" i="9"/>
  <c r="S935" i="9"/>
  <c r="R935" i="9"/>
  <c r="S934" i="9"/>
  <c r="R934" i="9"/>
  <c r="S933" i="9"/>
  <c r="R933" i="9"/>
  <c r="S932" i="9"/>
  <c r="R932" i="9"/>
  <c r="S931" i="9"/>
  <c r="R931" i="9"/>
  <c r="S930" i="9"/>
  <c r="R930" i="9"/>
  <c r="S929" i="9"/>
  <c r="R929" i="9"/>
  <c r="S928" i="9"/>
  <c r="R928" i="9"/>
  <c r="S927" i="9"/>
  <c r="R927" i="9"/>
  <c r="S926" i="9"/>
  <c r="R926" i="9"/>
  <c r="S925" i="9"/>
  <c r="R925" i="9"/>
  <c r="S924" i="9"/>
  <c r="R924" i="9"/>
  <c r="S923" i="9"/>
  <c r="R923" i="9"/>
  <c r="S922" i="9"/>
  <c r="R922" i="9"/>
  <c r="S921" i="9"/>
  <c r="R921" i="9"/>
  <c r="S920" i="9"/>
  <c r="R920" i="9"/>
  <c r="S919" i="9"/>
  <c r="R919" i="9"/>
  <c r="S918" i="9"/>
  <c r="R918" i="9"/>
  <c r="S917" i="9"/>
  <c r="R917" i="9"/>
  <c r="S916" i="9"/>
  <c r="R916" i="9"/>
  <c r="S915" i="9"/>
  <c r="R915" i="9"/>
  <c r="S914" i="9"/>
  <c r="R914" i="9"/>
  <c r="S913" i="9"/>
  <c r="R913" i="9"/>
  <c r="S912" i="9"/>
  <c r="R912" i="9"/>
  <c r="S911" i="9"/>
  <c r="R911" i="9"/>
  <c r="S910" i="9"/>
  <c r="R910" i="9"/>
  <c r="S909" i="9"/>
  <c r="R909" i="9"/>
  <c r="S908" i="9"/>
  <c r="R908" i="9"/>
  <c r="S907" i="9"/>
  <c r="R907" i="9"/>
  <c r="S906" i="9"/>
  <c r="R906" i="9"/>
  <c r="S905" i="9"/>
  <c r="R905" i="9"/>
  <c r="S904" i="9"/>
  <c r="R904" i="9"/>
  <c r="S903" i="9"/>
  <c r="R903" i="9"/>
  <c r="S902" i="9"/>
  <c r="R902" i="9"/>
  <c r="S901" i="9"/>
  <c r="R901" i="9"/>
  <c r="S900" i="9"/>
  <c r="R900" i="9"/>
  <c r="S899" i="9"/>
  <c r="R899" i="9"/>
  <c r="S898" i="9"/>
  <c r="R898" i="9"/>
  <c r="S897" i="9"/>
  <c r="R897" i="9"/>
  <c r="S896" i="9"/>
  <c r="R896" i="9"/>
  <c r="S895" i="9"/>
  <c r="R895" i="9"/>
  <c r="S894" i="9"/>
  <c r="R894" i="9"/>
  <c r="S893" i="9"/>
  <c r="R893" i="9"/>
  <c r="S892" i="9"/>
  <c r="R892" i="9"/>
  <c r="S891" i="9"/>
  <c r="R891" i="9"/>
  <c r="S890" i="9"/>
  <c r="R890" i="9"/>
  <c r="S889" i="9"/>
  <c r="R889" i="9"/>
  <c r="S888" i="9"/>
  <c r="R888" i="9"/>
  <c r="S887" i="9"/>
  <c r="R887" i="9"/>
  <c r="S886" i="9"/>
  <c r="R886" i="9"/>
  <c r="S885" i="9"/>
  <c r="R885" i="9"/>
  <c r="S884" i="9"/>
  <c r="R884" i="9"/>
  <c r="S883" i="9"/>
  <c r="R883" i="9"/>
  <c r="S882" i="9"/>
  <c r="R882" i="9"/>
  <c r="S881" i="9"/>
  <c r="R881" i="9"/>
  <c r="S880" i="9"/>
  <c r="R880" i="9"/>
  <c r="S879" i="9"/>
  <c r="R879" i="9"/>
  <c r="S878" i="9"/>
  <c r="R878" i="9"/>
  <c r="S877" i="9"/>
  <c r="R877" i="9"/>
  <c r="S876" i="9"/>
  <c r="R876" i="9"/>
  <c r="S875" i="9"/>
  <c r="R875" i="9"/>
  <c r="S874" i="9"/>
  <c r="R874" i="9"/>
  <c r="S873" i="9"/>
  <c r="R873" i="9"/>
  <c r="S872" i="9"/>
  <c r="R872" i="9"/>
  <c r="S871" i="9"/>
  <c r="R871" i="9"/>
  <c r="S870" i="9"/>
  <c r="R870" i="9"/>
  <c r="S869" i="9"/>
  <c r="R869" i="9"/>
  <c r="S868" i="9"/>
  <c r="R868" i="9"/>
  <c r="S867" i="9"/>
  <c r="R867" i="9"/>
  <c r="S866" i="9"/>
  <c r="R866" i="9"/>
  <c r="S865" i="9"/>
  <c r="R865" i="9"/>
  <c r="S864" i="9"/>
  <c r="R864" i="9"/>
  <c r="S863" i="9"/>
  <c r="R863" i="9"/>
  <c r="S862" i="9"/>
  <c r="R862" i="9"/>
  <c r="S861" i="9"/>
  <c r="R861" i="9"/>
  <c r="S860" i="9"/>
  <c r="R860" i="9"/>
  <c r="S859" i="9"/>
  <c r="R859" i="9"/>
  <c r="S858" i="9"/>
  <c r="R858" i="9"/>
  <c r="S857" i="9"/>
  <c r="R857" i="9"/>
  <c r="S856" i="9"/>
  <c r="R856" i="9"/>
  <c r="S855" i="9"/>
  <c r="R855" i="9"/>
  <c r="S854" i="9"/>
  <c r="R854" i="9"/>
  <c r="S853" i="9"/>
  <c r="R853" i="9"/>
  <c r="S852" i="9"/>
  <c r="R852" i="9"/>
  <c r="S851" i="9"/>
  <c r="R851" i="9"/>
  <c r="S850" i="9"/>
  <c r="R850" i="9"/>
  <c r="S849" i="9"/>
  <c r="R849" i="9"/>
  <c r="S848" i="9"/>
  <c r="R848" i="9"/>
  <c r="S847" i="9"/>
  <c r="R847" i="9"/>
  <c r="S846" i="9"/>
  <c r="R846" i="9"/>
  <c r="S845" i="9"/>
  <c r="R845" i="9"/>
  <c r="S844" i="9"/>
  <c r="R844" i="9"/>
  <c r="S843" i="9"/>
  <c r="R843" i="9"/>
  <c r="S842" i="9"/>
  <c r="R842" i="9"/>
  <c r="S841" i="9"/>
  <c r="R841" i="9"/>
  <c r="S840" i="9"/>
  <c r="R840" i="9"/>
  <c r="S839" i="9"/>
  <c r="R839" i="9"/>
  <c r="S838" i="9"/>
  <c r="R838" i="9"/>
  <c r="S837" i="9"/>
  <c r="R837" i="9"/>
  <c r="S836" i="9"/>
  <c r="R836" i="9"/>
  <c r="S835" i="9"/>
  <c r="R835" i="9"/>
  <c r="S834" i="9"/>
  <c r="R834" i="9"/>
  <c r="S833" i="9"/>
  <c r="R833" i="9"/>
  <c r="S832" i="9"/>
  <c r="R832" i="9"/>
  <c r="S831" i="9"/>
  <c r="R831" i="9"/>
  <c r="S830" i="9"/>
  <c r="R830" i="9"/>
  <c r="S829" i="9"/>
  <c r="R829" i="9"/>
  <c r="S828" i="9"/>
  <c r="R828" i="9"/>
  <c r="S827" i="9"/>
  <c r="R827" i="9"/>
  <c r="S826" i="9"/>
  <c r="R826" i="9"/>
  <c r="S825" i="9"/>
  <c r="R825" i="9"/>
  <c r="S824" i="9"/>
  <c r="R824" i="9"/>
  <c r="S823" i="9"/>
  <c r="R823" i="9"/>
  <c r="S822" i="9"/>
  <c r="R822" i="9"/>
  <c r="S821" i="9"/>
  <c r="R821" i="9"/>
  <c r="S820" i="9"/>
  <c r="R820" i="9"/>
  <c r="S819" i="9"/>
  <c r="R819" i="9"/>
  <c r="S818" i="9"/>
  <c r="R818" i="9"/>
  <c r="S817" i="9"/>
  <c r="R817" i="9"/>
  <c r="S816" i="9"/>
  <c r="R816" i="9"/>
  <c r="S815" i="9"/>
  <c r="R815" i="9"/>
  <c r="S814" i="9"/>
  <c r="R814" i="9"/>
  <c r="S813" i="9"/>
  <c r="R813" i="9"/>
  <c r="S812" i="9"/>
  <c r="R812" i="9"/>
  <c r="S811" i="9"/>
  <c r="R811" i="9"/>
  <c r="S810" i="9"/>
  <c r="R810" i="9"/>
  <c r="S809" i="9"/>
  <c r="R809" i="9"/>
  <c r="S808" i="9"/>
  <c r="R808" i="9"/>
  <c r="S807" i="9"/>
  <c r="R807" i="9"/>
  <c r="S806" i="9"/>
  <c r="R806" i="9"/>
  <c r="S805" i="9"/>
  <c r="R805" i="9"/>
  <c r="S804" i="9"/>
  <c r="R804" i="9"/>
  <c r="S803" i="9"/>
  <c r="R803" i="9"/>
  <c r="S802" i="9"/>
  <c r="R802" i="9"/>
  <c r="S801" i="9"/>
  <c r="R801" i="9"/>
  <c r="S800" i="9"/>
  <c r="R800" i="9"/>
  <c r="S799" i="9"/>
  <c r="R799" i="9"/>
  <c r="S798" i="9"/>
  <c r="R798" i="9"/>
  <c r="S797" i="9"/>
  <c r="R797" i="9"/>
  <c r="S796" i="9"/>
  <c r="R796" i="9"/>
  <c r="S795" i="9"/>
  <c r="R795" i="9"/>
  <c r="S794" i="9"/>
  <c r="R794" i="9"/>
  <c r="S793" i="9"/>
  <c r="R793" i="9"/>
  <c r="S792" i="9"/>
  <c r="R792" i="9"/>
  <c r="S791" i="9"/>
  <c r="R791" i="9"/>
  <c r="S790" i="9"/>
  <c r="R790" i="9"/>
  <c r="S789" i="9"/>
  <c r="R789" i="9"/>
  <c r="S788" i="9"/>
  <c r="R788" i="9"/>
  <c r="S787" i="9"/>
  <c r="R787" i="9"/>
  <c r="S786" i="9"/>
  <c r="R786" i="9"/>
  <c r="S785" i="9"/>
  <c r="R785" i="9"/>
  <c r="S784" i="9"/>
  <c r="R784" i="9"/>
  <c r="S783" i="9"/>
  <c r="R783" i="9"/>
  <c r="S782" i="9"/>
  <c r="R782" i="9"/>
  <c r="S781" i="9"/>
  <c r="R781" i="9"/>
  <c r="S780" i="9"/>
  <c r="R780" i="9"/>
  <c r="S779" i="9"/>
  <c r="R779" i="9"/>
  <c r="S778" i="9"/>
  <c r="R778" i="9"/>
  <c r="S777" i="9"/>
  <c r="R777" i="9"/>
  <c r="S776" i="9"/>
  <c r="R776" i="9"/>
  <c r="S775" i="9"/>
  <c r="R775" i="9"/>
  <c r="S774" i="9"/>
  <c r="R774" i="9"/>
  <c r="S773" i="9"/>
  <c r="R773" i="9"/>
  <c r="S772" i="9"/>
  <c r="R772" i="9"/>
  <c r="S771" i="9"/>
  <c r="R771" i="9"/>
  <c r="S770" i="9"/>
  <c r="R770" i="9"/>
  <c r="S769" i="9"/>
  <c r="R769" i="9"/>
  <c r="S768" i="9"/>
  <c r="R768" i="9"/>
  <c r="S767" i="9"/>
  <c r="R767" i="9"/>
  <c r="S766" i="9"/>
  <c r="R766" i="9"/>
  <c r="S765" i="9"/>
  <c r="R765" i="9"/>
  <c r="S764" i="9"/>
  <c r="R764" i="9"/>
  <c r="S763" i="9"/>
  <c r="R763" i="9"/>
  <c r="S762" i="9"/>
  <c r="R762" i="9"/>
  <c r="S761" i="9"/>
  <c r="R761" i="9"/>
  <c r="S760" i="9"/>
  <c r="R760" i="9"/>
  <c r="S759" i="9"/>
  <c r="R759" i="9"/>
  <c r="S758" i="9"/>
  <c r="R758" i="9"/>
  <c r="S757" i="9"/>
  <c r="R757" i="9"/>
  <c r="S756" i="9"/>
  <c r="R756" i="9"/>
  <c r="S755" i="9"/>
  <c r="R755" i="9"/>
  <c r="S754" i="9"/>
  <c r="R754" i="9"/>
  <c r="S753" i="9"/>
  <c r="R753" i="9"/>
  <c r="S752" i="9"/>
  <c r="R752" i="9"/>
  <c r="S751" i="9"/>
  <c r="R751" i="9"/>
  <c r="S750" i="9"/>
  <c r="R750" i="9"/>
  <c r="S749" i="9"/>
  <c r="R749" i="9"/>
  <c r="S748" i="9"/>
  <c r="R748" i="9"/>
  <c r="S747" i="9"/>
  <c r="R747" i="9"/>
  <c r="S746" i="9"/>
  <c r="R746" i="9"/>
  <c r="S745" i="9"/>
  <c r="R745" i="9"/>
  <c r="S744" i="9"/>
  <c r="R744" i="9"/>
  <c r="S743" i="9"/>
  <c r="R743" i="9"/>
  <c r="S742" i="9"/>
  <c r="R742" i="9"/>
  <c r="S741" i="9"/>
  <c r="R741" i="9"/>
  <c r="S740" i="9"/>
  <c r="R740" i="9"/>
  <c r="S739" i="9"/>
  <c r="R739" i="9"/>
  <c r="S738" i="9"/>
  <c r="R738" i="9"/>
  <c r="S737" i="9"/>
  <c r="R737" i="9"/>
  <c r="S736" i="9"/>
  <c r="R736" i="9"/>
  <c r="S735" i="9"/>
  <c r="R735" i="9"/>
  <c r="S734" i="9"/>
  <c r="R734" i="9"/>
  <c r="S733" i="9"/>
  <c r="R733" i="9"/>
  <c r="S732" i="9"/>
  <c r="R732" i="9"/>
  <c r="S731" i="9"/>
  <c r="R731" i="9"/>
  <c r="S730" i="9"/>
  <c r="R730" i="9"/>
  <c r="S729" i="9"/>
  <c r="R729" i="9"/>
  <c r="S728" i="9"/>
  <c r="R728" i="9"/>
  <c r="S727" i="9"/>
  <c r="R727" i="9"/>
  <c r="S726" i="9"/>
  <c r="R726" i="9"/>
  <c r="S725" i="9"/>
  <c r="R725" i="9"/>
  <c r="S724" i="9"/>
  <c r="R724" i="9"/>
  <c r="S723" i="9"/>
  <c r="R723" i="9"/>
  <c r="S722" i="9"/>
  <c r="R722" i="9"/>
  <c r="S721" i="9"/>
  <c r="R721" i="9"/>
  <c r="S720" i="9"/>
  <c r="R720" i="9"/>
  <c r="S719" i="9"/>
  <c r="R719" i="9"/>
  <c r="S718" i="9"/>
  <c r="R718" i="9"/>
  <c r="S717" i="9"/>
  <c r="R717" i="9"/>
  <c r="S716" i="9"/>
  <c r="R716" i="9"/>
  <c r="S715" i="9"/>
  <c r="R715" i="9"/>
  <c r="S714" i="9"/>
  <c r="R714" i="9"/>
  <c r="S713" i="9"/>
  <c r="R713" i="9"/>
  <c r="S712" i="9"/>
  <c r="R712" i="9"/>
  <c r="S711" i="9"/>
  <c r="R711" i="9"/>
  <c r="S710" i="9"/>
  <c r="R710" i="9"/>
  <c r="S709" i="9"/>
  <c r="R709" i="9"/>
  <c r="S708" i="9"/>
  <c r="R708" i="9"/>
  <c r="S707" i="9"/>
  <c r="R707" i="9"/>
  <c r="S706" i="9"/>
  <c r="R706" i="9"/>
  <c r="S705" i="9"/>
  <c r="R705" i="9"/>
  <c r="S704" i="9"/>
  <c r="R704" i="9"/>
  <c r="S703" i="9"/>
  <c r="R703" i="9"/>
  <c r="S702" i="9"/>
  <c r="R702" i="9"/>
  <c r="S701" i="9"/>
  <c r="R701" i="9"/>
  <c r="S700" i="9"/>
  <c r="R700" i="9"/>
  <c r="S699" i="9"/>
  <c r="R699" i="9"/>
  <c r="S698" i="9"/>
  <c r="R698" i="9"/>
  <c r="S697" i="9"/>
  <c r="R697" i="9"/>
  <c r="S696" i="9"/>
  <c r="R696" i="9"/>
  <c r="S695" i="9"/>
  <c r="R695" i="9"/>
  <c r="S694" i="9"/>
  <c r="R694" i="9"/>
  <c r="S693" i="9"/>
  <c r="R693" i="9"/>
  <c r="S692" i="9"/>
  <c r="R692" i="9"/>
  <c r="S691" i="9"/>
  <c r="R691" i="9"/>
  <c r="S690" i="9"/>
  <c r="R690" i="9"/>
  <c r="S689" i="9"/>
  <c r="R689" i="9"/>
  <c r="S688" i="9"/>
  <c r="R688" i="9"/>
  <c r="S687" i="9"/>
  <c r="R687" i="9"/>
  <c r="S686" i="9"/>
  <c r="R686" i="9"/>
  <c r="S685" i="9"/>
  <c r="R685" i="9"/>
  <c r="S684" i="9"/>
  <c r="R684" i="9"/>
  <c r="S683" i="9"/>
  <c r="R683" i="9"/>
  <c r="S682" i="9"/>
  <c r="R682" i="9"/>
  <c r="S681" i="9"/>
  <c r="R681" i="9"/>
  <c r="S680" i="9"/>
  <c r="R680" i="9"/>
  <c r="S679" i="9"/>
  <c r="R679" i="9"/>
  <c r="S678" i="9"/>
  <c r="R678" i="9"/>
  <c r="S677" i="9"/>
  <c r="R677" i="9"/>
  <c r="S676" i="9"/>
  <c r="R676" i="9"/>
  <c r="S675" i="9"/>
  <c r="R675" i="9"/>
  <c r="S674" i="9"/>
  <c r="R674" i="9"/>
  <c r="S673" i="9"/>
  <c r="R673" i="9"/>
  <c r="S672" i="9"/>
  <c r="R672" i="9"/>
  <c r="S671" i="9"/>
  <c r="R671" i="9"/>
  <c r="S670" i="9"/>
  <c r="R670" i="9"/>
  <c r="S669" i="9"/>
  <c r="R669" i="9"/>
  <c r="S668" i="9"/>
  <c r="R668" i="9"/>
  <c r="S667" i="9"/>
  <c r="R667" i="9"/>
  <c r="S666" i="9"/>
  <c r="R666" i="9"/>
  <c r="S665" i="9"/>
  <c r="R665" i="9"/>
  <c r="S664" i="9"/>
  <c r="R664" i="9"/>
  <c r="S663" i="9"/>
  <c r="R663" i="9"/>
  <c r="S662" i="9"/>
  <c r="R662" i="9"/>
  <c r="S661" i="9"/>
  <c r="R661" i="9"/>
  <c r="S660" i="9"/>
  <c r="R660" i="9"/>
  <c r="S659" i="9"/>
  <c r="R659" i="9"/>
  <c r="S658" i="9"/>
  <c r="R658" i="9"/>
  <c r="S657" i="9"/>
  <c r="R657" i="9"/>
  <c r="S656" i="9"/>
  <c r="R656" i="9"/>
  <c r="S655" i="9"/>
  <c r="R655" i="9"/>
  <c r="S654" i="9"/>
  <c r="R654" i="9"/>
  <c r="S653" i="9"/>
  <c r="R653" i="9"/>
  <c r="S652" i="9"/>
  <c r="R652" i="9"/>
  <c r="S651" i="9"/>
  <c r="R651" i="9"/>
  <c r="S650" i="9"/>
  <c r="R650" i="9"/>
  <c r="S649" i="9"/>
  <c r="R649" i="9"/>
  <c r="S648" i="9"/>
  <c r="R648" i="9"/>
  <c r="S647" i="9"/>
  <c r="R647" i="9"/>
  <c r="S646" i="9"/>
  <c r="R646" i="9"/>
  <c r="S645" i="9"/>
  <c r="R645" i="9"/>
  <c r="S644" i="9"/>
  <c r="R644" i="9"/>
  <c r="S643" i="9"/>
  <c r="R643" i="9"/>
  <c r="S642" i="9"/>
  <c r="R642" i="9"/>
  <c r="S641" i="9"/>
  <c r="R641" i="9"/>
  <c r="S640" i="9"/>
  <c r="R640" i="9"/>
  <c r="S639" i="9"/>
  <c r="R639" i="9"/>
  <c r="S638" i="9"/>
  <c r="R638" i="9"/>
  <c r="S637" i="9"/>
  <c r="R637" i="9"/>
  <c r="S636" i="9"/>
  <c r="R636" i="9"/>
  <c r="S635" i="9"/>
  <c r="R635" i="9"/>
  <c r="S634" i="9"/>
  <c r="R634" i="9"/>
  <c r="S633" i="9"/>
  <c r="R633" i="9"/>
  <c r="S632" i="9"/>
  <c r="R632" i="9"/>
  <c r="S631" i="9"/>
  <c r="R631" i="9"/>
  <c r="S630" i="9"/>
  <c r="R630" i="9"/>
  <c r="S629" i="9"/>
  <c r="R629" i="9"/>
  <c r="S628" i="9"/>
  <c r="R628" i="9"/>
  <c r="S627" i="9"/>
  <c r="R627" i="9"/>
  <c r="S626" i="9"/>
  <c r="R626" i="9"/>
  <c r="S625" i="9"/>
  <c r="R625" i="9"/>
  <c r="S624" i="9"/>
  <c r="R624" i="9"/>
  <c r="S623" i="9"/>
  <c r="R623" i="9"/>
  <c r="S622" i="9"/>
  <c r="R622" i="9"/>
  <c r="S621" i="9"/>
  <c r="R621" i="9"/>
  <c r="S620" i="9"/>
  <c r="R620" i="9"/>
  <c r="S619" i="9"/>
  <c r="R619" i="9"/>
  <c r="S618" i="9"/>
  <c r="R618" i="9"/>
  <c r="S617" i="9"/>
  <c r="R617" i="9"/>
  <c r="S616" i="9"/>
  <c r="R616" i="9"/>
  <c r="S615" i="9"/>
  <c r="R615" i="9"/>
  <c r="S614" i="9"/>
  <c r="R614" i="9"/>
  <c r="S613" i="9"/>
  <c r="R613" i="9"/>
  <c r="S612" i="9"/>
  <c r="R612" i="9"/>
  <c r="S611" i="9"/>
  <c r="R611" i="9"/>
  <c r="S610" i="9"/>
  <c r="R610" i="9"/>
  <c r="S609" i="9"/>
  <c r="R609" i="9"/>
  <c r="S608" i="9"/>
  <c r="R608" i="9"/>
  <c r="S607" i="9"/>
  <c r="R607" i="9"/>
  <c r="S606" i="9"/>
  <c r="R606" i="9"/>
  <c r="S605" i="9"/>
  <c r="R605" i="9"/>
  <c r="S604" i="9"/>
  <c r="R604" i="9"/>
  <c r="S603" i="9"/>
  <c r="R603" i="9"/>
  <c r="S602" i="9"/>
  <c r="R602" i="9"/>
  <c r="S601" i="9"/>
  <c r="R601" i="9"/>
  <c r="S600" i="9"/>
  <c r="R600" i="9"/>
  <c r="S599" i="9"/>
  <c r="R599" i="9"/>
  <c r="S598" i="9"/>
  <c r="R598" i="9"/>
  <c r="S597" i="9"/>
  <c r="R597" i="9"/>
  <c r="S596" i="9"/>
  <c r="R596" i="9"/>
  <c r="S595" i="9"/>
  <c r="R595" i="9"/>
  <c r="S594" i="9"/>
  <c r="R594" i="9"/>
  <c r="S593" i="9"/>
  <c r="R593" i="9"/>
  <c r="S592" i="9"/>
  <c r="R592" i="9"/>
  <c r="S591" i="9"/>
  <c r="R591" i="9"/>
  <c r="S590" i="9"/>
  <c r="R590" i="9"/>
  <c r="S589" i="9"/>
  <c r="R589" i="9"/>
  <c r="S588" i="9"/>
  <c r="R588" i="9"/>
  <c r="S587" i="9"/>
  <c r="R587" i="9"/>
  <c r="S586" i="9"/>
  <c r="R586" i="9"/>
  <c r="S585" i="9"/>
  <c r="R585" i="9"/>
  <c r="S584" i="9"/>
  <c r="R584" i="9"/>
  <c r="S583" i="9"/>
  <c r="R583" i="9"/>
  <c r="S582" i="9"/>
  <c r="R582" i="9"/>
  <c r="S581" i="9"/>
  <c r="R581" i="9"/>
  <c r="S580" i="9"/>
  <c r="R580" i="9"/>
  <c r="S579" i="9"/>
  <c r="R579" i="9"/>
  <c r="S578" i="9"/>
  <c r="R578" i="9"/>
  <c r="S577" i="9"/>
  <c r="R577" i="9"/>
  <c r="S576" i="9"/>
  <c r="R576" i="9"/>
  <c r="S575" i="9"/>
  <c r="R575" i="9"/>
  <c r="S574" i="9"/>
  <c r="R574" i="9"/>
  <c r="S573" i="9"/>
  <c r="R573" i="9"/>
  <c r="S572" i="9"/>
  <c r="R572" i="9"/>
  <c r="S571" i="9"/>
  <c r="R571" i="9"/>
  <c r="S570" i="9"/>
  <c r="R570" i="9"/>
  <c r="S569" i="9"/>
  <c r="R569" i="9"/>
  <c r="S568" i="9"/>
  <c r="R568" i="9"/>
  <c r="S567" i="9"/>
  <c r="R567" i="9"/>
  <c r="S566" i="9"/>
  <c r="R566" i="9"/>
  <c r="S565" i="9"/>
  <c r="R565" i="9"/>
  <c r="S564" i="9"/>
  <c r="R564" i="9"/>
  <c r="S563" i="9"/>
  <c r="R563" i="9"/>
  <c r="S562" i="9"/>
  <c r="R562" i="9"/>
  <c r="S561" i="9"/>
  <c r="R561" i="9"/>
  <c r="S560" i="9"/>
  <c r="R560" i="9"/>
  <c r="S559" i="9"/>
  <c r="R559" i="9"/>
  <c r="S558" i="9"/>
  <c r="R558" i="9"/>
  <c r="S557" i="9"/>
  <c r="R557" i="9"/>
  <c r="S556" i="9"/>
  <c r="R556" i="9"/>
  <c r="S555" i="9"/>
  <c r="R555" i="9"/>
  <c r="S554" i="9"/>
  <c r="R554" i="9"/>
  <c r="S553" i="9"/>
  <c r="R553" i="9"/>
  <c r="S552" i="9"/>
  <c r="R552" i="9"/>
  <c r="S551" i="9"/>
  <c r="R551" i="9"/>
  <c r="S550" i="9"/>
  <c r="R550" i="9"/>
  <c r="S549" i="9"/>
  <c r="R549" i="9"/>
  <c r="S548" i="9"/>
  <c r="R548" i="9"/>
  <c r="S547" i="9"/>
  <c r="R547" i="9"/>
  <c r="S546" i="9"/>
  <c r="R546" i="9"/>
  <c r="S545" i="9"/>
  <c r="R545" i="9"/>
  <c r="S544" i="9"/>
  <c r="R544" i="9"/>
  <c r="S543" i="9"/>
  <c r="R543" i="9"/>
  <c r="S542" i="9"/>
  <c r="R542" i="9"/>
  <c r="S541" i="9"/>
  <c r="R541" i="9"/>
  <c r="S540" i="9"/>
  <c r="R540" i="9"/>
  <c r="S539" i="9"/>
  <c r="R539" i="9"/>
  <c r="S538" i="9"/>
  <c r="R538" i="9"/>
  <c r="S537" i="9"/>
  <c r="R537" i="9"/>
  <c r="S536" i="9"/>
  <c r="R536" i="9"/>
  <c r="S535" i="9"/>
  <c r="R535" i="9"/>
  <c r="S534" i="9"/>
  <c r="R534" i="9"/>
  <c r="S533" i="9"/>
  <c r="R533" i="9"/>
  <c r="S532" i="9"/>
  <c r="R532" i="9"/>
  <c r="S531" i="9"/>
  <c r="R531" i="9"/>
  <c r="S530" i="9"/>
  <c r="R530" i="9"/>
  <c r="S529" i="9"/>
  <c r="R529" i="9"/>
  <c r="S528" i="9"/>
  <c r="R528" i="9"/>
  <c r="S527" i="9"/>
  <c r="R527" i="9"/>
  <c r="S526" i="9"/>
  <c r="R526" i="9"/>
  <c r="S525" i="9"/>
  <c r="R525" i="9"/>
  <c r="S524" i="9"/>
  <c r="R524" i="9"/>
  <c r="S523" i="9"/>
  <c r="R523" i="9"/>
  <c r="S522" i="9"/>
  <c r="R522" i="9"/>
  <c r="S521" i="9"/>
  <c r="R521" i="9"/>
  <c r="S520" i="9"/>
  <c r="R520" i="9"/>
  <c r="S519" i="9"/>
  <c r="R519" i="9"/>
  <c r="S518" i="9"/>
  <c r="R518" i="9"/>
  <c r="S517" i="9"/>
  <c r="R517" i="9"/>
  <c r="S516" i="9"/>
  <c r="R516" i="9"/>
  <c r="S515" i="9"/>
  <c r="R515" i="9"/>
  <c r="S514" i="9"/>
  <c r="R514" i="9"/>
  <c r="S513" i="9"/>
  <c r="R513" i="9"/>
  <c r="S512" i="9"/>
  <c r="R512" i="9"/>
  <c r="S511" i="9"/>
  <c r="R511" i="9"/>
  <c r="S510" i="9"/>
  <c r="R510" i="9"/>
  <c r="S509" i="9"/>
  <c r="R509" i="9"/>
  <c r="S508" i="9"/>
  <c r="R508" i="9"/>
  <c r="S507" i="9"/>
  <c r="R507" i="9"/>
  <c r="S506" i="9"/>
  <c r="R506" i="9"/>
  <c r="S505" i="9"/>
  <c r="R505" i="9"/>
  <c r="S504" i="9"/>
  <c r="R504" i="9"/>
  <c r="S503" i="9"/>
  <c r="R503" i="9"/>
  <c r="S502" i="9"/>
  <c r="R502" i="9"/>
  <c r="S501" i="9"/>
  <c r="R501" i="9"/>
  <c r="S500" i="9"/>
  <c r="R500" i="9"/>
  <c r="S499" i="9"/>
  <c r="R499" i="9"/>
  <c r="S498" i="9"/>
  <c r="R498" i="9"/>
  <c r="S497" i="9"/>
  <c r="R497" i="9"/>
  <c r="S496" i="9"/>
  <c r="R496" i="9"/>
  <c r="S495" i="9"/>
  <c r="R495" i="9"/>
  <c r="S494" i="9"/>
  <c r="R494" i="9"/>
  <c r="S493" i="9"/>
  <c r="R493" i="9"/>
  <c r="S492" i="9"/>
  <c r="R492" i="9"/>
  <c r="S491" i="9"/>
  <c r="R491" i="9"/>
  <c r="S490" i="9"/>
  <c r="R490" i="9"/>
  <c r="S489" i="9"/>
  <c r="R489" i="9"/>
  <c r="S488" i="9"/>
  <c r="R488" i="9"/>
  <c r="S487" i="9"/>
  <c r="R487" i="9"/>
  <c r="S486" i="9"/>
  <c r="R486" i="9"/>
  <c r="S485" i="9"/>
  <c r="R485" i="9"/>
  <c r="S484" i="9"/>
  <c r="R484" i="9"/>
  <c r="S483" i="9"/>
  <c r="R483" i="9"/>
  <c r="S482" i="9"/>
  <c r="R482" i="9"/>
  <c r="S481" i="9"/>
  <c r="R481" i="9"/>
  <c r="S480" i="9"/>
  <c r="R480" i="9"/>
  <c r="S479" i="9"/>
  <c r="R479" i="9"/>
  <c r="S478" i="9"/>
  <c r="R478" i="9"/>
  <c r="S477" i="9"/>
  <c r="R477" i="9"/>
  <c r="S476" i="9"/>
  <c r="R476" i="9"/>
  <c r="S475" i="9"/>
  <c r="R475" i="9"/>
  <c r="S474" i="9"/>
  <c r="R474" i="9"/>
  <c r="S473" i="9"/>
  <c r="R473" i="9"/>
  <c r="S472" i="9"/>
  <c r="R472" i="9"/>
  <c r="S471" i="9"/>
  <c r="R471" i="9"/>
  <c r="S470" i="9"/>
  <c r="R470" i="9"/>
  <c r="S469" i="9"/>
  <c r="R469" i="9"/>
  <c r="S468" i="9"/>
  <c r="R468" i="9"/>
  <c r="S467" i="9"/>
  <c r="R467" i="9"/>
  <c r="S466" i="9"/>
  <c r="R466" i="9"/>
  <c r="S465" i="9"/>
  <c r="R465" i="9"/>
  <c r="S464" i="9"/>
  <c r="R464" i="9"/>
  <c r="S463" i="9"/>
  <c r="R463" i="9"/>
  <c r="S462" i="9"/>
  <c r="R462" i="9"/>
  <c r="S461" i="9"/>
  <c r="R461" i="9"/>
  <c r="S460" i="9"/>
  <c r="R460" i="9"/>
  <c r="S459" i="9"/>
  <c r="R459" i="9"/>
  <c r="S458" i="9"/>
  <c r="R458" i="9"/>
  <c r="S457" i="9"/>
  <c r="R457" i="9"/>
  <c r="S456" i="9"/>
  <c r="R456" i="9"/>
  <c r="S455" i="9"/>
  <c r="R455" i="9"/>
  <c r="S454" i="9"/>
  <c r="R454" i="9"/>
  <c r="S453" i="9"/>
  <c r="R453" i="9"/>
  <c r="S452" i="9"/>
  <c r="R452" i="9"/>
  <c r="S451" i="9"/>
  <c r="R451" i="9"/>
  <c r="S450" i="9"/>
  <c r="R450" i="9"/>
  <c r="S449" i="9"/>
  <c r="R449" i="9"/>
  <c r="S448" i="9"/>
  <c r="R448" i="9"/>
  <c r="S447" i="9"/>
  <c r="R447" i="9"/>
  <c r="S446" i="9"/>
  <c r="R446" i="9"/>
  <c r="S445" i="9"/>
  <c r="R445" i="9"/>
  <c r="S444" i="9"/>
  <c r="R444" i="9"/>
  <c r="S443" i="9"/>
  <c r="R443" i="9"/>
  <c r="S442" i="9"/>
  <c r="R442" i="9"/>
  <c r="S441" i="9"/>
  <c r="R441" i="9"/>
  <c r="S440" i="9"/>
  <c r="R440" i="9"/>
  <c r="S439" i="9"/>
  <c r="R439" i="9"/>
  <c r="S438" i="9"/>
  <c r="R438" i="9"/>
  <c r="S437" i="9"/>
  <c r="R437" i="9"/>
  <c r="S436" i="9"/>
  <c r="R436" i="9"/>
  <c r="S435" i="9"/>
  <c r="R435" i="9"/>
  <c r="S434" i="9"/>
  <c r="R434" i="9"/>
  <c r="S433" i="9"/>
  <c r="R433" i="9"/>
  <c r="S432" i="9"/>
  <c r="R432" i="9"/>
  <c r="S431" i="9"/>
  <c r="R431" i="9"/>
  <c r="S430" i="9"/>
  <c r="R430" i="9"/>
  <c r="S429" i="9"/>
  <c r="R429" i="9"/>
  <c r="S428" i="9"/>
  <c r="R428" i="9"/>
  <c r="S427" i="9"/>
  <c r="R427" i="9"/>
  <c r="S426" i="9"/>
  <c r="R426" i="9"/>
  <c r="S425" i="9"/>
  <c r="R425" i="9"/>
  <c r="S424" i="9"/>
  <c r="R424" i="9"/>
  <c r="S423" i="9"/>
  <c r="R423" i="9"/>
  <c r="S422" i="9"/>
  <c r="R422" i="9"/>
  <c r="S421" i="9"/>
  <c r="R421" i="9"/>
  <c r="S420" i="9"/>
  <c r="R420" i="9"/>
  <c r="S419" i="9"/>
  <c r="R419" i="9"/>
  <c r="S418" i="9"/>
  <c r="R418" i="9"/>
  <c r="S417" i="9"/>
  <c r="R417" i="9"/>
  <c r="S416" i="9"/>
  <c r="R416" i="9"/>
  <c r="S415" i="9"/>
  <c r="R415" i="9"/>
  <c r="S414" i="9"/>
  <c r="R414" i="9"/>
  <c r="S413" i="9"/>
  <c r="R413" i="9"/>
  <c r="S412" i="9"/>
  <c r="R412" i="9"/>
  <c r="S411" i="9"/>
  <c r="R411" i="9"/>
  <c r="S410" i="9"/>
  <c r="R410" i="9"/>
  <c r="S409" i="9"/>
  <c r="R409" i="9"/>
  <c r="S408" i="9"/>
  <c r="R408" i="9"/>
  <c r="S407" i="9"/>
  <c r="R407" i="9"/>
  <c r="S406" i="9"/>
  <c r="R406" i="9"/>
  <c r="S405" i="9"/>
  <c r="R405" i="9"/>
  <c r="S404" i="9"/>
  <c r="R404" i="9"/>
  <c r="S403" i="9"/>
  <c r="R403" i="9"/>
  <c r="S402" i="9"/>
  <c r="R402" i="9"/>
  <c r="S401" i="9"/>
  <c r="R401" i="9"/>
  <c r="S400" i="9"/>
  <c r="R400" i="9"/>
  <c r="S399" i="9"/>
  <c r="R399" i="9"/>
  <c r="S398" i="9"/>
  <c r="R398" i="9"/>
  <c r="S397" i="9"/>
  <c r="R397" i="9"/>
  <c r="S396" i="9"/>
  <c r="R396" i="9"/>
  <c r="S395" i="9"/>
  <c r="R395" i="9"/>
  <c r="S394" i="9"/>
  <c r="R394" i="9"/>
  <c r="S393" i="9"/>
  <c r="R393" i="9"/>
  <c r="S392" i="9"/>
  <c r="R392" i="9"/>
  <c r="S391" i="9"/>
  <c r="R391" i="9"/>
  <c r="S390" i="9"/>
  <c r="R390" i="9"/>
  <c r="S389" i="9"/>
  <c r="R389" i="9"/>
  <c r="S388" i="9"/>
  <c r="R388" i="9"/>
  <c r="S387" i="9"/>
  <c r="R387" i="9"/>
  <c r="S386" i="9"/>
  <c r="R386" i="9"/>
  <c r="S385" i="9"/>
  <c r="R385" i="9"/>
  <c r="S384" i="9"/>
  <c r="R384" i="9"/>
  <c r="S383" i="9"/>
  <c r="R383" i="9"/>
  <c r="S382" i="9"/>
  <c r="R382" i="9"/>
  <c r="S381" i="9"/>
  <c r="R381" i="9"/>
  <c r="S380" i="9"/>
  <c r="R380" i="9"/>
  <c r="S379" i="9"/>
  <c r="R379" i="9"/>
  <c r="S378" i="9"/>
  <c r="R378" i="9"/>
  <c r="S377" i="9"/>
  <c r="R377" i="9"/>
  <c r="S376" i="9"/>
  <c r="R376" i="9"/>
  <c r="S375" i="9"/>
  <c r="R375" i="9"/>
  <c r="S374" i="9"/>
  <c r="R374" i="9"/>
  <c r="S373" i="9"/>
  <c r="R373" i="9"/>
  <c r="S372" i="9"/>
  <c r="R372" i="9"/>
  <c r="S371" i="9"/>
  <c r="R371" i="9"/>
  <c r="S370" i="9"/>
  <c r="R370" i="9"/>
  <c r="S369" i="9"/>
  <c r="R369" i="9"/>
  <c r="S368" i="9"/>
  <c r="R368" i="9"/>
  <c r="S367" i="9"/>
  <c r="R367" i="9"/>
  <c r="S366" i="9"/>
  <c r="R366" i="9"/>
  <c r="S365" i="9"/>
  <c r="R365" i="9"/>
  <c r="S364" i="9"/>
  <c r="R364" i="9"/>
  <c r="S363" i="9"/>
  <c r="R363" i="9"/>
  <c r="S362" i="9"/>
  <c r="R362" i="9"/>
  <c r="S361" i="9"/>
  <c r="R361" i="9"/>
  <c r="S360" i="9"/>
  <c r="R360" i="9"/>
  <c r="S359" i="9"/>
  <c r="R359" i="9"/>
  <c r="S358" i="9"/>
  <c r="R358" i="9"/>
  <c r="S357" i="9"/>
  <c r="R357" i="9"/>
  <c r="S356" i="9"/>
  <c r="R356" i="9"/>
  <c r="S355" i="9"/>
  <c r="R355" i="9"/>
  <c r="S354" i="9"/>
  <c r="R354" i="9"/>
  <c r="S353" i="9"/>
  <c r="R353" i="9"/>
  <c r="S352" i="9"/>
  <c r="R352" i="9"/>
  <c r="S351" i="9"/>
  <c r="R351" i="9"/>
  <c r="S350" i="9"/>
  <c r="R350" i="9"/>
  <c r="S349" i="9"/>
  <c r="R349" i="9"/>
  <c r="S348" i="9"/>
  <c r="R348" i="9"/>
  <c r="S347" i="9"/>
  <c r="R347" i="9"/>
  <c r="S346" i="9"/>
  <c r="R346" i="9"/>
  <c r="S345" i="9"/>
  <c r="R345" i="9"/>
  <c r="S344" i="9"/>
  <c r="R344" i="9"/>
  <c r="S343" i="9"/>
  <c r="R343" i="9"/>
  <c r="S342" i="9"/>
  <c r="R342" i="9"/>
  <c r="S341" i="9"/>
  <c r="R341" i="9"/>
  <c r="S340" i="9"/>
  <c r="R340" i="9"/>
  <c r="S339" i="9"/>
  <c r="R339" i="9"/>
  <c r="S338" i="9"/>
  <c r="R338" i="9"/>
  <c r="S337" i="9"/>
  <c r="R337" i="9"/>
  <c r="S336" i="9"/>
  <c r="R336" i="9"/>
  <c r="S335" i="9"/>
  <c r="R335" i="9"/>
  <c r="S334" i="9"/>
  <c r="R334" i="9"/>
  <c r="S333" i="9"/>
  <c r="R333" i="9"/>
  <c r="S332" i="9"/>
  <c r="R332" i="9"/>
  <c r="S331" i="9"/>
  <c r="R331" i="9"/>
  <c r="S330" i="9"/>
  <c r="R330" i="9"/>
  <c r="S329" i="9"/>
  <c r="R329" i="9"/>
  <c r="S328" i="9"/>
  <c r="R328" i="9"/>
  <c r="S327" i="9"/>
  <c r="R327" i="9"/>
  <c r="S326" i="9"/>
  <c r="R326" i="9"/>
  <c r="S325" i="9"/>
  <c r="R325" i="9"/>
  <c r="S324" i="9"/>
  <c r="R324" i="9"/>
  <c r="S323" i="9"/>
  <c r="R323" i="9"/>
  <c r="S322" i="9"/>
  <c r="R322" i="9"/>
  <c r="S321" i="9"/>
  <c r="R321" i="9"/>
  <c r="S320" i="9"/>
  <c r="R320" i="9"/>
  <c r="S319" i="9"/>
  <c r="R319" i="9"/>
  <c r="S318" i="9"/>
  <c r="R318" i="9"/>
  <c r="S317" i="9"/>
  <c r="R317" i="9"/>
  <c r="S316" i="9"/>
  <c r="R316" i="9"/>
  <c r="S315" i="9"/>
  <c r="R315" i="9"/>
  <c r="S314" i="9"/>
  <c r="R314" i="9"/>
  <c r="S313" i="9"/>
  <c r="R313" i="9"/>
  <c r="S312" i="9"/>
  <c r="R312" i="9"/>
  <c r="S311" i="9"/>
  <c r="R311" i="9"/>
  <c r="S310" i="9"/>
  <c r="R310" i="9"/>
  <c r="S309" i="9"/>
  <c r="R309" i="9"/>
  <c r="S308" i="9"/>
  <c r="R308" i="9"/>
  <c r="S307" i="9"/>
  <c r="R307" i="9"/>
  <c r="S306" i="9"/>
  <c r="R306" i="9"/>
  <c r="S305" i="9"/>
  <c r="R305" i="9"/>
  <c r="S304" i="9"/>
  <c r="R304" i="9"/>
  <c r="S303" i="9"/>
  <c r="R303" i="9"/>
  <c r="S302" i="9"/>
  <c r="R302" i="9"/>
  <c r="S301" i="9"/>
  <c r="R301" i="9"/>
  <c r="S300" i="9"/>
  <c r="R300" i="9"/>
  <c r="S299" i="9"/>
  <c r="R299" i="9"/>
  <c r="S298" i="9"/>
  <c r="R298" i="9"/>
  <c r="S297" i="9"/>
  <c r="R297" i="9"/>
  <c r="S296" i="9"/>
  <c r="R296" i="9"/>
  <c r="S295" i="9"/>
  <c r="R295" i="9"/>
  <c r="S294" i="9"/>
  <c r="R294" i="9"/>
  <c r="S293" i="9"/>
  <c r="R293" i="9"/>
  <c r="S292" i="9"/>
  <c r="R292" i="9"/>
  <c r="S291" i="9"/>
  <c r="R291" i="9"/>
  <c r="S290" i="9"/>
  <c r="R290" i="9"/>
  <c r="S289" i="9"/>
  <c r="R289" i="9"/>
  <c r="S288" i="9"/>
  <c r="R288" i="9"/>
  <c r="S287" i="9"/>
  <c r="R287" i="9"/>
  <c r="S286" i="9"/>
  <c r="R286" i="9"/>
  <c r="S285" i="9"/>
  <c r="R285" i="9"/>
  <c r="S284" i="9"/>
  <c r="R284" i="9"/>
  <c r="S283" i="9"/>
  <c r="R283" i="9"/>
  <c r="S282" i="9"/>
  <c r="R282" i="9"/>
  <c r="S281" i="9"/>
  <c r="R281" i="9"/>
  <c r="S280" i="9"/>
  <c r="R280" i="9"/>
  <c r="S279" i="9"/>
  <c r="R279" i="9"/>
  <c r="S278" i="9"/>
  <c r="R278" i="9"/>
  <c r="S277" i="9"/>
  <c r="R277" i="9"/>
  <c r="S276" i="9"/>
  <c r="R276" i="9"/>
  <c r="S275" i="9"/>
  <c r="R275" i="9"/>
  <c r="S274" i="9"/>
  <c r="R274" i="9"/>
  <c r="S273" i="9"/>
  <c r="R273" i="9"/>
  <c r="S272" i="9"/>
  <c r="R272" i="9"/>
  <c r="S271" i="9"/>
  <c r="R271" i="9"/>
  <c r="S270" i="9"/>
  <c r="R270" i="9"/>
  <c r="S269" i="9"/>
  <c r="R269" i="9"/>
  <c r="S268" i="9"/>
  <c r="R268" i="9"/>
  <c r="S267" i="9"/>
  <c r="R267" i="9"/>
  <c r="S266" i="9"/>
  <c r="R266" i="9"/>
  <c r="S265" i="9"/>
  <c r="R265" i="9"/>
  <c r="S264" i="9"/>
  <c r="R264" i="9"/>
  <c r="S263" i="9"/>
  <c r="R263" i="9"/>
  <c r="S262" i="9"/>
  <c r="R262" i="9"/>
  <c r="S261" i="9"/>
  <c r="R261" i="9"/>
  <c r="S260" i="9"/>
  <c r="R260" i="9"/>
  <c r="S259" i="9"/>
  <c r="R259" i="9"/>
  <c r="S258" i="9"/>
  <c r="R258" i="9"/>
  <c r="S257" i="9"/>
  <c r="R257" i="9"/>
  <c r="S256" i="9"/>
  <c r="R256" i="9"/>
  <c r="S255" i="9"/>
  <c r="R255" i="9"/>
  <c r="S254" i="9"/>
  <c r="R254" i="9"/>
  <c r="S253" i="9"/>
  <c r="R253" i="9"/>
  <c r="S252" i="9"/>
  <c r="R252" i="9"/>
  <c r="S251" i="9"/>
  <c r="R251" i="9"/>
  <c r="S250" i="9"/>
  <c r="R250" i="9"/>
  <c r="S249" i="9"/>
  <c r="R249" i="9"/>
  <c r="S248" i="9"/>
  <c r="R248" i="9"/>
  <c r="S247" i="9"/>
  <c r="R247" i="9"/>
  <c r="S246" i="9"/>
  <c r="R246" i="9"/>
  <c r="S245" i="9"/>
  <c r="R245" i="9"/>
  <c r="S244" i="9"/>
  <c r="R244" i="9"/>
  <c r="S243" i="9"/>
  <c r="R243" i="9"/>
  <c r="S242" i="9"/>
  <c r="R242" i="9"/>
  <c r="S241" i="9"/>
  <c r="R241" i="9"/>
  <c r="S240" i="9"/>
  <c r="R240" i="9"/>
  <c r="S239" i="9"/>
  <c r="R239" i="9"/>
  <c r="S238" i="9"/>
  <c r="R238" i="9"/>
  <c r="S237" i="9"/>
  <c r="R237" i="9"/>
  <c r="S236" i="9"/>
  <c r="R236" i="9"/>
  <c r="S235" i="9"/>
  <c r="R235" i="9"/>
  <c r="S234" i="9"/>
  <c r="R234" i="9"/>
  <c r="S233" i="9"/>
  <c r="R233" i="9"/>
  <c r="S232" i="9"/>
  <c r="R232" i="9"/>
  <c r="S231" i="9"/>
  <c r="R231" i="9"/>
  <c r="S230" i="9"/>
  <c r="R230" i="9"/>
  <c r="S229" i="9"/>
  <c r="R229" i="9"/>
  <c r="S228" i="9"/>
  <c r="R228" i="9"/>
  <c r="S227" i="9"/>
  <c r="R227" i="9"/>
  <c r="S226" i="9"/>
  <c r="R226" i="9"/>
  <c r="S225" i="9"/>
  <c r="R225" i="9"/>
  <c r="S224" i="9"/>
  <c r="R224" i="9"/>
  <c r="S223" i="9"/>
  <c r="R223" i="9"/>
  <c r="S222" i="9"/>
  <c r="R222" i="9"/>
  <c r="S221" i="9"/>
  <c r="R221" i="9"/>
  <c r="S220" i="9"/>
  <c r="R220" i="9"/>
  <c r="S219" i="9"/>
  <c r="R219" i="9"/>
  <c r="S218" i="9"/>
  <c r="R218" i="9"/>
  <c r="S217" i="9"/>
  <c r="R217" i="9"/>
  <c r="S216" i="9"/>
  <c r="R216" i="9"/>
  <c r="S215" i="9"/>
  <c r="R215" i="9"/>
  <c r="S214" i="9"/>
  <c r="R214" i="9"/>
  <c r="S213" i="9"/>
  <c r="R213" i="9"/>
  <c r="S212" i="9"/>
  <c r="R212" i="9"/>
  <c r="S211" i="9"/>
  <c r="R211" i="9"/>
  <c r="S210" i="9"/>
  <c r="R210" i="9"/>
  <c r="S209" i="9"/>
  <c r="R209" i="9"/>
  <c r="S208" i="9"/>
  <c r="R208" i="9"/>
  <c r="S207" i="9"/>
  <c r="R207" i="9"/>
  <c r="S206" i="9"/>
  <c r="R206" i="9"/>
  <c r="S205" i="9"/>
  <c r="R205" i="9"/>
  <c r="S204" i="9"/>
  <c r="R204" i="9"/>
  <c r="S203" i="9"/>
  <c r="R203" i="9"/>
  <c r="S202" i="9"/>
  <c r="R202" i="9"/>
  <c r="S201" i="9"/>
  <c r="R201" i="9"/>
  <c r="S200" i="9"/>
  <c r="R200" i="9"/>
  <c r="S199" i="9"/>
  <c r="R199" i="9"/>
  <c r="S198" i="9"/>
  <c r="R198" i="9"/>
  <c r="S197" i="9"/>
  <c r="R197" i="9"/>
  <c r="S196" i="9"/>
  <c r="R196" i="9"/>
  <c r="S195" i="9"/>
  <c r="R195" i="9"/>
  <c r="S194" i="9"/>
  <c r="R194" i="9"/>
  <c r="S193" i="9"/>
  <c r="R193" i="9"/>
  <c r="S192" i="9"/>
  <c r="R192" i="9"/>
  <c r="S191" i="9"/>
  <c r="R191" i="9"/>
  <c r="S190" i="9"/>
  <c r="R190" i="9"/>
  <c r="S189" i="9"/>
  <c r="R189" i="9"/>
  <c r="S188" i="9"/>
  <c r="R188" i="9"/>
  <c r="S187" i="9"/>
  <c r="R187" i="9"/>
  <c r="S186" i="9"/>
  <c r="R186" i="9"/>
  <c r="S185" i="9"/>
  <c r="R185" i="9"/>
  <c r="S184" i="9"/>
  <c r="R184" i="9"/>
  <c r="S183" i="9"/>
  <c r="R183" i="9"/>
  <c r="S182" i="9"/>
  <c r="R182" i="9"/>
  <c r="S181" i="9"/>
  <c r="R181" i="9"/>
  <c r="S180" i="9"/>
  <c r="R180" i="9"/>
  <c r="S179" i="9"/>
  <c r="R179" i="9"/>
  <c r="S178" i="9"/>
  <c r="R178" i="9"/>
  <c r="S177" i="9"/>
  <c r="R177" i="9"/>
  <c r="S176" i="9"/>
  <c r="R176" i="9"/>
  <c r="S175" i="9"/>
  <c r="R175" i="9"/>
  <c r="S174" i="9"/>
  <c r="R174" i="9"/>
  <c r="S173" i="9"/>
  <c r="R173" i="9"/>
  <c r="S172" i="9"/>
  <c r="R172" i="9"/>
  <c r="S171" i="9"/>
  <c r="R171" i="9"/>
  <c r="S170" i="9"/>
  <c r="R170" i="9"/>
  <c r="S169" i="9"/>
  <c r="R169" i="9"/>
  <c r="S168" i="9"/>
  <c r="R168" i="9"/>
  <c r="S167" i="9"/>
  <c r="R167" i="9"/>
  <c r="S166" i="9"/>
  <c r="R166" i="9"/>
  <c r="S165" i="9"/>
  <c r="R165" i="9"/>
  <c r="S164" i="9"/>
  <c r="R164" i="9"/>
  <c r="S163" i="9"/>
  <c r="R163" i="9"/>
  <c r="S162" i="9"/>
  <c r="R162" i="9"/>
  <c r="S161" i="9"/>
  <c r="R161" i="9"/>
  <c r="S160" i="9"/>
  <c r="R160" i="9"/>
  <c r="S159" i="9"/>
  <c r="R159" i="9"/>
  <c r="S158" i="9"/>
  <c r="R158" i="9"/>
  <c r="S157" i="9"/>
  <c r="R157" i="9"/>
  <c r="S156" i="9"/>
  <c r="R156" i="9"/>
  <c r="S155" i="9"/>
  <c r="R155" i="9"/>
  <c r="S154" i="9"/>
  <c r="R154" i="9"/>
  <c r="S153" i="9"/>
  <c r="R153" i="9"/>
  <c r="S152" i="9"/>
  <c r="R152" i="9"/>
  <c r="S151" i="9"/>
  <c r="R151" i="9"/>
  <c r="S150" i="9"/>
  <c r="R150" i="9"/>
  <c r="S149" i="9"/>
  <c r="R149" i="9"/>
  <c r="S148" i="9"/>
  <c r="R148" i="9"/>
  <c r="S147" i="9"/>
  <c r="R147" i="9"/>
  <c r="S146" i="9"/>
  <c r="R146" i="9"/>
  <c r="S145" i="9"/>
  <c r="R145" i="9"/>
  <c r="S144" i="9"/>
  <c r="R144" i="9"/>
  <c r="S143" i="9"/>
  <c r="R143" i="9"/>
  <c r="S142" i="9"/>
  <c r="R142" i="9"/>
  <c r="S141" i="9"/>
  <c r="R141" i="9"/>
  <c r="S140" i="9"/>
  <c r="R140" i="9"/>
  <c r="S139" i="9"/>
  <c r="R139" i="9"/>
  <c r="S138" i="9"/>
  <c r="R138" i="9"/>
  <c r="S137" i="9"/>
  <c r="R137" i="9"/>
  <c r="S136" i="9"/>
  <c r="R136" i="9"/>
  <c r="S135" i="9"/>
  <c r="R135" i="9"/>
  <c r="S134" i="9"/>
  <c r="R134" i="9"/>
  <c r="S133" i="9"/>
  <c r="R133" i="9"/>
  <c r="S132" i="9"/>
  <c r="R132" i="9"/>
  <c r="S131" i="9"/>
  <c r="R131" i="9"/>
  <c r="S130" i="9"/>
  <c r="R130" i="9"/>
  <c r="S129" i="9"/>
  <c r="R129" i="9"/>
  <c r="S128" i="9"/>
  <c r="R128" i="9"/>
  <c r="S127" i="9"/>
  <c r="R127" i="9"/>
  <c r="S126" i="9"/>
  <c r="R126" i="9"/>
  <c r="S125" i="9"/>
  <c r="R125" i="9"/>
  <c r="S124" i="9"/>
  <c r="R124" i="9"/>
  <c r="S123" i="9"/>
  <c r="R123" i="9"/>
  <c r="S122" i="9"/>
  <c r="R122" i="9"/>
  <c r="S121" i="9"/>
  <c r="R121" i="9"/>
  <c r="S120" i="9"/>
  <c r="R120" i="9"/>
  <c r="S119" i="9"/>
  <c r="R119" i="9"/>
  <c r="S118" i="9"/>
  <c r="R118" i="9"/>
  <c r="S117" i="9"/>
  <c r="R117" i="9"/>
  <c r="S116" i="9"/>
  <c r="R116" i="9"/>
  <c r="S115" i="9"/>
  <c r="R115" i="9"/>
  <c r="S114" i="9"/>
  <c r="R114" i="9"/>
  <c r="S113" i="9"/>
  <c r="R113" i="9"/>
  <c r="S112" i="9"/>
  <c r="R112" i="9"/>
  <c r="S111" i="9"/>
  <c r="R111" i="9"/>
  <c r="S110" i="9"/>
  <c r="R110" i="9"/>
  <c r="S109" i="9"/>
  <c r="R109" i="9"/>
  <c r="S108" i="9"/>
  <c r="R108" i="9"/>
  <c r="S107" i="9"/>
  <c r="R107" i="9"/>
  <c r="S106" i="9"/>
  <c r="R106" i="9"/>
  <c r="S105" i="9"/>
  <c r="R105" i="9"/>
  <c r="S104" i="9"/>
  <c r="R104" i="9"/>
  <c r="S103" i="9"/>
  <c r="R103" i="9"/>
  <c r="S102" i="9"/>
  <c r="R102" i="9"/>
  <c r="S101" i="9"/>
  <c r="R101" i="9"/>
  <c r="S100" i="9"/>
  <c r="R100" i="9"/>
  <c r="S99" i="9"/>
  <c r="R99" i="9"/>
  <c r="S98" i="9"/>
  <c r="R98" i="9"/>
  <c r="S97" i="9"/>
  <c r="R97" i="9"/>
  <c r="S96" i="9"/>
  <c r="R96" i="9"/>
  <c r="S95" i="9"/>
  <c r="R95" i="9"/>
  <c r="S94" i="9"/>
  <c r="R94" i="9"/>
  <c r="S93" i="9"/>
  <c r="R93" i="9"/>
  <c r="S92" i="9"/>
  <c r="R92" i="9"/>
  <c r="S91" i="9"/>
  <c r="R91" i="9"/>
  <c r="S90" i="9"/>
  <c r="R90" i="9"/>
  <c r="S89" i="9"/>
  <c r="R89" i="9"/>
  <c r="S88" i="9"/>
  <c r="R88" i="9"/>
  <c r="S87" i="9"/>
  <c r="R87" i="9"/>
  <c r="S86" i="9"/>
  <c r="R86" i="9"/>
  <c r="S85" i="9"/>
  <c r="R85" i="9"/>
  <c r="S84" i="9"/>
  <c r="R84" i="9"/>
  <c r="S83" i="9"/>
  <c r="R83" i="9"/>
  <c r="S82" i="9"/>
  <c r="R82" i="9"/>
  <c r="S81" i="9"/>
  <c r="R81" i="9"/>
  <c r="S80" i="9"/>
  <c r="R80" i="9"/>
  <c r="S79" i="9"/>
  <c r="R79" i="9"/>
  <c r="S78" i="9"/>
  <c r="R78" i="9"/>
  <c r="S77" i="9"/>
  <c r="R77" i="9"/>
  <c r="S76" i="9"/>
  <c r="R76" i="9"/>
  <c r="S75" i="9"/>
  <c r="R75" i="9"/>
  <c r="S74" i="9"/>
  <c r="R74" i="9"/>
  <c r="S73" i="9"/>
  <c r="R73" i="9"/>
  <c r="S72" i="9"/>
  <c r="R72" i="9"/>
  <c r="S71" i="9"/>
  <c r="R71" i="9"/>
  <c r="S70" i="9"/>
  <c r="R70" i="9"/>
  <c r="S69" i="9"/>
  <c r="R69" i="9"/>
  <c r="S68" i="9"/>
  <c r="R68" i="9"/>
  <c r="S67" i="9"/>
  <c r="R67" i="9"/>
  <c r="S66" i="9"/>
  <c r="R66" i="9"/>
  <c r="S65" i="9"/>
  <c r="R65" i="9"/>
  <c r="S64" i="9"/>
  <c r="R64" i="9"/>
  <c r="S63" i="9"/>
  <c r="R63" i="9"/>
  <c r="S62" i="9"/>
  <c r="R62" i="9"/>
  <c r="S61" i="9"/>
  <c r="R61" i="9"/>
  <c r="S60" i="9"/>
  <c r="R60" i="9"/>
  <c r="S59" i="9"/>
  <c r="R59" i="9"/>
  <c r="S58" i="9"/>
  <c r="R58" i="9"/>
  <c r="S57" i="9"/>
  <c r="R57" i="9"/>
  <c r="S56" i="9"/>
  <c r="R56" i="9"/>
  <c r="S55" i="9"/>
  <c r="R55" i="9"/>
  <c r="S54" i="9"/>
  <c r="R54" i="9"/>
  <c r="S53" i="9"/>
  <c r="R53" i="9"/>
  <c r="S52" i="9"/>
  <c r="R52" i="9"/>
  <c r="S51" i="9"/>
  <c r="R51" i="9"/>
  <c r="S50" i="9"/>
  <c r="R50" i="9"/>
  <c r="S49" i="9"/>
  <c r="R49" i="9"/>
  <c r="S48" i="9"/>
  <c r="R48" i="9"/>
  <c r="S47" i="9"/>
  <c r="R47" i="9"/>
  <c r="S46" i="9"/>
  <c r="R46" i="9"/>
  <c r="S45" i="9"/>
  <c r="R45" i="9"/>
  <c r="S44" i="9"/>
  <c r="R44" i="9"/>
  <c r="S43" i="9"/>
  <c r="R43" i="9"/>
  <c r="S42" i="9"/>
  <c r="R42" i="9"/>
  <c r="S41" i="9"/>
  <c r="R41" i="9"/>
  <c r="S40" i="9"/>
  <c r="R40" i="9"/>
  <c r="S39" i="9"/>
  <c r="R39" i="9"/>
  <c r="S38" i="9"/>
  <c r="R38" i="9"/>
  <c r="S37" i="9"/>
  <c r="R37" i="9"/>
  <c r="S36" i="9"/>
  <c r="R36" i="9"/>
  <c r="S35" i="9"/>
  <c r="R35" i="9"/>
  <c r="S34" i="9"/>
  <c r="R34" i="9"/>
  <c r="S33" i="9"/>
  <c r="R33" i="9"/>
  <c r="S32" i="9"/>
  <c r="R32" i="9"/>
  <c r="H38" i="4"/>
  <c r="F38" i="4"/>
  <c r="S277" i="7"/>
  <c r="R277" i="7"/>
  <c r="Q277" i="7"/>
  <c r="P277" i="7"/>
  <c r="O277" i="7"/>
  <c r="N277" i="7"/>
  <c r="S273" i="7"/>
  <c r="R273" i="7"/>
  <c r="Q273" i="7"/>
  <c r="P273" i="7"/>
  <c r="O273" i="7"/>
  <c r="N273" i="7"/>
  <c r="S84" i="7"/>
  <c r="R26" i="16"/>
  <c r="S30" i="16"/>
  <c r="S26" i="16"/>
  <c r="S29" i="16"/>
  <c r="Q205" i="4"/>
  <c r="Q207" i="4"/>
  <c r="S31" i="16"/>
  <c r="T30" i="16"/>
  <c r="J31" i="6"/>
  <c r="K31" i="6"/>
  <c r="L31" i="6"/>
  <c r="M31" i="6"/>
  <c r="U30" i="16"/>
  <c r="M79" i="6"/>
  <c r="M81" i="6"/>
  <c r="T29" i="16"/>
  <c r="R205" i="4"/>
  <c r="R207" i="4"/>
  <c r="T26" i="16"/>
  <c r="T31" i="16"/>
  <c r="U25" i="16"/>
  <c r="D50" i="5"/>
  <c r="O22" i="6"/>
  <c r="N22" i="6"/>
  <c r="U29" i="16"/>
  <c r="S205" i="4"/>
  <c r="S207" i="4"/>
  <c r="U26" i="16"/>
  <c r="U31" i="16"/>
  <c r="S209" i="4"/>
  <c r="F6" i="6"/>
  <c r="G6" i="6"/>
  <c r="R8" i="17"/>
  <c r="N6" i="5"/>
  <c r="Q8" i="17"/>
  <c r="M6" i="5"/>
  <c r="E12" i="24"/>
  <c r="H104" i="4"/>
  <c r="I6" i="24"/>
  <c r="G104" i="4"/>
  <c r="H6" i="24"/>
  <c r="F6" i="24"/>
  <c r="G6" i="24"/>
  <c r="J6" i="24"/>
  <c r="K6" i="24"/>
  <c r="L6" i="24"/>
  <c r="M6" i="24"/>
  <c r="N6" i="24"/>
  <c r="O6" i="24"/>
  <c r="P6" i="24"/>
  <c r="Q6" i="24"/>
  <c r="R6" i="24"/>
  <c r="S6" i="24"/>
  <c r="T6" i="24"/>
  <c r="E6" i="24"/>
  <c r="N22" i="19"/>
  <c r="E8" i="19"/>
  <c r="S97" i="4"/>
  <c r="S100" i="4"/>
  <c r="T31" i="19"/>
  <c r="N241" i="4"/>
  <c r="O241" i="4"/>
  <c r="P241" i="4"/>
  <c r="Q241" i="4"/>
  <c r="R241" i="4"/>
  <c r="S241" i="4"/>
  <c r="T40" i="18"/>
  <c r="S41" i="20"/>
  <c r="M102" i="7"/>
  <c r="S110" i="7"/>
  <c r="E194" i="7"/>
  <c r="S83" i="7"/>
  <c r="N122" i="4"/>
  <c r="O122" i="4"/>
  <c r="P122" i="4"/>
  <c r="Q122" i="4"/>
  <c r="R122" i="4"/>
  <c r="S122" i="4"/>
  <c r="D100" i="4"/>
  <c r="E31" i="19"/>
  <c r="E100" i="4"/>
  <c r="F31" i="19"/>
  <c r="E41" i="20"/>
  <c r="O97" i="4"/>
  <c r="O100" i="4"/>
  <c r="P31" i="19"/>
  <c r="P97" i="4"/>
  <c r="P100" i="4"/>
  <c r="Q31" i="19"/>
  <c r="Q97" i="4"/>
  <c r="Q100" i="4"/>
  <c r="R31" i="19"/>
  <c r="R97" i="4"/>
  <c r="R100" i="4"/>
  <c r="S31" i="19"/>
  <c r="N100" i="4"/>
  <c r="O31" i="19"/>
  <c r="N94" i="4"/>
  <c r="O94" i="4"/>
  <c r="P94" i="4"/>
  <c r="Q94" i="4"/>
  <c r="R94" i="4"/>
  <c r="S94" i="4"/>
  <c r="N75" i="4"/>
  <c r="O75" i="4"/>
  <c r="P75" i="4"/>
  <c r="Q75" i="4"/>
  <c r="R75" i="4"/>
  <c r="S75" i="4"/>
  <c r="T26" i="19"/>
  <c r="S11" i="20"/>
  <c r="Q209" i="4"/>
  <c r="R209" i="4"/>
  <c r="F11" i="7"/>
  <c r="G11" i="7"/>
  <c r="H11" i="7"/>
  <c r="I11" i="7"/>
  <c r="J11" i="7"/>
  <c r="K11" i="7"/>
  <c r="L11" i="7"/>
  <c r="M11" i="7"/>
  <c r="N11" i="7"/>
  <c r="O11" i="7"/>
  <c r="P11" i="7"/>
  <c r="Q11" i="7"/>
  <c r="R11" i="7"/>
  <c r="S11" i="7"/>
  <c r="E11" i="7"/>
  <c r="F8" i="7"/>
  <c r="G8" i="7"/>
  <c r="H8" i="7"/>
  <c r="I8" i="7"/>
  <c r="J8" i="7"/>
  <c r="K8" i="7"/>
  <c r="L8" i="7"/>
  <c r="M8" i="7"/>
  <c r="D12" i="17"/>
  <c r="E8" i="7"/>
  <c r="D56" i="17"/>
  <c r="C12" i="17"/>
  <c r="C56" i="17"/>
  <c r="E12" i="17"/>
  <c r="E56" i="17"/>
  <c r="N27" i="19"/>
  <c r="P74" i="4"/>
  <c r="P26" i="19"/>
  <c r="O11" i="20"/>
  <c r="N41" i="20"/>
  <c r="S74" i="4"/>
  <c r="S26" i="19"/>
  <c r="R11" i="20"/>
  <c r="R41" i="20"/>
  <c r="R74" i="4"/>
  <c r="R26" i="19"/>
  <c r="Q11" i="20"/>
  <c r="Q41" i="20"/>
  <c r="O41" i="20"/>
  <c r="O74" i="4"/>
  <c r="O26" i="19"/>
  <c r="N11" i="20"/>
  <c r="Q74" i="4"/>
  <c r="Q26" i="19"/>
  <c r="P11" i="20"/>
  <c r="P41" i="20"/>
  <c r="S109" i="7"/>
  <c r="R61" i="4"/>
  <c r="S61" i="4"/>
  <c r="Q61" i="4"/>
  <c r="N153" i="4"/>
  <c r="N155" i="4"/>
  <c r="N50" i="7"/>
  <c r="S108" i="7"/>
  <c r="P153" i="4"/>
  <c r="P155" i="4"/>
  <c r="G12" i="17"/>
  <c r="G56" i="17"/>
  <c r="O153" i="4"/>
  <c r="F12" i="17"/>
  <c r="F56" i="17"/>
  <c r="S82" i="7"/>
  <c r="N51" i="7"/>
  <c r="O155" i="4"/>
  <c r="S107" i="7"/>
  <c r="R153" i="4"/>
  <c r="R155" i="4"/>
  <c r="I12" i="17"/>
  <c r="I56" i="17"/>
  <c r="Q153" i="4"/>
  <c r="Q155" i="4"/>
  <c r="H12" i="17"/>
  <c r="H56" i="17"/>
  <c r="S81" i="7"/>
  <c r="O50" i="7"/>
  <c r="S106" i="7"/>
  <c r="S79" i="7"/>
  <c r="S153" i="4"/>
  <c r="S155" i="4"/>
  <c r="J12" i="17"/>
  <c r="J56" i="17"/>
  <c r="S105" i="7"/>
  <c r="S80" i="7"/>
  <c r="M121" i="6"/>
  <c r="L121" i="6"/>
  <c r="N118" i="6"/>
  <c r="O118" i="6"/>
  <c r="P118" i="6"/>
  <c r="Q118" i="6"/>
  <c r="R118" i="6"/>
  <c r="S118" i="6"/>
  <c r="L123" i="6"/>
  <c r="L122" i="6"/>
  <c r="M123" i="6"/>
  <c r="M122" i="6"/>
  <c r="G118" i="6"/>
  <c r="H118" i="6"/>
  <c r="I118" i="6"/>
  <c r="J118" i="6"/>
  <c r="G71" i="6"/>
  <c r="H71" i="6"/>
  <c r="I71" i="6"/>
  <c r="J71" i="6"/>
  <c r="O24" i="6"/>
  <c r="O26" i="6"/>
  <c r="P24" i="6"/>
  <c r="Q24" i="6"/>
  <c r="R24" i="6"/>
  <c r="S24" i="6"/>
  <c r="P22" i="6"/>
  <c r="Q22" i="6"/>
  <c r="R22" i="6"/>
  <c r="S22" i="6"/>
  <c r="O40" i="18"/>
  <c r="P40" i="18"/>
  <c r="Q40" i="18"/>
  <c r="R40" i="18"/>
  <c r="S40" i="18"/>
  <c r="F21" i="18"/>
  <c r="G21" i="18"/>
  <c r="H21" i="18"/>
  <c r="I21" i="18"/>
  <c r="J21" i="18"/>
  <c r="K21" i="18"/>
  <c r="L21" i="18"/>
  <c r="E21" i="18"/>
  <c r="O7" i="18"/>
  <c r="P7" i="18"/>
  <c r="Q7" i="18"/>
  <c r="R7" i="18"/>
  <c r="S7" i="18"/>
  <c r="T7" i="18"/>
  <c r="F41" i="17"/>
  <c r="G41" i="17"/>
  <c r="H41" i="17"/>
  <c r="I41" i="17"/>
  <c r="J41" i="17"/>
  <c r="E41" i="17"/>
  <c r="C37" i="17"/>
  <c r="D10" i="17"/>
  <c r="D54" i="17"/>
  <c r="C10" i="17"/>
  <c r="C54" i="17"/>
  <c r="D7" i="17"/>
  <c r="D51" i="17"/>
  <c r="E7" i="17"/>
  <c r="E51" i="17"/>
  <c r="F51" i="17"/>
  <c r="G7" i="17"/>
  <c r="G51" i="17"/>
  <c r="H7" i="17"/>
  <c r="H51" i="17"/>
  <c r="I7" i="17"/>
  <c r="I51" i="17"/>
  <c r="J7" i="17"/>
  <c r="J51" i="17"/>
  <c r="C7" i="17"/>
  <c r="C51" i="17"/>
  <c r="F66" i="17"/>
  <c r="S34" i="20"/>
  <c r="Q34" i="20"/>
  <c r="O34" i="20"/>
  <c r="R34" i="20"/>
  <c r="P34" i="20"/>
  <c r="S26" i="6"/>
  <c r="Q26" i="6"/>
  <c r="R26" i="6"/>
  <c r="P26" i="6"/>
  <c r="F22" i="17"/>
  <c r="G22" i="17"/>
  <c r="H22" i="17"/>
  <c r="G66" i="17"/>
  <c r="H66" i="17"/>
  <c r="I22" i="17"/>
  <c r="J6" i="6"/>
  <c r="I6" i="6"/>
  <c r="H6" i="6"/>
  <c r="I66" i="17"/>
  <c r="J22" i="17"/>
  <c r="J66" i="17"/>
  <c r="I37" i="5"/>
  <c r="G37" i="5"/>
  <c r="E37" i="5"/>
  <c r="S108" i="4"/>
  <c r="T2" i="24"/>
  <c r="R2" i="24"/>
  <c r="Q2" i="24"/>
  <c r="O2" i="24"/>
  <c r="N2" i="24"/>
  <c r="M2" i="24"/>
  <c r="L2" i="24"/>
  <c r="K2" i="24"/>
  <c r="J2" i="24"/>
  <c r="I2" i="24"/>
  <c r="H2" i="24"/>
  <c r="G2" i="24"/>
  <c r="F2" i="24"/>
  <c r="S2" i="24"/>
  <c r="E2" i="24"/>
  <c r="F3" i="22"/>
  <c r="G3" i="22"/>
  <c r="E2" i="22"/>
  <c r="T2" i="21"/>
  <c r="S2" i="21"/>
  <c r="R2" i="21"/>
  <c r="Q2" i="21"/>
  <c r="P2" i="21"/>
  <c r="O2" i="21"/>
  <c r="N2" i="21"/>
  <c r="M2" i="21"/>
  <c r="L2" i="21"/>
  <c r="K2" i="21"/>
  <c r="J2" i="21"/>
  <c r="I2" i="21"/>
  <c r="H2" i="21"/>
  <c r="G2" i="21"/>
  <c r="F2" i="21"/>
  <c r="E2" i="21"/>
  <c r="F3" i="20"/>
  <c r="G3" i="20"/>
  <c r="E2" i="20"/>
  <c r="T2" i="18"/>
  <c r="S2" i="18"/>
  <c r="R2" i="18"/>
  <c r="Q2" i="18"/>
  <c r="P2" i="18"/>
  <c r="O2" i="18"/>
  <c r="N2" i="18"/>
  <c r="M2" i="18"/>
  <c r="L2" i="18"/>
  <c r="K2" i="18"/>
  <c r="J2" i="18"/>
  <c r="I2" i="18"/>
  <c r="H2" i="18"/>
  <c r="G2" i="18"/>
  <c r="F2" i="18"/>
  <c r="E2" i="18"/>
  <c r="F3" i="19"/>
  <c r="G3" i="19"/>
  <c r="H3" i="19"/>
  <c r="E2" i="19"/>
  <c r="D44" i="5"/>
  <c r="E39" i="5"/>
  <c r="F40" i="5"/>
  <c r="G40" i="5"/>
  <c r="H40" i="5"/>
  <c r="I40" i="5"/>
  <c r="J40" i="5"/>
  <c r="E35" i="5"/>
  <c r="E50" i="5"/>
  <c r="R6" i="6"/>
  <c r="F2" i="20"/>
  <c r="H37" i="5"/>
  <c r="F37" i="5"/>
  <c r="J37" i="5"/>
  <c r="S6" i="6"/>
  <c r="E44" i="5"/>
  <c r="F35" i="5"/>
  <c r="F39" i="5"/>
  <c r="G39" i="5"/>
  <c r="H39" i="5"/>
  <c r="I39" i="5"/>
  <c r="J39" i="5"/>
  <c r="F2" i="19"/>
  <c r="M62" i="6"/>
  <c r="M72" i="6"/>
  <c r="S32" i="6"/>
  <c r="S40" i="6"/>
  <c r="S30" i="6"/>
  <c r="S38" i="6"/>
  <c r="H3" i="22"/>
  <c r="G2" i="22"/>
  <c r="F2" i="22"/>
  <c r="G2" i="20"/>
  <c r="H3" i="20"/>
  <c r="I3" i="19"/>
  <c r="H2" i="19"/>
  <c r="G2" i="19"/>
  <c r="G35" i="5"/>
  <c r="F50" i="5"/>
  <c r="F44" i="5"/>
  <c r="S42" i="6"/>
  <c r="I3" i="22"/>
  <c r="H2" i="22"/>
  <c r="I3" i="20"/>
  <c r="H2" i="20"/>
  <c r="J3" i="19"/>
  <c r="I2" i="19"/>
  <c r="S34" i="6"/>
  <c r="H35" i="5"/>
  <c r="G50" i="5"/>
  <c r="G44" i="5"/>
  <c r="S37" i="6"/>
  <c r="J3" i="22"/>
  <c r="I2" i="22"/>
  <c r="I2" i="20"/>
  <c r="J3" i="20"/>
  <c r="K3" i="19"/>
  <c r="J2" i="19"/>
  <c r="I35" i="5"/>
  <c r="H50" i="5"/>
  <c r="H44" i="5"/>
  <c r="K3" i="22"/>
  <c r="J2" i="22"/>
  <c r="K3" i="20"/>
  <c r="J2" i="20"/>
  <c r="L3" i="19"/>
  <c r="K2" i="19"/>
  <c r="J35" i="5"/>
  <c r="I50" i="5"/>
  <c r="I44" i="5"/>
  <c r="L3" i="22"/>
  <c r="K2" i="22"/>
  <c r="K2" i="20"/>
  <c r="L3" i="20"/>
  <c r="M3" i="19"/>
  <c r="L2" i="19"/>
  <c r="J50" i="5"/>
  <c r="J44" i="5"/>
  <c r="M3" i="22"/>
  <c r="L2" i="22"/>
  <c r="M3" i="20"/>
  <c r="L2" i="20"/>
  <c r="N3" i="19"/>
  <c r="M2" i="19"/>
  <c r="N3" i="22"/>
  <c r="M2" i="22"/>
  <c r="M2" i="20"/>
  <c r="N3" i="20"/>
  <c r="O3" i="19"/>
  <c r="N2" i="19"/>
  <c r="O3" i="22"/>
  <c r="N2" i="22"/>
  <c r="O3" i="20"/>
  <c r="N2" i="20"/>
  <c r="P3" i="19"/>
  <c r="O2" i="19"/>
  <c r="P3" i="22"/>
  <c r="O2" i="22"/>
  <c r="O2" i="20"/>
  <c r="P3" i="20"/>
  <c r="Q3" i="19"/>
  <c r="P2" i="19"/>
  <c r="Q3" i="22"/>
  <c r="P2" i="22"/>
  <c r="Q3" i="20"/>
  <c r="P2" i="20"/>
  <c r="R3" i="19"/>
  <c r="Q2" i="19"/>
  <c r="R3" i="22"/>
  <c r="Q2" i="22"/>
  <c r="Q2" i="20"/>
  <c r="R3" i="20"/>
  <c r="S3" i="19"/>
  <c r="R2" i="19"/>
  <c r="S3" i="22"/>
  <c r="R2" i="22"/>
  <c r="S3" i="20"/>
  <c r="S2" i="20"/>
  <c r="R2" i="20"/>
  <c r="T3" i="19"/>
  <c r="T2" i="19"/>
  <c r="S2" i="19"/>
  <c r="T3" i="22"/>
  <c r="T2" i="22"/>
  <c r="S2" i="22"/>
  <c r="E14" i="16"/>
  <c r="F14" i="16"/>
  <c r="F6" i="16"/>
  <c r="C14" i="16"/>
  <c r="D15" i="16"/>
  <c r="D14" i="16"/>
  <c r="D18" i="16"/>
  <c r="F11" i="16"/>
  <c r="F10" i="16"/>
  <c r="H10" i="16"/>
  <c r="E7" i="16"/>
  <c r="E6" i="16"/>
  <c r="M14" i="16"/>
  <c r="G10" i="16"/>
  <c r="M10" i="16"/>
  <c r="K10" i="16"/>
  <c r="Q2" i="16"/>
  <c r="R2" i="16"/>
  <c r="S2" i="16"/>
  <c r="T2" i="16"/>
  <c r="U2" i="16"/>
  <c r="P2" i="16"/>
  <c r="M6" i="16"/>
  <c r="R126" i="12"/>
  <c r="S126" i="12"/>
  <c r="T126" i="12"/>
  <c r="U126" i="12"/>
  <c r="V126" i="12"/>
  <c r="W126" i="12"/>
  <c r="X126" i="12"/>
  <c r="Y126" i="12"/>
  <c r="Z126" i="12"/>
  <c r="AA126" i="12"/>
  <c r="AB126" i="12"/>
  <c r="AC126" i="12"/>
  <c r="AD126" i="12"/>
  <c r="AE126" i="12"/>
  <c r="AF126" i="12"/>
  <c r="AG126" i="12"/>
  <c r="AH126" i="12"/>
  <c r="AI126" i="12"/>
  <c r="AJ126" i="12"/>
  <c r="AK126" i="12"/>
  <c r="AL126" i="12"/>
  <c r="AM126" i="12"/>
  <c r="AN126" i="12"/>
  <c r="R127" i="12"/>
  <c r="S127" i="12"/>
  <c r="T127" i="12"/>
  <c r="U127" i="12"/>
  <c r="V127" i="12"/>
  <c r="W127" i="12"/>
  <c r="X127" i="12"/>
  <c r="Y127" i="12"/>
  <c r="Z127" i="12"/>
  <c r="AA127" i="12"/>
  <c r="AB127" i="12"/>
  <c r="AC127" i="12"/>
  <c r="AD127" i="12"/>
  <c r="AE127" i="12"/>
  <c r="AF127" i="12"/>
  <c r="AG127" i="12"/>
  <c r="AH127" i="12"/>
  <c r="AI127" i="12"/>
  <c r="AJ127" i="12"/>
  <c r="AK127" i="12"/>
  <c r="AL127" i="12"/>
  <c r="AM127" i="12"/>
  <c r="AN127" i="12"/>
  <c r="R128" i="12"/>
  <c r="S128" i="12"/>
  <c r="T128" i="12"/>
  <c r="U128" i="12"/>
  <c r="V128" i="12"/>
  <c r="W128" i="12"/>
  <c r="X128" i="12"/>
  <c r="Y128" i="12"/>
  <c r="Z128" i="12"/>
  <c r="AA128" i="12"/>
  <c r="AB128" i="12"/>
  <c r="AC128" i="12"/>
  <c r="AD128" i="12"/>
  <c r="AE128" i="12"/>
  <c r="AF128" i="12"/>
  <c r="AG128" i="12"/>
  <c r="AH128" i="12"/>
  <c r="AI128" i="12"/>
  <c r="AJ128" i="12"/>
  <c r="AK128" i="12"/>
  <c r="AL128" i="12"/>
  <c r="AM128" i="12"/>
  <c r="AN128" i="12"/>
  <c r="R129" i="12"/>
  <c r="S129" i="12"/>
  <c r="T129" i="12"/>
  <c r="U129" i="12"/>
  <c r="V129" i="12"/>
  <c r="W129" i="12"/>
  <c r="X129" i="12"/>
  <c r="Y129" i="12"/>
  <c r="Z129" i="12"/>
  <c r="AA129" i="12"/>
  <c r="AB129" i="12"/>
  <c r="AC129" i="12"/>
  <c r="AD129" i="12"/>
  <c r="AE129" i="12"/>
  <c r="AF129" i="12"/>
  <c r="AG129" i="12"/>
  <c r="AH129" i="12"/>
  <c r="AI129" i="12"/>
  <c r="AJ129" i="12"/>
  <c r="AK129" i="12"/>
  <c r="AL129" i="12"/>
  <c r="AM129" i="12"/>
  <c r="AN129" i="12"/>
  <c r="R130" i="12"/>
  <c r="S130" i="12"/>
  <c r="T130" i="12"/>
  <c r="U130" i="12"/>
  <c r="V130" i="12"/>
  <c r="W130" i="12"/>
  <c r="X130" i="12"/>
  <c r="Y130" i="12"/>
  <c r="Z130" i="12"/>
  <c r="AA130" i="12"/>
  <c r="AB130" i="12"/>
  <c r="AC130" i="12"/>
  <c r="AD130" i="12"/>
  <c r="AE130" i="12"/>
  <c r="AF130" i="12"/>
  <c r="AG130" i="12"/>
  <c r="AH130" i="12"/>
  <c r="AI130" i="12"/>
  <c r="AJ130" i="12"/>
  <c r="AK130" i="12"/>
  <c r="AL130" i="12"/>
  <c r="AM130" i="12"/>
  <c r="AN130" i="12"/>
  <c r="R131" i="12"/>
  <c r="S131" i="12"/>
  <c r="T131" i="12"/>
  <c r="U131" i="12"/>
  <c r="V131" i="12"/>
  <c r="W131" i="12"/>
  <c r="X131" i="12"/>
  <c r="Y131" i="12"/>
  <c r="Z131" i="12"/>
  <c r="AA131" i="12"/>
  <c r="AB131" i="12"/>
  <c r="AC131" i="12"/>
  <c r="AD131" i="12"/>
  <c r="AE131" i="12"/>
  <c r="AF131" i="12"/>
  <c r="AG131" i="12"/>
  <c r="AH131" i="12"/>
  <c r="AI131" i="12"/>
  <c r="AJ131" i="12"/>
  <c r="AK131" i="12"/>
  <c r="AL131" i="12"/>
  <c r="AM131" i="12"/>
  <c r="AN131" i="12"/>
  <c r="R132" i="12"/>
  <c r="S132" i="12"/>
  <c r="T132" i="12"/>
  <c r="U132" i="12"/>
  <c r="V132" i="12"/>
  <c r="W132" i="12"/>
  <c r="X132" i="12"/>
  <c r="Y132" i="12"/>
  <c r="Z132" i="12"/>
  <c r="AA132" i="12"/>
  <c r="AB132" i="12"/>
  <c r="AC132" i="12"/>
  <c r="AD132" i="12"/>
  <c r="AE132" i="12"/>
  <c r="AF132" i="12"/>
  <c r="AG132" i="12"/>
  <c r="AH132" i="12"/>
  <c r="AI132" i="12"/>
  <c r="AJ132" i="12"/>
  <c r="AK132" i="12"/>
  <c r="AL132" i="12"/>
  <c r="AM132" i="12"/>
  <c r="AN132" i="12"/>
  <c r="R133" i="12"/>
  <c r="S133" i="12"/>
  <c r="T133" i="12"/>
  <c r="U133" i="12"/>
  <c r="V133" i="12"/>
  <c r="W133" i="12"/>
  <c r="X133" i="12"/>
  <c r="Y133" i="12"/>
  <c r="Z133" i="12"/>
  <c r="AA133" i="12"/>
  <c r="AB133" i="12"/>
  <c r="AC133" i="12"/>
  <c r="AD133" i="12"/>
  <c r="AE133" i="12"/>
  <c r="AF133" i="12"/>
  <c r="AG133" i="12"/>
  <c r="AH133" i="12"/>
  <c r="AI133" i="12"/>
  <c r="AJ133" i="12"/>
  <c r="AK133" i="12"/>
  <c r="AL133" i="12"/>
  <c r="AM133" i="12"/>
  <c r="AN133" i="12"/>
  <c r="R134" i="12"/>
  <c r="S134" i="12"/>
  <c r="T134" i="12"/>
  <c r="U134" i="12"/>
  <c r="V134" i="12"/>
  <c r="W134" i="12"/>
  <c r="X134" i="12"/>
  <c r="Y134" i="12"/>
  <c r="Z134" i="12"/>
  <c r="AA134" i="12"/>
  <c r="AB134" i="12"/>
  <c r="AC134" i="12"/>
  <c r="AD134" i="12"/>
  <c r="AE134" i="12"/>
  <c r="AF134" i="12"/>
  <c r="AG134" i="12"/>
  <c r="AH134" i="12"/>
  <c r="AI134" i="12"/>
  <c r="AJ134" i="12"/>
  <c r="AK134" i="12"/>
  <c r="AL134" i="12"/>
  <c r="AM134" i="12"/>
  <c r="AN134" i="12"/>
  <c r="R135" i="12"/>
  <c r="S135" i="12"/>
  <c r="T135" i="12"/>
  <c r="U135" i="12"/>
  <c r="V135" i="12"/>
  <c r="W135" i="12"/>
  <c r="X135" i="12"/>
  <c r="Y135" i="12"/>
  <c r="Z135" i="12"/>
  <c r="AA135" i="12"/>
  <c r="AB135" i="12"/>
  <c r="AC135" i="12"/>
  <c r="AD135" i="12"/>
  <c r="AE135" i="12"/>
  <c r="AF135" i="12"/>
  <c r="AG135" i="12"/>
  <c r="AH135" i="12"/>
  <c r="AI135" i="12"/>
  <c r="AJ135" i="12"/>
  <c r="AK135" i="12"/>
  <c r="AL135" i="12"/>
  <c r="AM135" i="12"/>
  <c r="AN135" i="12"/>
  <c r="R136" i="12"/>
  <c r="S136" i="12"/>
  <c r="T136" i="12"/>
  <c r="U136" i="12"/>
  <c r="V136" i="12"/>
  <c r="W136" i="12"/>
  <c r="X136" i="12"/>
  <c r="Y136" i="12"/>
  <c r="Z136" i="12"/>
  <c r="AA136" i="12"/>
  <c r="AB136" i="12"/>
  <c r="AC136" i="12"/>
  <c r="AD136" i="12"/>
  <c r="AE136" i="12"/>
  <c r="AF136" i="12"/>
  <c r="AG136" i="12"/>
  <c r="AH136" i="12"/>
  <c r="AI136" i="12"/>
  <c r="AJ136" i="12"/>
  <c r="AK136" i="12"/>
  <c r="AL136" i="12"/>
  <c r="AM136" i="12"/>
  <c r="AN136" i="12"/>
  <c r="R137" i="12"/>
  <c r="S137" i="12"/>
  <c r="T137" i="12"/>
  <c r="U137" i="12"/>
  <c r="V137" i="12"/>
  <c r="W137" i="12"/>
  <c r="X137" i="12"/>
  <c r="Y137" i="12"/>
  <c r="Z137" i="12"/>
  <c r="AA137" i="12"/>
  <c r="AB137" i="12"/>
  <c r="AC137" i="12"/>
  <c r="AD137" i="12"/>
  <c r="AE137" i="12"/>
  <c r="AF137" i="12"/>
  <c r="AG137" i="12"/>
  <c r="AH137" i="12"/>
  <c r="AI137" i="12"/>
  <c r="AJ137" i="12"/>
  <c r="AK137" i="12"/>
  <c r="AL137" i="12"/>
  <c r="AM137" i="12"/>
  <c r="AN137" i="12"/>
  <c r="R138" i="12"/>
  <c r="S138" i="12"/>
  <c r="T138" i="12"/>
  <c r="U138" i="12"/>
  <c r="V138" i="12"/>
  <c r="W138" i="12"/>
  <c r="X138" i="12"/>
  <c r="Y138" i="12"/>
  <c r="Z138" i="12"/>
  <c r="AA138" i="12"/>
  <c r="AB138" i="12"/>
  <c r="AC138" i="12"/>
  <c r="AD138" i="12"/>
  <c r="AE138" i="12"/>
  <c r="AF138" i="12"/>
  <c r="AG138" i="12"/>
  <c r="AH138" i="12"/>
  <c r="AI138" i="12"/>
  <c r="AJ138" i="12"/>
  <c r="AK138" i="12"/>
  <c r="AL138" i="12"/>
  <c r="AM138" i="12"/>
  <c r="AN138" i="12"/>
  <c r="R139" i="12"/>
  <c r="S139" i="12"/>
  <c r="T139" i="12"/>
  <c r="U139" i="12"/>
  <c r="V139" i="12"/>
  <c r="W139" i="12"/>
  <c r="X139" i="12"/>
  <c r="Y139" i="12"/>
  <c r="Z139" i="12"/>
  <c r="AA139" i="12"/>
  <c r="AB139" i="12"/>
  <c r="AC139" i="12"/>
  <c r="AD139" i="12"/>
  <c r="AE139" i="12"/>
  <c r="AF139" i="12"/>
  <c r="AG139" i="12"/>
  <c r="AH139" i="12"/>
  <c r="AI139" i="12"/>
  <c r="AJ139" i="12"/>
  <c r="AK139" i="12"/>
  <c r="AL139" i="12"/>
  <c r="AM139" i="12"/>
  <c r="AN139" i="12"/>
  <c r="R140" i="12"/>
  <c r="S140" i="12"/>
  <c r="T140" i="12"/>
  <c r="U140" i="12"/>
  <c r="V140" i="12"/>
  <c r="W140" i="12"/>
  <c r="X140" i="12"/>
  <c r="Y140" i="12"/>
  <c r="Z140" i="12"/>
  <c r="AA140" i="12"/>
  <c r="AB140" i="12"/>
  <c r="AC140" i="12"/>
  <c r="AD140" i="12"/>
  <c r="AE140" i="12"/>
  <c r="AF140" i="12"/>
  <c r="AG140" i="12"/>
  <c r="AH140" i="12"/>
  <c r="AI140" i="12"/>
  <c r="AJ140" i="12"/>
  <c r="AK140" i="12"/>
  <c r="AL140" i="12"/>
  <c r="AM140" i="12"/>
  <c r="AN140" i="12"/>
  <c r="R141" i="12"/>
  <c r="S141" i="12"/>
  <c r="T141" i="12"/>
  <c r="U141" i="12"/>
  <c r="V141" i="12"/>
  <c r="W141" i="12"/>
  <c r="X141" i="12"/>
  <c r="Y141" i="12"/>
  <c r="Z141" i="12"/>
  <c r="AA141" i="12"/>
  <c r="AB141" i="12"/>
  <c r="AC141" i="12"/>
  <c r="AD141" i="12"/>
  <c r="AE141" i="12"/>
  <c r="AF141" i="12"/>
  <c r="AG141" i="12"/>
  <c r="AH141" i="12"/>
  <c r="AI141" i="12"/>
  <c r="AJ141" i="12"/>
  <c r="AK141" i="12"/>
  <c r="AL141" i="12"/>
  <c r="AM141" i="12"/>
  <c r="AN141" i="12"/>
  <c r="R142" i="12"/>
  <c r="S142" i="12"/>
  <c r="T142" i="12"/>
  <c r="U142" i="12"/>
  <c r="V142" i="12"/>
  <c r="W142" i="12"/>
  <c r="X142" i="12"/>
  <c r="Y142" i="12"/>
  <c r="Z142" i="12"/>
  <c r="AA142" i="12"/>
  <c r="AB142" i="12"/>
  <c r="AC142" i="12"/>
  <c r="AD142" i="12"/>
  <c r="AE142" i="12"/>
  <c r="AF142" i="12"/>
  <c r="AG142" i="12"/>
  <c r="AH142" i="12"/>
  <c r="AI142" i="12"/>
  <c r="AJ142" i="12"/>
  <c r="AK142" i="12"/>
  <c r="AL142" i="12"/>
  <c r="AM142" i="12"/>
  <c r="AN142" i="12"/>
  <c r="R143" i="12"/>
  <c r="S143" i="12"/>
  <c r="T143" i="12"/>
  <c r="U143" i="12"/>
  <c r="V143" i="12"/>
  <c r="W143" i="12"/>
  <c r="X143" i="12"/>
  <c r="Y143" i="12"/>
  <c r="Z143" i="12"/>
  <c r="AA143" i="12"/>
  <c r="AB143" i="12"/>
  <c r="AC143" i="12"/>
  <c r="AD143" i="12"/>
  <c r="AE143" i="12"/>
  <c r="AF143" i="12"/>
  <c r="AG143" i="12"/>
  <c r="AH143" i="12"/>
  <c r="AI143" i="12"/>
  <c r="AJ143" i="12"/>
  <c r="AK143" i="12"/>
  <c r="AL143" i="12"/>
  <c r="AM143" i="12"/>
  <c r="AN143" i="12"/>
  <c r="R145" i="12"/>
  <c r="S145" i="12"/>
  <c r="T145" i="12"/>
  <c r="U145" i="12"/>
  <c r="V145" i="12"/>
  <c r="W145" i="12"/>
  <c r="X145" i="12"/>
  <c r="Y145" i="12"/>
  <c r="Z145" i="12"/>
  <c r="AA145" i="12"/>
  <c r="AB145" i="12"/>
  <c r="AC145" i="12"/>
  <c r="AD145" i="12"/>
  <c r="AE145" i="12"/>
  <c r="AF145" i="12"/>
  <c r="AG145" i="12"/>
  <c r="AH145" i="12"/>
  <c r="AI145" i="12"/>
  <c r="AJ145" i="12"/>
  <c r="AK145" i="12"/>
  <c r="AL145" i="12"/>
  <c r="AM145" i="12"/>
  <c r="AN145" i="12"/>
  <c r="R146" i="12"/>
  <c r="S146" i="12"/>
  <c r="T146" i="12"/>
  <c r="U146" i="12"/>
  <c r="V146" i="12"/>
  <c r="W146" i="12"/>
  <c r="X146" i="12"/>
  <c r="Y146" i="12"/>
  <c r="Z146" i="12"/>
  <c r="AA146" i="12"/>
  <c r="AB146" i="12"/>
  <c r="AC146" i="12"/>
  <c r="AD146" i="12"/>
  <c r="AE146" i="12"/>
  <c r="AF146" i="12"/>
  <c r="AG146" i="12"/>
  <c r="AH146" i="12"/>
  <c r="AI146" i="12"/>
  <c r="AJ146" i="12"/>
  <c r="AK146" i="12"/>
  <c r="AL146" i="12"/>
  <c r="AM146" i="12"/>
  <c r="AN146" i="12"/>
  <c r="R147" i="12"/>
  <c r="S147" i="12"/>
  <c r="T147" i="12"/>
  <c r="U147" i="12"/>
  <c r="V147" i="12"/>
  <c r="W147" i="12"/>
  <c r="X147" i="12"/>
  <c r="Y147" i="12"/>
  <c r="Z147" i="12"/>
  <c r="AA147" i="12"/>
  <c r="AB147" i="12"/>
  <c r="AC147" i="12"/>
  <c r="AD147" i="12"/>
  <c r="AE147" i="12"/>
  <c r="AF147" i="12"/>
  <c r="AG147" i="12"/>
  <c r="AH147" i="12"/>
  <c r="AI147" i="12"/>
  <c r="AJ147" i="12"/>
  <c r="AK147" i="12"/>
  <c r="AL147" i="12"/>
  <c r="AM147" i="12"/>
  <c r="AN147" i="12"/>
  <c r="R148" i="12"/>
  <c r="S148" i="12"/>
  <c r="T148" i="12"/>
  <c r="U148" i="12"/>
  <c r="V148" i="12"/>
  <c r="W148" i="12"/>
  <c r="X148" i="12"/>
  <c r="Y148" i="12"/>
  <c r="Z148" i="12"/>
  <c r="AA148" i="12"/>
  <c r="AB148" i="12"/>
  <c r="AC148" i="12"/>
  <c r="AD148" i="12"/>
  <c r="AE148" i="12"/>
  <c r="AF148" i="12"/>
  <c r="AG148" i="12"/>
  <c r="AH148" i="12"/>
  <c r="AI148" i="12"/>
  <c r="AJ148" i="12"/>
  <c r="AK148" i="12"/>
  <c r="AL148" i="12"/>
  <c r="AM148" i="12"/>
  <c r="AN148" i="12"/>
  <c r="R149" i="12"/>
  <c r="S149" i="12"/>
  <c r="T149" i="12"/>
  <c r="U149" i="12"/>
  <c r="V149" i="12"/>
  <c r="W149" i="12"/>
  <c r="X149" i="12"/>
  <c r="Y149" i="12"/>
  <c r="Z149" i="12"/>
  <c r="AA149" i="12"/>
  <c r="AB149" i="12"/>
  <c r="AC149" i="12"/>
  <c r="AD149" i="12"/>
  <c r="AE149" i="12"/>
  <c r="AF149" i="12"/>
  <c r="AG149" i="12"/>
  <c r="AH149" i="12"/>
  <c r="AI149" i="12"/>
  <c r="AJ149" i="12"/>
  <c r="AK149" i="12"/>
  <c r="AL149" i="12"/>
  <c r="AM149" i="12"/>
  <c r="AN149" i="12"/>
  <c r="R150" i="12"/>
  <c r="S150" i="12"/>
  <c r="T150" i="12"/>
  <c r="U150" i="12"/>
  <c r="V150" i="12"/>
  <c r="W150" i="12"/>
  <c r="X150" i="12"/>
  <c r="Y150" i="12"/>
  <c r="Z150" i="12"/>
  <c r="AA150" i="12"/>
  <c r="AB150" i="12"/>
  <c r="AC150" i="12"/>
  <c r="AD150" i="12"/>
  <c r="AE150" i="12"/>
  <c r="AF150" i="12"/>
  <c r="AG150" i="12"/>
  <c r="AH150" i="12"/>
  <c r="AI150" i="12"/>
  <c r="AJ150" i="12"/>
  <c r="AK150" i="12"/>
  <c r="AL150" i="12"/>
  <c r="AM150" i="12"/>
  <c r="AN150" i="12"/>
  <c r="R151" i="12"/>
  <c r="S151" i="12"/>
  <c r="T151" i="12"/>
  <c r="U151" i="12"/>
  <c r="V151" i="12"/>
  <c r="W151" i="12"/>
  <c r="X151" i="12"/>
  <c r="Y151" i="12"/>
  <c r="Z151" i="12"/>
  <c r="AA151" i="12"/>
  <c r="AB151" i="12"/>
  <c r="AC151" i="12"/>
  <c r="AD151" i="12"/>
  <c r="AE151" i="12"/>
  <c r="AF151" i="12"/>
  <c r="AG151" i="12"/>
  <c r="AH151" i="12"/>
  <c r="AI151" i="12"/>
  <c r="AJ151" i="12"/>
  <c r="AK151" i="12"/>
  <c r="AL151" i="12"/>
  <c r="AM151" i="12"/>
  <c r="AN151" i="12"/>
  <c r="R152" i="12"/>
  <c r="S152" i="12"/>
  <c r="T152" i="12"/>
  <c r="U152" i="12"/>
  <c r="V152" i="12"/>
  <c r="W152" i="12"/>
  <c r="X152" i="12"/>
  <c r="Y152" i="12"/>
  <c r="Z152" i="12"/>
  <c r="AA152" i="12"/>
  <c r="AB152" i="12"/>
  <c r="AC152" i="12"/>
  <c r="AD152" i="12"/>
  <c r="AE152" i="12"/>
  <c r="AF152" i="12"/>
  <c r="AG152" i="12"/>
  <c r="AH152" i="12"/>
  <c r="AI152" i="12"/>
  <c r="AJ152" i="12"/>
  <c r="AK152" i="12"/>
  <c r="AL152" i="12"/>
  <c r="AM152" i="12"/>
  <c r="AN152" i="12"/>
  <c r="R154" i="12"/>
  <c r="S154" i="12"/>
  <c r="T154" i="12"/>
  <c r="U154" i="12"/>
  <c r="V154" i="12"/>
  <c r="W154" i="12"/>
  <c r="X154" i="12"/>
  <c r="Y154" i="12"/>
  <c r="Z154" i="12"/>
  <c r="AA154" i="12"/>
  <c r="AB154" i="12"/>
  <c r="AC154" i="12"/>
  <c r="AD154" i="12"/>
  <c r="AE154" i="12"/>
  <c r="AF154" i="12"/>
  <c r="AG154" i="12"/>
  <c r="AH154" i="12"/>
  <c r="AI154" i="12"/>
  <c r="AJ154" i="12"/>
  <c r="AK154" i="12"/>
  <c r="AL154" i="12"/>
  <c r="AM154" i="12"/>
  <c r="AN154" i="12"/>
  <c r="R155" i="12"/>
  <c r="S155" i="12"/>
  <c r="T155" i="12"/>
  <c r="U155" i="12"/>
  <c r="V155" i="12"/>
  <c r="W155" i="12"/>
  <c r="X155" i="12"/>
  <c r="Y155" i="12"/>
  <c r="Z155" i="12"/>
  <c r="AA155" i="12"/>
  <c r="AB155" i="12"/>
  <c r="AC155" i="12"/>
  <c r="AD155" i="12"/>
  <c r="AE155" i="12"/>
  <c r="AF155" i="12"/>
  <c r="AG155" i="12"/>
  <c r="AH155" i="12"/>
  <c r="AI155" i="12"/>
  <c r="AJ155" i="12"/>
  <c r="AK155" i="12"/>
  <c r="AL155" i="12"/>
  <c r="AM155" i="12"/>
  <c r="AN155" i="12"/>
  <c r="R156" i="12"/>
  <c r="S156" i="12"/>
  <c r="T156" i="12"/>
  <c r="U156" i="12"/>
  <c r="V156" i="12"/>
  <c r="W156" i="12"/>
  <c r="X156" i="12"/>
  <c r="Y156" i="12"/>
  <c r="Z156" i="12"/>
  <c r="AA156" i="12"/>
  <c r="AB156" i="12"/>
  <c r="AC156" i="12"/>
  <c r="AD156" i="12"/>
  <c r="AE156" i="12"/>
  <c r="AF156" i="12"/>
  <c r="AG156" i="12"/>
  <c r="AH156" i="12"/>
  <c r="AI156" i="12"/>
  <c r="AJ156" i="12"/>
  <c r="AK156" i="12"/>
  <c r="AL156" i="12"/>
  <c r="AM156" i="12"/>
  <c r="AN156" i="12"/>
  <c r="R157" i="12"/>
  <c r="S157" i="12"/>
  <c r="T157" i="12"/>
  <c r="U157" i="12"/>
  <c r="V157" i="12"/>
  <c r="W157" i="12"/>
  <c r="X157" i="12"/>
  <c r="Y157" i="12"/>
  <c r="Z157" i="12"/>
  <c r="AA157" i="12"/>
  <c r="AB157" i="12"/>
  <c r="AC157" i="12"/>
  <c r="AD157" i="12"/>
  <c r="AE157" i="12"/>
  <c r="AF157" i="12"/>
  <c r="AG157" i="12"/>
  <c r="AH157" i="12"/>
  <c r="AI157" i="12"/>
  <c r="AJ157" i="12"/>
  <c r="AK157" i="12"/>
  <c r="AL157" i="12"/>
  <c r="AM157" i="12"/>
  <c r="AN157" i="12"/>
  <c r="R158" i="12"/>
  <c r="S158" i="12"/>
  <c r="T158" i="12"/>
  <c r="U158" i="12"/>
  <c r="V158" i="12"/>
  <c r="W158" i="12"/>
  <c r="X158" i="12"/>
  <c r="Y158" i="12"/>
  <c r="Z158" i="12"/>
  <c r="AA158" i="12"/>
  <c r="AB158" i="12"/>
  <c r="AC158" i="12"/>
  <c r="AD158" i="12"/>
  <c r="AE158" i="12"/>
  <c r="AF158" i="12"/>
  <c r="AG158" i="12"/>
  <c r="AH158" i="12"/>
  <c r="AI158" i="12"/>
  <c r="AJ158" i="12"/>
  <c r="AK158" i="12"/>
  <c r="AL158" i="12"/>
  <c r="AM158" i="12"/>
  <c r="AN158" i="12"/>
  <c r="R159" i="12"/>
  <c r="S159" i="12"/>
  <c r="T159" i="12"/>
  <c r="U159" i="12"/>
  <c r="V159" i="12"/>
  <c r="W159" i="12"/>
  <c r="X159" i="12"/>
  <c r="Y159" i="12"/>
  <c r="Z159" i="12"/>
  <c r="AA159" i="12"/>
  <c r="AB159" i="12"/>
  <c r="AC159" i="12"/>
  <c r="AD159" i="12"/>
  <c r="AE159" i="12"/>
  <c r="AF159" i="12"/>
  <c r="AG159" i="12"/>
  <c r="AH159" i="12"/>
  <c r="AI159" i="12"/>
  <c r="AJ159" i="12"/>
  <c r="AK159" i="12"/>
  <c r="AL159" i="12"/>
  <c r="AM159" i="12"/>
  <c r="AN159" i="12"/>
  <c r="R160" i="12"/>
  <c r="S160" i="12"/>
  <c r="T160" i="12"/>
  <c r="U160" i="12"/>
  <c r="V160" i="12"/>
  <c r="W160" i="12"/>
  <c r="X160" i="12"/>
  <c r="Y160" i="12"/>
  <c r="Z160" i="12"/>
  <c r="AA160" i="12"/>
  <c r="AB160" i="12"/>
  <c r="AC160" i="12"/>
  <c r="AD160" i="12"/>
  <c r="AE160" i="12"/>
  <c r="AF160" i="12"/>
  <c r="AG160" i="12"/>
  <c r="AH160" i="12"/>
  <c r="AI160" i="12"/>
  <c r="AJ160" i="12"/>
  <c r="AK160" i="12"/>
  <c r="AL160" i="12"/>
  <c r="AM160" i="12"/>
  <c r="AN160" i="12"/>
  <c r="R161" i="12"/>
  <c r="S161" i="12"/>
  <c r="T161" i="12"/>
  <c r="U161" i="12"/>
  <c r="V161" i="12"/>
  <c r="W161" i="12"/>
  <c r="X161" i="12"/>
  <c r="Y161" i="12"/>
  <c r="Z161" i="12"/>
  <c r="AA161" i="12"/>
  <c r="AB161" i="12"/>
  <c r="AC161" i="12"/>
  <c r="AD161" i="12"/>
  <c r="AE161" i="12"/>
  <c r="AF161" i="12"/>
  <c r="AG161" i="12"/>
  <c r="AH161" i="12"/>
  <c r="AI161" i="12"/>
  <c r="AJ161" i="12"/>
  <c r="AK161" i="12"/>
  <c r="AL161" i="12"/>
  <c r="AM161" i="12"/>
  <c r="AN161" i="12"/>
  <c r="R162" i="12"/>
  <c r="S162" i="12"/>
  <c r="T162" i="12"/>
  <c r="U162" i="12"/>
  <c r="V162" i="12"/>
  <c r="W162" i="12"/>
  <c r="X162" i="12"/>
  <c r="Y162" i="12"/>
  <c r="Z162" i="12"/>
  <c r="AA162" i="12"/>
  <c r="AB162" i="12"/>
  <c r="AC162" i="12"/>
  <c r="AD162" i="12"/>
  <c r="AE162" i="12"/>
  <c r="AF162" i="12"/>
  <c r="AG162" i="12"/>
  <c r="AH162" i="12"/>
  <c r="AI162" i="12"/>
  <c r="AJ162" i="12"/>
  <c r="AK162" i="12"/>
  <c r="AL162" i="12"/>
  <c r="AM162" i="12"/>
  <c r="AN162" i="12"/>
  <c r="R163" i="12"/>
  <c r="S163" i="12"/>
  <c r="T163" i="12"/>
  <c r="U163" i="12"/>
  <c r="V163" i="12"/>
  <c r="W163" i="12"/>
  <c r="X163" i="12"/>
  <c r="Y163" i="12"/>
  <c r="Z163" i="12"/>
  <c r="AA163" i="12"/>
  <c r="AB163" i="12"/>
  <c r="AC163" i="12"/>
  <c r="AD163" i="12"/>
  <c r="AE163" i="12"/>
  <c r="AF163" i="12"/>
  <c r="AG163" i="12"/>
  <c r="AH163" i="12"/>
  <c r="AI163" i="12"/>
  <c r="AJ163" i="12"/>
  <c r="AK163" i="12"/>
  <c r="AL163" i="12"/>
  <c r="AM163" i="12"/>
  <c r="AN163" i="12"/>
  <c r="R164" i="12"/>
  <c r="S164" i="12"/>
  <c r="T164" i="12"/>
  <c r="U164" i="12"/>
  <c r="V164" i="12"/>
  <c r="W164" i="12"/>
  <c r="X164" i="12"/>
  <c r="Y164" i="12"/>
  <c r="Z164" i="12"/>
  <c r="AA164" i="12"/>
  <c r="AB164" i="12"/>
  <c r="AC164" i="12"/>
  <c r="AD164" i="12"/>
  <c r="AE164" i="12"/>
  <c r="AF164" i="12"/>
  <c r="AG164" i="12"/>
  <c r="AH164" i="12"/>
  <c r="AI164" i="12"/>
  <c r="AJ164" i="12"/>
  <c r="AK164" i="12"/>
  <c r="AL164" i="12"/>
  <c r="AM164" i="12"/>
  <c r="AN164" i="12"/>
  <c r="R165" i="12"/>
  <c r="S165" i="12"/>
  <c r="T165" i="12"/>
  <c r="U165" i="12"/>
  <c r="V165" i="12"/>
  <c r="W165" i="12"/>
  <c r="X165" i="12"/>
  <c r="Y165" i="12"/>
  <c r="Z165" i="12"/>
  <c r="AA165" i="12"/>
  <c r="AB165" i="12"/>
  <c r="AC165" i="12"/>
  <c r="AD165" i="12"/>
  <c r="AE165" i="12"/>
  <c r="AF165" i="12"/>
  <c r="AG165" i="12"/>
  <c r="AH165" i="12"/>
  <c r="AI165" i="12"/>
  <c r="AJ165" i="12"/>
  <c r="AK165" i="12"/>
  <c r="AL165" i="12"/>
  <c r="AM165" i="12"/>
  <c r="AN165" i="12"/>
  <c r="Q127" i="12"/>
  <c r="Q128" i="12"/>
  <c r="Q129" i="12"/>
  <c r="Q130" i="12"/>
  <c r="Q131" i="12"/>
  <c r="Q132" i="12"/>
  <c r="Q133" i="12"/>
  <c r="Q134" i="12"/>
  <c r="Q135" i="12"/>
  <c r="Q136" i="12"/>
  <c r="Q137" i="12"/>
  <c r="Q138" i="12"/>
  <c r="Q139" i="12"/>
  <c r="Q140" i="12"/>
  <c r="Q141" i="12"/>
  <c r="Q142" i="12"/>
  <c r="Q143" i="12"/>
  <c r="Q145" i="12"/>
  <c r="Q146" i="12"/>
  <c r="Q147" i="12"/>
  <c r="Q148" i="12"/>
  <c r="Q149" i="12"/>
  <c r="Q150" i="12"/>
  <c r="Q151" i="12"/>
  <c r="Q152" i="12"/>
  <c r="Q154" i="12"/>
  <c r="Q155" i="12"/>
  <c r="Q156" i="12"/>
  <c r="Q157" i="12"/>
  <c r="Q158" i="12"/>
  <c r="Q159" i="12"/>
  <c r="Q160" i="12"/>
  <c r="Q161" i="12"/>
  <c r="Q162" i="12"/>
  <c r="Q163" i="12"/>
  <c r="Q164" i="12"/>
  <c r="Q165" i="12"/>
  <c r="Q126" i="12"/>
  <c r="C127" i="12"/>
  <c r="D127" i="12"/>
  <c r="E127" i="12"/>
  <c r="F127" i="12"/>
  <c r="G127" i="12"/>
  <c r="H127" i="12"/>
  <c r="I127" i="12"/>
  <c r="J127" i="12"/>
  <c r="K127" i="12"/>
  <c r="L127" i="12"/>
  <c r="C128" i="12"/>
  <c r="D128" i="12"/>
  <c r="E128" i="12"/>
  <c r="F128" i="12"/>
  <c r="G128" i="12"/>
  <c r="H128" i="12"/>
  <c r="I128" i="12"/>
  <c r="J128" i="12"/>
  <c r="K128" i="12"/>
  <c r="L128" i="12"/>
  <c r="C129" i="12"/>
  <c r="D129" i="12"/>
  <c r="E129" i="12"/>
  <c r="F129" i="12"/>
  <c r="G129" i="12"/>
  <c r="H129" i="12"/>
  <c r="I129" i="12"/>
  <c r="J129" i="12"/>
  <c r="K129" i="12"/>
  <c r="L129" i="12"/>
  <c r="C130" i="12"/>
  <c r="D130" i="12"/>
  <c r="E130" i="12"/>
  <c r="F130" i="12"/>
  <c r="G130" i="12"/>
  <c r="H130" i="12"/>
  <c r="I130" i="12"/>
  <c r="J130" i="12"/>
  <c r="K130" i="12"/>
  <c r="L130" i="12"/>
  <c r="C131" i="12"/>
  <c r="D131" i="12"/>
  <c r="E131" i="12"/>
  <c r="F131" i="12"/>
  <c r="G131" i="12"/>
  <c r="H131" i="12"/>
  <c r="I131" i="12"/>
  <c r="J131" i="12"/>
  <c r="K131" i="12"/>
  <c r="L131" i="12"/>
  <c r="C132" i="12"/>
  <c r="D132" i="12"/>
  <c r="E132" i="12"/>
  <c r="F132" i="12"/>
  <c r="G132" i="12"/>
  <c r="H132" i="12"/>
  <c r="I132" i="12"/>
  <c r="J132" i="12"/>
  <c r="K132" i="12"/>
  <c r="L132" i="12"/>
  <c r="C133" i="12"/>
  <c r="D133" i="12"/>
  <c r="E133" i="12"/>
  <c r="F133" i="12"/>
  <c r="G133" i="12"/>
  <c r="H133" i="12"/>
  <c r="I133" i="12"/>
  <c r="J133" i="12"/>
  <c r="K133" i="12"/>
  <c r="L133" i="12"/>
  <c r="C134" i="12"/>
  <c r="D134" i="12"/>
  <c r="E134" i="12"/>
  <c r="F134" i="12"/>
  <c r="G134" i="12"/>
  <c r="H134" i="12"/>
  <c r="I134" i="12"/>
  <c r="J134" i="12"/>
  <c r="K134" i="12"/>
  <c r="L134" i="12"/>
  <c r="C135" i="12"/>
  <c r="D135" i="12"/>
  <c r="E135" i="12"/>
  <c r="F135" i="12"/>
  <c r="G135" i="12"/>
  <c r="H135" i="12"/>
  <c r="I135" i="12"/>
  <c r="J135" i="12"/>
  <c r="K135" i="12"/>
  <c r="L135" i="12"/>
  <c r="C136" i="12"/>
  <c r="D136" i="12"/>
  <c r="E136" i="12"/>
  <c r="F136" i="12"/>
  <c r="G136" i="12"/>
  <c r="H136" i="12"/>
  <c r="I136" i="12"/>
  <c r="J136" i="12"/>
  <c r="K136" i="12"/>
  <c r="L136" i="12"/>
  <c r="C137" i="12"/>
  <c r="D137" i="12"/>
  <c r="E137" i="12"/>
  <c r="F137" i="12"/>
  <c r="G137" i="12"/>
  <c r="H137" i="12"/>
  <c r="I137" i="12"/>
  <c r="J137" i="12"/>
  <c r="K137" i="12"/>
  <c r="L137" i="12"/>
  <c r="C138" i="12"/>
  <c r="D138" i="12"/>
  <c r="E138" i="12"/>
  <c r="F138" i="12"/>
  <c r="G138" i="12"/>
  <c r="H138" i="12"/>
  <c r="I138" i="12"/>
  <c r="J138" i="12"/>
  <c r="K138" i="12"/>
  <c r="L138" i="12"/>
  <c r="C139" i="12"/>
  <c r="D139" i="12"/>
  <c r="E139" i="12"/>
  <c r="F139" i="12"/>
  <c r="G139" i="12"/>
  <c r="H139" i="12"/>
  <c r="I139" i="12"/>
  <c r="J139" i="12"/>
  <c r="K139" i="12"/>
  <c r="L139" i="12"/>
  <c r="C140" i="12"/>
  <c r="D140" i="12"/>
  <c r="E140" i="12"/>
  <c r="F140" i="12"/>
  <c r="G140" i="12"/>
  <c r="H140" i="12"/>
  <c r="I140" i="12"/>
  <c r="J140" i="12"/>
  <c r="K140" i="12"/>
  <c r="L140" i="12"/>
  <c r="C141" i="12"/>
  <c r="D141" i="12"/>
  <c r="E141" i="12"/>
  <c r="F141" i="12"/>
  <c r="G141" i="12"/>
  <c r="H141" i="12"/>
  <c r="I141" i="12"/>
  <c r="J141" i="12"/>
  <c r="K141" i="12"/>
  <c r="L141" i="12"/>
  <c r="C142" i="12"/>
  <c r="D142" i="12"/>
  <c r="E142" i="12"/>
  <c r="F142" i="12"/>
  <c r="G142" i="12"/>
  <c r="H142" i="12"/>
  <c r="I142" i="12"/>
  <c r="J142" i="12"/>
  <c r="K142" i="12"/>
  <c r="L142" i="12"/>
  <c r="C143" i="12"/>
  <c r="D143" i="12"/>
  <c r="E143" i="12"/>
  <c r="F143" i="12"/>
  <c r="G143" i="12"/>
  <c r="H143" i="12"/>
  <c r="I143" i="12"/>
  <c r="J143" i="12"/>
  <c r="K143" i="12"/>
  <c r="L143" i="12"/>
  <c r="C145" i="12"/>
  <c r="D145" i="12"/>
  <c r="E145" i="12"/>
  <c r="F145" i="12"/>
  <c r="G145" i="12"/>
  <c r="H145" i="12"/>
  <c r="I145" i="12"/>
  <c r="J145" i="12"/>
  <c r="K145" i="12"/>
  <c r="L145" i="12"/>
  <c r="C146" i="12"/>
  <c r="D146" i="12"/>
  <c r="E146" i="12"/>
  <c r="F146" i="12"/>
  <c r="G146" i="12"/>
  <c r="H146" i="12"/>
  <c r="I146" i="12"/>
  <c r="J146" i="12"/>
  <c r="K146" i="12"/>
  <c r="L146" i="12"/>
  <c r="C147" i="12"/>
  <c r="D147" i="12"/>
  <c r="E147" i="12"/>
  <c r="F147" i="12"/>
  <c r="G147" i="12"/>
  <c r="H147" i="12"/>
  <c r="I147" i="12"/>
  <c r="J147" i="12"/>
  <c r="K147" i="12"/>
  <c r="L147" i="12"/>
  <c r="C148" i="12"/>
  <c r="D148" i="12"/>
  <c r="E148" i="12"/>
  <c r="F148" i="12"/>
  <c r="G148" i="12"/>
  <c r="H148" i="12"/>
  <c r="I148" i="12"/>
  <c r="J148" i="12"/>
  <c r="K148" i="12"/>
  <c r="L148" i="12"/>
  <c r="C149" i="12"/>
  <c r="D149" i="12"/>
  <c r="E149" i="12"/>
  <c r="F149" i="12"/>
  <c r="G149" i="12"/>
  <c r="H149" i="12"/>
  <c r="I149" i="12"/>
  <c r="J149" i="12"/>
  <c r="K149" i="12"/>
  <c r="L149" i="12"/>
  <c r="C150" i="12"/>
  <c r="D150" i="12"/>
  <c r="E150" i="12"/>
  <c r="F150" i="12"/>
  <c r="G150" i="12"/>
  <c r="H150" i="12"/>
  <c r="I150" i="12"/>
  <c r="J150" i="12"/>
  <c r="K150" i="12"/>
  <c r="L150" i="12"/>
  <c r="C151" i="12"/>
  <c r="D151" i="12"/>
  <c r="E151" i="12"/>
  <c r="F151" i="12"/>
  <c r="G151" i="12"/>
  <c r="H151" i="12"/>
  <c r="I151" i="12"/>
  <c r="J151" i="12"/>
  <c r="K151" i="12"/>
  <c r="L151" i="12"/>
  <c r="C152" i="12"/>
  <c r="D152" i="12"/>
  <c r="E152" i="12"/>
  <c r="F152" i="12"/>
  <c r="G152" i="12"/>
  <c r="H152" i="12"/>
  <c r="I152" i="12"/>
  <c r="J152" i="12"/>
  <c r="K152" i="12"/>
  <c r="L152" i="12"/>
  <c r="C154" i="12"/>
  <c r="D154" i="12"/>
  <c r="E154" i="12"/>
  <c r="F154" i="12"/>
  <c r="G154" i="12"/>
  <c r="H154" i="12"/>
  <c r="I154" i="12"/>
  <c r="J154" i="12"/>
  <c r="K154" i="12"/>
  <c r="L154" i="12"/>
  <c r="C155" i="12"/>
  <c r="D155" i="12"/>
  <c r="E155" i="12"/>
  <c r="F155" i="12"/>
  <c r="G155" i="12"/>
  <c r="H155" i="12"/>
  <c r="I155" i="12"/>
  <c r="J155" i="12"/>
  <c r="K155" i="12"/>
  <c r="L155" i="12"/>
  <c r="C156" i="12"/>
  <c r="D156" i="12"/>
  <c r="E156" i="12"/>
  <c r="F156" i="12"/>
  <c r="G156" i="12"/>
  <c r="H156" i="12"/>
  <c r="I156" i="12"/>
  <c r="J156" i="12"/>
  <c r="K156" i="12"/>
  <c r="L156" i="12"/>
  <c r="C157" i="12"/>
  <c r="D157" i="12"/>
  <c r="E157" i="12"/>
  <c r="F157" i="12"/>
  <c r="G157" i="12"/>
  <c r="H157" i="12"/>
  <c r="I157" i="12"/>
  <c r="J157" i="12"/>
  <c r="K157" i="12"/>
  <c r="L157" i="12"/>
  <c r="C158" i="12"/>
  <c r="D158" i="12"/>
  <c r="E158" i="12"/>
  <c r="F158" i="12"/>
  <c r="G158" i="12"/>
  <c r="H158" i="12"/>
  <c r="I158" i="12"/>
  <c r="J158" i="12"/>
  <c r="K158" i="12"/>
  <c r="L158" i="12"/>
  <c r="C159" i="12"/>
  <c r="D159" i="12"/>
  <c r="E159" i="12"/>
  <c r="F97" i="4"/>
  <c r="F100" i="4"/>
  <c r="G31" i="19"/>
  <c r="F41" i="20"/>
  <c r="F159" i="12"/>
  <c r="G97" i="4"/>
  <c r="G100" i="4"/>
  <c r="H31" i="19"/>
  <c r="G41" i="20"/>
  <c r="G159" i="12"/>
  <c r="H97" i="4"/>
  <c r="H100" i="4"/>
  <c r="I31" i="19"/>
  <c r="H41" i="20"/>
  <c r="H159" i="12"/>
  <c r="I97" i="4"/>
  <c r="I100" i="4"/>
  <c r="J31" i="19"/>
  <c r="I41" i="20"/>
  <c r="I159" i="12"/>
  <c r="J97" i="4"/>
  <c r="J100" i="4"/>
  <c r="K31" i="19"/>
  <c r="J41" i="20"/>
  <c r="J159" i="12"/>
  <c r="K97" i="4"/>
  <c r="K100" i="4"/>
  <c r="L31" i="19"/>
  <c r="K41" i="20"/>
  <c r="K159" i="12"/>
  <c r="L97" i="4"/>
  <c r="L100" i="4"/>
  <c r="M31" i="19"/>
  <c r="L41" i="20"/>
  <c r="C160" i="12"/>
  <c r="D160" i="12"/>
  <c r="E160" i="12"/>
  <c r="F160" i="12"/>
  <c r="G160" i="12"/>
  <c r="H160" i="12"/>
  <c r="I160" i="12"/>
  <c r="J160" i="12"/>
  <c r="K160" i="12"/>
  <c r="L160" i="12"/>
  <c r="C161" i="12"/>
  <c r="D161" i="12"/>
  <c r="E161" i="12"/>
  <c r="F161" i="12"/>
  <c r="G161" i="12"/>
  <c r="H161" i="12"/>
  <c r="I161" i="12"/>
  <c r="J161" i="12"/>
  <c r="K161" i="12"/>
  <c r="L161" i="12"/>
  <c r="C162" i="12"/>
  <c r="D162" i="12"/>
  <c r="E162" i="12"/>
  <c r="F162" i="12"/>
  <c r="G162" i="12"/>
  <c r="H162" i="12"/>
  <c r="I162" i="12"/>
  <c r="J162" i="12"/>
  <c r="K162" i="12"/>
  <c r="L162" i="12"/>
  <c r="C163" i="12"/>
  <c r="D163" i="12"/>
  <c r="E163" i="12"/>
  <c r="F163" i="12"/>
  <c r="G163" i="12"/>
  <c r="H163" i="12"/>
  <c r="I163" i="12"/>
  <c r="J163" i="12"/>
  <c r="K163" i="12"/>
  <c r="L163" i="12"/>
  <c r="C164" i="12"/>
  <c r="D164" i="12"/>
  <c r="E164" i="12"/>
  <c r="F164" i="12"/>
  <c r="G164" i="12"/>
  <c r="H164" i="12"/>
  <c r="I164" i="12"/>
  <c r="J164" i="12"/>
  <c r="K164" i="12"/>
  <c r="L164" i="12"/>
  <c r="C165" i="12"/>
  <c r="D165" i="12"/>
  <c r="E165" i="12"/>
  <c r="F165" i="12"/>
  <c r="G165" i="12"/>
  <c r="H165" i="12"/>
  <c r="I165" i="12"/>
  <c r="J165" i="12"/>
  <c r="K165" i="12"/>
  <c r="L165" i="12"/>
  <c r="D126" i="12"/>
  <c r="E126" i="12"/>
  <c r="F126" i="12"/>
  <c r="G126" i="12"/>
  <c r="H126" i="12"/>
  <c r="I126" i="12"/>
  <c r="J126" i="12"/>
  <c r="K126" i="12"/>
  <c r="L126" i="12"/>
  <c r="C126" i="12"/>
  <c r="AN32" i="12"/>
  <c r="AN33" i="12"/>
  <c r="AN34" i="12"/>
  <c r="AN35" i="12"/>
  <c r="AN36" i="12"/>
  <c r="AN37" i="12"/>
  <c r="AN38" i="12"/>
  <c r="AN39" i="12"/>
  <c r="AN40" i="12"/>
  <c r="AN41" i="12"/>
  <c r="AN42" i="12"/>
  <c r="AN43" i="12"/>
  <c r="AN44" i="12"/>
  <c r="AN45" i="12"/>
  <c r="AN46" i="12"/>
  <c r="AN47" i="12"/>
  <c r="AN48" i="12"/>
  <c r="AN49" i="12"/>
  <c r="AN50" i="12"/>
  <c r="AN51" i="12"/>
  <c r="AN52" i="12"/>
  <c r="AN53" i="12"/>
  <c r="AN54" i="12"/>
  <c r="AN55" i="12"/>
  <c r="AN56" i="12"/>
  <c r="AN57" i="12"/>
  <c r="AN58" i="12"/>
  <c r="AN59" i="12"/>
  <c r="AN60" i="12"/>
  <c r="AN61" i="12"/>
  <c r="AN62" i="12"/>
  <c r="AN63" i="12"/>
  <c r="AN64" i="12"/>
  <c r="AN65" i="12"/>
  <c r="AN66" i="12"/>
  <c r="AN67" i="12"/>
  <c r="AN68" i="12"/>
  <c r="AN69" i="12"/>
  <c r="AN70" i="12"/>
  <c r="AN71" i="12"/>
  <c r="AN72" i="12"/>
  <c r="AN73" i="12"/>
  <c r="AN74" i="12"/>
  <c r="AN75" i="12"/>
  <c r="AN76" i="12"/>
  <c r="AN77" i="12"/>
  <c r="AN78" i="12"/>
  <c r="AN79" i="12"/>
  <c r="AN80" i="12"/>
  <c r="AN81" i="12"/>
  <c r="AN82" i="12"/>
  <c r="AN83" i="12"/>
  <c r="AN84" i="12"/>
  <c r="AN85" i="12"/>
  <c r="AN86" i="12"/>
  <c r="AN87" i="12"/>
  <c r="AN88" i="12"/>
  <c r="AN89" i="12"/>
  <c r="AN90" i="12"/>
  <c r="AN91" i="12"/>
  <c r="AN92" i="12"/>
  <c r="AN93" i="12"/>
  <c r="AN94" i="12"/>
  <c r="AN95" i="12"/>
  <c r="AN96" i="12"/>
  <c r="AN97" i="12"/>
  <c r="AN98" i="12"/>
  <c r="AN99" i="12"/>
  <c r="AN100" i="12"/>
  <c r="AN101" i="12"/>
  <c r="AN102" i="12"/>
  <c r="AN103" i="12"/>
  <c r="AN104" i="12"/>
  <c r="AN105" i="12"/>
  <c r="AN106" i="12"/>
  <c r="AN107" i="12"/>
  <c r="AN108" i="12"/>
  <c r="AN109" i="12"/>
  <c r="AN110" i="12"/>
  <c r="AN111" i="12"/>
  <c r="AN112" i="12"/>
  <c r="AN113" i="12"/>
  <c r="AN114" i="12"/>
  <c r="AN115" i="12"/>
  <c r="AN116" i="12"/>
  <c r="AN117" i="12"/>
  <c r="AN118" i="12"/>
  <c r="AN119" i="12"/>
  <c r="AN120" i="12"/>
  <c r="AN121" i="12"/>
  <c r="Q32" i="12"/>
  <c r="R32" i="12"/>
  <c r="S32" i="12"/>
  <c r="T32" i="12"/>
  <c r="U32" i="12"/>
  <c r="V32" i="12"/>
  <c r="W32" i="12"/>
  <c r="X32" i="12"/>
  <c r="Y32" i="12"/>
  <c r="Z32" i="12"/>
  <c r="AA32" i="12"/>
  <c r="AB32" i="12"/>
  <c r="AC32" i="12"/>
  <c r="AD32" i="12"/>
  <c r="AE32" i="12"/>
  <c r="AF32" i="12"/>
  <c r="AG32" i="12"/>
  <c r="AH32" i="12"/>
  <c r="AI32" i="12"/>
  <c r="AJ32" i="12"/>
  <c r="AK32" i="12"/>
  <c r="AL32" i="12"/>
  <c r="AM32" i="12"/>
  <c r="Q33" i="12"/>
  <c r="R33" i="12"/>
  <c r="S33" i="12"/>
  <c r="T33" i="12"/>
  <c r="U33" i="12"/>
  <c r="V33" i="12"/>
  <c r="W33" i="12"/>
  <c r="X33" i="12"/>
  <c r="Y33" i="12"/>
  <c r="Z33" i="12"/>
  <c r="AA33" i="12"/>
  <c r="AB33" i="12"/>
  <c r="AC33" i="12"/>
  <c r="AD33" i="12"/>
  <c r="AE33" i="12"/>
  <c r="AF33" i="12"/>
  <c r="AG33" i="12"/>
  <c r="AH33" i="12"/>
  <c r="AI33" i="12"/>
  <c r="AJ33" i="12"/>
  <c r="AK33" i="12"/>
  <c r="AL33" i="12"/>
  <c r="AM33" i="12"/>
  <c r="Q34" i="12"/>
  <c r="R34" i="12"/>
  <c r="S34" i="12"/>
  <c r="T34" i="12"/>
  <c r="U34" i="12"/>
  <c r="V34" i="12"/>
  <c r="W34" i="12"/>
  <c r="X34" i="12"/>
  <c r="Y34" i="12"/>
  <c r="Z34" i="12"/>
  <c r="AA34" i="12"/>
  <c r="AB34" i="12"/>
  <c r="AC34" i="12"/>
  <c r="AD34" i="12"/>
  <c r="AE34" i="12"/>
  <c r="AF34" i="12"/>
  <c r="AG34" i="12"/>
  <c r="AH34" i="12"/>
  <c r="AI34" i="12"/>
  <c r="AJ34" i="12"/>
  <c r="AK34" i="12"/>
  <c r="AL34" i="12"/>
  <c r="AM34" i="12"/>
  <c r="Q35" i="12"/>
  <c r="R35" i="12"/>
  <c r="S35" i="12"/>
  <c r="T35" i="12"/>
  <c r="U35" i="12"/>
  <c r="V35" i="12"/>
  <c r="W35" i="12"/>
  <c r="X35" i="12"/>
  <c r="Y35" i="12"/>
  <c r="Z35" i="12"/>
  <c r="AA35" i="12"/>
  <c r="AB35" i="12"/>
  <c r="AC35" i="12"/>
  <c r="AD35" i="12"/>
  <c r="AE35" i="12"/>
  <c r="AF35" i="12"/>
  <c r="AG35" i="12"/>
  <c r="AH35" i="12"/>
  <c r="AI35" i="12"/>
  <c r="AJ35" i="12"/>
  <c r="AK35" i="12"/>
  <c r="AL35" i="12"/>
  <c r="AM35" i="12"/>
  <c r="Q36" i="12"/>
  <c r="R36" i="12"/>
  <c r="S36" i="12"/>
  <c r="T36" i="12"/>
  <c r="U36" i="12"/>
  <c r="V36" i="12"/>
  <c r="W36" i="12"/>
  <c r="X36" i="12"/>
  <c r="Y36" i="12"/>
  <c r="Z36" i="12"/>
  <c r="AA36" i="12"/>
  <c r="AB36" i="12"/>
  <c r="AC36" i="12"/>
  <c r="AD36" i="12"/>
  <c r="AE36" i="12"/>
  <c r="AF36" i="12"/>
  <c r="AG36" i="12"/>
  <c r="AH36" i="12"/>
  <c r="AI36" i="12"/>
  <c r="AJ36" i="12"/>
  <c r="AK36" i="12"/>
  <c r="AL36" i="12"/>
  <c r="AM36" i="12"/>
  <c r="Q37" i="12"/>
  <c r="R37" i="12"/>
  <c r="S37" i="12"/>
  <c r="T37" i="12"/>
  <c r="U37" i="12"/>
  <c r="V37" i="12"/>
  <c r="W37" i="12"/>
  <c r="X37" i="12"/>
  <c r="Y37" i="12"/>
  <c r="Z37" i="12"/>
  <c r="AA37" i="12"/>
  <c r="AB37" i="12"/>
  <c r="AC37" i="12"/>
  <c r="AD37" i="12"/>
  <c r="AE37" i="12"/>
  <c r="AF37" i="12"/>
  <c r="AG37" i="12"/>
  <c r="AH37" i="12"/>
  <c r="AI37" i="12"/>
  <c r="AJ37" i="12"/>
  <c r="AK37" i="12"/>
  <c r="AL37" i="12"/>
  <c r="AM37" i="12"/>
  <c r="Q38" i="12"/>
  <c r="R38" i="12"/>
  <c r="S38" i="12"/>
  <c r="T38" i="12"/>
  <c r="U38" i="12"/>
  <c r="V38" i="12"/>
  <c r="W38" i="12"/>
  <c r="X38" i="12"/>
  <c r="Y38" i="12"/>
  <c r="Z38" i="12"/>
  <c r="AA38" i="12"/>
  <c r="AB38" i="12"/>
  <c r="AC38" i="12"/>
  <c r="AD38" i="12"/>
  <c r="AE38" i="12"/>
  <c r="AF38" i="12"/>
  <c r="AG38" i="12"/>
  <c r="AH38" i="12"/>
  <c r="AI38" i="12"/>
  <c r="AJ38" i="12"/>
  <c r="AK38" i="12"/>
  <c r="AL38" i="12"/>
  <c r="AM38" i="12"/>
  <c r="Q39" i="12"/>
  <c r="R39" i="12"/>
  <c r="S39" i="12"/>
  <c r="T39" i="12"/>
  <c r="U39" i="12"/>
  <c r="V39" i="12"/>
  <c r="W39" i="12"/>
  <c r="X39" i="12"/>
  <c r="Y39" i="12"/>
  <c r="Z39" i="12"/>
  <c r="AA39" i="12"/>
  <c r="AB39" i="12"/>
  <c r="AC39" i="12"/>
  <c r="AD39" i="12"/>
  <c r="AE39" i="12"/>
  <c r="AF39" i="12"/>
  <c r="AG39" i="12"/>
  <c r="AH39" i="12"/>
  <c r="AI39" i="12"/>
  <c r="AJ39" i="12"/>
  <c r="AK39" i="12"/>
  <c r="AL39" i="12"/>
  <c r="AM39" i="12"/>
  <c r="Q40" i="12"/>
  <c r="R40" i="12"/>
  <c r="S40" i="12"/>
  <c r="T40" i="12"/>
  <c r="U40" i="12"/>
  <c r="V40" i="12"/>
  <c r="W40" i="12"/>
  <c r="X40" i="12"/>
  <c r="Y40" i="12"/>
  <c r="Z40" i="12"/>
  <c r="AA40" i="12"/>
  <c r="AB40" i="12"/>
  <c r="AC40" i="12"/>
  <c r="AD40" i="12"/>
  <c r="AE40" i="12"/>
  <c r="AF40" i="12"/>
  <c r="AG40" i="12"/>
  <c r="AH40" i="12"/>
  <c r="AI40" i="12"/>
  <c r="AJ40" i="12"/>
  <c r="AK40" i="12"/>
  <c r="AL40" i="12"/>
  <c r="AM40" i="12"/>
  <c r="Q41" i="12"/>
  <c r="R41" i="12"/>
  <c r="S41" i="12"/>
  <c r="T41" i="12"/>
  <c r="U41" i="12"/>
  <c r="V41" i="12"/>
  <c r="W41" i="12"/>
  <c r="X41" i="12"/>
  <c r="Y41" i="12"/>
  <c r="Z41" i="12"/>
  <c r="AA41" i="12"/>
  <c r="AB41" i="12"/>
  <c r="AC41" i="12"/>
  <c r="AD41" i="12"/>
  <c r="AE41" i="12"/>
  <c r="AF41" i="12"/>
  <c r="AG41" i="12"/>
  <c r="AH41" i="12"/>
  <c r="AI41" i="12"/>
  <c r="AJ41" i="12"/>
  <c r="AK41" i="12"/>
  <c r="AL41" i="12"/>
  <c r="AM41" i="12"/>
  <c r="Q42" i="12"/>
  <c r="R42" i="12"/>
  <c r="S42" i="12"/>
  <c r="T42" i="12"/>
  <c r="U42" i="12"/>
  <c r="V42" i="12"/>
  <c r="W42" i="12"/>
  <c r="X42" i="12"/>
  <c r="Y42" i="12"/>
  <c r="Z42" i="12"/>
  <c r="AA42" i="12"/>
  <c r="AB42" i="12"/>
  <c r="AC42" i="12"/>
  <c r="AD42" i="12"/>
  <c r="AE42" i="12"/>
  <c r="AF42" i="12"/>
  <c r="AG42" i="12"/>
  <c r="AH42" i="12"/>
  <c r="AI42" i="12"/>
  <c r="AJ42" i="12"/>
  <c r="AK42" i="12"/>
  <c r="AL42" i="12"/>
  <c r="AM42" i="12"/>
  <c r="Q43" i="12"/>
  <c r="R43" i="12"/>
  <c r="S43" i="12"/>
  <c r="T43" i="12"/>
  <c r="U43" i="12"/>
  <c r="V43" i="12"/>
  <c r="W43" i="12"/>
  <c r="X43" i="12"/>
  <c r="Y43" i="12"/>
  <c r="Z43" i="12"/>
  <c r="AA43" i="12"/>
  <c r="AB43" i="12"/>
  <c r="AC43" i="12"/>
  <c r="AD43" i="12"/>
  <c r="AE43" i="12"/>
  <c r="AF43" i="12"/>
  <c r="AG43" i="12"/>
  <c r="AH43" i="12"/>
  <c r="AI43" i="12"/>
  <c r="AJ43" i="12"/>
  <c r="AK43" i="12"/>
  <c r="AL43" i="12"/>
  <c r="AM43" i="12"/>
  <c r="Q44" i="12"/>
  <c r="R44" i="12"/>
  <c r="S44" i="12"/>
  <c r="T44" i="12"/>
  <c r="U44" i="12"/>
  <c r="V44" i="12"/>
  <c r="W44" i="12"/>
  <c r="X44" i="12"/>
  <c r="Y44" i="12"/>
  <c r="Z44" i="12"/>
  <c r="AA44" i="12"/>
  <c r="AB44" i="12"/>
  <c r="AC44" i="12"/>
  <c r="AD44" i="12"/>
  <c r="AE44" i="12"/>
  <c r="AF44" i="12"/>
  <c r="AG44" i="12"/>
  <c r="AH44" i="12"/>
  <c r="AI44" i="12"/>
  <c r="AJ44" i="12"/>
  <c r="AK44" i="12"/>
  <c r="AL44" i="12"/>
  <c r="AM44" i="12"/>
  <c r="Q45" i="12"/>
  <c r="R45" i="12"/>
  <c r="S45" i="12"/>
  <c r="T45" i="12"/>
  <c r="U45" i="12"/>
  <c r="V45" i="12"/>
  <c r="W45" i="12"/>
  <c r="X45" i="12"/>
  <c r="Y45" i="12"/>
  <c r="Z45" i="12"/>
  <c r="AA45" i="12"/>
  <c r="AB45" i="12"/>
  <c r="AC45" i="12"/>
  <c r="AD45" i="12"/>
  <c r="AE45" i="12"/>
  <c r="AF45" i="12"/>
  <c r="AG45" i="12"/>
  <c r="AH45" i="12"/>
  <c r="AI45" i="12"/>
  <c r="AJ45" i="12"/>
  <c r="AK45" i="12"/>
  <c r="AL45" i="12"/>
  <c r="AM45" i="12"/>
  <c r="Q46" i="12"/>
  <c r="R46" i="12"/>
  <c r="S46" i="12"/>
  <c r="T46" i="12"/>
  <c r="U46" i="12"/>
  <c r="V46" i="12"/>
  <c r="W46" i="12"/>
  <c r="X46" i="12"/>
  <c r="Y46" i="12"/>
  <c r="Z46" i="12"/>
  <c r="AA46" i="12"/>
  <c r="AB46" i="12"/>
  <c r="AC46" i="12"/>
  <c r="AD46" i="12"/>
  <c r="AE46" i="12"/>
  <c r="AF46" i="12"/>
  <c r="AG46" i="12"/>
  <c r="AH46" i="12"/>
  <c r="AI46" i="12"/>
  <c r="AJ46" i="12"/>
  <c r="AK46" i="12"/>
  <c r="AL46" i="12"/>
  <c r="AM46" i="12"/>
  <c r="Q47" i="12"/>
  <c r="R47" i="12"/>
  <c r="S47" i="12"/>
  <c r="T47" i="12"/>
  <c r="U47" i="12"/>
  <c r="V47" i="12"/>
  <c r="W47" i="12"/>
  <c r="X47" i="12"/>
  <c r="Y47" i="12"/>
  <c r="Z47" i="12"/>
  <c r="AA47" i="12"/>
  <c r="AB47" i="12"/>
  <c r="AC47" i="12"/>
  <c r="AD47" i="12"/>
  <c r="AE47" i="12"/>
  <c r="AF47" i="12"/>
  <c r="AG47" i="12"/>
  <c r="AH47" i="12"/>
  <c r="AI47" i="12"/>
  <c r="AJ47" i="12"/>
  <c r="AK47" i="12"/>
  <c r="AL47" i="12"/>
  <c r="AM47" i="12"/>
  <c r="Q48" i="12"/>
  <c r="R48" i="12"/>
  <c r="S48" i="12"/>
  <c r="T48" i="12"/>
  <c r="U48" i="12"/>
  <c r="V48" i="12"/>
  <c r="W48" i="12"/>
  <c r="X48" i="12"/>
  <c r="Y48" i="12"/>
  <c r="Z48" i="12"/>
  <c r="AA48" i="12"/>
  <c r="AB48" i="12"/>
  <c r="AC48" i="12"/>
  <c r="AD48" i="12"/>
  <c r="AE48" i="12"/>
  <c r="AF48" i="12"/>
  <c r="AG48" i="12"/>
  <c r="AH48" i="12"/>
  <c r="AI48" i="12"/>
  <c r="AJ48" i="12"/>
  <c r="AK48" i="12"/>
  <c r="AL48" i="12"/>
  <c r="AM48" i="12"/>
  <c r="Q49" i="12"/>
  <c r="R49" i="12"/>
  <c r="S49" i="12"/>
  <c r="T49" i="12"/>
  <c r="U49" i="12"/>
  <c r="V49" i="12"/>
  <c r="W49" i="12"/>
  <c r="X49" i="12"/>
  <c r="Y49" i="12"/>
  <c r="Z49" i="12"/>
  <c r="AA49" i="12"/>
  <c r="AB49" i="12"/>
  <c r="AC49" i="12"/>
  <c r="AD49" i="12"/>
  <c r="AE49" i="12"/>
  <c r="AF49" i="12"/>
  <c r="AG49" i="12"/>
  <c r="AH49" i="12"/>
  <c r="AI49" i="12"/>
  <c r="AJ49" i="12"/>
  <c r="AK49" i="12"/>
  <c r="AL49" i="12"/>
  <c r="AM49" i="12"/>
  <c r="Q50" i="12"/>
  <c r="R50" i="12"/>
  <c r="S50" i="12"/>
  <c r="T50" i="12"/>
  <c r="U50" i="12"/>
  <c r="V50" i="12"/>
  <c r="W50" i="12"/>
  <c r="X50" i="12"/>
  <c r="Y50" i="12"/>
  <c r="Z50" i="12"/>
  <c r="AA50" i="12"/>
  <c r="AB50" i="12"/>
  <c r="AC50" i="12"/>
  <c r="AD50" i="12"/>
  <c r="AE50" i="12"/>
  <c r="AF50" i="12"/>
  <c r="AG50" i="12"/>
  <c r="AH50" i="12"/>
  <c r="AI50" i="12"/>
  <c r="AJ50" i="12"/>
  <c r="AK50" i="12"/>
  <c r="AL50" i="12"/>
  <c r="AM50" i="12"/>
  <c r="Q51" i="12"/>
  <c r="R51" i="12"/>
  <c r="S51" i="12"/>
  <c r="T51" i="12"/>
  <c r="U51" i="12"/>
  <c r="V51" i="12"/>
  <c r="W51" i="12"/>
  <c r="X51" i="12"/>
  <c r="Y51" i="12"/>
  <c r="Z51" i="12"/>
  <c r="AA51" i="12"/>
  <c r="AB51" i="12"/>
  <c r="AC51" i="12"/>
  <c r="AD51" i="12"/>
  <c r="AE51" i="12"/>
  <c r="AF51" i="12"/>
  <c r="AG51" i="12"/>
  <c r="AH51" i="12"/>
  <c r="AI51" i="12"/>
  <c r="AJ51" i="12"/>
  <c r="AK51" i="12"/>
  <c r="AL51" i="12"/>
  <c r="AM51" i="12"/>
  <c r="Q52" i="12"/>
  <c r="R52" i="12"/>
  <c r="S52" i="12"/>
  <c r="T52" i="12"/>
  <c r="U52" i="12"/>
  <c r="V52" i="12"/>
  <c r="W52" i="12"/>
  <c r="X52" i="12"/>
  <c r="Y52" i="12"/>
  <c r="Z52" i="12"/>
  <c r="AA52" i="12"/>
  <c r="AB52" i="12"/>
  <c r="AC52" i="12"/>
  <c r="AD52" i="12"/>
  <c r="AE52" i="12"/>
  <c r="AF52" i="12"/>
  <c r="AG52" i="12"/>
  <c r="AH52" i="12"/>
  <c r="AI52" i="12"/>
  <c r="AJ52" i="12"/>
  <c r="AK52" i="12"/>
  <c r="AL52" i="12"/>
  <c r="AM52" i="12"/>
  <c r="Q53" i="12"/>
  <c r="R53" i="12"/>
  <c r="S53" i="12"/>
  <c r="T53" i="12"/>
  <c r="U53" i="12"/>
  <c r="V53" i="12"/>
  <c r="W53" i="12"/>
  <c r="X53" i="12"/>
  <c r="Y53" i="12"/>
  <c r="Z53" i="12"/>
  <c r="AA53" i="12"/>
  <c r="AB53" i="12"/>
  <c r="AC53" i="12"/>
  <c r="AD53" i="12"/>
  <c r="AE53" i="12"/>
  <c r="AF53" i="12"/>
  <c r="AG53" i="12"/>
  <c r="AH53" i="12"/>
  <c r="AI53" i="12"/>
  <c r="AJ53" i="12"/>
  <c r="AK53" i="12"/>
  <c r="AL53" i="12"/>
  <c r="AM53" i="12"/>
  <c r="Q54" i="12"/>
  <c r="R54" i="12"/>
  <c r="S54" i="12"/>
  <c r="T54" i="12"/>
  <c r="U54" i="12"/>
  <c r="V54" i="12"/>
  <c r="W54" i="12"/>
  <c r="X54" i="12"/>
  <c r="Y54" i="12"/>
  <c r="Z54" i="12"/>
  <c r="AA54" i="12"/>
  <c r="AB54" i="12"/>
  <c r="AC54" i="12"/>
  <c r="AD54" i="12"/>
  <c r="AE54" i="12"/>
  <c r="AF54" i="12"/>
  <c r="AG54" i="12"/>
  <c r="AH54" i="12"/>
  <c r="AI54" i="12"/>
  <c r="AJ54" i="12"/>
  <c r="AK54" i="12"/>
  <c r="AL54" i="12"/>
  <c r="AM54" i="12"/>
  <c r="Q55" i="12"/>
  <c r="R55" i="12"/>
  <c r="S55" i="12"/>
  <c r="T55" i="12"/>
  <c r="U55" i="12"/>
  <c r="V55" i="12"/>
  <c r="W55" i="12"/>
  <c r="X55" i="12"/>
  <c r="Y55" i="12"/>
  <c r="Z55" i="12"/>
  <c r="AA55" i="12"/>
  <c r="AB55" i="12"/>
  <c r="AC55" i="12"/>
  <c r="AD55" i="12"/>
  <c r="AE55" i="12"/>
  <c r="AF55" i="12"/>
  <c r="AG55" i="12"/>
  <c r="AH55" i="12"/>
  <c r="AI55" i="12"/>
  <c r="AJ55" i="12"/>
  <c r="AK55" i="12"/>
  <c r="AL55" i="12"/>
  <c r="AM55" i="12"/>
  <c r="Q56" i="12"/>
  <c r="R56" i="12"/>
  <c r="S56" i="12"/>
  <c r="T56" i="12"/>
  <c r="U56" i="12"/>
  <c r="V56" i="12"/>
  <c r="W56" i="12"/>
  <c r="X56" i="12"/>
  <c r="Y56" i="12"/>
  <c r="Z56" i="12"/>
  <c r="AA56" i="12"/>
  <c r="AB56" i="12"/>
  <c r="AC56" i="12"/>
  <c r="AD56" i="12"/>
  <c r="AE56" i="12"/>
  <c r="AF56" i="12"/>
  <c r="AG56" i="12"/>
  <c r="AH56" i="12"/>
  <c r="AI56" i="12"/>
  <c r="AJ56" i="12"/>
  <c r="AK56" i="12"/>
  <c r="AL56" i="12"/>
  <c r="AM56" i="12"/>
  <c r="Q57" i="12"/>
  <c r="R57" i="12"/>
  <c r="S57" i="12"/>
  <c r="T57" i="12"/>
  <c r="U57" i="12"/>
  <c r="V57" i="12"/>
  <c r="W57" i="12"/>
  <c r="X57" i="12"/>
  <c r="Y57" i="12"/>
  <c r="Z57" i="12"/>
  <c r="AA57" i="12"/>
  <c r="AB57" i="12"/>
  <c r="AC57" i="12"/>
  <c r="AD57" i="12"/>
  <c r="AE57" i="12"/>
  <c r="AF57" i="12"/>
  <c r="AG57" i="12"/>
  <c r="AH57" i="12"/>
  <c r="AI57" i="12"/>
  <c r="AJ57" i="12"/>
  <c r="AK57" i="12"/>
  <c r="AL57" i="12"/>
  <c r="AM57" i="12"/>
  <c r="Q58" i="12"/>
  <c r="R58" i="12"/>
  <c r="S58" i="12"/>
  <c r="T58" i="12"/>
  <c r="U58" i="12"/>
  <c r="V58" i="12"/>
  <c r="W58" i="12"/>
  <c r="X58" i="12"/>
  <c r="Y58" i="12"/>
  <c r="Z58" i="12"/>
  <c r="AA58" i="12"/>
  <c r="AB58" i="12"/>
  <c r="AC58" i="12"/>
  <c r="AD58" i="12"/>
  <c r="AE58" i="12"/>
  <c r="AF58" i="12"/>
  <c r="AG58" i="12"/>
  <c r="AH58" i="12"/>
  <c r="AI58" i="12"/>
  <c r="AJ58" i="12"/>
  <c r="AK58" i="12"/>
  <c r="AL58" i="12"/>
  <c r="AM58" i="12"/>
  <c r="Q59" i="12"/>
  <c r="R59" i="12"/>
  <c r="S59" i="12"/>
  <c r="T59" i="12"/>
  <c r="U59" i="12"/>
  <c r="V59" i="12"/>
  <c r="W59" i="12"/>
  <c r="X59" i="12"/>
  <c r="Y59" i="12"/>
  <c r="Z59" i="12"/>
  <c r="AA59" i="12"/>
  <c r="AB59" i="12"/>
  <c r="AC59" i="12"/>
  <c r="AD59" i="12"/>
  <c r="AE59" i="12"/>
  <c r="AF59" i="12"/>
  <c r="AG59" i="12"/>
  <c r="AH59" i="12"/>
  <c r="AI59" i="12"/>
  <c r="AJ59" i="12"/>
  <c r="AK59" i="12"/>
  <c r="AL59" i="12"/>
  <c r="AM59" i="12"/>
  <c r="Q60" i="12"/>
  <c r="R60" i="12"/>
  <c r="S60" i="12"/>
  <c r="T60" i="12"/>
  <c r="U60" i="12"/>
  <c r="V60" i="12"/>
  <c r="W60" i="12"/>
  <c r="X60" i="12"/>
  <c r="Y60" i="12"/>
  <c r="Z60" i="12"/>
  <c r="AA60" i="12"/>
  <c r="AB60" i="12"/>
  <c r="AC60" i="12"/>
  <c r="AD60" i="12"/>
  <c r="AE60" i="12"/>
  <c r="AF60" i="12"/>
  <c r="AG60" i="12"/>
  <c r="AH60" i="12"/>
  <c r="AI60" i="12"/>
  <c r="AJ60" i="12"/>
  <c r="AK60" i="12"/>
  <c r="AL60" i="12"/>
  <c r="AM60" i="12"/>
  <c r="Q61" i="12"/>
  <c r="R61" i="12"/>
  <c r="S61" i="12"/>
  <c r="T61" i="12"/>
  <c r="U61" i="12"/>
  <c r="V61" i="12"/>
  <c r="W61" i="12"/>
  <c r="X61" i="12"/>
  <c r="Y61" i="12"/>
  <c r="Z61" i="12"/>
  <c r="AA61" i="12"/>
  <c r="AB61" i="12"/>
  <c r="AC61" i="12"/>
  <c r="AD61" i="12"/>
  <c r="AE61" i="12"/>
  <c r="AF61" i="12"/>
  <c r="AG61" i="12"/>
  <c r="AH61" i="12"/>
  <c r="AI61" i="12"/>
  <c r="AJ61" i="12"/>
  <c r="AK61" i="12"/>
  <c r="AL61" i="12"/>
  <c r="AM61" i="12"/>
  <c r="Q62" i="12"/>
  <c r="R62" i="12"/>
  <c r="S62" i="12"/>
  <c r="T62" i="12"/>
  <c r="U62" i="12"/>
  <c r="V62" i="12"/>
  <c r="W62" i="12"/>
  <c r="X62" i="12"/>
  <c r="Y62" i="12"/>
  <c r="Z62" i="12"/>
  <c r="AA62" i="12"/>
  <c r="AB62" i="12"/>
  <c r="AC62" i="12"/>
  <c r="AD62" i="12"/>
  <c r="AE62" i="12"/>
  <c r="AF62" i="12"/>
  <c r="AG62" i="12"/>
  <c r="AH62" i="12"/>
  <c r="AI62" i="12"/>
  <c r="AJ62" i="12"/>
  <c r="AK62" i="12"/>
  <c r="AL62" i="12"/>
  <c r="AM62" i="12"/>
  <c r="Q63" i="12"/>
  <c r="R63" i="12"/>
  <c r="S63" i="12"/>
  <c r="T63" i="12"/>
  <c r="U63" i="12"/>
  <c r="V63" i="12"/>
  <c r="W63" i="12"/>
  <c r="X63" i="12"/>
  <c r="Y63" i="12"/>
  <c r="Z63" i="12"/>
  <c r="AA63" i="12"/>
  <c r="AB63" i="12"/>
  <c r="AC63" i="12"/>
  <c r="AD63" i="12"/>
  <c r="AE63" i="12"/>
  <c r="AF63" i="12"/>
  <c r="AG63" i="12"/>
  <c r="AH63" i="12"/>
  <c r="AI63" i="12"/>
  <c r="AJ63" i="12"/>
  <c r="AK63" i="12"/>
  <c r="AL63" i="12"/>
  <c r="AM63" i="12"/>
  <c r="Q64" i="12"/>
  <c r="R64" i="12"/>
  <c r="S64" i="12"/>
  <c r="T64" i="12"/>
  <c r="U64" i="12"/>
  <c r="V64" i="12"/>
  <c r="W64" i="12"/>
  <c r="X64" i="12"/>
  <c r="Y64" i="12"/>
  <c r="Z64" i="12"/>
  <c r="AA64" i="12"/>
  <c r="AB64" i="12"/>
  <c r="AC64" i="12"/>
  <c r="AD64" i="12"/>
  <c r="AE64" i="12"/>
  <c r="AF64" i="12"/>
  <c r="AG64" i="12"/>
  <c r="AH64" i="12"/>
  <c r="AI64" i="12"/>
  <c r="AJ64" i="12"/>
  <c r="AK64" i="12"/>
  <c r="AL64" i="12"/>
  <c r="AM64" i="12"/>
  <c r="Q65" i="12"/>
  <c r="R65" i="12"/>
  <c r="S65" i="12"/>
  <c r="T65" i="12"/>
  <c r="U65" i="12"/>
  <c r="V65" i="12"/>
  <c r="W65" i="12"/>
  <c r="X65" i="12"/>
  <c r="Y65" i="12"/>
  <c r="Z65" i="12"/>
  <c r="AA65" i="12"/>
  <c r="AB65" i="12"/>
  <c r="AC65" i="12"/>
  <c r="AD65" i="12"/>
  <c r="AE65" i="12"/>
  <c r="AF65" i="12"/>
  <c r="AG65" i="12"/>
  <c r="AH65" i="12"/>
  <c r="AI65" i="12"/>
  <c r="AJ65" i="12"/>
  <c r="AK65" i="12"/>
  <c r="AL65" i="12"/>
  <c r="AM65" i="12"/>
  <c r="Q66" i="12"/>
  <c r="R66" i="12"/>
  <c r="S66" i="12"/>
  <c r="T66" i="12"/>
  <c r="U66" i="12"/>
  <c r="V66" i="12"/>
  <c r="W66" i="12"/>
  <c r="X66" i="12"/>
  <c r="Y66" i="12"/>
  <c r="Z66" i="12"/>
  <c r="AA66" i="12"/>
  <c r="AB66" i="12"/>
  <c r="AC66" i="12"/>
  <c r="AD66" i="12"/>
  <c r="AE66" i="12"/>
  <c r="AF66" i="12"/>
  <c r="AG66" i="12"/>
  <c r="AH66" i="12"/>
  <c r="AI66" i="12"/>
  <c r="AJ66" i="12"/>
  <c r="AK66" i="12"/>
  <c r="AL66" i="12"/>
  <c r="AM66" i="12"/>
  <c r="Q67" i="12"/>
  <c r="R67" i="12"/>
  <c r="S67" i="12"/>
  <c r="T67" i="12"/>
  <c r="U67" i="12"/>
  <c r="V67" i="12"/>
  <c r="W67" i="12"/>
  <c r="X67" i="12"/>
  <c r="Y67" i="12"/>
  <c r="Z67" i="12"/>
  <c r="AA67" i="12"/>
  <c r="AB67" i="12"/>
  <c r="AC67" i="12"/>
  <c r="AD67" i="12"/>
  <c r="AE67" i="12"/>
  <c r="AF67" i="12"/>
  <c r="AG67" i="12"/>
  <c r="AH67" i="12"/>
  <c r="AI67" i="12"/>
  <c r="AJ67" i="12"/>
  <c r="AK67" i="12"/>
  <c r="AL67" i="12"/>
  <c r="AM67" i="12"/>
  <c r="Q68" i="12"/>
  <c r="R68" i="12"/>
  <c r="S68" i="12"/>
  <c r="T68" i="12"/>
  <c r="U68" i="12"/>
  <c r="V68" i="12"/>
  <c r="W68" i="12"/>
  <c r="X68" i="12"/>
  <c r="Y68" i="12"/>
  <c r="Z68" i="12"/>
  <c r="AA68" i="12"/>
  <c r="AB68" i="12"/>
  <c r="AC68" i="12"/>
  <c r="AD68" i="12"/>
  <c r="AE68" i="12"/>
  <c r="AF68" i="12"/>
  <c r="AG68" i="12"/>
  <c r="AH68" i="12"/>
  <c r="AI68" i="12"/>
  <c r="AJ68" i="12"/>
  <c r="AK68" i="12"/>
  <c r="AL68" i="12"/>
  <c r="AM68" i="12"/>
  <c r="Q69" i="12"/>
  <c r="R69" i="12"/>
  <c r="S69" i="12"/>
  <c r="T69" i="12"/>
  <c r="U69" i="12"/>
  <c r="V69" i="12"/>
  <c r="W69" i="12"/>
  <c r="X69" i="12"/>
  <c r="Y69" i="12"/>
  <c r="Z69" i="12"/>
  <c r="AA69" i="12"/>
  <c r="AB69" i="12"/>
  <c r="AC69" i="12"/>
  <c r="AD69" i="12"/>
  <c r="AE69" i="12"/>
  <c r="AF69" i="12"/>
  <c r="AG69" i="12"/>
  <c r="AH69" i="12"/>
  <c r="AI69" i="12"/>
  <c r="AJ69" i="12"/>
  <c r="AK69" i="12"/>
  <c r="AL69" i="12"/>
  <c r="AM69" i="12"/>
  <c r="Q70" i="12"/>
  <c r="R70" i="12"/>
  <c r="S70" i="12"/>
  <c r="T70" i="12"/>
  <c r="U70" i="12"/>
  <c r="V70" i="12"/>
  <c r="W70" i="12"/>
  <c r="X70" i="12"/>
  <c r="Y70" i="12"/>
  <c r="Z70" i="12"/>
  <c r="AA70" i="12"/>
  <c r="AB70" i="12"/>
  <c r="AC70" i="12"/>
  <c r="AD70" i="12"/>
  <c r="AE70" i="12"/>
  <c r="AF70" i="12"/>
  <c r="AG70" i="12"/>
  <c r="AH70" i="12"/>
  <c r="AI70" i="12"/>
  <c r="AJ70" i="12"/>
  <c r="AK70" i="12"/>
  <c r="AL70" i="12"/>
  <c r="AM70" i="12"/>
  <c r="Q71" i="12"/>
  <c r="R71" i="12"/>
  <c r="S71" i="12"/>
  <c r="T71" i="12"/>
  <c r="U71" i="12"/>
  <c r="V71" i="12"/>
  <c r="W71" i="12"/>
  <c r="X71" i="12"/>
  <c r="Y71" i="12"/>
  <c r="Z71" i="12"/>
  <c r="AA71" i="12"/>
  <c r="AB71" i="12"/>
  <c r="AC71" i="12"/>
  <c r="AD71" i="12"/>
  <c r="AE71" i="12"/>
  <c r="AF71" i="12"/>
  <c r="AG71" i="12"/>
  <c r="AH71" i="12"/>
  <c r="AI71" i="12"/>
  <c r="AJ71" i="12"/>
  <c r="AK71" i="12"/>
  <c r="AL71" i="12"/>
  <c r="AM71" i="12"/>
  <c r="Q72" i="12"/>
  <c r="R72" i="12"/>
  <c r="S72" i="12"/>
  <c r="T72" i="12"/>
  <c r="U72" i="12"/>
  <c r="V72" i="12"/>
  <c r="W72" i="12"/>
  <c r="X72" i="12"/>
  <c r="Y72" i="12"/>
  <c r="Z72" i="12"/>
  <c r="AA72" i="12"/>
  <c r="AB72" i="12"/>
  <c r="AC72" i="12"/>
  <c r="AD72" i="12"/>
  <c r="AE72" i="12"/>
  <c r="AF72" i="12"/>
  <c r="AG72" i="12"/>
  <c r="AH72" i="12"/>
  <c r="AI72" i="12"/>
  <c r="AJ72" i="12"/>
  <c r="AK72" i="12"/>
  <c r="AL72" i="12"/>
  <c r="AM72" i="12"/>
  <c r="Q73" i="12"/>
  <c r="R73" i="12"/>
  <c r="S73" i="12"/>
  <c r="T73" i="12"/>
  <c r="U73" i="12"/>
  <c r="V73" i="12"/>
  <c r="W73" i="12"/>
  <c r="X73" i="12"/>
  <c r="Y73" i="12"/>
  <c r="Z73" i="12"/>
  <c r="AA73" i="12"/>
  <c r="AB73" i="12"/>
  <c r="AC73" i="12"/>
  <c r="AD73" i="12"/>
  <c r="AE73" i="12"/>
  <c r="AF73" i="12"/>
  <c r="AG73" i="12"/>
  <c r="AH73" i="12"/>
  <c r="AI73" i="12"/>
  <c r="AJ73" i="12"/>
  <c r="AK73" i="12"/>
  <c r="AL73" i="12"/>
  <c r="AM73" i="12"/>
  <c r="Q74" i="12"/>
  <c r="R74" i="12"/>
  <c r="S74" i="12"/>
  <c r="T74" i="12"/>
  <c r="U74" i="12"/>
  <c r="V74" i="12"/>
  <c r="W74" i="12"/>
  <c r="X74" i="12"/>
  <c r="Y74" i="12"/>
  <c r="Z74" i="12"/>
  <c r="AA74" i="12"/>
  <c r="AB74" i="12"/>
  <c r="AC74" i="12"/>
  <c r="AD74" i="12"/>
  <c r="AE74" i="12"/>
  <c r="AF74" i="12"/>
  <c r="AG74" i="12"/>
  <c r="AH74" i="12"/>
  <c r="AI74" i="12"/>
  <c r="AJ74" i="12"/>
  <c r="AK74" i="12"/>
  <c r="AL74" i="12"/>
  <c r="AM74" i="12"/>
  <c r="Q75" i="12"/>
  <c r="R75" i="12"/>
  <c r="S75" i="12"/>
  <c r="T75" i="12"/>
  <c r="U75" i="12"/>
  <c r="V75" i="12"/>
  <c r="W75" i="12"/>
  <c r="X75" i="12"/>
  <c r="Y75" i="12"/>
  <c r="Z75" i="12"/>
  <c r="AA75" i="12"/>
  <c r="AB75" i="12"/>
  <c r="AC75" i="12"/>
  <c r="AD75" i="12"/>
  <c r="AE75" i="12"/>
  <c r="AF75" i="12"/>
  <c r="AG75" i="12"/>
  <c r="AH75" i="12"/>
  <c r="AI75" i="12"/>
  <c r="AJ75" i="12"/>
  <c r="AK75" i="12"/>
  <c r="AL75" i="12"/>
  <c r="AM75" i="12"/>
  <c r="Q76" i="12"/>
  <c r="R76" i="12"/>
  <c r="S76" i="12"/>
  <c r="T76" i="12"/>
  <c r="U76" i="12"/>
  <c r="V76" i="12"/>
  <c r="W76" i="12"/>
  <c r="X76" i="12"/>
  <c r="Y76" i="12"/>
  <c r="Z76" i="12"/>
  <c r="AA76" i="12"/>
  <c r="AB76" i="12"/>
  <c r="AC76" i="12"/>
  <c r="AD76" i="12"/>
  <c r="AE76" i="12"/>
  <c r="AF76" i="12"/>
  <c r="AG76" i="12"/>
  <c r="AH76" i="12"/>
  <c r="AI76" i="12"/>
  <c r="AJ76" i="12"/>
  <c r="AK76" i="12"/>
  <c r="AL76" i="12"/>
  <c r="AM76" i="12"/>
  <c r="Q77" i="12"/>
  <c r="R77" i="12"/>
  <c r="S77" i="12"/>
  <c r="T77" i="12"/>
  <c r="U77" i="12"/>
  <c r="V77" i="12"/>
  <c r="W77" i="12"/>
  <c r="X77" i="12"/>
  <c r="Y77" i="12"/>
  <c r="Z77" i="12"/>
  <c r="AA77" i="12"/>
  <c r="AB77" i="12"/>
  <c r="AC77" i="12"/>
  <c r="AD77" i="12"/>
  <c r="AE77" i="12"/>
  <c r="AF77" i="12"/>
  <c r="AG77" i="12"/>
  <c r="AH77" i="12"/>
  <c r="AI77" i="12"/>
  <c r="AJ77" i="12"/>
  <c r="AK77" i="12"/>
  <c r="AL77" i="12"/>
  <c r="AM77" i="12"/>
  <c r="Q78" i="12"/>
  <c r="R78" i="12"/>
  <c r="S78" i="12"/>
  <c r="T78" i="12"/>
  <c r="U78" i="12"/>
  <c r="V78" i="12"/>
  <c r="W78" i="12"/>
  <c r="X78" i="12"/>
  <c r="Y78" i="12"/>
  <c r="Z78" i="12"/>
  <c r="AA78" i="12"/>
  <c r="AB78" i="12"/>
  <c r="AC78" i="12"/>
  <c r="AD78" i="12"/>
  <c r="AE78" i="12"/>
  <c r="AF78" i="12"/>
  <c r="AG78" i="12"/>
  <c r="AH78" i="12"/>
  <c r="AI78" i="12"/>
  <c r="AJ78" i="12"/>
  <c r="AK78" i="12"/>
  <c r="AL78" i="12"/>
  <c r="AM78" i="12"/>
  <c r="Q79" i="12"/>
  <c r="R79" i="12"/>
  <c r="S79" i="12"/>
  <c r="T79" i="12"/>
  <c r="U79" i="12"/>
  <c r="V79" i="12"/>
  <c r="W79" i="12"/>
  <c r="X79" i="12"/>
  <c r="Y79" i="12"/>
  <c r="Z79" i="12"/>
  <c r="AA79" i="12"/>
  <c r="AB79" i="12"/>
  <c r="AC79" i="12"/>
  <c r="AD79" i="12"/>
  <c r="AE79" i="12"/>
  <c r="AF79" i="12"/>
  <c r="AG79" i="12"/>
  <c r="AH79" i="12"/>
  <c r="AI79" i="12"/>
  <c r="AJ79" i="12"/>
  <c r="AK79" i="12"/>
  <c r="AL79" i="12"/>
  <c r="AM79" i="12"/>
  <c r="Q80" i="12"/>
  <c r="R80" i="12"/>
  <c r="S80" i="12"/>
  <c r="T80" i="12"/>
  <c r="U80" i="12"/>
  <c r="V80" i="12"/>
  <c r="W80" i="12"/>
  <c r="X80" i="12"/>
  <c r="Y80" i="12"/>
  <c r="Z80" i="12"/>
  <c r="AA80" i="12"/>
  <c r="AB80" i="12"/>
  <c r="AC80" i="12"/>
  <c r="AD80" i="12"/>
  <c r="AE80" i="12"/>
  <c r="AF80" i="12"/>
  <c r="AG80" i="12"/>
  <c r="AH80" i="12"/>
  <c r="AI80" i="12"/>
  <c r="AJ80" i="12"/>
  <c r="AK80" i="12"/>
  <c r="AL80" i="12"/>
  <c r="AM80" i="12"/>
  <c r="Q81" i="12"/>
  <c r="R81" i="12"/>
  <c r="S81" i="12"/>
  <c r="T81" i="12"/>
  <c r="U81" i="12"/>
  <c r="V81" i="12"/>
  <c r="W81" i="12"/>
  <c r="X81" i="12"/>
  <c r="Y81" i="12"/>
  <c r="Z81" i="12"/>
  <c r="AA81" i="12"/>
  <c r="AB81" i="12"/>
  <c r="AC81" i="12"/>
  <c r="AD81" i="12"/>
  <c r="AE81" i="12"/>
  <c r="AF81" i="12"/>
  <c r="AG81" i="12"/>
  <c r="AH81" i="12"/>
  <c r="AI81" i="12"/>
  <c r="AJ81" i="12"/>
  <c r="AK81" i="12"/>
  <c r="AL81" i="12"/>
  <c r="AM81" i="12"/>
  <c r="Q82" i="12"/>
  <c r="R82" i="12"/>
  <c r="S82" i="12"/>
  <c r="T82" i="12"/>
  <c r="U82" i="12"/>
  <c r="V82" i="12"/>
  <c r="W82" i="12"/>
  <c r="X82" i="12"/>
  <c r="Y82" i="12"/>
  <c r="Z82" i="12"/>
  <c r="AA82" i="12"/>
  <c r="AB82" i="12"/>
  <c r="AC82" i="12"/>
  <c r="AD82" i="12"/>
  <c r="AE82" i="12"/>
  <c r="AF82" i="12"/>
  <c r="AG82" i="12"/>
  <c r="AH82" i="12"/>
  <c r="AI82" i="12"/>
  <c r="AJ82" i="12"/>
  <c r="AK82" i="12"/>
  <c r="AL82" i="12"/>
  <c r="AM82" i="12"/>
  <c r="Q83" i="12"/>
  <c r="R83" i="12"/>
  <c r="S83" i="12"/>
  <c r="T83" i="12"/>
  <c r="U83" i="12"/>
  <c r="V83" i="12"/>
  <c r="W83" i="12"/>
  <c r="X83" i="12"/>
  <c r="Y83" i="12"/>
  <c r="Z83" i="12"/>
  <c r="AA83" i="12"/>
  <c r="AB83" i="12"/>
  <c r="AC83" i="12"/>
  <c r="AD83" i="12"/>
  <c r="AE83" i="12"/>
  <c r="AF83" i="12"/>
  <c r="AG83" i="12"/>
  <c r="AH83" i="12"/>
  <c r="AI83" i="12"/>
  <c r="AJ83" i="12"/>
  <c r="AK83" i="12"/>
  <c r="AL83" i="12"/>
  <c r="AM83" i="12"/>
  <c r="Q84" i="12"/>
  <c r="R84" i="12"/>
  <c r="S84" i="12"/>
  <c r="T84" i="12"/>
  <c r="U84" i="12"/>
  <c r="V84" i="12"/>
  <c r="W84" i="12"/>
  <c r="X84" i="12"/>
  <c r="Y84" i="12"/>
  <c r="Z84" i="12"/>
  <c r="AA84" i="12"/>
  <c r="AB84" i="12"/>
  <c r="AC84" i="12"/>
  <c r="AD84" i="12"/>
  <c r="AE84" i="12"/>
  <c r="AF84" i="12"/>
  <c r="AG84" i="12"/>
  <c r="AH84" i="12"/>
  <c r="AI84" i="12"/>
  <c r="AJ84" i="12"/>
  <c r="AK84" i="12"/>
  <c r="AL84" i="12"/>
  <c r="AM84" i="12"/>
  <c r="Q85" i="12"/>
  <c r="R85" i="12"/>
  <c r="S85" i="12"/>
  <c r="T85" i="12"/>
  <c r="U85" i="12"/>
  <c r="V85" i="12"/>
  <c r="W85" i="12"/>
  <c r="X85" i="12"/>
  <c r="Y85" i="12"/>
  <c r="Z85" i="12"/>
  <c r="AA85" i="12"/>
  <c r="AB85" i="12"/>
  <c r="AC85" i="12"/>
  <c r="AD85" i="12"/>
  <c r="AE85" i="12"/>
  <c r="AF85" i="12"/>
  <c r="AG85" i="12"/>
  <c r="AH85" i="12"/>
  <c r="AI85" i="12"/>
  <c r="AJ85" i="12"/>
  <c r="AK85" i="12"/>
  <c r="AL85" i="12"/>
  <c r="AM85" i="12"/>
  <c r="Q86" i="12"/>
  <c r="R86" i="12"/>
  <c r="S86" i="12"/>
  <c r="T86" i="12"/>
  <c r="U86" i="12"/>
  <c r="V86" i="12"/>
  <c r="W86" i="12"/>
  <c r="X86" i="12"/>
  <c r="Y86" i="12"/>
  <c r="Z86" i="12"/>
  <c r="AA86" i="12"/>
  <c r="AB86" i="12"/>
  <c r="AC86" i="12"/>
  <c r="AD86" i="12"/>
  <c r="AE86" i="12"/>
  <c r="AF86" i="12"/>
  <c r="AG86" i="12"/>
  <c r="AH86" i="12"/>
  <c r="AI86" i="12"/>
  <c r="AJ86" i="12"/>
  <c r="AK86" i="12"/>
  <c r="AL86" i="12"/>
  <c r="AM86" i="12"/>
  <c r="Q87" i="12"/>
  <c r="R87" i="12"/>
  <c r="S87" i="12"/>
  <c r="T87" i="12"/>
  <c r="U87" i="12"/>
  <c r="V87" i="12"/>
  <c r="W87" i="12"/>
  <c r="X87" i="12"/>
  <c r="Y87" i="12"/>
  <c r="Z87" i="12"/>
  <c r="AA87" i="12"/>
  <c r="AB87" i="12"/>
  <c r="AC87" i="12"/>
  <c r="AD87" i="12"/>
  <c r="AE87" i="12"/>
  <c r="AF87" i="12"/>
  <c r="AG87" i="12"/>
  <c r="AH87" i="12"/>
  <c r="AI87" i="12"/>
  <c r="AJ87" i="12"/>
  <c r="AK87" i="12"/>
  <c r="AL87" i="12"/>
  <c r="AM87" i="12"/>
  <c r="Q88" i="12"/>
  <c r="R88" i="12"/>
  <c r="S88" i="12"/>
  <c r="T88" i="12"/>
  <c r="U88" i="12"/>
  <c r="V88" i="12"/>
  <c r="W88" i="12"/>
  <c r="X88" i="12"/>
  <c r="Y88" i="12"/>
  <c r="Z88" i="12"/>
  <c r="AA88" i="12"/>
  <c r="AB88" i="12"/>
  <c r="AC88" i="12"/>
  <c r="AD88" i="12"/>
  <c r="AE88" i="12"/>
  <c r="AF88" i="12"/>
  <c r="AG88" i="12"/>
  <c r="AH88" i="12"/>
  <c r="AI88" i="12"/>
  <c r="AJ88" i="12"/>
  <c r="AK88" i="12"/>
  <c r="AL88" i="12"/>
  <c r="AM88" i="12"/>
  <c r="Q89" i="12"/>
  <c r="R89" i="12"/>
  <c r="S89" i="12"/>
  <c r="T89" i="12"/>
  <c r="U89" i="12"/>
  <c r="V89" i="12"/>
  <c r="W89" i="12"/>
  <c r="X89" i="12"/>
  <c r="Y89" i="12"/>
  <c r="Z89" i="12"/>
  <c r="AA89" i="12"/>
  <c r="AB89" i="12"/>
  <c r="AC89" i="12"/>
  <c r="AD89" i="12"/>
  <c r="AE89" i="12"/>
  <c r="AF89" i="12"/>
  <c r="AG89" i="12"/>
  <c r="AH89" i="12"/>
  <c r="AI89" i="12"/>
  <c r="AJ89" i="12"/>
  <c r="AK89" i="12"/>
  <c r="AL89" i="12"/>
  <c r="AM89" i="12"/>
  <c r="Q90" i="12"/>
  <c r="R90" i="12"/>
  <c r="S90" i="12"/>
  <c r="T90" i="12"/>
  <c r="U90" i="12"/>
  <c r="V90" i="12"/>
  <c r="W90" i="12"/>
  <c r="X90" i="12"/>
  <c r="Y90" i="12"/>
  <c r="Z90" i="12"/>
  <c r="AA90" i="12"/>
  <c r="AB90" i="12"/>
  <c r="AC90" i="12"/>
  <c r="AD90" i="12"/>
  <c r="AE90" i="12"/>
  <c r="AF90" i="12"/>
  <c r="AG90" i="12"/>
  <c r="AH90" i="12"/>
  <c r="AI90" i="12"/>
  <c r="AJ90" i="12"/>
  <c r="AK90" i="12"/>
  <c r="AL90" i="12"/>
  <c r="AM90" i="12"/>
  <c r="Q91" i="12"/>
  <c r="R91" i="12"/>
  <c r="S91" i="12"/>
  <c r="T91" i="12"/>
  <c r="U91" i="12"/>
  <c r="V91" i="12"/>
  <c r="W91" i="12"/>
  <c r="X91" i="12"/>
  <c r="Y91" i="12"/>
  <c r="Z91" i="12"/>
  <c r="AA91" i="12"/>
  <c r="AB91" i="12"/>
  <c r="AC91" i="12"/>
  <c r="AD91" i="12"/>
  <c r="AE91" i="12"/>
  <c r="AF91" i="12"/>
  <c r="AG91" i="12"/>
  <c r="AH91" i="12"/>
  <c r="AI91" i="12"/>
  <c r="AJ91" i="12"/>
  <c r="AK91" i="12"/>
  <c r="AL91" i="12"/>
  <c r="AM91" i="12"/>
  <c r="Q92" i="12"/>
  <c r="R92" i="12"/>
  <c r="S92" i="12"/>
  <c r="T92" i="12"/>
  <c r="U92" i="12"/>
  <c r="V92" i="12"/>
  <c r="W92" i="12"/>
  <c r="X92" i="12"/>
  <c r="Y92" i="12"/>
  <c r="Z92" i="12"/>
  <c r="AA92" i="12"/>
  <c r="AB92" i="12"/>
  <c r="AC92" i="12"/>
  <c r="AD92" i="12"/>
  <c r="AE92" i="12"/>
  <c r="AF92" i="12"/>
  <c r="AG92" i="12"/>
  <c r="AH92" i="12"/>
  <c r="AI92" i="12"/>
  <c r="AJ92" i="12"/>
  <c r="AK92" i="12"/>
  <c r="AL92" i="12"/>
  <c r="AM92" i="12"/>
  <c r="Q93" i="12"/>
  <c r="R93" i="12"/>
  <c r="S93" i="12"/>
  <c r="T93" i="12"/>
  <c r="U93" i="12"/>
  <c r="V93" i="12"/>
  <c r="W93" i="12"/>
  <c r="X93" i="12"/>
  <c r="Y93" i="12"/>
  <c r="Z93" i="12"/>
  <c r="AA93" i="12"/>
  <c r="AB93" i="12"/>
  <c r="AC93" i="12"/>
  <c r="AD93" i="12"/>
  <c r="AE93" i="12"/>
  <c r="AF93" i="12"/>
  <c r="AG93" i="12"/>
  <c r="AH93" i="12"/>
  <c r="AI93" i="12"/>
  <c r="AJ93" i="12"/>
  <c r="AK93" i="12"/>
  <c r="AL93" i="12"/>
  <c r="AM93" i="12"/>
  <c r="Q94" i="12"/>
  <c r="R94" i="12"/>
  <c r="S94" i="12"/>
  <c r="T94" i="12"/>
  <c r="U94" i="12"/>
  <c r="V94" i="12"/>
  <c r="W94" i="12"/>
  <c r="X94" i="12"/>
  <c r="Y94" i="12"/>
  <c r="Z94" i="12"/>
  <c r="AA94" i="12"/>
  <c r="AB94" i="12"/>
  <c r="AC94" i="12"/>
  <c r="AD94" i="12"/>
  <c r="AE94" i="12"/>
  <c r="AF94" i="12"/>
  <c r="AG94" i="12"/>
  <c r="AH94" i="12"/>
  <c r="AI94" i="12"/>
  <c r="AJ94" i="12"/>
  <c r="AK94" i="12"/>
  <c r="AL94" i="12"/>
  <c r="AM94" i="12"/>
  <c r="Q95" i="12"/>
  <c r="R95" i="12"/>
  <c r="S95" i="12"/>
  <c r="T95" i="12"/>
  <c r="U95" i="12"/>
  <c r="V95" i="12"/>
  <c r="W95" i="12"/>
  <c r="X95" i="12"/>
  <c r="Y95" i="12"/>
  <c r="Z95" i="12"/>
  <c r="AA95" i="12"/>
  <c r="AB95" i="12"/>
  <c r="AC95" i="12"/>
  <c r="AD95" i="12"/>
  <c r="AE95" i="12"/>
  <c r="AF95" i="12"/>
  <c r="AG95" i="12"/>
  <c r="AH95" i="12"/>
  <c r="AI95" i="12"/>
  <c r="AJ95" i="12"/>
  <c r="AK95" i="12"/>
  <c r="AL95" i="12"/>
  <c r="AM95" i="12"/>
  <c r="Q96" i="12"/>
  <c r="R96" i="12"/>
  <c r="S96" i="12"/>
  <c r="T96" i="12"/>
  <c r="U96" i="12"/>
  <c r="V96" i="12"/>
  <c r="W96" i="12"/>
  <c r="X96" i="12"/>
  <c r="Y96" i="12"/>
  <c r="Z96" i="12"/>
  <c r="AA96" i="12"/>
  <c r="AB96" i="12"/>
  <c r="AC96" i="12"/>
  <c r="AD96" i="12"/>
  <c r="AE96" i="12"/>
  <c r="AF96" i="12"/>
  <c r="AG96" i="12"/>
  <c r="AH96" i="12"/>
  <c r="AI96" i="12"/>
  <c r="AJ96" i="12"/>
  <c r="AK96" i="12"/>
  <c r="AL96" i="12"/>
  <c r="AM96" i="12"/>
  <c r="Q97" i="12"/>
  <c r="R97" i="12"/>
  <c r="S97" i="12"/>
  <c r="T97" i="12"/>
  <c r="U97" i="12"/>
  <c r="V97" i="12"/>
  <c r="W97" i="12"/>
  <c r="X97" i="12"/>
  <c r="Y97" i="12"/>
  <c r="Z97" i="12"/>
  <c r="AA97" i="12"/>
  <c r="AB97" i="12"/>
  <c r="AC97" i="12"/>
  <c r="AD97" i="12"/>
  <c r="AE97" i="12"/>
  <c r="AF97" i="12"/>
  <c r="AG97" i="12"/>
  <c r="AH97" i="12"/>
  <c r="AI97" i="12"/>
  <c r="AJ97" i="12"/>
  <c r="AK97" i="12"/>
  <c r="AL97" i="12"/>
  <c r="AM97" i="12"/>
  <c r="Q98" i="12"/>
  <c r="R98" i="12"/>
  <c r="S98" i="12"/>
  <c r="T98" i="12"/>
  <c r="U98" i="12"/>
  <c r="V98" i="12"/>
  <c r="W98" i="12"/>
  <c r="X98" i="12"/>
  <c r="Y98" i="12"/>
  <c r="Z98" i="12"/>
  <c r="AA98" i="12"/>
  <c r="AB98" i="12"/>
  <c r="AC98" i="12"/>
  <c r="AD98" i="12"/>
  <c r="AE98" i="12"/>
  <c r="AF98" i="12"/>
  <c r="AG98" i="12"/>
  <c r="AH98" i="12"/>
  <c r="AI98" i="12"/>
  <c r="AJ98" i="12"/>
  <c r="AK98" i="12"/>
  <c r="AL98" i="12"/>
  <c r="AM98" i="12"/>
  <c r="Q99" i="12"/>
  <c r="R99" i="12"/>
  <c r="S99" i="12"/>
  <c r="T99" i="12"/>
  <c r="U99" i="12"/>
  <c r="V99" i="12"/>
  <c r="W99" i="12"/>
  <c r="X99" i="12"/>
  <c r="Y99" i="12"/>
  <c r="Z99" i="12"/>
  <c r="AA99" i="12"/>
  <c r="AB99" i="12"/>
  <c r="AC99" i="12"/>
  <c r="AD99" i="12"/>
  <c r="AE99" i="12"/>
  <c r="AF99" i="12"/>
  <c r="AG99" i="12"/>
  <c r="AH99" i="12"/>
  <c r="AI99" i="12"/>
  <c r="AJ99" i="12"/>
  <c r="AK99" i="12"/>
  <c r="AL99" i="12"/>
  <c r="AM99" i="12"/>
  <c r="Q100" i="12"/>
  <c r="R100" i="12"/>
  <c r="S100" i="12"/>
  <c r="T100" i="12"/>
  <c r="U100" i="12"/>
  <c r="V100" i="12"/>
  <c r="W100" i="12"/>
  <c r="X100" i="12"/>
  <c r="Y100" i="12"/>
  <c r="Z100" i="12"/>
  <c r="AA100" i="12"/>
  <c r="AB100" i="12"/>
  <c r="AC100" i="12"/>
  <c r="AD100" i="12"/>
  <c r="AE100" i="12"/>
  <c r="AF100" i="12"/>
  <c r="AG100" i="12"/>
  <c r="AH100" i="12"/>
  <c r="AI100" i="12"/>
  <c r="AJ100" i="12"/>
  <c r="AK100" i="12"/>
  <c r="AL100" i="12"/>
  <c r="AM100" i="12"/>
  <c r="Q101" i="12"/>
  <c r="R101" i="12"/>
  <c r="S101" i="12"/>
  <c r="T101" i="12"/>
  <c r="U101" i="12"/>
  <c r="V101" i="12"/>
  <c r="W101" i="12"/>
  <c r="X101" i="12"/>
  <c r="Y101" i="12"/>
  <c r="Z101" i="12"/>
  <c r="AA101" i="12"/>
  <c r="AB101" i="12"/>
  <c r="AC101" i="12"/>
  <c r="AD101" i="12"/>
  <c r="AE101" i="12"/>
  <c r="AF101" i="12"/>
  <c r="AG101" i="12"/>
  <c r="AH101" i="12"/>
  <c r="AI101" i="12"/>
  <c r="AJ101" i="12"/>
  <c r="AK101" i="12"/>
  <c r="AL101" i="12"/>
  <c r="AM101" i="12"/>
  <c r="Q102" i="12"/>
  <c r="R102" i="12"/>
  <c r="S102" i="12"/>
  <c r="T102" i="12"/>
  <c r="U102" i="12"/>
  <c r="V102" i="12"/>
  <c r="W102" i="12"/>
  <c r="X102" i="12"/>
  <c r="Y102" i="12"/>
  <c r="Z102" i="12"/>
  <c r="AA102" i="12"/>
  <c r="AB102" i="12"/>
  <c r="AC102" i="12"/>
  <c r="AD102" i="12"/>
  <c r="AE102" i="12"/>
  <c r="AF102" i="12"/>
  <c r="AG102" i="12"/>
  <c r="AH102" i="12"/>
  <c r="AI102" i="12"/>
  <c r="AJ102" i="12"/>
  <c r="AK102" i="12"/>
  <c r="AL102" i="12"/>
  <c r="AM102" i="12"/>
  <c r="Q103" i="12"/>
  <c r="R103" i="12"/>
  <c r="S103" i="12"/>
  <c r="T103" i="12"/>
  <c r="U103" i="12"/>
  <c r="V103" i="12"/>
  <c r="W103" i="12"/>
  <c r="X103" i="12"/>
  <c r="Y103" i="12"/>
  <c r="Z103" i="12"/>
  <c r="AA103" i="12"/>
  <c r="AB103" i="12"/>
  <c r="AC103" i="12"/>
  <c r="AD103" i="12"/>
  <c r="AE103" i="12"/>
  <c r="AF103" i="12"/>
  <c r="AG103" i="12"/>
  <c r="AH103" i="12"/>
  <c r="AI103" i="12"/>
  <c r="AJ103" i="12"/>
  <c r="AK103" i="12"/>
  <c r="AL103" i="12"/>
  <c r="AM103" i="12"/>
  <c r="Q104" i="12"/>
  <c r="R104" i="12"/>
  <c r="S104" i="12"/>
  <c r="T104" i="12"/>
  <c r="U104" i="12"/>
  <c r="V104" i="12"/>
  <c r="W104" i="12"/>
  <c r="X104" i="12"/>
  <c r="Y104" i="12"/>
  <c r="Z104" i="12"/>
  <c r="AA104" i="12"/>
  <c r="AB104" i="12"/>
  <c r="AC104" i="12"/>
  <c r="AD104" i="12"/>
  <c r="AE104" i="12"/>
  <c r="AF104" i="12"/>
  <c r="AG104" i="12"/>
  <c r="AH104" i="12"/>
  <c r="AI104" i="12"/>
  <c r="AJ104" i="12"/>
  <c r="AK104" i="12"/>
  <c r="AL104" i="12"/>
  <c r="AM104" i="12"/>
  <c r="Q105" i="12"/>
  <c r="R105" i="12"/>
  <c r="S105" i="12"/>
  <c r="T105" i="12"/>
  <c r="U105" i="12"/>
  <c r="V105" i="12"/>
  <c r="W105" i="12"/>
  <c r="X105" i="12"/>
  <c r="Y105" i="12"/>
  <c r="Z105" i="12"/>
  <c r="AA105" i="12"/>
  <c r="AB105" i="12"/>
  <c r="AC105" i="12"/>
  <c r="AD105" i="12"/>
  <c r="AE105" i="12"/>
  <c r="AF105" i="12"/>
  <c r="AG105" i="12"/>
  <c r="AH105" i="12"/>
  <c r="AI105" i="12"/>
  <c r="AJ105" i="12"/>
  <c r="AK105" i="12"/>
  <c r="AL105" i="12"/>
  <c r="AM105" i="12"/>
  <c r="Q106" i="12"/>
  <c r="R106" i="12"/>
  <c r="S106" i="12"/>
  <c r="T106" i="12"/>
  <c r="U106" i="12"/>
  <c r="V106" i="12"/>
  <c r="W106" i="12"/>
  <c r="X106" i="12"/>
  <c r="Y106" i="12"/>
  <c r="Z106" i="12"/>
  <c r="AA106" i="12"/>
  <c r="AB106" i="12"/>
  <c r="AC106" i="12"/>
  <c r="AD106" i="12"/>
  <c r="AE106" i="12"/>
  <c r="AF106" i="12"/>
  <c r="AG106" i="12"/>
  <c r="AH106" i="12"/>
  <c r="AI106" i="12"/>
  <c r="AJ106" i="12"/>
  <c r="AK106" i="12"/>
  <c r="AL106" i="12"/>
  <c r="AM106" i="12"/>
  <c r="Q107" i="12"/>
  <c r="R107" i="12"/>
  <c r="S107" i="12"/>
  <c r="T107" i="12"/>
  <c r="U107" i="12"/>
  <c r="V107" i="12"/>
  <c r="W107" i="12"/>
  <c r="X107" i="12"/>
  <c r="Y107" i="12"/>
  <c r="Z107" i="12"/>
  <c r="AA107" i="12"/>
  <c r="AB107" i="12"/>
  <c r="AC107" i="12"/>
  <c r="AD107" i="12"/>
  <c r="AE107" i="12"/>
  <c r="AF107" i="12"/>
  <c r="AG107" i="12"/>
  <c r="AH107" i="12"/>
  <c r="AI107" i="12"/>
  <c r="AJ107" i="12"/>
  <c r="AK107" i="12"/>
  <c r="AL107" i="12"/>
  <c r="AM107" i="12"/>
  <c r="Q108" i="12"/>
  <c r="R108" i="12"/>
  <c r="S108" i="12"/>
  <c r="T108" i="12"/>
  <c r="U108" i="12"/>
  <c r="V108" i="12"/>
  <c r="W108" i="12"/>
  <c r="X108" i="12"/>
  <c r="Y108" i="12"/>
  <c r="Z108" i="12"/>
  <c r="AA108" i="12"/>
  <c r="AB108" i="12"/>
  <c r="AC108" i="12"/>
  <c r="AD108" i="12"/>
  <c r="AE108" i="12"/>
  <c r="AF108" i="12"/>
  <c r="AG108" i="12"/>
  <c r="AH108" i="12"/>
  <c r="AI108" i="12"/>
  <c r="AJ108" i="12"/>
  <c r="AK108" i="12"/>
  <c r="AL108" i="12"/>
  <c r="AM108" i="12"/>
  <c r="Q109" i="12"/>
  <c r="R109" i="12"/>
  <c r="S109" i="12"/>
  <c r="T109" i="12"/>
  <c r="U109" i="12"/>
  <c r="V109" i="12"/>
  <c r="W109" i="12"/>
  <c r="X109" i="12"/>
  <c r="Y109" i="12"/>
  <c r="Z109" i="12"/>
  <c r="AA109" i="12"/>
  <c r="AB109" i="12"/>
  <c r="AC109" i="12"/>
  <c r="AD109" i="12"/>
  <c r="AE109" i="12"/>
  <c r="AF109" i="12"/>
  <c r="AG109" i="12"/>
  <c r="AH109" i="12"/>
  <c r="AI109" i="12"/>
  <c r="AJ109" i="12"/>
  <c r="AK109" i="12"/>
  <c r="AL109" i="12"/>
  <c r="AM109" i="12"/>
  <c r="Q110" i="12"/>
  <c r="R110" i="12"/>
  <c r="S110" i="12"/>
  <c r="T110" i="12"/>
  <c r="U110" i="12"/>
  <c r="V110" i="12"/>
  <c r="W110" i="12"/>
  <c r="X110" i="12"/>
  <c r="Y110" i="12"/>
  <c r="Z110" i="12"/>
  <c r="AA110" i="12"/>
  <c r="AB110" i="12"/>
  <c r="AC110" i="12"/>
  <c r="AD110" i="12"/>
  <c r="AE110" i="12"/>
  <c r="AF110" i="12"/>
  <c r="AG110" i="12"/>
  <c r="AH110" i="12"/>
  <c r="AI110" i="12"/>
  <c r="AJ110" i="12"/>
  <c r="AK110" i="12"/>
  <c r="AL110" i="12"/>
  <c r="AM110" i="12"/>
  <c r="Q111" i="12"/>
  <c r="R111" i="12"/>
  <c r="S111" i="12"/>
  <c r="T111" i="12"/>
  <c r="U111" i="12"/>
  <c r="V111" i="12"/>
  <c r="W111" i="12"/>
  <c r="X111" i="12"/>
  <c r="Y111" i="12"/>
  <c r="Z111" i="12"/>
  <c r="AA111" i="12"/>
  <c r="AB111" i="12"/>
  <c r="AC111" i="12"/>
  <c r="AD111" i="12"/>
  <c r="AE111" i="12"/>
  <c r="AF111" i="12"/>
  <c r="AG111" i="12"/>
  <c r="AH111" i="12"/>
  <c r="AI111" i="12"/>
  <c r="AJ111" i="12"/>
  <c r="AK111" i="12"/>
  <c r="AL111" i="12"/>
  <c r="AM111" i="12"/>
  <c r="Q112" i="12"/>
  <c r="R112" i="12"/>
  <c r="S112" i="12"/>
  <c r="T112" i="12"/>
  <c r="U112" i="12"/>
  <c r="V112" i="12"/>
  <c r="W112" i="12"/>
  <c r="X112" i="12"/>
  <c r="Y112" i="12"/>
  <c r="Z112" i="12"/>
  <c r="AA112" i="12"/>
  <c r="AB112" i="12"/>
  <c r="AC112" i="12"/>
  <c r="AD112" i="12"/>
  <c r="AE112" i="12"/>
  <c r="AF112" i="12"/>
  <c r="AG112" i="12"/>
  <c r="AH112" i="12"/>
  <c r="AI112" i="12"/>
  <c r="AJ112" i="12"/>
  <c r="AK112" i="12"/>
  <c r="AL112" i="12"/>
  <c r="AM112" i="12"/>
  <c r="Q113" i="12"/>
  <c r="R113" i="12"/>
  <c r="S113" i="12"/>
  <c r="T113" i="12"/>
  <c r="U113" i="12"/>
  <c r="V113" i="12"/>
  <c r="W113" i="12"/>
  <c r="X113" i="12"/>
  <c r="Y113" i="12"/>
  <c r="Z113" i="12"/>
  <c r="AA113" i="12"/>
  <c r="AB113" i="12"/>
  <c r="AC113" i="12"/>
  <c r="AD113" i="12"/>
  <c r="AE113" i="12"/>
  <c r="AF113" i="12"/>
  <c r="AG113" i="12"/>
  <c r="AH113" i="12"/>
  <c r="AI113" i="12"/>
  <c r="AJ113" i="12"/>
  <c r="AK113" i="12"/>
  <c r="AL113" i="12"/>
  <c r="AM113" i="12"/>
  <c r="Q114" i="12"/>
  <c r="R114" i="12"/>
  <c r="S114" i="12"/>
  <c r="T114" i="12"/>
  <c r="U114" i="12"/>
  <c r="V114" i="12"/>
  <c r="W114" i="12"/>
  <c r="X114" i="12"/>
  <c r="Y114" i="12"/>
  <c r="Z114" i="12"/>
  <c r="AA114" i="12"/>
  <c r="AB114" i="12"/>
  <c r="AC114" i="12"/>
  <c r="AD114" i="12"/>
  <c r="AE114" i="12"/>
  <c r="AF114" i="12"/>
  <c r="AG114" i="12"/>
  <c r="AH114" i="12"/>
  <c r="AI114" i="12"/>
  <c r="AJ114" i="12"/>
  <c r="AK114" i="12"/>
  <c r="AL114" i="12"/>
  <c r="AM114" i="12"/>
  <c r="Q115" i="12"/>
  <c r="R115" i="12"/>
  <c r="S115" i="12"/>
  <c r="T115" i="12"/>
  <c r="U115" i="12"/>
  <c r="V115" i="12"/>
  <c r="W115" i="12"/>
  <c r="X115" i="12"/>
  <c r="Y115" i="12"/>
  <c r="Z115" i="12"/>
  <c r="AA115" i="12"/>
  <c r="AB115" i="12"/>
  <c r="AC115" i="12"/>
  <c r="AD115" i="12"/>
  <c r="AE115" i="12"/>
  <c r="AF115" i="12"/>
  <c r="AG115" i="12"/>
  <c r="AH115" i="12"/>
  <c r="AI115" i="12"/>
  <c r="AJ115" i="12"/>
  <c r="AK115" i="12"/>
  <c r="AL115" i="12"/>
  <c r="AM115" i="12"/>
  <c r="Q116" i="12"/>
  <c r="R116" i="12"/>
  <c r="S116" i="12"/>
  <c r="T116" i="12"/>
  <c r="U116" i="12"/>
  <c r="V116" i="12"/>
  <c r="W116" i="12"/>
  <c r="X116" i="12"/>
  <c r="Y116" i="12"/>
  <c r="Z116" i="12"/>
  <c r="AA116" i="12"/>
  <c r="AB116" i="12"/>
  <c r="AC116" i="12"/>
  <c r="AD116" i="12"/>
  <c r="AE116" i="12"/>
  <c r="AF116" i="12"/>
  <c r="AG116" i="12"/>
  <c r="AH116" i="12"/>
  <c r="AI116" i="12"/>
  <c r="AJ116" i="12"/>
  <c r="AK116" i="12"/>
  <c r="AL116" i="12"/>
  <c r="AM116" i="12"/>
  <c r="Q117" i="12"/>
  <c r="R117" i="12"/>
  <c r="S117" i="12"/>
  <c r="T117" i="12"/>
  <c r="U117" i="12"/>
  <c r="V117" i="12"/>
  <c r="W117" i="12"/>
  <c r="X117" i="12"/>
  <c r="Y117" i="12"/>
  <c r="Z117" i="12"/>
  <c r="AA117" i="12"/>
  <c r="AB117" i="12"/>
  <c r="AC117" i="12"/>
  <c r="AD117" i="12"/>
  <c r="AE117" i="12"/>
  <c r="AF117" i="12"/>
  <c r="AG117" i="12"/>
  <c r="AH117" i="12"/>
  <c r="AI117" i="12"/>
  <c r="AJ117" i="12"/>
  <c r="AK117" i="12"/>
  <c r="AL117" i="12"/>
  <c r="AM117" i="12"/>
  <c r="Q118" i="12"/>
  <c r="R118" i="12"/>
  <c r="S118" i="12"/>
  <c r="T118" i="12"/>
  <c r="U118" i="12"/>
  <c r="V118" i="12"/>
  <c r="W118" i="12"/>
  <c r="X118" i="12"/>
  <c r="Y118" i="12"/>
  <c r="Z118" i="12"/>
  <c r="AA118" i="12"/>
  <c r="AB118" i="12"/>
  <c r="AC118" i="12"/>
  <c r="AD118" i="12"/>
  <c r="AE118" i="12"/>
  <c r="AF118" i="12"/>
  <c r="AG118" i="12"/>
  <c r="AH118" i="12"/>
  <c r="AI118" i="12"/>
  <c r="AJ118" i="12"/>
  <c r="AK118" i="12"/>
  <c r="AL118" i="12"/>
  <c r="AM118" i="12"/>
  <c r="Q119" i="12"/>
  <c r="R119" i="12"/>
  <c r="S119" i="12"/>
  <c r="T119" i="12"/>
  <c r="U119" i="12"/>
  <c r="V119" i="12"/>
  <c r="W119" i="12"/>
  <c r="X119" i="12"/>
  <c r="Y119" i="12"/>
  <c r="Z119" i="12"/>
  <c r="AA119" i="12"/>
  <c r="AB119" i="12"/>
  <c r="AC119" i="12"/>
  <c r="AD119" i="12"/>
  <c r="AE119" i="12"/>
  <c r="AF119" i="12"/>
  <c r="AG119" i="12"/>
  <c r="AH119" i="12"/>
  <c r="AI119" i="12"/>
  <c r="AJ119" i="12"/>
  <c r="AK119" i="12"/>
  <c r="AL119" i="12"/>
  <c r="AM119" i="12"/>
  <c r="Q120" i="12"/>
  <c r="R120" i="12"/>
  <c r="S120" i="12"/>
  <c r="T120" i="12"/>
  <c r="U120" i="12"/>
  <c r="V120" i="12"/>
  <c r="W120" i="12"/>
  <c r="X120" i="12"/>
  <c r="Y120" i="12"/>
  <c r="Z120" i="12"/>
  <c r="AA120" i="12"/>
  <c r="AB120" i="12"/>
  <c r="AC120" i="12"/>
  <c r="AD120" i="12"/>
  <c r="AE120" i="12"/>
  <c r="AF120" i="12"/>
  <c r="AG120" i="12"/>
  <c r="AH120" i="12"/>
  <c r="AI120" i="12"/>
  <c r="AJ120" i="12"/>
  <c r="AK120" i="12"/>
  <c r="AL120" i="12"/>
  <c r="AM120" i="12"/>
  <c r="Q121" i="12"/>
  <c r="R121" i="12"/>
  <c r="S121" i="12"/>
  <c r="T121" i="12"/>
  <c r="U121" i="12"/>
  <c r="V121" i="12"/>
  <c r="W121" i="12"/>
  <c r="X121" i="12"/>
  <c r="Y121" i="12"/>
  <c r="Z121" i="12"/>
  <c r="AA121" i="12"/>
  <c r="AB121" i="12"/>
  <c r="AC121" i="12"/>
  <c r="AD121" i="12"/>
  <c r="AE121" i="12"/>
  <c r="AF121" i="12"/>
  <c r="AG121" i="12"/>
  <c r="AH121" i="12"/>
  <c r="AI121" i="12"/>
  <c r="AJ121" i="12"/>
  <c r="AK121" i="12"/>
  <c r="AL121" i="12"/>
  <c r="AM121" i="12"/>
  <c r="P33" i="12"/>
  <c r="P34" i="12"/>
  <c r="P35" i="12"/>
  <c r="P36" i="12"/>
  <c r="P37" i="12"/>
  <c r="P38" i="12"/>
  <c r="P39" i="12"/>
  <c r="P40" i="12"/>
  <c r="P41" i="12"/>
  <c r="P42" i="12"/>
  <c r="P43" i="12"/>
  <c r="P44" i="12"/>
  <c r="P45" i="12"/>
  <c r="P46" i="12"/>
  <c r="P47" i="12"/>
  <c r="P48" i="12"/>
  <c r="P49" i="12"/>
  <c r="P50" i="12"/>
  <c r="P51" i="12"/>
  <c r="P52" i="12"/>
  <c r="P53" i="12"/>
  <c r="P54" i="12"/>
  <c r="P55" i="12"/>
  <c r="P56" i="12"/>
  <c r="P57" i="12"/>
  <c r="P58" i="12"/>
  <c r="P59" i="12"/>
  <c r="P60" i="12"/>
  <c r="P61" i="12"/>
  <c r="P62" i="12"/>
  <c r="P63" i="12"/>
  <c r="P64" i="12"/>
  <c r="P65" i="12"/>
  <c r="P66" i="12"/>
  <c r="P67" i="12"/>
  <c r="P68" i="12"/>
  <c r="P69" i="12"/>
  <c r="P70" i="12"/>
  <c r="P71" i="12"/>
  <c r="P72" i="12"/>
  <c r="P73" i="12"/>
  <c r="P74" i="12"/>
  <c r="P75" i="12"/>
  <c r="P76" i="12"/>
  <c r="P77" i="12"/>
  <c r="P78" i="12"/>
  <c r="P79" i="12"/>
  <c r="P80" i="12"/>
  <c r="P81" i="12"/>
  <c r="P82" i="12"/>
  <c r="P83" i="12"/>
  <c r="P84" i="12"/>
  <c r="P85" i="12"/>
  <c r="P86" i="12"/>
  <c r="P87" i="12"/>
  <c r="P88" i="12"/>
  <c r="P89" i="12"/>
  <c r="P90" i="12"/>
  <c r="P91" i="12"/>
  <c r="P92" i="12"/>
  <c r="P93" i="12"/>
  <c r="P94" i="12"/>
  <c r="P95" i="12"/>
  <c r="P96" i="12"/>
  <c r="P97" i="12"/>
  <c r="P98" i="12"/>
  <c r="P99" i="12"/>
  <c r="P100" i="12"/>
  <c r="P101" i="12"/>
  <c r="P102" i="12"/>
  <c r="P103" i="12"/>
  <c r="P104" i="12"/>
  <c r="P105" i="12"/>
  <c r="P106" i="12"/>
  <c r="P107" i="12"/>
  <c r="P108" i="12"/>
  <c r="P109" i="12"/>
  <c r="P110" i="12"/>
  <c r="P111" i="12"/>
  <c r="P112" i="12"/>
  <c r="P113" i="12"/>
  <c r="P114" i="12"/>
  <c r="P115" i="12"/>
  <c r="P116" i="12"/>
  <c r="P117" i="12"/>
  <c r="P118" i="12"/>
  <c r="P119" i="12"/>
  <c r="P120" i="12"/>
  <c r="P121" i="12"/>
  <c r="P32" i="12"/>
  <c r="D32" i="12"/>
  <c r="E32" i="12"/>
  <c r="F32" i="12"/>
  <c r="G32" i="12"/>
  <c r="H32" i="12"/>
  <c r="I32" i="12"/>
  <c r="J32" i="12"/>
  <c r="K32" i="12"/>
  <c r="L32" i="12"/>
  <c r="D33" i="12"/>
  <c r="E33" i="12"/>
  <c r="F33" i="12"/>
  <c r="G33" i="12"/>
  <c r="H33" i="12"/>
  <c r="I33" i="12"/>
  <c r="J33" i="12"/>
  <c r="K33" i="12"/>
  <c r="L33" i="12"/>
  <c r="D34" i="12"/>
  <c r="E34" i="12"/>
  <c r="F34" i="12"/>
  <c r="G34" i="12"/>
  <c r="H34" i="12"/>
  <c r="I34" i="12"/>
  <c r="J34" i="12"/>
  <c r="K34" i="12"/>
  <c r="L34" i="12"/>
  <c r="D35" i="12"/>
  <c r="E35" i="12"/>
  <c r="F35" i="12"/>
  <c r="G35" i="12"/>
  <c r="H35" i="12"/>
  <c r="I35" i="12"/>
  <c r="J35" i="12"/>
  <c r="K35" i="12"/>
  <c r="L35" i="12"/>
  <c r="D36" i="12"/>
  <c r="E36" i="12"/>
  <c r="F36" i="12"/>
  <c r="G36" i="12"/>
  <c r="H36" i="12"/>
  <c r="I36" i="12"/>
  <c r="J36" i="12"/>
  <c r="K36" i="12"/>
  <c r="L36" i="12"/>
  <c r="D37" i="12"/>
  <c r="E37" i="12"/>
  <c r="F37" i="12"/>
  <c r="G37" i="12"/>
  <c r="H37" i="12"/>
  <c r="I37" i="12"/>
  <c r="J37" i="12"/>
  <c r="K37" i="12"/>
  <c r="L37" i="12"/>
  <c r="D38" i="12"/>
  <c r="E38" i="12"/>
  <c r="F38" i="12"/>
  <c r="G38" i="12"/>
  <c r="H38" i="12"/>
  <c r="I38" i="12"/>
  <c r="J38" i="12"/>
  <c r="K38" i="12"/>
  <c r="L38" i="12"/>
  <c r="D39" i="12"/>
  <c r="E39" i="12"/>
  <c r="F39" i="12"/>
  <c r="G39" i="12"/>
  <c r="H39" i="12"/>
  <c r="I39" i="12"/>
  <c r="J39" i="12"/>
  <c r="K39" i="12"/>
  <c r="L39" i="12"/>
  <c r="D40" i="12"/>
  <c r="E40" i="12"/>
  <c r="F40" i="12"/>
  <c r="G40" i="12"/>
  <c r="H40" i="12"/>
  <c r="I40" i="12"/>
  <c r="J40" i="12"/>
  <c r="K40" i="12"/>
  <c r="L40" i="12"/>
  <c r="D41" i="12"/>
  <c r="E41" i="12"/>
  <c r="F41" i="12"/>
  <c r="G41" i="12"/>
  <c r="H41" i="12"/>
  <c r="I41" i="12"/>
  <c r="J41" i="12"/>
  <c r="K41" i="12"/>
  <c r="L41" i="12"/>
  <c r="D42" i="12"/>
  <c r="E42" i="12"/>
  <c r="F42" i="12"/>
  <c r="G42" i="12"/>
  <c r="H42" i="12"/>
  <c r="I42" i="12"/>
  <c r="J42" i="12"/>
  <c r="K42" i="12"/>
  <c r="L42" i="12"/>
  <c r="D43" i="12"/>
  <c r="E43" i="12"/>
  <c r="F43" i="12"/>
  <c r="G43" i="12"/>
  <c r="H43" i="12"/>
  <c r="I43" i="12"/>
  <c r="J43" i="12"/>
  <c r="K43" i="12"/>
  <c r="L43" i="12"/>
  <c r="D44" i="12"/>
  <c r="E44" i="12"/>
  <c r="F44" i="12"/>
  <c r="G44" i="12"/>
  <c r="H44" i="12"/>
  <c r="I44" i="12"/>
  <c r="J44" i="12"/>
  <c r="K44" i="12"/>
  <c r="L44" i="12"/>
  <c r="D45" i="12"/>
  <c r="E45" i="12"/>
  <c r="F45" i="12"/>
  <c r="G45" i="12"/>
  <c r="H45" i="12"/>
  <c r="I45" i="12"/>
  <c r="J45" i="12"/>
  <c r="K45" i="12"/>
  <c r="L45" i="12"/>
  <c r="D46" i="12"/>
  <c r="E46" i="12"/>
  <c r="F46" i="12"/>
  <c r="G46" i="12"/>
  <c r="H46" i="12"/>
  <c r="I46" i="12"/>
  <c r="J46" i="12"/>
  <c r="K46" i="12"/>
  <c r="L46" i="12"/>
  <c r="D47" i="12"/>
  <c r="E47" i="12"/>
  <c r="F47" i="12"/>
  <c r="G47" i="12"/>
  <c r="H47" i="12"/>
  <c r="I47" i="12"/>
  <c r="J47" i="12"/>
  <c r="K47" i="12"/>
  <c r="L47" i="12"/>
  <c r="D48" i="12"/>
  <c r="E48" i="12"/>
  <c r="F48" i="12"/>
  <c r="G48" i="12"/>
  <c r="H48" i="12"/>
  <c r="I48" i="12"/>
  <c r="J48" i="12"/>
  <c r="K48" i="12"/>
  <c r="L48" i="12"/>
  <c r="D49" i="12"/>
  <c r="E49" i="12"/>
  <c r="F49" i="12"/>
  <c r="G49" i="12"/>
  <c r="H49" i="12"/>
  <c r="I49" i="12"/>
  <c r="J49" i="12"/>
  <c r="K49" i="12"/>
  <c r="L49" i="12"/>
  <c r="D50" i="12"/>
  <c r="E50" i="12"/>
  <c r="F50" i="12"/>
  <c r="G50" i="12"/>
  <c r="H50" i="12"/>
  <c r="I50" i="12"/>
  <c r="J50" i="12"/>
  <c r="K50" i="12"/>
  <c r="L50" i="12"/>
  <c r="D51" i="12"/>
  <c r="E51" i="12"/>
  <c r="F51" i="12"/>
  <c r="G51" i="12"/>
  <c r="H51" i="12"/>
  <c r="I51" i="12"/>
  <c r="J51" i="12"/>
  <c r="K51" i="12"/>
  <c r="L51" i="12"/>
  <c r="D52" i="12"/>
  <c r="E52" i="12"/>
  <c r="F52" i="12"/>
  <c r="G52" i="12"/>
  <c r="H52" i="12"/>
  <c r="I52" i="12"/>
  <c r="J52" i="12"/>
  <c r="K52" i="12"/>
  <c r="L52" i="12"/>
  <c r="D53" i="12"/>
  <c r="E53" i="12"/>
  <c r="F53" i="12"/>
  <c r="G53" i="12"/>
  <c r="H53" i="12"/>
  <c r="I53" i="12"/>
  <c r="J53" i="12"/>
  <c r="K53" i="12"/>
  <c r="L53" i="12"/>
  <c r="D54" i="12"/>
  <c r="E54" i="12"/>
  <c r="F54" i="12"/>
  <c r="G54" i="12"/>
  <c r="H54" i="12"/>
  <c r="I54" i="12"/>
  <c r="J54" i="12"/>
  <c r="K54" i="12"/>
  <c r="L54" i="12"/>
  <c r="D55" i="12"/>
  <c r="E55" i="12"/>
  <c r="F55" i="12"/>
  <c r="G55" i="12"/>
  <c r="H55" i="12"/>
  <c r="I55" i="12"/>
  <c r="J55" i="12"/>
  <c r="K55" i="12"/>
  <c r="L55" i="12"/>
  <c r="D56" i="12"/>
  <c r="E56" i="12"/>
  <c r="F56" i="12"/>
  <c r="G56" i="12"/>
  <c r="H56" i="12"/>
  <c r="I56" i="12"/>
  <c r="J56" i="12"/>
  <c r="K56" i="12"/>
  <c r="L56" i="12"/>
  <c r="D57" i="12"/>
  <c r="E57" i="12"/>
  <c r="F57" i="12"/>
  <c r="G57" i="12"/>
  <c r="H57" i="12"/>
  <c r="I57" i="12"/>
  <c r="J57" i="12"/>
  <c r="K57" i="12"/>
  <c r="L57" i="12"/>
  <c r="D58" i="12"/>
  <c r="E58" i="12"/>
  <c r="F58" i="12"/>
  <c r="G58" i="12"/>
  <c r="H58" i="12"/>
  <c r="I58" i="12"/>
  <c r="J58" i="12"/>
  <c r="K58" i="12"/>
  <c r="L58" i="12"/>
  <c r="D59" i="12"/>
  <c r="E59" i="12"/>
  <c r="F59" i="12"/>
  <c r="G59" i="12"/>
  <c r="H59" i="12"/>
  <c r="I59" i="12"/>
  <c r="J59" i="12"/>
  <c r="K59" i="12"/>
  <c r="L59" i="12"/>
  <c r="D60" i="12"/>
  <c r="E60" i="12"/>
  <c r="F60" i="12"/>
  <c r="G60" i="12"/>
  <c r="H60" i="12"/>
  <c r="I60" i="12"/>
  <c r="J60" i="12"/>
  <c r="K60" i="12"/>
  <c r="L60" i="12"/>
  <c r="D61" i="12"/>
  <c r="E61" i="12"/>
  <c r="F61" i="12"/>
  <c r="G61" i="12"/>
  <c r="H61" i="12"/>
  <c r="I61" i="12"/>
  <c r="J61" i="12"/>
  <c r="K61" i="12"/>
  <c r="L61" i="12"/>
  <c r="D62" i="12"/>
  <c r="E62" i="12"/>
  <c r="F62" i="12"/>
  <c r="G62" i="12"/>
  <c r="H62" i="12"/>
  <c r="I62" i="12"/>
  <c r="J62" i="12"/>
  <c r="K62" i="12"/>
  <c r="L62" i="12"/>
  <c r="D63" i="12"/>
  <c r="E63" i="12"/>
  <c r="F63" i="12"/>
  <c r="G63" i="12"/>
  <c r="H63" i="12"/>
  <c r="I63" i="12"/>
  <c r="J63" i="12"/>
  <c r="K63" i="12"/>
  <c r="L63" i="12"/>
  <c r="D64" i="12"/>
  <c r="E64" i="12"/>
  <c r="F64" i="12"/>
  <c r="G64" i="12"/>
  <c r="H64" i="12"/>
  <c r="I64" i="12"/>
  <c r="J64" i="12"/>
  <c r="K64" i="12"/>
  <c r="L64" i="12"/>
  <c r="D65" i="12"/>
  <c r="E65" i="12"/>
  <c r="F65" i="12"/>
  <c r="G65" i="12"/>
  <c r="H65" i="12"/>
  <c r="I65" i="12"/>
  <c r="J65" i="12"/>
  <c r="K65" i="12"/>
  <c r="L65" i="12"/>
  <c r="D66" i="12"/>
  <c r="E66" i="12"/>
  <c r="F66" i="12"/>
  <c r="G66" i="12"/>
  <c r="H66" i="12"/>
  <c r="I66" i="12"/>
  <c r="J66" i="12"/>
  <c r="K66" i="12"/>
  <c r="L66" i="12"/>
  <c r="D67" i="12"/>
  <c r="E67" i="12"/>
  <c r="F67" i="12"/>
  <c r="G67" i="12"/>
  <c r="H67" i="12"/>
  <c r="I67" i="12"/>
  <c r="J67" i="12"/>
  <c r="K67" i="12"/>
  <c r="L67" i="12"/>
  <c r="D68" i="12"/>
  <c r="E68" i="12"/>
  <c r="F68" i="12"/>
  <c r="G68" i="12"/>
  <c r="H68" i="12"/>
  <c r="I68" i="12"/>
  <c r="J68" i="12"/>
  <c r="K68" i="12"/>
  <c r="L68" i="12"/>
  <c r="D69" i="12"/>
  <c r="E69" i="12"/>
  <c r="F69" i="12"/>
  <c r="G69" i="12"/>
  <c r="H69" i="12"/>
  <c r="I69" i="12"/>
  <c r="J69" i="12"/>
  <c r="K69" i="12"/>
  <c r="L69" i="12"/>
  <c r="D70" i="12"/>
  <c r="E70" i="12"/>
  <c r="F70" i="12"/>
  <c r="G70" i="12"/>
  <c r="H70" i="12"/>
  <c r="I70" i="12"/>
  <c r="J70" i="12"/>
  <c r="K70" i="12"/>
  <c r="L70" i="12"/>
  <c r="D71" i="12"/>
  <c r="E71" i="12"/>
  <c r="F71" i="12"/>
  <c r="G71" i="12"/>
  <c r="H71" i="12"/>
  <c r="I71" i="12"/>
  <c r="J71" i="12"/>
  <c r="K71" i="12"/>
  <c r="L71" i="12"/>
  <c r="D72" i="12"/>
  <c r="E72" i="12"/>
  <c r="F72" i="12"/>
  <c r="G72" i="12"/>
  <c r="H72" i="12"/>
  <c r="I72" i="12"/>
  <c r="J72" i="12"/>
  <c r="K72" i="12"/>
  <c r="L72" i="12"/>
  <c r="D73" i="12"/>
  <c r="E73" i="12"/>
  <c r="F73" i="12"/>
  <c r="G73" i="12"/>
  <c r="H73" i="12"/>
  <c r="I73" i="12"/>
  <c r="J73" i="12"/>
  <c r="K73" i="12"/>
  <c r="L73" i="12"/>
  <c r="D74" i="12"/>
  <c r="E74" i="12"/>
  <c r="F74" i="12"/>
  <c r="G74" i="12"/>
  <c r="H74" i="12"/>
  <c r="I74" i="12"/>
  <c r="J74" i="12"/>
  <c r="K74" i="12"/>
  <c r="L74" i="12"/>
  <c r="D75" i="12"/>
  <c r="E75" i="12"/>
  <c r="F75" i="12"/>
  <c r="G75" i="12"/>
  <c r="H75" i="12"/>
  <c r="I75" i="12"/>
  <c r="J75" i="12"/>
  <c r="K75" i="12"/>
  <c r="L75" i="12"/>
  <c r="D76" i="12"/>
  <c r="E76" i="12"/>
  <c r="F76" i="12"/>
  <c r="G76" i="12"/>
  <c r="H76" i="12"/>
  <c r="I76" i="12"/>
  <c r="J76" i="12"/>
  <c r="K76" i="12"/>
  <c r="L76" i="12"/>
  <c r="D77" i="12"/>
  <c r="E77" i="12"/>
  <c r="F77" i="12"/>
  <c r="G77" i="12"/>
  <c r="H77" i="12"/>
  <c r="I77" i="12"/>
  <c r="J77" i="12"/>
  <c r="K77" i="12"/>
  <c r="L77" i="12"/>
  <c r="D78" i="12"/>
  <c r="E78" i="12"/>
  <c r="F78" i="12"/>
  <c r="G78" i="12"/>
  <c r="H78" i="12"/>
  <c r="I78" i="12"/>
  <c r="J78" i="12"/>
  <c r="K78" i="12"/>
  <c r="L78" i="12"/>
  <c r="D79" i="12"/>
  <c r="E79" i="12"/>
  <c r="F79" i="12"/>
  <c r="G79" i="12"/>
  <c r="H79" i="12"/>
  <c r="I79" i="12"/>
  <c r="J79" i="12"/>
  <c r="K79" i="12"/>
  <c r="L79" i="12"/>
  <c r="D80" i="12"/>
  <c r="E80" i="12"/>
  <c r="F80" i="12"/>
  <c r="G80" i="12"/>
  <c r="H80" i="12"/>
  <c r="I80" i="12"/>
  <c r="J80" i="12"/>
  <c r="K80" i="12"/>
  <c r="L80" i="12"/>
  <c r="D81" i="12"/>
  <c r="E81" i="12"/>
  <c r="F81" i="12"/>
  <c r="G81" i="12"/>
  <c r="H81" i="12"/>
  <c r="I81" i="12"/>
  <c r="J81" i="12"/>
  <c r="K81" i="12"/>
  <c r="L81" i="12"/>
  <c r="D82" i="12"/>
  <c r="E82" i="12"/>
  <c r="F82" i="12"/>
  <c r="G82" i="12"/>
  <c r="H82" i="12"/>
  <c r="I82" i="12"/>
  <c r="J82" i="12"/>
  <c r="K82" i="12"/>
  <c r="L82" i="12"/>
  <c r="D83" i="12"/>
  <c r="E83" i="12"/>
  <c r="F83" i="12"/>
  <c r="G83" i="12"/>
  <c r="H83" i="12"/>
  <c r="I83" i="12"/>
  <c r="J83" i="12"/>
  <c r="K83" i="12"/>
  <c r="L83" i="12"/>
  <c r="D84" i="12"/>
  <c r="E84" i="12"/>
  <c r="F84" i="12"/>
  <c r="G84" i="12"/>
  <c r="H84" i="12"/>
  <c r="I84" i="12"/>
  <c r="J84" i="12"/>
  <c r="K84" i="12"/>
  <c r="L84" i="12"/>
  <c r="D85" i="12"/>
  <c r="E85" i="12"/>
  <c r="F85" i="12"/>
  <c r="G85" i="12"/>
  <c r="H85" i="12"/>
  <c r="I85" i="12"/>
  <c r="J85" i="12"/>
  <c r="K85" i="12"/>
  <c r="L85" i="12"/>
  <c r="D86" i="12"/>
  <c r="E86" i="12"/>
  <c r="F86" i="12"/>
  <c r="G86" i="12"/>
  <c r="H86" i="12"/>
  <c r="I86" i="12"/>
  <c r="J86" i="12"/>
  <c r="K86" i="12"/>
  <c r="L86" i="12"/>
  <c r="D87" i="12"/>
  <c r="E87" i="12"/>
  <c r="F87" i="12"/>
  <c r="G87" i="12"/>
  <c r="H87" i="12"/>
  <c r="I87" i="12"/>
  <c r="J87" i="12"/>
  <c r="K87" i="12"/>
  <c r="L87" i="12"/>
  <c r="D88" i="12"/>
  <c r="E88" i="12"/>
  <c r="F88" i="12"/>
  <c r="G88" i="12"/>
  <c r="H88" i="12"/>
  <c r="I88" i="12"/>
  <c r="J88" i="12"/>
  <c r="K88" i="12"/>
  <c r="L88" i="12"/>
  <c r="D89" i="12"/>
  <c r="E89" i="12"/>
  <c r="F89" i="12"/>
  <c r="G89" i="12"/>
  <c r="H89" i="12"/>
  <c r="I89" i="12"/>
  <c r="J89" i="12"/>
  <c r="K89" i="12"/>
  <c r="L89" i="12"/>
  <c r="D90" i="12"/>
  <c r="E90" i="12"/>
  <c r="F90" i="12"/>
  <c r="G90" i="12"/>
  <c r="H90" i="12"/>
  <c r="I90" i="12"/>
  <c r="J90" i="12"/>
  <c r="K90" i="12"/>
  <c r="L90" i="12"/>
  <c r="D91" i="12"/>
  <c r="E91" i="12"/>
  <c r="F91" i="12"/>
  <c r="G91" i="12"/>
  <c r="H91" i="12"/>
  <c r="I91" i="12"/>
  <c r="J91" i="12"/>
  <c r="K91" i="12"/>
  <c r="L91" i="12"/>
  <c r="D92" i="12"/>
  <c r="E92" i="12"/>
  <c r="F92" i="12"/>
  <c r="G92" i="12"/>
  <c r="H92" i="12"/>
  <c r="I92" i="12"/>
  <c r="J92" i="12"/>
  <c r="K92" i="12"/>
  <c r="L92" i="12"/>
  <c r="D93" i="12"/>
  <c r="E93" i="12"/>
  <c r="F93" i="12"/>
  <c r="G93" i="12"/>
  <c r="H93" i="12"/>
  <c r="I93" i="12"/>
  <c r="J93" i="12"/>
  <c r="K93" i="12"/>
  <c r="L93" i="12"/>
  <c r="D94" i="12"/>
  <c r="E94" i="12"/>
  <c r="F94" i="12"/>
  <c r="G94" i="12"/>
  <c r="H94" i="12"/>
  <c r="I94" i="12"/>
  <c r="J94" i="12"/>
  <c r="K94" i="12"/>
  <c r="L94" i="12"/>
  <c r="D95" i="12"/>
  <c r="E95" i="12"/>
  <c r="F95" i="12"/>
  <c r="G95" i="12"/>
  <c r="H95" i="12"/>
  <c r="I95" i="12"/>
  <c r="J95" i="12"/>
  <c r="K95" i="12"/>
  <c r="L95" i="12"/>
  <c r="D96" i="12"/>
  <c r="E96" i="12"/>
  <c r="F96" i="12"/>
  <c r="G96" i="12"/>
  <c r="H96" i="12"/>
  <c r="I96" i="12"/>
  <c r="J96" i="12"/>
  <c r="K96" i="12"/>
  <c r="L96" i="12"/>
  <c r="D97" i="12"/>
  <c r="E97" i="12"/>
  <c r="F97" i="12"/>
  <c r="G97" i="12"/>
  <c r="H97" i="12"/>
  <c r="I97" i="12"/>
  <c r="J97" i="12"/>
  <c r="K97" i="12"/>
  <c r="L97" i="12"/>
  <c r="D98" i="12"/>
  <c r="E98" i="12"/>
  <c r="F98" i="12"/>
  <c r="G98" i="12"/>
  <c r="H98" i="12"/>
  <c r="I98" i="12"/>
  <c r="J98" i="12"/>
  <c r="K98" i="12"/>
  <c r="L98" i="12"/>
  <c r="D99" i="12"/>
  <c r="E99" i="12"/>
  <c r="F99" i="12"/>
  <c r="G99" i="12"/>
  <c r="H99" i="12"/>
  <c r="I99" i="12"/>
  <c r="J99" i="12"/>
  <c r="K99" i="12"/>
  <c r="L99" i="12"/>
  <c r="D100" i="12"/>
  <c r="E100" i="12"/>
  <c r="F100" i="12"/>
  <c r="G100" i="12"/>
  <c r="H100" i="12"/>
  <c r="I100" i="12"/>
  <c r="J100" i="12"/>
  <c r="K100" i="12"/>
  <c r="L100" i="12"/>
  <c r="D101" i="12"/>
  <c r="E101" i="12"/>
  <c r="F101" i="12"/>
  <c r="G101" i="12"/>
  <c r="H101" i="12"/>
  <c r="I101" i="12"/>
  <c r="J101" i="12"/>
  <c r="K101" i="12"/>
  <c r="L101" i="12"/>
  <c r="D102" i="12"/>
  <c r="E102" i="12"/>
  <c r="F102" i="12"/>
  <c r="G102" i="12"/>
  <c r="H102" i="12"/>
  <c r="I102" i="12"/>
  <c r="J102" i="12"/>
  <c r="K102" i="12"/>
  <c r="L102" i="12"/>
  <c r="D103" i="12"/>
  <c r="E103" i="12"/>
  <c r="F103" i="12"/>
  <c r="G103" i="12"/>
  <c r="H103" i="12"/>
  <c r="I103" i="12"/>
  <c r="J103" i="12"/>
  <c r="K103" i="12"/>
  <c r="L103" i="12"/>
  <c r="D104" i="12"/>
  <c r="E104" i="12"/>
  <c r="F104" i="12"/>
  <c r="G104" i="12"/>
  <c r="H104" i="12"/>
  <c r="I104" i="12"/>
  <c r="J104" i="12"/>
  <c r="K104" i="12"/>
  <c r="L104" i="12"/>
  <c r="D105" i="12"/>
  <c r="E105" i="12"/>
  <c r="F105" i="12"/>
  <c r="G105" i="12"/>
  <c r="H105" i="12"/>
  <c r="I105" i="12"/>
  <c r="J105" i="12"/>
  <c r="K105" i="12"/>
  <c r="L105" i="12"/>
  <c r="D106" i="12"/>
  <c r="E106" i="12"/>
  <c r="F106" i="12"/>
  <c r="G106" i="12"/>
  <c r="H106" i="12"/>
  <c r="I106" i="12"/>
  <c r="J106" i="12"/>
  <c r="K106" i="12"/>
  <c r="L106" i="12"/>
  <c r="D107" i="12"/>
  <c r="E107" i="12"/>
  <c r="F107" i="12"/>
  <c r="G107" i="12"/>
  <c r="H107" i="12"/>
  <c r="I107" i="12"/>
  <c r="J107" i="12"/>
  <c r="K107" i="12"/>
  <c r="L107" i="12"/>
  <c r="D108" i="12"/>
  <c r="E108" i="12"/>
  <c r="F108" i="12"/>
  <c r="G108" i="12"/>
  <c r="H108" i="12"/>
  <c r="I108" i="12"/>
  <c r="J108" i="12"/>
  <c r="K108" i="12"/>
  <c r="L108" i="12"/>
  <c r="D109" i="12"/>
  <c r="E109" i="12"/>
  <c r="F109" i="12"/>
  <c r="G109" i="12"/>
  <c r="H109" i="12"/>
  <c r="I109" i="12"/>
  <c r="J109" i="12"/>
  <c r="K109" i="12"/>
  <c r="L109" i="12"/>
  <c r="D110" i="12"/>
  <c r="E110" i="12"/>
  <c r="F110" i="12"/>
  <c r="G110" i="12"/>
  <c r="H110" i="12"/>
  <c r="I110" i="12"/>
  <c r="J110" i="12"/>
  <c r="K110" i="12"/>
  <c r="L110" i="12"/>
  <c r="D111" i="12"/>
  <c r="E111" i="12"/>
  <c r="F111" i="12"/>
  <c r="G111" i="12"/>
  <c r="H111" i="12"/>
  <c r="I111" i="12"/>
  <c r="J111" i="12"/>
  <c r="K111" i="12"/>
  <c r="L111" i="12"/>
  <c r="D112" i="12"/>
  <c r="E112" i="12"/>
  <c r="F112" i="12"/>
  <c r="G112" i="12"/>
  <c r="H112" i="12"/>
  <c r="I112" i="12"/>
  <c r="J112" i="12"/>
  <c r="K112" i="12"/>
  <c r="L112" i="12"/>
  <c r="D113" i="12"/>
  <c r="E113" i="12"/>
  <c r="F113" i="12"/>
  <c r="G113" i="12"/>
  <c r="H113" i="12"/>
  <c r="I113" i="12"/>
  <c r="J113" i="12"/>
  <c r="K113" i="12"/>
  <c r="L113" i="12"/>
  <c r="D114" i="12"/>
  <c r="E114" i="12"/>
  <c r="F114" i="12"/>
  <c r="G114" i="12"/>
  <c r="H114" i="12"/>
  <c r="I114" i="12"/>
  <c r="J114" i="12"/>
  <c r="K114" i="12"/>
  <c r="L114" i="12"/>
  <c r="D115" i="12"/>
  <c r="E115" i="12"/>
  <c r="F115" i="12"/>
  <c r="G115" i="12"/>
  <c r="H115" i="12"/>
  <c r="I115" i="12"/>
  <c r="J115" i="12"/>
  <c r="K115" i="12"/>
  <c r="L115" i="12"/>
  <c r="D116" i="12"/>
  <c r="E116" i="12"/>
  <c r="F116" i="12"/>
  <c r="G116" i="12"/>
  <c r="H116" i="12"/>
  <c r="I116" i="12"/>
  <c r="J116" i="12"/>
  <c r="K116" i="12"/>
  <c r="L116" i="12"/>
  <c r="D117" i="12"/>
  <c r="E117" i="12"/>
  <c r="F117" i="12"/>
  <c r="G117" i="12"/>
  <c r="H117" i="12"/>
  <c r="I117" i="12"/>
  <c r="J117" i="12"/>
  <c r="K117" i="12"/>
  <c r="L117" i="12"/>
  <c r="D118" i="12"/>
  <c r="E118" i="12"/>
  <c r="F118" i="12"/>
  <c r="G118" i="12"/>
  <c r="H118" i="12"/>
  <c r="I118" i="12"/>
  <c r="J118" i="12"/>
  <c r="K118" i="12"/>
  <c r="L118" i="12"/>
  <c r="D119" i="12"/>
  <c r="E119" i="12"/>
  <c r="F119" i="12"/>
  <c r="G119" i="12"/>
  <c r="H119" i="12"/>
  <c r="I119" i="12"/>
  <c r="J119" i="12"/>
  <c r="K119" i="12"/>
  <c r="L119" i="12"/>
  <c r="D120" i="12"/>
  <c r="E120" i="12"/>
  <c r="F120" i="12"/>
  <c r="G120" i="12"/>
  <c r="H120" i="12"/>
  <c r="I120" i="12"/>
  <c r="J120" i="12"/>
  <c r="K120" i="12"/>
  <c r="L120" i="12"/>
  <c r="D121" i="12"/>
  <c r="E121" i="12"/>
  <c r="F121" i="12"/>
  <c r="G121" i="12"/>
  <c r="H121" i="12"/>
  <c r="I121" i="12"/>
  <c r="J121" i="12"/>
  <c r="K121" i="12"/>
  <c r="L121" i="12"/>
  <c r="C33" i="12"/>
  <c r="C34" i="12"/>
  <c r="C35" i="12"/>
  <c r="C36" i="12"/>
  <c r="C37" i="12"/>
  <c r="C38" i="12"/>
  <c r="C39" i="12"/>
  <c r="C40" i="12"/>
  <c r="C41" i="12"/>
  <c r="C42" i="12"/>
  <c r="C43" i="12"/>
  <c r="C44" i="12"/>
  <c r="C45" i="12"/>
  <c r="C46" i="12"/>
  <c r="C47" i="12"/>
  <c r="C48" i="12"/>
  <c r="C49" i="12"/>
  <c r="C50" i="12"/>
  <c r="C51" i="12"/>
  <c r="C52" i="12"/>
  <c r="C53" i="12"/>
  <c r="C54" i="12"/>
  <c r="C55" i="12"/>
  <c r="C56" i="12"/>
  <c r="C57" i="12"/>
  <c r="C58" i="12"/>
  <c r="C59" i="12"/>
  <c r="C60" i="12"/>
  <c r="C61" i="12"/>
  <c r="C62" i="12"/>
  <c r="C63" i="12"/>
  <c r="C64" i="12"/>
  <c r="C65" i="12"/>
  <c r="C66" i="12"/>
  <c r="C67" i="12"/>
  <c r="C68" i="12"/>
  <c r="C69" i="12"/>
  <c r="C70" i="12"/>
  <c r="C71" i="12"/>
  <c r="C72" i="12"/>
  <c r="C73" i="12"/>
  <c r="C74" i="12"/>
  <c r="C75" i="12"/>
  <c r="C76" i="12"/>
  <c r="C77" i="12"/>
  <c r="C78" i="12"/>
  <c r="C79" i="12"/>
  <c r="C80" i="12"/>
  <c r="C81" i="12"/>
  <c r="C82" i="12"/>
  <c r="C83" i="12"/>
  <c r="C84" i="12"/>
  <c r="C85" i="12"/>
  <c r="C86" i="12"/>
  <c r="C87" i="12"/>
  <c r="C88" i="12"/>
  <c r="C89" i="12"/>
  <c r="C90" i="12"/>
  <c r="C91" i="12"/>
  <c r="C92" i="12"/>
  <c r="C93" i="12"/>
  <c r="C94" i="12"/>
  <c r="C95" i="12"/>
  <c r="C96" i="12"/>
  <c r="C97" i="12"/>
  <c r="C98" i="12"/>
  <c r="C99" i="12"/>
  <c r="C100" i="12"/>
  <c r="C101" i="12"/>
  <c r="C102" i="12"/>
  <c r="C103" i="12"/>
  <c r="C104" i="12"/>
  <c r="C105" i="12"/>
  <c r="C106" i="12"/>
  <c r="C107" i="12"/>
  <c r="C108" i="12"/>
  <c r="C109" i="12"/>
  <c r="C110" i="12"/>
  <c r="C111" i="12"/>
  <c r="C112" i="12"/>
  <c r="C113" i="12"/>
  <c r="C114" i="12"/>
  <c r="C115" i="12"/>
  <c r="C116" i="12"/>
  <c r="C117" i="12"/>
  <c r="C118" i="12"/>
  <c r="C119" i="12"/>
  <c r="C120" i="12"/>
  <c r="C121" i="12"/>
  <c r="C32" i="12"/>
  <c r="O4" i="12"/>
  <c r="P4" i="12"/>
  <c r="Q4" i="12"/>
  <c r="R4" i="12"/>
  <c r="S4" i="12"/>
  <c r="T4" i="12"/>
  <c r="U4" i="12"/>
  <c r="V4" i="12"/>
  <c r="W4" i="12"/>
  <c r="X4" i="12"/>
  <c r="Y4" i="12"/>
  <c r="Z4" i="12"/>
  <c r="AA4" i="12"/>
  <c r="AB4" i="12"/>
  <c r="AC4" i="12"/>
  <c r="AD4" i="12"/>
  <c r="AE4" i="12"/>
  <c r="AF4" i="12"/>
  <c r="AG4" i="12"/>
  <c r="AH4" i="12"/>
  <c r="AI4" i="12"/>
  <c r="AJ4" i="12"/>
  <c r="AK4" i="12"/>
  <c r="AL4" i="12"/>
  <c r="AM4" i="12"/>
  <c r="AN4" i="12"/>
  <c r="O5" i="12"/>
  <c r="P5" i="12"/>
  <c r="Q5" i="12"/>
  <c r="R5" i="12"/>
  <c r="S5" i="12"/>
  <c r="T5" i="12"/>
  <c r="U5" i="12"/>
  <c r="V5" i="12"/>
  <c r="W5" i="12"/>
  <c r="X5" i="12"/>
  <c r="Y5" i="12"/>
  <c r="Z5" i="12"/>
  <c r="AA5" i="12"/>
  <c r="AB5" i="12"/>
  <c r="AC5" i="12"/>
  <c r="AD5" i="12"/>
  <c r="AE5" i="12"/>
  <c r="AF5" i="12"/>
  <c r="AG5" i="12"/>
  <c r="AH5" i="12"/>
  <c r="AI5" i="12"/>
  <c r="AJ5" i="12"/>
  <c r="AK5" i="12"/>
  <c r="AL5" i="12"/>
  <c r="AM5" i="12"/>
  <c r="AN5" i="12"/>
  <c r="O6" i="12"/>
  <c r="P6" i="12"/>
  <c r="Q6" i="12"/>
  <c r="R6" i="12"/>
  <c r="S6" i="12"/>
  <c r="T6" i="12"/>
  <c r="U6" i="12"/>
  <c r="V6" i="12"/>
  <c r="W6" i="12"/>
  <c r="X6" i="12"/>
  <c r="Y6" i="12"/>
  <c r="Z6" i="12"/>
  <c r="AA6" i="12"/>
  <c r="AB6" i="12"/>
  <c r="AC6" i="12"/>
  <c r="AD6" i="12"/>
  <c r="AE6" i="12"/>
  <c r="AF6" i="12"/>
  <c r="AG6" i="12"/>
  <c r="AH6" i="12"/>
  <c r="AI6" i="12"/>
  <c r="AJ6" i="12"/>
  <c r="AK6" i="12"/>
  <c r="AL6" i="12"/>
  <c r="AM6" i="12"/>
  <c r="AN6" i="12"/>
  <c r="O7" i="12"/>
  <c r="P7" i="12"/>
  <c r="Q7" i="12"/>
  <c r="R7" i="12"/>
  <c r="S7" i="12"/>
  <c r="T7" i="12"/>
  <c r="U7" i="12"/>
  <c r="V7" i="12"/>
  <c r="W7" i="12"/>
  <c r="X7" i="12"/>
  <c r="Y7" i="12"/>
  <c r="Z7" i="12"/>
  <c r="AA7" i="12"/>
  <c r="AB7" i="12"/>
  <c r="AC7" i="12"/>
  <c r="AD7" i="12"/>
  <c r="AE7" i="12"/>
  <c r="AF7" i="12"/>
  <c r="AG7" i="12"/>
  <c r="AH7" i="12"/>
  <c r="AI7" i="12"/>
  <c r="AJ7" i="12"/>
  <c r="AK7" i="12"/>
  <c r="AL7" i="12"/>
  <c r="AM7" i="12"/>
  <c r="AN7" i="12"/>
  <c r="O8" i="12"/>
  <c r="P8" i="12"/>
  <c r="Q8" i="12"/>
  <c r="R8" i="12"/>
  <c r="S8" i="12"/>
  <c r="T8" i="12"/>
  <c r="U8" i="12"/>
  <c r="V8" i="12"/>
  <c r="W8" i="12"/>
  <c r="X8" i="12"/>
  <c r="Y8" i="12"/>
  <c r="Z8" i="12"/>
  <c r="AA8" i="12"/>
  <c r="AB8" i="12"/>
  <c r="AC8" i="12"/>
  <c r="AD8" i="12"/>
  <c r="AE8" i="12"/>
  <c r="AF8" i="12"/>
  <c r="AG8" i="12"/>
  <c r="AH8" i="12"/>
  <c r="AI8" i="12"/>
  <c r="AJ8" i="12"/>
  <c r="AK8" i="12"/>
  <c r="AL8" i="12"/>
  <c r="AM8" i="12"/>
  <c r="AN8" i="12"/>
  <c r="O9" i="12"/>
  <c r="P9" i="12"/>
  <c r="Q9" i="12"/>
  <c r="R9" i="12"/>
  <c r="S9" i="12"/>
  <c r="T9" i="12"/>
  <c r="U9" i="12"/>
  <c r="V9" i="12"/>
  <c r="W9" i="12"/>
  <c r="X9" i="12"/>
  <c r="Y9" i="12"/>
  <c r="Z9" i="12"/>
  <c r="AA9" i="12"/>
  <c r="AB9" i="12"/>
  <c r="AC9" i="12"/>
  <c r="AD9" i="12"/>
  <c r="AE9" i="12"/>
  <c r="AF9" i="12"/>
  <c r="AG9" i="12"/>
  <c r="AH9" i="12"/>
  <c r="AI9" i="12"/>
  <c r="AJ9" i="12"/>
  <c r="AK9" i="12"/>
  <c r="AL9" i="12"/>
  <c r="AM9" i="12"/>
  <c r="AN9" i="12"/>
  <c r="O10" i="12"/>
  <c r="P10" i="12"/>
  <c r="Q10" i="12"/>
  <c r="R10" i="12"/>
  <c r="S10" i="12"/>
  <c r="T10" i="12"/>
  <c r="U10" i="12"/>
  <c r="V10" i="12"/>
  <c r="W10" i="12"/>
  <c r="X10" i="12"/>
  <c r="Y10" i="12"/>
  <c r="Z10" i="12"/>
  <c r="AA10" i="12"/>
  <c r="AB10" i="12"/>
  <c r="AC10" i="12"/>
  <c r="AD10" i="12"/>
  <c r="AE10" i="12"/>
  <c r="AF10" i="12"/>
  <c r="AG10" i="12"/>
  <c r="AH10" i="12"/>
  <c r="AI10" i="12"/>
  <c r="AJ10" i="12"/>
  <c r="AK10" i="12"/>
  <c r="AL10" i="12"/>
  <c r="AM10" i="12"/>
  <c r="AN10" i="12"/>
  <c r="O11" i="12"/>
  <c r="P11" i="12"/>
  <c r="Q11" i="12"/>
  <c r="R11" i="12"/>
  <c r="S11" i="12"/>
  <c r="T11" i="12"/>
  <c r="U11" i="12"/>
  <c r="V11" i="12"/>
  <c r="W11" i="12"/>
  <c r="X11" i="12"/>
  <c r="Y11" i="12"/>
  <c r="Z11" i="12"/>
  <c r="AA11" i="12"/>
  <c r="AB11" i="12"/>
  <c r="AC11" i="12"/>
  <c r="AD11" i="12"/>
  <c r="AE11" i="12"/>
  <c r="AF11" i="12"/>
  <c r="AG11" i="12"/>
  <c r="AH11" i="12"/>
  <c r="AI11" i="12"/>
  <c r="AJ11" i="12"/>
  <c r="AK11" i="12"/>
  <c r="AL11" i="12"/>
  <c r="AM11" i="12"/>
  <c r="AN11" i="12"/>
  <c r="O12" i="12"/>
  <c r="P12" i="12"/>
  <c r="Q12" i="12"/>
  <c r="R12" i="12"/>
  <c r="S12" i="12"/>
  <c r="T12" i="12"/>
  <c r="U12" i="12"/>
  <c r="V12" i="12"/>
  <c r="W12" i="12"/>
  <c r="X12" i="12"/>
  <c r="Y12" i="12"/>
  <c r="Z12" i="12"/>
  <c r="AA12" i="12"/>
  <c r="AB12" i="12"/>
  <c r="AC12" i="12"/>
  <c r="AD12" i="12"/>
  <c r="AE12" i="12"/>
  <c r="AF12" i="12"/>
  <c r="AG12" i="12"/>
  <c r="AH12" i="12"/>
  <c r="AI12" i="12"/>
  <c r="AJ12" i="12"/>
  <c r="AK12" i="12"/>
  <c r="AL12" i="12"/>
  <c r="AM12" i="12"/>
  <c r="AN12" i="12"/>
  <c r="O13" i="12"/>
  <c r="P13" i="12"/>
  <c r="Q13" i="12"/>
  <c r="R13" i="12"/>
  <c r="S13" i="12"/>
  <c r="T13" i="12"/>
  <c r="U13" i="12"/>
  <c r="V13" i="12"/>
  <c r="W13" i="12"/>
  <c r="X13" i="12"/>
  <c r="Y13" i="12"/>
  <c r="Z13" i="12"/>
  <c r="AA13" i="12"/>
  <c r="AB13" i="12"/>
  <c r="AC13" i="12"/>
  <c r="AD13" i="12"/>
  <c r="AE13" i="12"/>
  <c r="AF13" i="12"/>
  <c r="AG13" i="12"/>
  <c r="AH13" i="12"/>
  <c r="AI13" i="12"/>
  <c r="AJ13" i="12"/>
  <c r="AK13" i="12"/>
  <c r="AL13" i="12"/>
  <c r="AM13" i="12"/>
  <c r="AN13" i="12"/>
  <c r="O14" i="12"/>
  <c r="P14" i="12"/>
  <c r="Q14" i="12"/>
  <c r="R14" i="12"/>
  <c r="S14" i="12"/>
  <c r="T14" i="12"/>
  <c r="U14" i="12"/>
  <c r="V14" i="12"/>
  <c r="W14" i="12"/>
  <c r="X14" i="12"/>
  <c r="Y14" i="12"/>
  <c r="Z14" i="12"/>
  <c r="AA14" i="12"/>
  <c r="AB14" i="12"/>
  <c r="AC14" i="12"/>
  <c r="AD14" i="12"/>
  <c r="AE14" i="12"/>
  <c r="AF14" i="12"/>
  <c r="AG14" i="12"/>
  <c r="AH14" i="12"/>
  <c r="AI14" i="12"/>
  <c r="AJ14" i="12"/>
  <c r="AK14" i="12"/>
  <c r="AL14" i="12"/>
  <c r="AM14" i="12"/>
  <c r="AN14" i="12"/>
  <c r="O15" i="12"/>
  <c r="P15" i="12"/>
  <c r="Q15" i="12"/>
  <c r="R15" i="12"/>
  <c r="S15" i="12"/>
  <c r="T15" i="12"/>
  <c r="U15" i="12"/>
  <c r="V15" i="12"/>
  <c r="W15" i="12"/>
  <c r="X15" i="12"/>
  <c r="Y15" i="12"/>
  <c r="Z15" i="12"/>
  <c r="AA15" i="12"/>
  <c r="AB15" i="12"/>
  <c r="AC15" i="12"/>
  <c r="AD15" i="12"/>
  <c r="AE15" i="12"/>
  <c r="AF15" i="12"/>
  <c r="AG15" i="12"/>
  <c r="AH15" i="12"/>
  <c r="AI15" i="12"/>
  <c r="AJ15" i="12"/>
  <c r="AK15" i="12"/>
  <c r="AL15" i="12"/>
  <c r="AM15" i="12"/>
  <c r="AN15" i="12"/>
  <c r="O16" i="12"/>
  <c r="P16" i="12"/>
  <c r="Q16" i="12"/>
  <c r="R16" i="12"/>
  <c r="S16" i="12"/>
  <c r="T16" i="12"/>
  <c r="U16" i="12"/>
  <c r="V16" i="12"/>
  <c r="W16" i="12"/>
  <c r="X16" i="12"/>
  <c r="Y16" i="12"/>
  <c r="Z16" i="12"/>
  <c r="AA16" i="12"/>
  <c r="AB16" i="12"/>
  <c r="AC16" i="12"/>
  <c r="AD16" i="12"/>
  <c r="AE16" i="12"/>
  <c r="AF16" i="12"/>
  <c r="AG16" i="12"/>
  <c r="AH16" i="12"/>
  <c r="AI16" i="12"/>
  <c r="AJ16" i="12"/>
  <c r="AK16" i="12"/>
  <c r="AL16" i="12"/>
  <c r="AM16" i="12"/>
  <c r="AN16" i="12"/>
  <c r="O17" i="12"/>
  <c r="P17" i="12"/>
  <c r="Q17" i="12"/>
  <c r="R17" i="12"/>
  <c r="S17" i="12"/>
  <c r="T17" i="12"/>
  <c r="U17" i="12"/>
  <c r="V17" i="12"/>
  <c r="W17" i="12"/>
  <c r="X17" i="12"/>
  <c r="Y17" i="12"/>
  <c r="Z17" i="12"/>
  <c r="AA17" i="12"/>
  <c r="AB17" i="12"/>
  <c r="AC17" i="12"/>
  <c r="AD17" i="12"/>
  <c r="AE17" i="12"/>
  <c r="AF17" i="12"/>
  <c r="AG17" i="12"/>
  <c r="AH17" i="12"/>
  <c r="AI17" i="12"/>
  <c r="AJ17" i="12"/>
  <c r="AK17" i="12"/>
  <c r="AL17" i="12"/>
  <c r="AM17" i="12"/>
  <c r="AN17" i="12"/>
  <c r="O18" i="12"/>
  <c r="P18" i="12"/>
  <c r="Q18" i="12"/>
  <c r="R18" i="12"/>
  <c r="S18" i="12"/>
  <c r="T18" i="12"/>
  <c r="U18" i="12"/>
  <c r="V18" i="12"/>
  <c r="W18" i="12"/>
  <c r="X18" i="12"/>
  <c r="Y18" i="12"/>
  <c r="Z18" i="12"/>
  <c r="AA18" i="12"/>
  <c r="AB18" i="12"/>
  <c r="AC18" i="12"/>
  <c r="AD18" i="12"/>
  <c r="AE18" i="12"/>
  <c r="AF18" i="12"/>
  <c r="AG18" i="12"/>
  <c r="AH18" i="12"/>
  <c r="AI18" i="12"/>
  <c r="AJ18" i="12"/>
  <c r="AK18" i="12"/>
  <c r="AL18" i="12"/>
  <c r="AM18" i="12"/>
  <c r="AN18" i="12"/>
  <c r="O19" i="12"/>
  <c r="P19" i="12"/>
  <c r="Q19" i="12"/>
  <c r="R19" i="12"/>
  <c r="S19" i="12"/>
  <c r="T19" i="12"/>
  <c r="U19" i="12"/>
  <c r="V19" i="12"/>
  <c r="W19" i="12"/>
  <c r="X19" i="12"/>
  <c r="Y19" i="12"/>
  <c r="Z19" i="12"/>
  <c r="AA19" i="12"/>
  <c r="AB19" i="12"/>
  <c r="AC19" i="12"/>
  <c r="AD19" i="12"/>
  <c r="AE19" i="12"/>
  <c r="AF19" i="12"/>
  <c r="AG19" i="12"/>
  <c r="AH19" i="12"/>
  <c r="AI19" i="12"/>
  <c r="AJ19" i="12"/>
  <c r="AK19" i="12"/>
  <c r="AL19" i="12"/>
  <c r="AM19" i="12"/>
  <c r="AN19" i="12"/>
  <c r="O20" i="12"/>
  <c r="P20" i="12"/>
  <c r="Q20" i="12"/>
  <c r="R20" i="12"/>
  <c r="S20" i="12"/>
  <c r="T20" i="12"/>
  <c r="U20" i="12"/>
  <c r="V20" i="12"/>
  <c r="W20" i="12"/>
  <c r="X20" i="12"/>
  <c r="Y20" i="12"/>
  <c r="Z20" i="12"/>
  <c r="AA20" i="12"/>
  <c r="AB20" i="12"/>
  <c r="AC20" i="12"/>
  <c r="AD20" i="12"/>
  <c r="AE20" i="12"/>
  <c r="AF20" i="12"/>
  <c r="AG20" i="12"/>
  <c r="AH20" i="12"/>
  <c r="AI20" i="12"/>
  <c r="AJ20" i="12"/>
  <c r="AK20" i="12"/>
  <c r="AL20" i="12"/>
  <c r="AM20" i="12"/>
  <c r="AN20" i="12"/>
  <c r="O21" i="12"/>
  <c r="P21" i="12"/>
  <c r="Q21" i="12"/>
  <c r="R21" i="12"/>
  <c r="S21" i="12"/>
  <c r="T21" i="12"/>
  <c r="U21" i="12"/>
  <c r="V21" i="12"/>
  <c r="W21" i="12"/>
  <c r="X21" i="12"/>
  <c r="Y21" i="12"/>
  <c r="Z21" i="12"/>
  <c r="AA21" i="12"/>
  <c r="AB21" i="12"/>
  <c r="AC21" i="12"/>
  <c r="AD21" i="12"/>
  <c r="AE21" i="12"/>
  <c r="AF21" i="12"/>
  <c r="AG21" i="12"/>
  <c r="AH21" i="12"/>
  <c r="AI21" i="12"/>
  <c r="AJ21" i="12"/>
  <c r="AK21" i="12"/>
  <c r="AL21" i="12"/>
  <c r="AM21" i="12"/>
  <c r="AN21" i="12"/>
  <c r="O22" i="12"/>
  <c r="P22" i="12"/>
  <c r="Q22" i="12"/>
  <c r="R22" i="12"/>
  <c r="S22" i="12"/>
  <c r="T22" i="12"/>
  <c r="U22" i="12"/>
  <c r="V22" i="12"/>
  <c r="W22" i="12"/>
  <c r="X22" i="12"/>
  <c r="Y22" i="12"/>
  <c r="Z22" i="12"/>
  <c r="AA22" i="12"/>
  <c r="AB22" i="12"/>
  <c r="AC22" i="12"/>
  <c r="AD22" i="12"/>
  <c r="AE22" i="12"/>
  <c r="AF22" i="12"/>
  <c r="AG22" i="12"/>
  <c r="AH22" i="12"/>
  <c r="AI22" i="12"/>
  <c r="AJ22" i="12"/>
  <c r="AK22" i="12"/>
  <c r="AL22" i="12"/>
  <c r="AM22" i="12"/>
  <c r="AN22" i="12"/>
  <c r="O23" i="12"/>
  <c r="P23" i="12"/>
  <c r="Q23" i="12"/>
  <c r="R23" i="12"/>
  <c r="S23" i="12"/>
  <c r="T23" i="12"/>
  <c r="U23" i="12"/>
  <c r="V23" i="12"/>
  <c r="W23" i="12"/>
  <c r="X23" i="12"/>
  <c r="Y23" i="12"/>
  <c r="Z23" i="12"/>
  <c r="AA23" i="12"/>
  <c r="AB23" i="12"/>
  <c r="AC23" i="12"/>
  <c r="AD23" i="12"/>
  <c r="AE23" i="12"/>
  <c r="AF23" i="12"/>
  <c r="AG23" i="12"/>
  <c r="AH23" i="12"/>
  <c r="AI23" i="12"/>
  <c r="AJ23" i="12"/>
  <c r="AK23" i="12"/>
  <c r="AL23" i="12"/>
  <c r="AM23" i="12"/>
  <c r="AN23" i="12"/>
  <c r="O24" i="12"/>
  <c r="P24" i="12"/>
  <c r="Q24" i="12"/>
  <c r="R24" i="12"/>
  <c r="S24" i="12"/>
  <c r="T24" i="12"/>
  <c r="U24" i="12"/>
  <c r="V24" i="12"/>
  <c r="W24" i="12"/>
  <c r="X24" i="12"/>
  <c r="Y24" i="12"/>
  <c r="Z24" i="12"/>
  <c r="AA24" i="12"/>
  <c r="AB24" i="12"/>
  <c r="AC24" i="12"/>
  <c r="AD24" i="12"/>
  <c r="AE24" i="12"/>
  <c r="AF24" i="12"/>
  <c r="AG24" i="12"/>
  <c r="AH24" i="12"/>
  <c r="AI24" i="12"/>
  <c r="AJ24" i="12"/>
  <c r="AK24" i="12"/>
  <c r="AL24" i="12"/>
  <c r="AM24" i="12"/>
  <c r="AN24" i="12"/>
  <c r="O25" i="12"/>
  <c r="P25" i="12"/>
  <c r="Q25" i="12"/>
  <c r="R25" i="12"/>
  <c r="S25" i="12"/>
  <c r="T25" i="12"/>
  <c r="U25" i="12"/>
  <c r="V25" i="12"/>
  <c r="W25" i="12"/>
  <c r="X25" i="12"/>
  <c r="Y25" i="12"/>
  <c r="Z25" i="12"/>
  <c r="AA25" i="12"/>
  <c r="AB25" i="12"/>
  <c r="AC25" i="12"/>
  <c r="AD25" i="12"/>
  <c r="AE25" i="12"/>
  <c r="AF25" i="12"/>
  <c r="AG25" i="12"/>
  <c r="AH25" i="12"/>
  <c r="AI25" i="12"/>
  <c r="AJ25" i="12"/>
  <c r="AK25" i="12"/>
  <c r="AL25" i="12"/>
  <c r="AM25" i="12"/>
  <c r="AN25" i="12"/>
  <c r="N5" i="12"/>
  <c r="N6" i="12"/>
  <c r="N7" i="12"/>
  <c r="N8" i="12"/>
  <c r="N9" i="12"/>
  <c r="N10" i="12"/>
  <c r="N11" i="12"/>
  <c r="N12" i="12"/>
  <c r="N13" i="12"/>
  <c r="N14" i="12"/>
  <c r="N15" i="12"/>
  <c r="N16" i="12"/>
  <c r="N17" i="12"/>
  <c r="N18" i="12"/>
  <c r="N19" i="12"/>
  <c r="N20" i="12"/>
  <c r="N21" i="12"/>
  <c r="N22" i="12"/>
  <c r="N23" i="12"/>
  <c r="N24" i="12"/>
  <c r="N25" i="12"/>
  <c r="N4" i="12"/>
  <c r="Q16" i="17"/>
  <c r="C75" i="17"/>
  <c r="O12" i="16"/>
  <c r="O13" i="16"/>
  <c r="P25" i="9"/>
  <c r="Q25" i="9"/>
  <c r="R25" i="9"/>
  <c r="S25" i="9"/>
  <c r="O6" i="16"/>
  <c r="O9" i="16"/>
  <c r="O29" i="16"/>
  <c r="O8" i="16"/>
  <c r="O16" i="16"/>
  <c r="O30" i="16"/>
  <c r="O14" i="16"/>
  <c r="Q15" i="16"/>
  <c r="R15" i="16"/>
  <c r="O17" i="16"/>
  <c r="F18" i="16"/>
  <c r="C18" i="16"/>
  <c r="E11" i="16"/>
  <c r="E10" i="16"/>
  <c r="O10" i="16"/>
  <c r="Q11" i="16"/>
  <c r="Q13" i="16"/>
  <c r="E18" i="16"/>
  <c r="C5" i="12"/>
  <c r="D5" i="12"/>
  <c r="E5" i="12"/>
  <c r="F5" i="12"/>
  <c r="G5" i="12"/>
  <c r="H5" i="12"/>
  <c r="I5" i="12"/>
  <c r="J5" i="12"/>
  <c r="K5" i="12"/>
  <c r="L5" i="12"/>
  <c r="C6" i="12"/>
  <c r="D6" i="12"/>
  <c r="E6" i="12"/>
  <c r="F6" i="12"/>
  <c r="G6" i="12"/>
  <c r="H6" i="12"/>
  <c r="I6" i="12"/>
  <c r="J6" i="12"/>
  <c r="K6" i="12"/>
  <c r="L6" i="12"/>
  <c r="C7" i="12"/>
  <c r="D7" i="12"/>
  <c r="E7" i="12"/>
  <c r="F7" i="12"/>
  <c r="G7" i="12"/>
  <c r="H7" i="12"/>
  <c r="I7" i="12"/>
  <c r="J7" i="12"/>
  <c r="K7" i="12"/>
  <c r="L7" i="12"/>
  <c r="C8" i="12"/>
  <c r="D8" i="12"/>
  <c r="E8" i="12"/>
  <c r="F8" i="12"/>
  <c r="G8" i="12"/>
  <c r="H8" i="12"/>
  <c r="I8" i="12"/>
  <c r="J8" i="12"/>
  <c r="K8" i="12"/>
  <c r="L8" i="12"/>
  <c r="C9" i="12"/>
  <c r="D9" i="12"/>
  <c r="E9" i="12"/>
  <c r="F9" i="12"/>
  <c r="G9" i="12"/>
  <c r="H9" i="12"/>
  <c r="I9" i="12"/>
  <c r="J9" i="12"/>
  <c r="K9" i="12"/>
  <c r="L9" i="12"/>
  <c r="C10" i="12"/>
  <c r="D10" i="12"/>
  <c r="E10" i="12"/>
  <c r="F10" i="12"/>
  <c r="G10" i="12"/>
  <c r="H10" i="12"/>
  <c r="I10" i="12"/>
  <c r="J10" i="12"/>
  <c r="K10" i="12"/>
  <c r="L10" i="12"/>
  <c r="C11" i="12"/>
  <c r="D11" i="12"/>
  <c r="E11" i="12"/>
  <c r="F11" i="12"/>
  <c r="G11" i="12"/>
  <c r="H11" i="12"/>
  <c r="I11" i="12"/>
  <c r="J11" i="12"/>
  <c r="K11" i="12"/>
  <c r="L11" i="12"/>
  <c r="C12" i="12"/>
  <c r="D12" i="12"/>
  <c r="E12" i="12"/>
  <c r="F12" i="12"/>
  <c r="G12" i="12"/>
  <c r="H12" i="12"/>
  <c r="I12" i="12"/>
  <c r="J12" i="12"/>
  <c r="K12" i="12"/>
  <c r="L12" i="12"/>
  <c r="C13" i="12"/>
  <c r="D13" i="12"/>
  <c r="E13" i="12"/>
  <c r="F13" i="12"/>
  <c r="G13" i="12"/>
  <c r="H13" i="12"/>
  <c r="I13" i="12"/>
  <c r="J13" i="12"/>
  <c r="K13" i="12"/>
  <c r="L13" i="12"/>
  <c r="C14" i="12"/>
  <c r="D14" i="12"/>
  <c r="E14" i="12"/>
  <c r="F14" i="12"/>
  <c r="G14" i="12"/>
  <c r="H14" i="12"/>
  <c r="J14" i="12"/>
  <c r="K14" i="12"/>
  <c r="L14" i="12"/>
  <c r="C15" i="12"/>
  <c r="D15" i="12"/>
  <c r="E15" i="12"/>
  <c r="F15" i="12"/>
  <c r="G15" i="12"/>
  <c r="H15" i="12"/>
  <c r="I15" i="12"/>
  <c r="J15" i="12"/>
  <c r="K15" i="12"/>
  <c r="L15" i="12"/>
  <c r="C16" i="12"/>
  <c r="D16" i="12"/>
  <c r="E16" i="12"/>
  <c r="F16" i="12"/>
  <c r="G16" i="12"/>
  <c r="H16" i="12"/>
  <c r="I16" i="12"/>
  <c r="J16" i="12"/>
  <c r="K16" i="12"/>
  <c r="L16" i="12"/>
  <c r="C17" i="12"/>
  <c r="D17" i="12"/>
  <c r="E17" i="12"/>
  <c r="F17" i="12"/>
  <c r="G17" i="12"/>
  <c r="H17" i="12"/>
  <c r="I17" i="12"/>
  <c r="J17" i="12"/>
  <c r="K17" i="12"/>
  <c r="L17" i="12"/>
  <c r="C18" i="12"/>
  <c r="D18" i="12"/>
  <c r="E18" i="12"/>
  <c r="F18" i="12"/>
  <c r="G18" i="12"/>
  <c r="H18" i="12"/>
  <c r="I18" i="12"/>
  <c r="J18" i="12"/>
  <c r="K18" i="12"/>
  <c r="L18" i="12"/>
  <c r="C19" i="12"/>
  <c r="D19" i="12"/>
  <c r="E19" i="12"/>
  <c r="F19" i="12"/>
  <c r="G19" i="12"/>
  <c r="H19" i="12"/>
  <c r="J19" i="12"/>
  <c r="K19" i="12"/>
  <c r="L19" i="12"/>
  <c r="C20" i="12"/>
  <c r="D20" i="12"/>
  <c r="E20" i="12"/>
  <c r="F20" i="12"/>
  <c r="G20" i="12"/>
  <c r="H20" i="12"/>
  <c r="I20" i="12"/>
  <c r="J20" i="12"/>
  <c r="K20" i="12"/>
  <c r="L20" i="12"/>
  <c r="C21" i="12"/>
  <c r="D21" i="12"/>
  <c r="E21" i="12"/>
  <c r="F21" i="12"/>
  <c r="G21" i="12"/>
  <c r="H21" i="12"/>
  <c r="I21" i="12"/>
  <c r="J21" i="12"/>
  <c r="K21" i="12"/>
  <c r="L21" i="12"/>
  <c r="C22" i="12"/>
  <c r="D22" i="12"/>
  <c r="E22" i="12"/>
  <c r="F22" i="12"/>
  <c r="G22" i="12"/>
  <c r="H22" i="12"/>
  <c r="J22" i="12"/>
  <c r="K22" i="12"/>
  <c r="L22" i="12"/>
  <c r="C23" i="12"/>
  <c r="D23" i="12"/>
  <c r="E23" i="12"/>
  <c r="F23" i="12"/>
  <c r="G23" i="12"/>
  <c r="H23" i="12"/>
  <c r="J23" i="12"/>
  <c r="K23" i="12"/>
  <c r="L23" i="12"/>
  <c r="C24" i="12"/>
  <c r="D24" i="12"/>
  <c r="E24" i="12"/>
  <c r="F24" i="12"/>
  <c r="G24" i="12"/>
  <c r="H24" i="12"/>
  <c r="I24" i="12"/>
  <c r="J24" i="12"/>
  <c r="K24" i="12"/>
  <c r="L24" i="12"/>
  <c r="C25" i="12"/>
  <c r="D25" i="12"/>
  <c r="E25" i="12"/>
  <c r="F25" i="12"/>
  <c r="G25" i="12"/>
  <c r="H25" i="12"/>
  <c r="J25" i="12"/>
  <c r="K25" i="12"/>
  <c r="L25" i="12"/>
  <c r="D4" i="12"/>
  <c r="E4" i="12"/>
  <c r="F4" i="12"/>
  <c r="G4" i="12"/>
  <c r="H4" i="12"/>
  <c r="I4" i="12"/>
  <c r="J4" i="12"/>
  <c r="K4" i="12"/>
  <c r="L4" i="12"/>
  <c r="C4" i="12"/>
  <c r="P27" i="9"/>
  <c r="Q27" i="9"/>
  <c r="P5" i="16"/>
  <c r="P18" i="16"/>
  <c r="Q30" i="16"/>
  <c r="R5" i="16"/>
  <c r="R18" i="16"/>
  <c r="R29" i="16"/>
  <c r="P205" i="4"/>
  <c r="P207" i="4"/>
  <c r="N205" i="4"/>
  <c r="N207" i="4"/>
  <c r="N216" i="4"/>
  <c r="R27" i="9"/>
  <c r="R16" i="17"/>
  <c r="N14" i="5"/>
  <c r="M14" i="5"/>
  <c r="R17" i="16"/>
  <c r="Q17" i="16"/>
  <c r="S27" i="9"/>
  <c r="N209" i="4"/>
  <c r="N61" i="4"/>
  <c r="C38" i="17"/>
  <c r="M65" i="6"/>
  <c r="M30" i="6"/>
  <c r="C39" i="17"/>
  <c r="N19" i="6"/>
  <c r="G67" i="17"/>
  <c r="I67" i="17"/>
  <c r="F67" i="17"/>
  <c r="H67" i="17"/>
  <c r="J67" i="17"/>
  <c r="O12" i="6"/>
  <c r="P12" i="6"/>
  <c r="Q12" i="6"/>
  <c r="O6" i="6"/>
  <c r="P6" i="6"/>
  <c r="Q6" i="6"/>
  <c r="M48" i="6"/>
  <c r="M15" i="6"/>
  <c r="N62" i="6"/>
  <c r="D9" i="4"/>
  <c r="D114" i="4"/>
  <c r="S162" i="7"/>
  <c r="S136" i="7"/>
  <c r="N154" i="4"/>
  <c r="N116" i="4"/>
  <c r="O5" i="19"/>
  <c r="S134" i="7"/>
  <c r="S135" i="7"/>
  <c r="S161" i="7"/>
  <c r="D235" i="7"/>
  <c r="E235" i="7"/>
  <c r="F235" i="7"/>
  <c r="G235" i="7"/>
  <c r="H235" i="7"/>
  <c r="I235" i="7"/>
  <c r="J235" i="7"/>
  <c r="K235" i="7"/>
  <c r="L235" i="7"/>
  <c r="O6" i="18"/>
  <c r="O28" i="22"/>
  <c r="O5" i="22"/>
  <c r="O23" i="22"/>
  <c r="O7" i="24"/>
  <c r="O10" i="24"/>
  <c r="S160" i="7"/>
  <c r="J217" i="7"/>
  <c r="J224" i="7"/>
  <c r="K217" i="7"/>
  <c r="L217" i="7"/>
  <c r="L224" i="7"/>
  <c r="I224" i="7"/>
  <c r="D224" i="7"/>
  <c r="E224" i="7"/>
  <c r="F224" i="7"/>
  <c r="G224" i="7"/>
  <c r="H224" i="7"/>
  <c r="K224" i="7"/>
  <c r="M224" i="7"/>
  <c r="D213" i="7"/>
  <c r="E213" i="7"/>
  <c r="F213" i="7"/>
  <c r="G213" i="7"/>
  <c r="H213" i="7"/>
  <c r="S58" i="7"/>
  <c r="J206" i="7"/>
  <c r="J213" i="7"/>
  <c r="K206" i="7"/>
  <c r="K213" i="7"/>
  <c r="L206" i="7"/>
  <c r="L213" i="7"/>
  <c r="M206" i="7"/>
  <c r="M213" i="7"/>
  <c r="I206" i="7"/>
  <c r="I213" i="7"/>
  <c r="E195" i="7"/>
  <c r="E193" i="7"/>
  <c r="F193" i="7"/>
  <c r="E192" i="7"/>
  <c r="F192" i="7"/>
  <c r="S133" i="7"/>
  <c r="S57" i="7"/>
  <c r="S132" i="7"/>
  <c r="E166" i="7"/>
  <c r="F166" i="7"/>
  <c r="G166" i="7"/>
  <c r="H166" i="7"/>
  <c r="I166" i="7"/>
  <c r="J166" i="7"/>
  <c r="S159" i="7"/>
  <c r="S158" i="7"/>
  <c r="D153" i="7"/>
  <c r="D154" i="7"/>
  <c r="L154" i="7"/>
  <c r="M154" i="7"/>
  <c r="D155" i="7"/>
  <c r="S131" i="7"/>
  <c r="L155" i="7"/>
  <c r="E50" i="7"/>
  <c r="F50" i="7"/>
  <c r="G50" i="7"/>
  <c r="E76" i="7"/>
  <c r="F76" i="7"/>
  <c r="E77" i="7"/>
  <c r="F129" i="7"/>
  <c r="E128" i="7"/>
  <c r="F128" i="7"/>
  <c r="E129" i="7"/>
  <c r="E102" i="7"/>
  <c r="F102" i="7"/>
  <c r="G102" i="7"/>
  <c r="G128" i="7"/>
  <c r="H128" i="7"/>
  <c r="H129" i="7"/>
  <c r="H102" i="7"/>
  <c r="H103" i="7"/>
  <c r="H77" i="7"/>
  <c r="G76" i="7"/>
  <c r="H76" i="7"/>
  <c r="H50" i="7"/>
  <c r="I128" i="7"/>
  <c r="I129" i="7"/>
  <c r="I102" i="7"/>
  <c r="I103" i="7"/>
  <c r="I76" i="7"/>
  <c r="I77" i="7"/>
  <c r="I50" i="7"/>
  <c r="N154" i="7"/>
  <c r="G77" i="7"/>
  <c r="E103" i="7"/>
  <c r="G103" i="7"/>
  <c r="F103" i="7"/>
  <c r="G51" i="7"/>
  <c r="E51" i="7"/>
  <c r="E14" i="7"/>
  <c r="E154" i="7"/>
  <c r="F77" i="7"/>
  <c r="F51" i="7"/>
  <c r="G129" i="7"/>
  <c r="J129" i="7"/>
  <c r="J128" i="7"/>
  <c r="J102" i="7"/>
  <c r="J103" i="7"/>
  <c r="J76" i="7"/>
  <c r="J50" i="7"/>
  <c r="K50" i="7"/>
  <c r="J51" i="7"/>
  <c r="H51" i="7"/>
  <c r="I51" i="7"/>
  <c r="J77" i="7"/>
  <c r="E155" i="7"/>
  <c r="K129" i="7"/>
  <c r="K128" i="7"/>
  <c r="L128" i="7"/>
  <c r="K102" i="7"/>
  <c r="L102" i="7"/>
  <c r="K76" i="7"/>
  <c r="L76" i="7"/>
  <c r="K77" i="7"/>
  <c r="L77" i="7"/>
  <c r="L50" i="7"/>
  <c r="M128" i="7"/>
  <c r="M76" i="7"/>
  <c r="M50" i="7"/>
  <c r="M14" i="7"/>
  <c r="L51" i="7"/>
  <c r="L14" i="7"/>
  <c r="N76" i="7"/>
  <c r="N128" i="7"/>
  <c r="K51" i="7"/>
  <c r="S157" i="7"/>
  <c r="L129" i="7"/>
  <c r="F154" i="7"/>
  <c r="L103" i="7"/>
  <c r="K103" i="7"/>
  <c r="S2" i="7"/>
  <c r="R2" i="7"/>
  <c r="Q2" i="7"/>
  <c r="P2" i="7"/>
  <c r="O2" i="7"/>
  <c r="N2" i="7"/>
  <c r="D91" i="6"/>
  <c r="E65" i="6"/>
  <c r="F65" i="6"/>
  <c r="G65" i="6"/>
  <c r="H65" i="6"/>
  <c r="I65" i="6"/>
  <c r="J65" i="6"/>
  <c r="K65" i="6"/>
  <c r="K66" i="6"/>
  <c r="K71" i="6"/>
  <c r="L65" i="6"/>
  <c r="D65" i="6"/>
  <c r="F14" i="7"/>
  <c r="N102" i="7"/>
  <c r="N8" i="20"/>
  <c r="N155" i="7"/>
  <c r="F155" i="7"/>
  <c r="O15" i="6"/>
  <c r="P15" i="6"/>
  <c r="Q15" i="6"/>
  <c r="R15" i="6"/>
  <c r="S15" i="6"/>
  <c r="M22" i="6"/>
  <c r="M32" i="6"/>
  <c r="L33" i="6"/>
  <c r="L32" i="6"/>
  <c r="F31" i="6"/>
  <c r="F30" i="6"/>
  <c r="G31" i="6"/>
  <c r="G30" i="6"/>
  <c r="H31" i="6"/>
  <c r="H30" i="6"/>
  <c r="I31" i="6"/>
  <c r="I30" i="6"/>
  <c r="J30" i="6"/>
  <c r="K30" i="6"/>
  <c r="L30" i="6"/>
  <c r="E31" i="6"/>
  <c r="E30" i="6"/>
  <c r="L24" i="6"/>
  <c r="M24" i="6"/>
  <c r="N24" i="6"/>
  <c r="F22" i="6"/>
  <c r="F26" i="6"/>
  <c r="G22" i="6"/>
  <c r="G26" i="6"/>
  <c r="H22" i="6"/>
  <c r="H26" i="6"/>
  <c r="I22" i="6"/>
  <c r="I26" i="6"/>
  <c r="J22" i="6"/>
  <c r="J26" i="6"/>
  <c r="K22" i="6"/>
  <c r="K26" i="6"/>
  <c r="L22" i="6"/>
  <c r="N26" i="6"/>
  <c r="E22" i="6"/>
  <c r="E26" i="6"/>
  <c r="L53" i="6"/>
  <c r="K53" i="6"/>
  <c r="J53" i="6"/>
  <c r="I53" i="6"/>
  <c r="H53" i="6"/>
  <c r="G53" i="6"/>
  <c r="F53" i="6"/>
  <c r="E53" i="6"/>
  <c r="E55" i="6"/>
  <c r="F55" i="6"/>
  <c r="G55" i="6"/>
  <c r="H55" i="6"/>
  <c r="I55" i="6"/>
  <c r="J55" i="6"/>
  <c r="K55" i="6"/>
  <c r="L55" i="6"/>
  <c r="M55" i="6"/>
  <c r="E38" i="6"/>
  <c r="F38" i="6"/>
  <c r="G38" i="6"/>
  <c r="H38" i="6"/>
  <c r="I38" i="6"/>
  <c r="J38" i="6"/>
  <c r="K38" i="6"/>
  <c r="L38" i="6"/>
  <c r="M38" i="6"/>
  <c r="E40" i="6"/>
  <c r="F40" i="6"/>
  <c r="G40" i="6"/>
  <c r="H40" i="6"/>
  <c r="I40" i="6"/>
  <c r="J40" i="6"/>
  <c r="K40" i="6"/>
  <c r="L40" i="6"/>
  <c r="M40" i="6"/>
  <c r="N77" i="7"/>
  <c r="O15" i="18"/>
  <c r="N129" i="7"/>
  <c r="O154" i="7"/>
  <c r="N14" i="7"/>
  <c r="N103" i="7"/>
  <c r="N158" i="4"/>
  <c r="N156" i="4"/>
  <c r="O14" i="7"/>
  <c r="M42" i="6"/>
  <c r="E57" i="6"/>
  <c r="E52" i="6"/>
  <c r="L57" i="6"/>
  <c r="L52" i="6"/>
  <c r="F57" i="6"/>
  <c r="F52" i="6"/>
  <c r="G57" i="6"/>
  <c r="G52" i="6"/>
  <c r="I57" i="6"/>
  <c r="I52" i="6"/>
  <c r="G154" i="7"/>
  <c r="J57" i="6"/>
  <c r="J52" i="6"/>
  <c r="H57" i="6"/>
  <c r="H52" i="6"/>
  <c r="K57" i="6"/>
  <c r="K52" i="6"/>
  <c r="L26" i="6"/>
  <c r="M26" i="6"/>
  <c r="L42" i="6"/>
  <c r="L37" i="6"/>
  <c r="J42" i="6"/>
  <c r="J37" i="6"/>
  <c r="H42" i="6"/>
  <c r="H37" i="6"/>
  <c r="F42" i="6"/>
  <c r="F37" i="6"/>
  <c r="K42" i="6"/>
  <c r="K37" i="6"/>
  <c r="I42" i="6"/>
  <c r="I37" i="6"/>
  <c r="G42" i="6"/>
  <c r="G37" i="6"/>
  <c r="E42" i="6"/>
  <c r="E34" i="6"/>
  <c r="O15" i="19"/>
  <c r="O13" i="22"/>
  <c r="J34" i="6"/>
  <c r="H34" i="6"/>
  <c r="I34" i="6"/>
  <c r="E37" i="6"/>
  <c r="O155" i="7"/>
  <c r="G14" i="7"/>
  <c r="O102" i="7"/>
  <c r="O128" i="7"/>
  <c r="G34" i="6"/>
  <c r="K34" i="6"/>
  <c r="P102" i="7"/>
  <c r="L34" i="6"/>
  <c r="M37" i="6"/>
  <c r="O51" i="7"/>
  <c r="P50" i="7"/>
  <c r="O76" i="7"/>
  <c r="E10" i="17"/>
  <c r="E54" i="17"/>
  <c r="P14" i="7"/>
  <c r="M34" i="6"/>
  <c r="F34" i="6"/>
  <c r="G155" i="7"/>
  <c r="E5" i="4"/>
  <c r="F5" i="4"/>
  <c r="G5" i="4"/>
  <c r="H5" i="4"/>
  <c r="I5" i="4"/>
  <c r="J5" i="4"/>
  <c r="K5" i="4"/>
  <c r="L5" i="4"/>
  <c r="D5" i="4"/>
  <c r="D7" i="4"/>
  <c r="E5" i="19"/>
  <c r="E7" i="24"/>
  <c r="E18" i="6"/>
  <c r="F18" i="6"/>
  <c r="G18" i="6"/>
  <c r="H18" i="6"/>
  <c r="I18" i="6"/>
  <c r="J18" i="6"/>
  <c r="L62" i="6"/>
  <c r="L72" i="6"/>
  <c r="S2" i="6"/>
  <c r="R2" i="6"/>
  <c r="Q2" i="6"/>
  <c r="P2" i="6"/>
  <c r="O2" i="6"/>
  <c r="N2" i="6"/>
  <c r="F40" i="18"/>
  <c r="G40" i="18"/>
  <c r="I40" i="18"/>
  <c r="J40" i="18"/>
  <c r="K40" i="18"/>
  <c r="L40" i="18"/>
  <c r="M40" i="18"/>
  <c r="N40" i="18"/>
  <c r="E40" i="18"/>
  <c r="F39" i="18"/>
  <c r="G39" i="18"/>
  <c r="H39" i="18"/>
  <c r="I39" i="18"/>
  <c r="J39" i="18"/>
  <c r="K39" i="18"/>
  <c r="L39" i="18"/>
  <c r="M39" i="18"/>
  <c r="N39" i="18"/>
  <c r="E39" i="18"/>
  <c r="F37" i="18"/>
  <c r="G37" i="18"/>
  <c r="H37" i="18"/>
  <c r="I37" i="18"/>
  <c r="J37" i="18"/>
  <c r="K37" i="18"/>
  <c r="L37" i="18"/>
  <c r="E37" i="18"/>
  <c r="M37" i="18"/>
  <c r="H40" i="18"/>
  <c r="F38" i="18"/>
  <c r="G38" i="18"/>
  <c r="H38" i="18"/>
  <c r="I38" i="18"/>
  <c r="J38" i="18"/>
  <c r="K38" i="18"/>
  <c r="L38" i="18"/>
  <c r="M38" i="18"/>
  <c r="N38" i="18"/>
  <c r="E38" i="18"/>
  <c r="F36" i="18"/>
  <c r="H36" i="18"/>
  <c r="I36" i="18"/>
  <c r="J36" i="18"/>
  <c r="K36" i="18"/>
  <c r="L36" i="18"/>
  <c r="G36" i="18"/>
  <c r="E36" i="18"/>
  <c r="F33" i="18"/>
  <c r="G33" i="18"/>
  <c r="H33" i="18"/>
  <c r="I33" i="18"/>
  <c r="J33" i="18"/>
  <c r="K33" i="18"/>
  <c r="L33" i="18"/>
  <c r="M33" i="18"/>
  <c r="E33" i="18"/>
  <c r="D213" i="4"/>
  <c r="F28" i="18"/>
  <c r="G28" i="18"/>
  <c r="H28" i="18"/>
  <c r="I28" i="18"/>
  <c r="J28" i="18"/>
  <c r="K28" i="18"/>
  <c r="L28" i="18"/>
  <c r="G24" i="18"/>
  <c r="I24" i="18"/>
  <c r="K24" i="18"/>
  <c r="E24" i="18"/>
  <c r="L216" i="4"/>
  <c r="M29" i="18"/>
  <c r="I27" i="18"/>
  <c r="H216" i="4"/>
  <c r="E27" i="18"/>
  <c r="D216" i="4"/>
  <c r="E29" i="18"/>
  <c r="K27" i="18"/>
  <c r="J216" i="4"/>
  <c r="K29" i="18"/>
  <c r="G27" i="18"/>
  <c r="F216" i="4"/>
  <c r="G29" i="18"/>
  <c r="M216" i="4"/>
  <c r="O103" i="7"/>
  <c r="P154" i="7"/>
  <c r="P15" i="19"/>
  <c r="O163" i="4"/>
  <c r="P15" i="18"/>
  <c r="O129" i="7"/>
  <c r="N37" i="18"/>
  <c r="N229" i="4"/>
  <c r="L22" i="18"/>
  <c r="H22" i="18"/>
  <c r="M236" i="4"/>
  <c r="N5" i="19"/>
  <c r="N6" i="4"/>
  <c r="E22" i="18"/>
  <c r="K22" i="18"/>
  <c r="G22" i="18"/>
  <c r="J22" i="18"/>
  <c r="F22" i="18"/>
  <c r="E38" i="20"/>
  <c r="I22" i="18"/>
  <c r="J29" i="20"/>
  <c r="H29" i="20"/>
  <c r="F29" i="20"/>
  <c r="F42" i="20"/>
  <c r="L42" i="20"/>
  <c r="J42" i="20"/>
  <c r="H42" i="20"/>
  <c r="K29" i="20"/>
  <c r="I29" i="20"/>
  <c r="G29" i="20"/>
  <c r="K42" i="20"/>
  <c r="I42" i="20"/>
  <c r="G42" i="20"/>
  <c r="E42" i="20"/>
  <c r="P51" i="7"/>
  <c r="N226" i="4"/>
  <c r="E213" i="4"/>
  <c r="E28" i="18"/>
  <c r="M213" i="4"/>
  <c r="N33" i="18"/>
  <c r="M212" i="4"/>
  <c r="O14" i="18"/>
  <c r="N28" i="4"/>
  <c r="Q14" i="7"/>
  <c r="K62" i="6"/>
  <c r="I91" i="6"/>
  <c r="I62" i="6"/>
  <c r="I72" i="6"/>
  <c r="G91" i="6"/>
  <c r="G62" i="6"/>
  <c r="G72" i="6"/>
  <c r="E91" i="6"/>
  <c r="E62" i="6"/>
  <c r="J91" i="6"/>
  <c r="J62" i="6"/>
  <c r="J72" i="6"/>
  <c r="H91" i="6"/>
  <c r="H62" i="6"/>
  <c r="H72" i="6"/>
  <c r="F91" i="6"/>
  <c r="F62" i="6"/>
  <c r="M19" i="6"/>
  <c r="M102" i="6"/>
  <c r="H154" i="7"/>
  <c r="K19" i="6"/>
  <c r="I19" i="6"/>
  <c r="G19" i="6"/>
  <c r="L19" i="6"/>
  <c r="J19" i="6"/>
  <c r="H19" i="6"/>
  <c r="F19" i="6"/>
  <c r="H41" i="18"/>
  <c r="L41" i="18"/>
  <c r="J41" i="18"/>
  <c r="G41" i="18"/>
  <c r="F41" i="18"/>
  <c r="E41" i="18"/>
  <c r="E9" i="24"/>
  <c r="M41" i="18"/>
  <c r="K41" i="18"/>
  <c r="I41" i="18"/>
  <c r="L213" i="4"/>
  <c r="J213" i="4"/>
  <c r="H213" i="4"/>
  <c r="F213" i="4"/>
  <c r="K216" i="4"/>
  <c r="G216" i="4"/>
  <c r="K213" i="4"/>
  <c r="I213" i="4"/>
  <c r="G213" i="4"/>
  <c r="I29" i="18"/>
  <c r="I216" i="4"/>
  <c r="E216" i="4"/>
  <c r="J24" i="18"/>
  <c r="H24" i="18"/>
  <c r="F24" i="18"/>
  <c r="E23" i="18"/>
  <c r="J202" i="4"/>
  <c r="K25" i="18"/>
  <c r="I23" i="18"/>
  <c r="F202" i="4"/>
  <c r="G25" i="18"/>
  <c r="L23" i="18"/>
  <c r="J23" i="18"/>
  <c r="H23" i="18"/>
  <c r="I22" i="20"/>
  <c r="E202" i="4"/>
  <c r="F25" i="18"/>
  <c r="P155" i="7"/>
  <c r="H14" i="7"/>
  <c r="R14" i="7"/>
  <c r="P128" i="7"/>
  <c r="H22" i="20"/>
  <c r="L22" i="20"/>
  <c r="F38" i="20"/>
  <c r="D202" i="4"/>
  <c r="E25" i="18"/>
  <c r="H38" i="20"/>
  <c r="J38" i="20"/>
  <c r="K38" i="20"/>
  <c r="L202" i="4"/>
  <c r="M25" i="18"/>
  <c r="I38" i="20"/>
  <c r="L24" i="18"/>
  <c r="L24" i="20"/>
  <c r="K202" i="4"/>
  <c r="L25" i="18"/>
  <c r="G38" i="20"/>
  <c r="L38" i="20"/>
  <c r="H202" i="4"/>
  <c r="I25" i="18"/>
  <c r="I202" i="4"/>
  <c r="J25" i="18"/>
  <c r="G202" i="4"/>
  <c r="H25" i="18"/>
  <c r="O37" i="18"/>
  <c r="O229" i="4"/>
  <c r="J217" i="4"/>
  <c r="K30" i="18"/>
  <c r="K23" i="18"/>
  <c r="J22" i="20"/>
  <c r="F23" i="18"/>
  <c r="E22" i="20"/>
  <c r="F217" i="4"/>
  <c r="F244" i="4"/>
  <c r="G23" i="18"/>
  <c r="N7" i="24"/>
  <c r="N10" i="24"/>
  <c r="N5" i="22"/>
  <c r="N19" i="22"/>
  <c r="N24" i="22"/>
  <c r="N28" i="22"/>
  <c r="N70" i="6"/>
  <c r="N67" i="6"/>
  <c r="N69" i="6"/>
  <c r="O214" i="4"/>
  <c r="N29" i="20"/>
  <c r="N41" i="18"/>
  <c r="G24" i="20"/>
  <c r="I9" i="24"/>
  <c r="M9" i="24"/>
  <c r="F9" i="24"/>
  <c r="J9" i="24"/>
  <c r="L29" i="20"/>
  <c r="E24" i="20"/>
  <c r="I24" i="20"/>
  <c r="K9" i="24"/>
  <c r="G9" i="24"/>
  <c r="L9" i="24"/>
  <c r="H9" i="24"/>
  <c r="E29" i="20"/>
  <c r="F24" i="20"/>
  <c r="H24" i="20"/>
  <c r="J24" i="20"/>
  <c r="N31" i="4"/>
  <c r="O14" i="19"/>
  <c r="K72" i="6"/>
  <c r="F29" i="18"/>
  <c r="F27" i="18"/>
  <c r="N29" i="18"/>
  <c r="L29" i="18"/>
  <c r="L27" i="18"/>
  <c r="O226" i="4"/>
  <c r="O36" i="18"/>
  <c r="J29" i="18"/>
  <c r="J27" i="18"/>
  <c r="H29" i="18"/>
  <c r="H27" i="18"/>
  <c r="M202" i="4"/>
  <c r="N25" i="18"/>
  <c r="Q50" i="7"/>
  <c r="N107" i="6"/>
  <c r="N98" i="6"/>
  <c r="N106" i="6"/>
  <c r="N105" i="6"/>
  <c r="N95" i="6"/>
  <c r="N97" i="6"/>
  <c r="N99" i="6"/>
  <c r="N94" i="6"/>
  <c r="K102" i="6"/>
  <c r="L102" i="6"/>
  <c r="H155" i="7"/>
  <c r="J244" i="4"/>
  <c r="J245" i="4"/>
  <c r="O12" i="22"/>
  <c r="Q154" i="7"/>
  <c r="Q15" i="19"/>
  <c r="P163" i="4"/>
  <c r="Q15" i="18"/>
  <c r="P129" i="7"/>
  <c r="P103" i="7"/>
  <c r="Q102" i="7"/>
  <c r="S14" i="7"/>
  <c r="I47" i="18"/>
  <c r="I48" i="18"/>
  <c r="G39" i="20"/>
  <c r="H39" i="20"/>
  <c r="K47" i="18"/>
  <c r="K48" i="18"/>
  <c r="I39" i="20"/>
  <c r="J39" i="20"/>
  <c r="K39" i="20"/>
  <c r="L39" i="20"/>
  <c r="F47" i="18"/>
  <c r="F48" i="18"/>
  <c r="E39" i="20"/>
  <c r="F39" i="20"/>
  <c r="K22" i="20"/>
  <c r="D217" i="4"/>
  <c r="D244" i="4"/>
  <c r="E42" i="18"/>
  <c r="L217" i="4"/>
  <c r="L244" i="4"/>
  <c r="L245" i="4"/>
  <c r="K217" i="4"/>
  <c r="K244" i="4"/>
  <c r="L42" i="18"/>
  <c r="E217" i="4"/>
  <c r="E244" i="4"/>
  <c r="E245" i="4"/>
  <c r="F22" i="20"/>
  <c r="G42" i="18"/>
  <c r="F245" i="4"/>
  <c r="H217" i="4"/>
  <c r="H244" i="4"/>
  <c r="H245" i="4"/>
  <c r="G30" i="18"/>
  <c r="N9" i="24"/>
  <c r="M217" i="4"/>
  <c r="M244" i="4"/>
  <c r="M245" i="4"/>
  <c r="K42" i="18"/>
  <c r="K26" i="21"/>
  <c r="P229" i="4"/>
  <c r="P37" i="18"/>
  <c r="I217" i="4"/>
  <c r="I244" i="4"/>
  <c r="K24" i="20"/>
  <c r="G22" i="20"/>
  <c r="N42" i="20"/>
  <c r="M47" i="18"/>
  <c r="M48" i="18"/>
  <c r="G47" i="18"/>
  <c r="G48" i="18"/>
  <c r="P214" i="4"/>
  <c r="P216" i="4"/>
  <c r="P28" i="18"/>
  <c r="H47" i="18"/>
  <c r="H48" i="18"/>
  <c r="I40" i="24"/>
  <c r="H40" i="24"/>
  <c r="J40" i="24"/>
  <c r="K40" i="24"/>
  <c r="N47" i="18"/>
  <c r="N48" i="18"/>
  <c r="D58" i="17"/>
  <c r="N40" i="24"/>
  <c r="J47" i="18"/>
  <c r="J48" i="18"/>
  <c r="L47" i="18"/>
  <c r="L48" i="18"/>
  <c r="L40" i="24"/>
  <c r="C58" i="17"/>
  <c r="M40" i="24"/>
  <c r="F40" i="24"/>
  <c r="G40" i="24"/>
  <c r="P226" i="4"/>
  <c r="P36" i="18"/>
  <c r="G217" i="4"/>
  <c r="R50" i="7"/>
  <c r="S54" i="7"/>
  <c r="S53" i="7"/>
  <c r="Q51" i="7"/>
  <c r="N102" i="6"/>
  <c r="I154" i="7"/>
  <c r="E152" i="4"/>
  <c r="F152" i="4"/>
  <c r="G152" i="4"/>
  <c r="H152" i="4"/>
  <c r="J152" i="4"/>
  <c r="K152" i="4"/>
  <c r="L152" i="4"/>
  <c r="M152" i="4"/>
  <c r="M158" i="4"/>
  <c r="D152" i="4"/>
  <c r="D158" i="4"/>
  <c r="E148" i="4"/>
  <c r="E150" i="4"/>
  <c r="F148" i="4"/>
  <c r="F150" i="4"/>
  <c r="G148" i="4"/>
  <c r="G150" i="4"/>
  <c r="H148" i="4"/>
  <c r="H150" i="4"/>
  <c r="I148" i="4"/>
  <c r="I150" i="4"/>
  <c r="J148" i="4"/>
  <c r="J150" i="4"/>
  <c r="K148" i="4"/>
  <c r="K150" i="4"/>
  <c r="L148" i="4"/>
  <c r="L150" i="4"/>
  <c r="M148" i="4"/>
  <c r="D148" i="4"/>
  <c r="D150" i="4"/>
  <c r="J30" i="18"/>
  <c r="K38" i="24"/>
  <c r="E30" i="18"/>
  <c r="G27" i="21"/>
  <c r="G26" i="21"/>
  <c r="L30" i="18"/>
  <c r="L38" i="24"/>
  <c r="H13" i="18"/>
  <c r="G13" i="18"/>
  <c r="S130" i="7"/>
  <c r="M150" i="4"/>
  <c r="F13" i="18"/>
  <c r="I14" i="7"/>
  <c r="Q128" i="7"/>
  <c r="L13" i="18"/>
  <c r="K13" i="18"/>
  <c r="J13" i="18"/>
  <c r="M13" i="18"/>
  <c r="I13" i="18"/>
  <c r="Q155" i="7"/>
  <c r="G20" i="21"/>
  <c r="G28" i="21"/>
  <c r="F30" i="18"/>
  <c r="G38" i="24"/>
  <c r="E13" i="18"/>
  <c r="I30" i="18"/>
  <c r="J38" i="24"/>
  <c r="N30" i="18"/>
  <c r="G33" i="21"/>
  <c r="G32" i="21"/>
  <c r="G22" i="21"/>
  <c r="G36" i="21"/>
  <c r="K245" i="4"/>
  <c r="M30" i="18"/>
  <c r="G23" i="21"/>
  <c r="G21" i="21"/>
  <c r="G24" i="21"/>
  <c r="G35" i="21"/>
  <c r="G34" i="21"/>
  <c r="K28" i="21"/>
  <c r="K27" i="21"/>
  <c r="K20" i="21"/>
  <c r="K34" i="21"/>
  <c r="K36" i="21"/>
  <c r="K33" i="21"/>
  <c r="K22" i="21"/>
  <c r="I42" i="18"/>
  <c r="K23" i="21"/>
  <c r="K32" i="21"/>
  <c r="K24" i="21"/>
  <c r="K35" i="21"/>
  <c r="K21" i="21"/>
  <c r="I245" i="4"/>
  <c r="J42" i="18"/>
  <c r="F42" i="18"/>
  <c r="F24" i="21"/>
  <c r="Q229" i="4"/>
  <c r="Q37" i="18"/>
  <c r="N21" i="4"/>
  <c r="N19" i="4"/>
  <c r="D245" i="4"/>
  <c r="M42" i="18"/>
  <c r="O42" i="20"/>
  <c r="O29" i="20"/>
  <c r="Q214" i="4"/>
  <c r="Q216" i="4"/>
  <c r="Q28" i="18"/>
  <c r="L36" i="21"/>
  <c r="L24" i="21"/>
  <c r="L22" i="21"/>
  <c r="L20" i="21"/>
  <c r="L26" i="21"/>
  <c r="L27" i="21"/>
  <c r="L33" i="21"/>
  <c r="L34" i="21"/>
  <c r="L21" i="21"/>
  <c r="L32" i="21"/>
  <c r="L23" i="21"/>
  <c r="L28" i="21"/>
  <c r="L35" i="21"/>
  <c r="L29" i="21"/>
  <c r="N86" i="6"/>
  <c r="E14" i="18"/>
  <c r="G244" i="4"/>
  <c r="H30" i="18"/>
  <c r="Q226" i="4"/>
  <c r="Q36" i="18"/>
  <c r="N14" i="18"/>
  <c r="N29" i="4"/>
  <c r="N42" i="18"/>
  <c r="S55" i="7"/>
  <c r="O102" i="6"/>
  <c r="I155" i="7"/>
  <c r="E165" i="4"/>
  <c r="E168" i="4"/>
  <c r="F16" i="18"/>
  <c r="F165" i="4"/>
  <c r="F168" i="4"/>
  <c r="G16" i="18"/>
  <c r="G165" i="4"/>
  <c r="G168" i="4"/>
  <c r="H16" i="18"/>
  <c r="H165" i="4"/>
  <c r="I168" i="4"/>
  <c r="J16" i="18"/>
  <c r="J165" i="4"/>
  <c r="J168" i="4"/>
  <c r="K16" i="18"/>
  <c r="K165" i="4"/>
  <c r="K168" i="4"/>
  <c r="L16" i="18"/>
  <c r="D165" i="4"/>
  <c r="D168" i="4"/>
  <c r="E16" i="18"/>
  <c r="D160" i="4"/>
  <c r="D163" i="4"/>
  <c r="E160" i="4"/>
  <c r="E163" i="4"/>
  <c r="F15" i="18"/>
  <c r="F160" i="4"/>
  <c r="F163" i="4"/>
  <c r="G15" i="18"/>
  <c r="G160" i="4"/>
  <c r="G163" i="4"/>
  <c r="H15" i="18"/>
  <c r="H160" i="4"/>
  <c r="H163" i="4"/>
  <c r="I15" i="18"/>
  <c r="I160" i="4"/>
  <c r="I163" i="4"/>
  <c r="J15" i="18"/>
  <c r="J160" i="4"/>
  <c r="J163" i="4"/>
  <c r="K15" i="18"/>
  <c r="K160" i="4"/>
  <c r="K163" i="4"/>
  <c r="L15" i="18"/>
  <c r="L160" i="4"/>
  <c r="L163" i="4"/>
  <c r="M15" i="18"/>
  <c r="M160" i="4"/>
  <c r="M163" i="4"/>
  <c r="N15" i="18"/>
  <c r="E156" i="4"/>
  <c r="F156" i="4"/>
  <c r="H156" i="4"/>
  <c r="J156" i="4"/>
  <c r="L156" i="4"/>
  <c r="M156" i="4"/>
  <c r="D156" i="4"/>
  <c r="E153" i="4"/>
  <c r="E155" i="4"/>
  <c r="E32" i="20"/>
  <c r="F153" i="4"/>
  <c r="F155" i="4"/>
  <c r="F32" i="20"/>
  <c r="G153" i="4"/>
  <c r="G155" i="4"/>
  <c r="G32" i="20"/>
  <c r="H153" i="4"/>
  <c r="H155" i="4"/>
  <c r="H32" i="20"/>
  <c r="I32" i="20"/>
  <c r="J153" i="4"/>
  <c r="J155" i="4"/>
  <c r="J32" i="20"/>
  <c r="K153" i="4"/>
  <c r="K155" i="4"/>
  <c r="K32" i="20"/>
  <c r="L153" i="4"/>
  <c r="L155" i="4"/>
  <c r="L32" i="20"/>
  <c r="D153" i="4"/>
  <c r="D155" i="4"/>
  <c r="E158" i="4"/>
  <c r="F158" i="4"/>
  <c r="G158" i="4"/>
  <c r="H158" i="4"/>
  <c r="J158" i="4"/>
  <c r="K158" i="4"/>
  <c r="L158" i="4"/>
  <c r="D129" i="4"/>
  <c r="E142" i="4"/>
  <c r="F142" i="4"/>
  <c r="F144" i="4"/>
  <c r="G10" i="18"/>
  <c r="G142" i="4"/>
  <c r="H142" i="4"/>
  <c r="H144" i="4"/>
  <c r="I10" i="18"/>
  <c r="I142" i="4"/>
  <c r="J142" i="4"/>
  <c r="J144" i="4"/>
  <c r="K10" i="18"/>
  <c r="K142" i="4"/>
  <c r="D142" i="4"/>
  <c r="D144" i="4"/>
  <c r="E10" i="18"/>
  <c r="E137" i="4"/>
  <c r="F137" i="4"/>
  <c r="F140" i="4"/>
  <c r="G9" i="18"/>
  <c r="G137" i="4"/>
  <c r="H137" i="4"/>
  <c r="H140" i="4"/>
  <c r="I9" i="18"/>
  <c r="I137" i="4"/>
  <c r="J137" i="4"/>
  <c r="J140" i="4"/>
  <c r="K9" i="18"/>
  <c r="K137" i="4"/>
  <c r="D137" i="4"/>
  <c r="D140" i="4"/>
  <c r="E9" i="18"/>
  <c r="E129" i="4"/>
  <c r="E133" i="4"/>
  <c r="F133" i="4"/>
  <c r="G133" i="4"/>
  <c r="H133" i="4"/>
  <c r="I133" i="4"/>
  <c r="J133" i="4"/>
  <c r="K133" i="4"/>
  <c r="D133" i="4"/>
  <c r="E131" i="4"/>
  <c r="F131" i="4"/>
  <c r="G131" i="4"/>
  <c r="H131" i="4"/>
  <c r="I131" i="4"/>
  <c r="J131" i="4"/>
  <c r="K131" i="4"/>
  <c r="D131" i="4"/>
  <c r="F129" i="4"/>
  <c r="G129" i="4"/>
  <c r="H129" i="4"/>
  <c r="I129" i="4"/>
  <c r="J129" i="4"/>
  <c r="K129" i="4"/>
  <c r="E127" i="4"/>
  <c r="F127" i="4"/>
  <c r="G127" i="4"/>
  <c r="H127" i="4"/>
  <c r="I127" i="4"/>
  <c r="J127" i="4"/>
  <c r="K127" i="4"/>
  <c r="D127" i="4"/>
  <c r="E126" i="4"/>
  <c r="F126" i="4"/>
  <c r="G126" i="4"/>
  <c r="H126" i="4"/>
  <c r="I126" i="4"/>
  <c r="J126" i="4"/>
  <c r="K126" i="4"/>
  <c r="L126" i="4"/>
  <c r="M126" i="4"/>
  <c r="D126" i="4"/>
  <c r="E120" i="4"/>
  <c r="E122" i="4"/>
  <c r="F7" i="18"/>
  <c r="F120" i="4"/>
  <c r="F122" i="4"/>
  <c r="G7" i="18"/>
  <c r="G120" i="4"/>
  <c r="G122" i="4"/>
  <c r="H7" i="18"/>
  <c r="H120" i="4"/>
  <c r="H122" i="4"/>
  <c r="I7" i="18"/>
  <c r="I120" i="4"/>
  <c r="I122" i="4"/>
  <c r="J7" i="18"/>
  <c r="J120" i="4"/>
  <c r="J122" i="4"/>
  <c r="K7" i="18"/>
  <c r="K120" i="4"/>
  <c r="K122" i="4"/>
  <c r="D120" i="4"/>
  <c r="D122" i="4"/>
  <c r="E7" i="18"/>
  <c r="E114" i="4"/>
  <c r="E116" i="4"/>
  <c r="F114" i="4"/>
  <c r="F116" i="4"/>
  <c r="G114" i="4"/>
  <c r="G116" i="4"/>
  <c r="H114" i="4"/>
  <c r="H116" i="4"/>
  <c r="I114" i="4"/>
  <c r="I116" i="4"/>
  <c r="J114" i="4"/>
  <c r="D116" i="4"/>
  <c r="E110" i="4"/>
  <c r="F5" i="18"/>
  <c r="F110" i="4"/>
  <c r="G5" i="18"/>
  <c r="G110" i="4"/>
  <c r="H5" i="18"/>
  <c r="H110" i="4"/>
  <c r="I5" i="18"/>
  <c r="I110" i="4"/>
  <c r="J5" i="18"/>
  <c r="J110" i="4"/>
  <c r="K5" i="18"/>
  <c r="K110" i="4"/>
  <c r="L5" i="18"/>
  <c r="D110" i="4"/>
  <c r="E5" i="18"/>
  <c r="E170" i="4"/>
  <c r="K29" i="21"/>
  <c r="F170" i="4"/>
  <c r="J170" i="4"/>
  <c r="D170" i="4"/>
  <c r="E17" i="18"/>
  <c r="K170" i="4"/>
  <c r="L17" i="18"/>
  <c r="N13" i="18"/>
  <c r="M170" i="4"/>
  <c r="N17" i="18"/>
  <c r="G170" i="4"/>
  <c r="H17" i="18"/>
  <c r="I170" i="4"/>
  <c r="J17" i="18"/>
  <c r="F38" i="24"/>
  <c r="G29" i="21"/>
  <c r="J26" i="21"/>
  <c r="K17" i="18"/>
  <c r="F17" i="18"/>
  <c r="J23" i="21"/>
  <c r="I26" i="21"/>
  <c r="J32" i="21"/>
  <c r="G17" i="18"/>
  <c r="J28" i="20"/>
  <c r="F28" i="20"/>
  <c r="J22" i="21"/>
  <c r="L7" i="18"/>
  <c r="L34" i="20"/>
  <c r="R15" i="19"/>
  <c r="Q163" i="4"/>
  <c r="R15" i="18"/>
  <c r="Q103" i="7"/>
  <c r="N5" i="18"/>
  <c r="N13" i="22"/>
  <c r="Q129" i="7"/>
  <c r="J116" i="4"/>
  <c r="E15" i="18"/>
  <c r="E15" i="19"/>
  <c r="R154" i="7"/>
  <c r="E28" i="20"/>
  <c r="K28" i="20"/>
  <c r="G28" i="20"/>
  <c r="J28" i="21"/>
  <c r="J33" i="21"/>
  <c r="J27" i="21"/>
  <c r="J24" i="21"/>
  <c r="I23" i="21"/>
  <c r="N38" i="24"/>
  <c r="F34" i="21"/>
  <c r="M21" i="21"/>
  <c r="M38" i="24"/>
  <c r="J29" i="21"/>
  <c r="J35" i="21"/>
  <c r="J20" i="21"/>
  <c r="J36" i="21"/>
  <c r="M22" i="21"/>
  <c r="J34" i="21"/>
  <c r="J21" i="21"/>
  <c r="M28" i="21"/>
  <c r="M24" i="21"/>
  <c r="I20" i="21"/>
  <c r="D11" i="17"/>
  <c r="D55" i="17"/>
  <c r="F20" i="21"/>
  <c r="M27" i="21"/>
  <c r="I35" i="21"/>
  <c r="I24" i="21"/>
  <c r="I28" i="21"/>
  <c r="I27" i="21"/>
  <c r="I33" i="21"/>
  <c r="I22" i="21"/>
  <c r="I36" i="21"/>
  <c r="I21" i="21"/>
  <c r="I34" i="21"/>
  <c r="I32" i="21"/>
  <c r="M26" i="21"/>
  <c r="M33" i="21"/>
  <c r="M36" i="21"/>
  <c r="M29" i="21"/>
  <c r="F35" i="21"/>
  <c r="L6" i="18"/>
  <c r="F28" i="21"/>
  <c r="N19" i="20"/>
  <c r="J6" i="18"/>
  <c r="F6" i="18"/>
  <c r="F27" i="21"/>
  <c r="F33" i="21"/>
  <c r="F26" i="21"/>
  <c r="F22" i="21"/>
  <c r="F36" i="21"/>
  <c r="M34" i="21"/>
  <c r="M32" i="21"/>
  <c r="H6" i="18"/>
  <c r="E6" i="18"/>
  <c r="G6" i="18"/>
  <c r="N24" i="24"/>
  <c r="F29" i="21"/>
  <c r="I6" i="18"/>
  <c r="F23" i="21"/>
  <c r="F32" i="21"/>
  <c r="F21" i="21"/>
  <c r="M35" i="21"/>
  <c r="M23" i="21"/>
  <c r="M20" i="21"/>
  <c r="R229" i="4"/>
  <c r="R37" i="18"/>
  <c r="P42" i="20"/>
  <c r="P29" i="20"/>
  <c r="R214" i="4"/>
  <c r="R216" i="4"/>
  <c r="R28" i="18"/>
  <c r="N34" i="20"/>
  <c r="H34" i="20"/>
  <c r="I38" i="24"/>
  <c r="I29" i="21"/>
  <c r="H38" i="24"/>
  <c r="J34" i="20"/>
  <c r="F34" i="20"/>
  <c r="E34" i="20"/>
  <c r="I34" i="20"/>
  <c r="G34" i="20"/>
  <c r="N36" i="21"/>
  <c r="N22" i="21"/>
  <c r="N24" i="21"/>
  <c r="N20" i="21"/>
  <c r="N26" i="21"/>
  <c r="N34" i="21"/>
  <c r="N23" i="21"/>
  <c r="N33" i="21"/>
  <c r="N35" i="21"/>
  <c r="N32" i="21"/>
  <c r="N27" i="21"/>
  <c r="N28" i="21"/>
  <c r="N21" i="21"/>
  <c r="O27" i="24"/>
  <c r="N29" i="21"/>
  <c r="N17" i="4"/>
  <c r="L14" i="18"/>
  <c r="H14" i="18"/>
  <c r="F14" i="18"/>
  <c r="R226" i="4"/>
  <c r="R36" i="18"/>
  <c r="G245" i="4"/>
  <c r="H42" i="18"/>
  <c r="J14" i="18"/>
  <c r="C11" i="17"/>
  <c r="C55" i="17"/>
  <c r="M14" i="18"/>
  <c r="K14" i="18"/>
  <c r="I14" i="18"/>
  <c r="G14" i="18"/>
  <c r="S56" i="7"/>
  <c r="P102" i="6"/>
  <c r="J154" i="7"/>
  <c r="M121" i="4"/>
  <c r="K121" i="4"/>
  <c r="I121" i="4"/>
  <c r="G121" i="4"/>
  <c r="L167" i="4"/>
  <c r="J167" i="4"/>
  <c r="H167" i="4"/>
  <c r="F167" i="4"/>
  <c r="D135" i="4"/>
  <c r="J135" i="4"/>
  <c r="H135" i="4"/>
  <c r="F135" i="4"/>
  <c r="E167" i="4"/>
  <c r="L134" i="4"/>
  <c r="J134" i="4"/>
  <c r="G167" i="4"/>
  <c r="K167" i="4"/>
  <c r="L121" i="4"/>
  <c r="J121" i="4"/>
  <c r="H121" i="4"/>
  <c r="F121" i="4"/>
  <c r="E135" i="4"/>
  <c r="F8" i="18"/>
  <c r="M134" i="4"/>
  <c r="K134" i="4"/>
  <c r="I134" i="4"/>
  <c r="G134" i="4"/>
  <c r="E134" i="4"/>
  <c r="K135" i="4"/>
  <c r="L8" i="18"/>
  <c r="I135" i="4"/>
  <c r="J8" i="18"/>
  <c r="G135" i="4"/>
  <c r="H8" i="18"/>
  <c r="I140" i="4"/>
  <c r="J9" i="18"/>
  <c r="J21" i="20"/>
  <c r="E140" i="4"/>
  <c r="F9" i="18"/>
  <c r="F21" i="20"/>
  <c r="K144" i="4"/>
  <c r="L10" i="18"/>
  <c r="I144" i="4"/>
  <c r="J10" i="18"/>
  <c r="G144" i="4"/>
  <c r="H10" i="18"/>
  <c r="E144" i="4"/>
  <c r="F10" i="18"/>
  <c r="H134" i="4"/>
  <c r="F134" i="4"/>
  <c r="K140" i="4"/>
  <c r="L9" i="18"/>
  <c r="K21" i="20"/>
  <c r="G140" i="4"/>
  <c r="H9" i="18"/>
  <c r="H21" i="20"/>
  <c r="L170" i="4"/>
  <c r="H168" i="4"/>
  <c r="H170" i="4"/>
  <c r="E48" i="4"/>
  <c r="F48" i="4"/>
  <c r="G48" i="4"/>
  <c r="H48" i="4"/>
  <c r="I48" i="4"/>
  <c r="J48" i="4"/>
  <c r="K48" i="4"/>
  <c r="L48" i="4"/>
  <c r="M21" i="19"/>
  <c r="L35" i="20"/>
  <c r="L15" i="20"/>
  <c r="D48" i="4"/>
  <c r="H249" i="4"/>
  <c r="H251" i="4"/>
  <c r="K249" i="4"/>
  <c r="K251" i="4"/>
  <c r="G249" i="4"/>
  <c r="I249" i="4"/>
  <c r="K6" i="18"/>
  <c r="L35" i="24"/>
  <c r="J249" i="4"/>
  <c r="J251" i="4"/>
  <c r="M249" i="4"/>
  <c r="M251" i="4"/>
  <c r="D249" i="4"/>
  <c r="D251" i="4"/>
  <c r="L249" i="4"/>
  <c r="L251" i="4"/>
  <c r="E249" i="4"/>
  <c r="E251" i="4"/>
  <c r="F249" i="4"/>
  <c r="F251" i="4"/>
  <c r="N47" i="20"/>
  <c r="K34" i="20"/>
  <c r="M146" i="4"/>
  <c r="I19" i="20"/>
  <c r="J19" i="20"/>
  <c r="F19" i="20"/>
  <c r="L20" i="20"/>
  <c r="N134" i="4"/>
  <c r="O134" i="4"/>
  <c r="P134" i="4"/>
  <c r="Q134" i="4"/>
  <c r="R134" i="4"/>
  <c r="S134" i="4"/>
  <c r="G19" i="20"/>
  <c r="S156" i="7"/>
  <c r="G251" i="4"/>
  <c r="I251" i="4"/>
  <c r="E19" i="20"/>
  <c r="J14" i="7"/>
  <c r="R155" i="7"/>
  <c r="R128" i="7"/>
  <c r="R102" i="7"/>
  <c r="G21" i="20"/>
  <c r="L21" i="20"/>
  <c r="I41" i="24"/>
  <c r="H19" i="20"/>
  <c r="K19" i="20"/>
  <c r="I21" i="20"/>
  <c r="E21" i="20"/>
  <c r="J35" i="24"/>
  <c r="F41" i="24"/>
  <c r="F35" i="24"/>
  <c r="H35" i="24"/>
  <c r="L146" i="4"/>
  <c r="M11" i="18"/>
  <c r="G35" i="24"/>
  <c r="I35" i="24"/>
  <c r="G112" i="4"/>
  <c r="G111" i="4"/>
  <c r="H21" i="19"/>
  <c r="G35" i="20"/>
  <c r="G15" i="20"/>
  <c r="D112" i="4"/>
  <c r="D111" i="4"/>
  <c r="E21" i="19"/>
  <c r="J112" i="4"/>
  <c r="J111" i="4"/>
  <c r="K21" i="19"/>
  <c r="J35" i="20"/>
  <c r="J15" i="20"/>
  <c r="F112" i="4"/>
  <c r="F111" i="4"/>
  <c r="G21" i="19"/>
  <c r="F35" i="20"/>
  <c r="F15" i="20"/>
  <c r="J41" i="24"/>
  <c r="G41" i="24"/>
  <c r="S229" i="4"/>
  <c r="T37" i="18"/>
  <c r="S37" i="18"/>
  <c r="H112" i="4"/>
  <c r="H111" i="4"/>
  <c r="I21" i="19"/>
  <c r="H35" i="20"/>
  <c r="H15" i="20"/>
  <c r="K112" i="4"/>
  <c r="K111" i="4"/>
  <c r="L21" i="19"/>
  <c r="K35" i="20"/>
  <c r="K15" i="20"/>
  <c r="N18" i="22"/>
  <c r="I112" i="4"/>
  <c r="I111" i="4"/>
  <c r="J21" i="19"/>
  <c r="I35" i="20"/>
  <c r="I15" i="20"/>
  <c r="E112" i="4"/>
  <c r="E111" i="4"/>
  <c r="F21" i="19"/>
  <c r="E35" i="20"/>
  <c r="E15" i="20"/>
  <c r="H41" i="24"/>
  <c r="Q42" i="20"/>
  <c r="Q29" i="20"/>
  <c r="O10" i="19"/>
  <c r="O9" i="22"/>
  <c r="S214" i="4"/>
  <c r="S28" i="18"/>
  <c r="F23" i="20"/>
  <c r="J23" i="20"/>
  <c r="H36" i="21"/>
  <c r="H24" i="21"/>
  <c r="H22" i="21"/>
  <c r="H20" i="21"/>
  <c r="H26" i="21"/>
  <c r="H27" i="21"/>
  <c r="H34" i="21"/>
  <c r="H33" i="21"/>
  <c r="H21" i="21"/>
  <c r="H32" i="21"/>
  <c r="H23" i="21"/>
  <c r="H28" i="21"/>
  <c r="H35" i="21"/>
  <c r="H29" i="21"/>
  <c r="H23" i="20"/>
  <c r="L23" i="20"/>
  <c r="N27" i="24"/>
  <c r="G23" i="20"/>
  <c r="I23" i="20"/>
  <c r="K23" i="20"/>
  <c r="E23" i="20"/>
  <c r="M167" i="4"/>
  <c r="F146" i="4"/>
  <c r="G11" i="18"/>
  <c r="G8" i="18"/>
  <c r="G20" i="20"/>
  <c r="J146" i="4"/>
  <c r="K11" i="18"/>
  <c r="K8" i="18"/>
  <c r="K20" i="20"/>
  <c r="S226" i="4"/>
  <c r="T36" i="18"/>
  <c r="S36" i="18"/>
  <c r="L112" i="4"/>
  <c r="L111" i="4"/>
  <c r="I167" i="4"/>
  <c r="I16" i="18"/>
  <c r="H146" i="4"/>
  <c r="I11" i="18"/>
  <c r="I8" i="18"/>
  <c r="I20" i="20"/>
  <c r="D146" i="4"/>
  <c r="E11" i="18"/>
  <c r="E8" i="18"/>
  <c r="E20" i="20"/>
  <c r="R51" i="7"/>
  <c r="Q102" i="6"/>
  <c r="R102" i="6"/>
  <c r="J155" i="7"/>
  <c r="M17" i="18"/>
  <c r="E146" i="4"/>
  <c r="K146" i="4"/>
  <c r="K172" i="4"/>
  <c r="K173" i="4"/>
  <c r="I146" i="4"/>
  <c r="G146" i="4"/>
  <c r="E108" i="4"/>
  <c r="F108" i="4"/>
  <c r="G108" i="4"/>
  <c r="H108" i="4"/>
  <c r="I108" i="4"/>
  <c r="J108" i="4"/>
  <c r="K108" i="4"/>
  <c r="L108" i="4"/>
  <c r="M108" i="4"/>
  <c r="N108" i="4"/>
  <c r="O108" i="4"/>
  <c r="P108" i="4"/>
  <c r="Q108" i="4"/>
  <c r="R108" i="4"/>
  <c r="D108" i="4"/>
  <c r="E98" i="4"/>
  <c r="F98" i="4"/>
  <c r="D98" i="4"/>
  <c r="E94" i="4"/>
  <c r="F94" i="4"/>
  <c r="G94" i="4"/>
  <c r="H94" i="4"/>
  <c r="I94" i="4"/>
  <c r="J94" i="4"/>
  <c r="K94" i="4"/>
  <c r="L94" i="4"/>
  <c r="M94" i="4"/>
  <c r="D94" i="4"/>
  <c r="G90" i="4"/>
  <c r="H90" i="4"/>
  <c r="I90" i="4"/>
  <c r="J90" i="4"/>
  <c r="K90" i="4"/>
  <c r="L90" i="4"/>
  <c r="E89" i="4"/>
  <c r="F89" i="4"/>
  <c r="D89" i="4"/>
  <c r="E80" i="4"/>
  <c r="E82" i="4"/>
  <c r="F28" i="19"/>
  <c r="E12" i="20"/>
  <c r="F80" i="4"/>
  <c r="F82" i="4"/>
  <c r="G28" i="19"/>
  <c r="F12" i="20"/>
  <c r="G80" i="4"/>
  <c r="G82" i="4"/>
  <c r="H28" i="19"/>
  <c r="G12" i="20"/>
  <c r="H80" i="4"/>
  <c r="H82" i="4"/>
  <c r="I28" i="19"/>
  <c r="H12" i="20"/>
  <c r="I80" i="4"/>
  <c r="I82" i="4"/>
  <c r="J28" i="19"/>
  <c r="I12" i="20"/>
  <c r="J80" i="4"/>
  <c r="J82" i="4"/>
  <c r="K28" i="19"/>
  <c r="J12" i="20"/>
  <c r="K80" i="4"/>
  <c r="K82" i="4"/>
  <c r="L28" i="19"/>
  <c r="K12" i="20"/>
  <c r="L80" i="4"/>
  <c r="L82" i="4"/>
  <c r="M28" i="19"/>
  <c r="L12" i="20"/>
  <c r="D80" i="4"/>
  <c r="D82" i="4"/>
  <c r="E28" i="19"/>
  <c r="E73" i="4"/>
  <c r="E75" i="4"/>
  <c r="E26" i="19"/>
  <c r="F73" i="4"/>
  <c r="F75" i="4"/>
  <c r="G73" i="4"/>
  <c r="G75" i="4"/>
  <c r="H73" i="4"/>
  <c r="H75" i="4"/>
  <c r="I73" i="4"/>
  <c r="I75" i="4"/>
  <c r="J73" i="4"/>
  <c r="J75" i="4"/>
  <c r="K73" i="4"/>
  <c r="K75" i="4"/>
  <c r="L73" i="4"/>
  <c r="L75" i="4"/>
  <c r="D73" i="4"/>
  <c r="D75" i="4"/>
  <c r="E69" i="4"/>
  <c r="E71" i="4"/>
  <c r="F69" i="4"/>
  <c r="F71" i="4"/>
  <c r="G69" i="4"/>
  <c r="G71" i="4"/>
  <c r="H69" i="4"/>
  <c r="H71" i="4"/>
  <c r="I69" i="4"/>
  <c r="I71" i="4"/>
  <c r="K69" i="4"/>
  <c r="K71" i="4"/>
  <c r="L69" i="4"/>
  <c r="L71" i="4"/>
  <c r="D69" i="4"/>
  <c r="E62" i="4"/>
  <c r="E13" i="20"/>
  <c r="F62" i="4"/>
  <c r="F13" i="20"/>
  <c r="G62" i="4"/>
  <c r="G13" i="20"/>
  <c r="H62" i="4"/>
  <c r="H13" i="20"/>
  <c r="I62" i="4"/>
  <c r="I13" i="20"/>
  <c r="J62" i="4"/>
  <c r="J13" i="20"/>
  <c r="K62" i="4"/>
  <c r="K13" i="20"/>
  <c r="L62" i="4"/>
  <c r="L13" i="20"/>
  <c r="D62" i="4"/>
  <c r="E58" i="4"/>
  <c r="E14" i="20"/>
  <c r="F58" i="4"/>
  <c r="F14" i="20"/>
  <c r="G58" i="4"/>
  <c r="G14" i="20"/>
  <c r="H58" i="4"/>
  <c r="H14" i="20"/>
  <c r="I58" i="4"/>
  <c r="I14" i="20"/>
  <c r="J58" i="4"/>
  <c r="J14" i="20"/>
  <c r="K58" i="4"/>
  <c r="K14" i="20"/>
  <c r="L58" i="4"/>
  <c r="L14" i="20"/>
  <c r="D58" i="4"/>
  <c r="E22" i="19"/>
  <c r="E55" i="4"/>
  <c r="F55" i="4"/>
  <c r="G55" i="4"/>
  <c r="H55" i="4"/>
  <c r="I55" i="4"/>
  <c r="J55" i="4"/>
  <c r="K55" i="4"/>
  <c r="L55" i="4"/>
  <c r="D55" i="4"/>
  <c r="E42" i="4"/>
  <c r="F42" i="4"/>
  <c r="F45" i="4"/>
  <c r="F10" i="20"/>
  <c r="G42" i="4"/>
  <c r="G45" i="4"/>
  <c r="G10" i="20"/>
  <c r="H42" i="4"/>
  <c r="H45" i="4"/>
  <c r="I42" i="4"/>
  <c r="I45" i="4"/>
  <c r="J42" i="4"/>
  <c r="J45" i="4"/>
  <c r="J10" i="20"/>
  <c r="K42" i="4"/>
  <c r="K45" i="4"/>
  <c r="L42" i="4"/>
  <c r="L45" i="4"/>
  <c r="D42" i="4"/>
  <c r="K41" i="24"/>
  <c r="L41" i="24"/>
  <c r="K35" i="24"/>
  <c r="T28" i="18"/>
  <c r="S29" i="20"/>
  <c r="S216" i="4"/>
  <c r="M20" i="19"/>
  <c r="L33" i="20"/>
  <c r="L10" i="20"/>
  <c r="L20" i="19"/>
  <c r="K33" i="20"/>
  <c r="K10" i="20"/>
  <c r="I20" i="19"/>
  <c r="H33" i="20"/>
  <c r="H36" i="20"/>
  <c r="H10" i="20"/>
  <c r="N17" i="22"/>
  <c r="J20" i="19"/>
  <c r="I33" i="20"/>
  <c r="I10" i="20"/>
  <c r="R103" i="7"/>
  <c r="M27" i="19"/>
  <c r="L27" i="20"/>
  <c r="I27" i="19"/>
  <c r="H27" i="20"/>
  <c r="H27" i="19"/>
  <c r="G27" i="20"/>
  <c r="S154" i="7"/>
  <c r="K27" i="19"/>
  <c r="J27" i="20"/>
  <c r="S15" i="19"/>
  <c r="R163" i="4"/>
  <c r="S15" i="18"/>
  <c r="J27" i="19"/>
  <c r="I27" i="20"/>
  <c r="J20" i="20"/>
  <c r="J25" i="20"/>
  <c r="R129" i="7"/>
  <c r="G25" i="20"/>
  <c r="L27" i="19"/>
  <c r="K27" i="20"/>
  <c r="I28" i="20"/>
  <c r="H28" i="20"/>
  <c r="L28" i="20"/>
  <c r="E25" i="20"/>
  <c r="M34" i="24"/>
  <c r="H20" i="20"/>
  <c r="H25" i="20"/>
  <c r="I25" i="20"/>
  <c r="F20" i="20"/>
  <c r="F25" i="20"/>
  <c r="L19" i="20"/>
  <c r="L25" i="20"/>
  <c r="K25" i="20"/>
  <c r="D172" i="4"/>
  <c r="D173" i="4"/>
  <c r="J172" i="4"/>
  <c r="K18" i="18"/>
  <c r="K17" i="21"/>
  <c r="M32" i="24"/>
  <c r="M31" i="24"/>
  <c r="M45" i="18"/>
  <c r="F172" i="4"/>
  <c r="G18" i="18"/>
  <c r="G13" i="21"/>
  <c r="C13" i="17"/>
  <c r="C57" i="17"/>
  <c r="C9" i="17"/>
  <c r="C53" i="17"/>
  <c r="C14" i="17"/>
  <c r="J22" i="19"/>
  <c r="E74" i="4"/>
  <c r="G74" i="4"/>
  <c r="G26" i="19"/>
  <c r="F11" i="20"/>
  <c r="H44" i="20"/>
  <c r="M35" i="24"/>
  <c r="N35" i="24"/>
  <c r="M41" i="24"/>
  <c r="N41" i="24"/>
  <c r="K20" i="19"/>
  <c r="G20" i="19"/>
  <c r="M22" i="19"/>
  <c r="I22" i="19"/>
  <c r="M25" i="19"/>
  <c r="H25" i="19"/>
  <c r="N74" i="4"/>
  <c r="J74" i="4"/>
  <c r="J26" i="19"/>
  <c r="I11" i="20"/>
  <c r="F74" i="4"/>
  <c r="F26" i="19"/>
  <c r="E11" i="20"/>
  <c r="K44" i="20"/>
  <c r="G44" i="20"/>
  <c r="K22" i="19"/>
  <c r="G22" i="19"/>
  <c r="J25" i="19"/>
  <c r="F25" i="19"/>
  <c r="L74" i="4"/>
  <c r="L26" i="19"/>
  <c r="K11" i="20"/>
  <c r="H74" i="4"/>
  <c r="H26" i="19"/>
  <c r="G11" i="20"/>
  <c r="I44" i="20"/>
  <c r="E44" i="20"/>
  <c r="M172" i="4"/>
  <c r="M173" i="4"/>
  <c r="D13" i="17"/>
  <c r="D57" i="17"/>
  <c r="D9" i="17"/>
  <c r="D53" i="17"/>
  <c r="D14" i="17"/>
  <c r="H20" i="19"/>
  <c r="F22" i="19"/>
  <c r="I25" i="19"/>
  <c r="K74" i="4"/>
  <c r="K26" i="19"/>
  <c r="J11" i="20"/>
  <c r="L44" i="20"/>
  <c r="E45" i="4"/>
  <c r="N45" i="4"/>
  <c r="L22" i="19"/>
  <c r="H22" i="19"/>
  <c r="N62" i="4"/>
  <c r="N13" i="20"/>
  <c r="L25" i="19"/>
  <c r="G25" i="19"/>
  <c r="M74" i="4"/>
  <c r="M26" i="19"/>
  <c r="L11" i="20"/>
  <c r="I74" i="4"/>
  <c r="I26" i="19"/>
  <c r="H11" i="20"/>
  <c r="J44" i="20"/>
  <c r="F44" i="20"/>
  <c r="N34" i="24"/>
  <c r="R42" i="20"/>
  <c r="R29" i="20"/>
  <c r="S51" i="7"/>
  <c r="F34" i="24"/>
  <c r="J34" i="24"/>
  <c r="L34" i="24"/>
  <c r="H34" i="24"/>
  <c r="I34" i="24"/>
  <c r="E32" i="24"/>
  <c r="E31" i="24"/>
  <c r="I45" i="18"/>
  <c r="I32" i="24"/>
  <c r="I31" i="24"/>
  <c r="S42" i="20"/>
  <c r="K45" i="18"/>
  <c r="K32" i="24"/>
  <c r="K31" i="24"/>
  <c r="G45" i="18"/>
  <c r="G32" i="24"/>
  <c r="G31" i="24"/>
  <c r="K34" i="24"/>
  <c r="G34" i="24"/>
  <c r="L172" i="4"/>
  <c r="M18" i="18"/>
  <c r="I172" i="4"/>
  <c r="J11" i="18"/>
  <c r="N11" i="18"/>
  <c r="H172" i="4"/>
  <c r="I18" i="18"/>
  <c r="I8" i="21"/>
  <c r="I17" i="18"/>
  <c r="N80" i="4"/>
  <c r="D45" i="4"/>
  <c r="E20" i="19"/>
  <c r="G172" i="4"/>
  <c r="H18" i="18"/>
  <c r="H11" i="18"/>
  <c r="L18" i="18"/>
  <c r="L11" i="18"/>
  <c r="E172" i="4"/>
  <c r="F18" i="18"/>
  <c r="F11" i="18"/>
  <c r="O111" i="4"/>
  <c r="S50" i="7"/>
  <c r="S52" i="7"/>
  <c r="S102" i="6"/>
  <c r="K154" i="7"/>
  <c r="E81" i="4"/>
  <c r="D221" i="4"/>
  <c r="M81" i="4"/>
  <c r="L221" i="4"/>
  <c r="K81" i="4"/>
  <c r="J221" i="4"/>
  <c r="I81" i="4"/>
  <c r="H221" i="4"/>
  <c r="G81" i="4"/>
  <c r="F221" i="4"/>
  <c r="L81" i="4"/>
  <c r="K221" i="4"/>
  <c r="J81" i="4"/>
  <c r="I221" i="4"/>
  <c r="H81" i="4"/>
  <c r="G221" i="4"/>
  <c r="F81" i="4"/>
  <c r="E221" i="4"/>
  <c r="D64" i="4"/>
  <c r="D209" i="4"/>
  <c r="L64" i="4"/>
  <c r="L209" i="4"/>
  <c r="J64" i="4"/>
  <c r="J209" i="4"/>
  <c r="H64" i="4"/>
  <c r="H209" i="4"/>
  <c r="F64" i="4"/>
  <c r="F209" i="4"/>
  <c r="M209" i="4"/>
  <c r="K64" i="4"/>
  <c r="K209" i="4"/>
  <c r="I64" i="4"/>
  <c r="I209" i="4"/>
  <c r="G64" i="4"/>
  <c r="G209" i="4"/>
  <c r="E64" i="4"/>
  <c r="E209" i="4"/>
  <c r="E38" i="4"/>
  <c r="F40" i="4"/>
  <c r="G38" i="4"/>
  <c r="G40" i="4"/>
  <c r="H40" i="4"/>
  <c r="I38" i="4"/>
  <c r="I40" i="4"/>
  <c r="J19" i="19"/>
  <c r="J38" i="4"/>
  <c r="J40" i="4"/>
  <c r="K38" i="4"/>
  <c r="K40" i="4"/>
  <c r="L19" i="19"/>
  <c r="L38" i="4"/>
  <c r="L40" i="4"/>
  <c r="M19" i="19"/>
  <c r="N19" i="19"/>
  <c r="D38" i="4"/>
  <c r="F15" i="19"/>
  <c r="E9" i="20"/>
  <c r="G15" i="19"/>
  <c r="F9" i="20"/>
  <c r="H15" i="19"/>
  <c r="G9" i="20"/>
  <c r="I15" i="19"/>
  <c r="H9" i="20"/>
  <c r="J15" i="19"/>
  <c r="I9" i="20"/>
  <c r="K15" i="19"/>
  <c r="J9" i="20"/>
  <c r="L15" i="19"/>
  <c r="K9" i="20"/>
  <c r="M15" i="19"/>
  <c r="L9" i="20"/>
  <c r="E27" i="4"/>
  <c r="F27" i="4"/>
  <c r="G27" i="4"/>
  <c r="H27" i="4"/>
  <c r="I27" i="4"/>
  <c r="J27" i="4"/>
  <c r="K27" i="4"/>
  <c r="L27" i="4"/>
  <c r="D27" i="4"/>
  <c r="D30" i="4"/>
  <c r="E14" i="19"/>
  <c r="E18" i="4"/>
  <c r="F18" i="4"/>
  <c r="G18" i="4"/>
  <c r="H18" i="4"/>
  <c r="I18" i="4"/>
  <c r="J18" i="4"/>
  <c r="K18" i="4"/>
  <c r="L18" i="4"/>
  <c r="E20" i="4"/>
  <c r="F20" i="4"/>
  <c r="G20" i="4"/>
  <c r="H20" i="4"/>
  <c r="I20" i="4"/>
  <c r="J20" i="4"/>
  <c r="K20" i="4"/>
  <c r="L20" i="4"/>
  <c r="D20" i="4"/>
  <c r="D18" i="4"/>
  <c r="E9" i="4"/>
  <c r="F9" i="4"/>
  <c r="G9" i="4"/>
  <c r="H9" i="4"/>
  <c r="I9" i="4"/>
  <c r="J9" i="4"/>
  <c r="K9" i="4"/>
  <c r="L9" i="4"/>
  <c r="D11" i="4"/>
  <c r="E6" i="19"/>
  <c r="E7" i="4"/>
  <c r="F5" i="19"/>
  <c r="G7" i="4"/>
  <c r="H5" i="19"/>
  <c r="I7" i="4"/>
  <c r="K7" i="4"/>
  <c r="L5" i="19"/>
  <c r="I23" i="2"/>
  <c r="I15" i="2"/>
  <c r="O20" i="19"/>
  <c r="O17" i="22"/>
  <c r="N10" i="20"/>
  <c r="N33" i="20"/>
  <c r="F20" i="19"/>
  <c r="E33" i="20"/>
  <c r="E36" i="20"/>
  <c r="E10" i="20"/>
  <c r="K16" i="21"/>
  <c r="K14" i="21"/>
  <c r="D247" i="4"/>
  <c r="E18" i="18"/>
  <c r="E8" i="24"/>
  <c r="F247" i="4"/>
  <c r="K6" i="21"/>
  <c r="K8" i="24"/>
  <c r="H24" i="22"/>
  <c r="J247" i="4"/>
  <c r="K9" i="21"/>
  <c r="N16" i="22"/>
  <c r="J33" i="20"/>
  <c r="J36" i="20"/>
  <c r="G33" i="20"/>
  <c r="G36" i="20"/>
  <c r="F33" i="20"/>
  <c r="F36" i="20"/>
  <c r="I20" i="2"/>
  <c r="I14" i="12"/>
  <c r="K155" i="7"/>
  <c r="L18" i="22"/>
  <c r="S129" i="7"/>
  <c r="S128" i="7"/>
  <c r="S155" i="7"/>
  <c r="J69" i="4"/>
  <c r="J71" i="4"/>
  <c r="K25" i="19"/>
  <c r="I22" i="12"/>
  <c r="S102" i="7"/>
  <c r="J5" i="19"/>
  <c r="I154" i="4"/>
  <c r="O62" i="4"/>
  <c r="O13" i="20"/>
  <c r="S103" i="7"/>
  <c r="J18" i="18"/>
  <c r="J11" i="21"/>
  <c r="G5" i="21"/>
  <c r="K13" i="21"/>
  <c r="K8" i="21"/>
  <c r="K5" i="21"/>
  <c r="K15" i="21"/>
  <c r="G14" i="21"/>
  <c r="J173" i="4"/>
  <c r="G16" i="21"/>
  <c r="G11" i="21"/>
  <c r="K11" i="21"/>
  <c r="K7" i="21"/>
  <c r="K10" i="21"/>
  <c r="F173" i="4"/>
  <c r="G15" i="21"/>
  <c r="G7" i="21"/>
  <c r="G10" i="21"/>
  <c r="G17" i="21"/>
  <c r="G6" i="21"/>
  <c r="G9" i="21"/>
  <c r="G8" i="24"/>
  <c r="G8" i="21"/>
  <c r="L19" i="22"/>
  <c r="G173" i="4"/>
  <c r="L247" i="4"/>
  <c r="N18" i="18"/>
  <c r="E173" i="4"/>
  <c r="I173" i="4"/>
  <c r="H25" i="22"/>
  <c r="L173" i="4"/>
  <c r="O45" i="4"/>
  <c r="F7" i="24"/>
  <c r="F5" i="22"/>
  <c r="F28" i="22"/>
  <c r="H17" i="22"/>
  <c r="L36" i="20"/>
  <c r="K36" i="20"/>
  <c r="L7" i="24"/>
  <c r="L5" i="22"/>
  <c r="L28" i="22"/>
  <c r="M17" i="4"/>
  <c r="L16" i="22"/>
  <c r="I36" i="20"/>
  <c r="K19" i="19"/>
  <c r="G19" i="19"/>
  <c r="F18" i="22"/>
  <c r="H19" i="22"/>
  <c r="F19" i="22"/>
  <c r="H18" i="22"/>
  <c r="H22" i="22"/>
  <c r="N25" i="19"/>
  <c r="L17" i="22"/>
  <c r="N81" i="4"/>
  <c r="F25" i="22"/>
  <c r="F22" i="22"/>
  <c r="F13" i="22"/>
  <c r="H19" i="19"/>
  <c r="H16" i="22"/>
  <c r="M221" i="4"/>
  <c r="L23" i="22"/>
  <c r="L25" i="22"/>
  <c r="H7" i="24"/>
  <c r="H5" i="22"/>
  <c r="H28" i="22"/>
  <c r="L13" i="22"/>
  <c r="H13" i="22"/>
  <c r="E40" i="4"/>
  <c r="F19" i="19"/>
  <c r="F16" i="22"/>
  <c r="N40" i="4"/>
  <c r="H173" i="4"/>
  <c r="L22" i="22"/>
  <c r="L24" i="22"/>
  <c r="H23" i="22"/>
  <c r="F23" i="22"/>
  <c r="N23" i="22"/>
  <c r="L39" i="24"/>
  <c r="I16" i="21"/>
  <c r="F45" i="18"/>
  <c r="G46" i="18"/>
  <c r="G33" i="24"/>
  <c r="F31" i="24"/>
  <c r="F32" i="24"/>
  <c r="F11" i="21"/>
  <c r="L45" i="18"/>
  <c r="M46" i="18"/>
  <c r="M33" i="24"/>
  <c r="L32" i="24"/>
  <c r="L31" i="24"/>
  <c r="L11" i="21"/>
  <c r="H45" i="18"/>
  <c r="H46" i="18"/>
  <c r="I33" i="24"/>
  <c r="H32" i="24"/>
  <c r="H31" i="24"/>
  <c r="H11" i="21"/>
  <c r="N45" i="18"/>
  <c r="N46" i="18"/>
  <c r="N32" i="24"/>
  <c r="N31" i="24"/>
  <c r="N33" i="24"/>
  <c r="J45" i="18"/>
  <c r="K33" i="24"/>
  <c r="J32" i="24"/>
  <c r="J31" i="24"/>
  <c r="M8" i="24"/>
  <c r="M17" i="21"/>
  <c r="M9" i="21"/>
  <c r="M6" i="21"/>
  <c r="M10" i="21"/>
  <c r="M5" i="21"/>
  <c r="M7" i="21"/>
  <c r="M14" i="21"/>
  <c r="M11" i="21"/>
  <c r="M13" i="21"/>
  <c r="M8" i="21"/>
  <c r="L33" i="24"/>
  <c r="J33" i="24"/>
  <c r="F33" i="24"/>
  <c r="F8" i="24"/>
  <c r="F17" i="21"/>
  <c r="G39" i="24"/>
  <c r="F6" i="21"/>
  <c r="F15" i="21"/>
  <c r="F5" i="21"/>
  <c r="F14" i="21"/>
  <c r="F7" i="21"/>
  <c r="F10" i="21"/>
  <c r="F16" i="21"/>
  <c r="F13" i="21"/>
  <c r="F9" i="21"/>
  <c r="F8" i="21"/>
  <c r="L8" i="24"/>
  <c r="L17" i="21"/>
  <c r="M39" i="24"/>
  <c r="L6" i="21"/>
  <c r="L14" i="21"/>
  <c r="L5" i="21"/>
  <c r="L15" i="21"/>
  <c r="L7" i="21"/>
  <c r="L8" i="21"/>
  <c r="L9" i="21"/>
  <c r="L16" i="21"/>
  <c r="L13" i="21"/>
  <c r="L10" i="21"/>
  <c r="H8" i="24"/>
  <c r="H17" i="21"/>
  <c r="I39" i="24"/>
  <c r="H7" i="21"/>
  <c r="H14" i="21"/>
  <c r="H15" i="21"/>
  <c r="H6" i="21"/>
  <c r="H5" i="21"/>
  <c r="H8" i="21"/>
  <c r="H9" i="21"/>
  <c r="H13" i="21"/>
  <c r="H10" i="21"/>
  <c r="H16" i="21"/>
  <c r="I8" i="24"/>
  <c r="I17" i="21"/>
  <c r="I9" i="21"/>
  <c r="I5" i="21"/>
  <c r="I6" i="21"/>
  <c r="I10" i="21"/>
  <c r="I7" i="21"/>
  <c r="I14" i="21"/>
  <c r="I13" i="21"/>
  <c r="M15" i="21"/>
  <c r="H33" i="24"/>
  <c r="I11" i="21"/>
  <c r="H39" i="24"/>
  <c r="I15" i="21"/>
  <c r="M16" i="21"/>
  <c r="I19" i="19"/>
  <c r="M28" i="4"/>
  <c r="M29" i="4"/>
  <c r="K30" i="4"/>
  <c r="K8" i="20"/>
  <c r="K29" i="4"/>
  <c r="I30" i="4"/>
  <c r="I8" i="20"/>
  <c r="I29" i="4"/>
  <c r="G30" i="4"/>
  <c r="G8" i="20"/>
  <c r="G29" i="4"/>
  <c r="E30" i="4"/>
  <c r="E8" i="20"/>
  <c r="E29" i="4"/>
  <c r="P111" i="4"/>
  <c r="N82" i="4"/>
  <c r="O28" i="19"/>
  <c r="O80" i="4"/>
  <c r="L30" i="4"/>
  <c r="L8" i="20"/>
  <c r="L29" i="4"/>
  <c r="J30" i="4"/>
  <c r="J8" i="20"/>
  <c r="J29" i="4"/>
  <c r="H30" i="4"/>
  <c r="H8" i="20"/>
  <c r="H29" i="4"/>
  <c r="F30" i="4"/>
  <c r="F8" i="20"/>
  <c r="F29" i="4"/>
  <c r="D40" i="4"/>
  <c r="E19" i="19"/>
  <c r="E247" i="4"/>
  <c r="K247" i="4"/>
  <c r="G247" i="4"/>
  <c r="H247" i="4"/>
  <c r="M247" i="4"/>
  <c r="I247" i="4"/>
  <c r="K236" i="4"/>
  <c r="I236" i="4"/>
  <c r="G236" i="4"/>
  <c r="E236" i="4"/>
  <c r="D236" i="4"/>
  <c r="M240" i="4"/>
  <c r="K240" i="4"/>
  <c r="K212" i="4"/>
  <c r="I212" i="4"/>
  <c r="I240" i="4"/>
  <c r="G240" i="4"/>
  <c r="G212" i="4"/>
  <c r="E212" i="4"/>
  <c r="E240" i="4"/>
  <c r="D240" i="4"/>
  <c r="D212" i="4"/>
  <c r="M191" i="4"/>
  <c r="N191" i="4"/>
  <c r="M199" i="4"/>
  <c r="K199" i="4"/>
  <c r="K191" i="4"/>
  <c r="I199" i="4"/>
  <c r="I191" i="4"/>
  <c r="G199" i="4"/>
  <c r="G191" i="4"/>
  <c r="E191" i="4"/>
  <c r="E199" i="4"/>
  <c r="M149" i="4"/>
  <c r="N149" i="4"/>
  <c r="M186" i="4"/>
  <c r="M195" i="4"/>
  <c r="K186" i="4"/>
  <c r="K195" i="4"/>
  <c r="I186" i="4"/>
  <c r="I195" i="4"/>
  <c r="G186" i="4"/>
  <c r="G195" i="4"/>
  <c r="E186" i="4"/>
  <c r="E195" i="4"/>
  <c r="E115" i="4"/>
  <c r="D78" i="4"/>
  <c r="E15" i="24"/>
  <c r="D67" i="4"/>
  <c r="M154" i="4"/>
  <c r="M166" i="4"/>
  <c r="M128" i="4"/>
  <c r="M143" i="4"/>
  <c r="N143" i="4"/>
  <c r="M132" i="4"/>
  <c r="M138" i="4"/>
  <c r="K154" i="4"/>
  <c r="K166" i="4"/>
  <c r="K128" i="4"/>
  <c r="K138" i="4"/>
  <c r="K143" i="4"/>
  <c r="K132" i="4"/>
  <c r="I166" i="4"/>
  <c r="I128" i="4"/>
  <c r="I143" i="4"/>
  <c r="I132" i="4"/>
  <c r="I138" i="4"/>
  <c r="G154" i="4"/>
  <c r="G166" i="4"/>
  <c r="G128" i="4"/>
  <c r="G138" i="4"/>
  <c r="G143" i="4"/>
  <c r="G132" i="4"/>
  <c r="E154" i="4"/>
  <c r="E166" i="4"/>
  <c r="E128" i="4"/>
  <c r="E132" i="4"/>
  <c r="E143" i="4"/>
  <c r="E138" i="4"/>
  <c r="K16" i="4"/>
  <c r="K22" i="4"/>
  <c r="L10" i="19"/>
  <c r="L9" i="22"/>
  <c r="I16" i="4"/>
  <c r="I22" i="4"/>
  <c r="J10" i="19"/>
  <c r="G16" i="4"/>
  <c r="G22" i="4"/>
  <c r="H10" i="19"/>
  <c r="H9" i="22"/>
  <c r="E16" i="4"/>
  <c r="E22" i="4"/>
  <c r="F10" i="19"/>
  <c r="F9" i="22"/>
  <c r="D39" i="4"/>
  <c r="D36" i="4"/>
  <c r="E14" i="24"/>
  <c r="M39" i="4"/>
  <c r="K39" i="4"/>
  <c r="I39" i="4"/>
  <c r="G39" i="4"/>
  <c r="E39" i="4"/>
  <c r="I28" i="4"/>
  <c r="E28" i="4"/>
  <c r="K28" i="4"/>
  <c r="G28" i="4"/>
  <c r="L6" i="4"/>
  <c r="J6" i="4"/>
  <c r="H6" i="4"/>
  <c r="F6" i="4"/>
  <c r="D13" i="4"/>
  <c r="D16" i="4"/>
  <c r="D22" i="4"/>
  <c r="E10" i="19"/>
  <c r="M21" i="4"/>
  <c r="K21" i="4"/>
  <c r="I21" i="4"/>
  <c r="G21" i="4"/>
  <c r="E21" i="4"/>
  <c r="D28" i="4"/>
  <c r="D25" i="4"/>
  <c r="D31" i="4"/>
  <c r="L10" i="4"/>
  <c r="J10" i="4"/>
  <c r="H10" i="4"/>
  <c r="F10" i="4"/>
  <c r="L11" i="4"/>
  <c r="J11" i="4"/>
  <c r="H11" i="4"/>
  <c r="F11" i="4"/>
  <c r="L16" i="4"/>
  <c r="J16" i="4"/>
  <c r="H16" i="4"/>
  <c r="F16" i="4"/>
  <c r="M19" i="4"/>
  <c r="K19" i="4"/>
  <c r="I19" i="4"/>
  <c r="G19" i="4"/>
  <c r="E19" i="4"/>
  <c r="M10" i="4"/>
  <c r="K10" i="4"/>
  <c r="I10" i="4"/>
  <c r="G10" i="4"/>
  <c r="E10" i="4"/>
  <c r="K11" i="4"/>
  <c r="I11" i="4"/>
  <c r="G11" i="4"/>
  <c r="E11" i="4"/>
  <c r="M6" i="4"/>
  <c r="K6" i="4"/>
  <c r="I6" i="4"/>
  <c r="G6" i="4"/>
  <c r="L7" i="4"/>
  <c r="J7" i="4"/>
  <c r="H7" i="4"/>
  <c r="I5" i="19"/>
  <c r="F7" i="4"/>
  <c r="G5" i="19"/>
  <c r="G19" i="22"/>
  <c r="F17" i="22"/>
  <c r="J13" i="22"/>
  <c r="P20" i="19"/>
  <c r="O10" i="20"/>
  <c r="O19" i="19"/>
  <c r="O16" i="22"/>
  <c r="N39" i="4"/>
  <c r="F39" i="24"/>
  <c r="P62" i="4"/>
  <c r="P13" i="20"/>
  <c r="E31" i="4"/>
  <c r="J13" i="21"/>
  <c r="J15" i="21"/>
  <c r="J18" i="22"/>
  <c r="J6" i="21"/>
  <c r="K17" i="4"/>
  <c r="J8" i="21"/>
  <c r="K39" i="24"/>
  <c r="J8" i="24"/>
  <c r="J16" i="22"/>
  <c r="I31" i="4"/>
  <c r="N22" i="22"/>
  <c r="J17" i="22"/>
  <c r="J7" i="24"/>
  <c r="J10" i="24"/>
  <c r="P45" i="4"/>
  <c r="J25" i="22"/>
  <c r="J9" i="22"/>
  <c r="J19" i="22"/>
  <c r="J22" i="22"/>
  <c r="J5" i="22"/>
  <c r="J24" i="22"/>
  <c r="J28" i="22"/>
  <c r="J23" i="22"/>
  <c r="L28" i="24"/>
  <c r="L10" i="24"/>
  <c r="S104" i="7"/>
  <c r="T15" i="19"/>
  <c r="S163" i="4"/>
  <c r="T15" i="18"/>
  <c r="K14" i="7"/>
  <c r="K5" i="19"/>
  <c r="K13" i="22"/>
  <c r="K115" i="4"/>
  <c r="F28" i="24"/>
  <c r="F10" i="24"/>
  <c r="H28" i="24"/>
  <c r="H10" i="24"/>
  <c r="I24" i="2"/>
  <c r="I19" i="12"/>
  <c r="J16" i="21"/>
  <c r="J10" i="21"/>
  <c r="J14" i="21"/>
  <c r="J17" i="21"/>
  <c r="J9" i="21"/>
  <c r="J7" i="21"/>
  <c r="J5" i="21"/>
  <c r="J39" i="24"/>
  <c r="I13" i="22"/>
  <c r="I23" i="22"/>
  <c r="E17" i="4"/>
  <c r="G23" i="22"/>
  <c r="N11" i="21"/>
  <c r="N9" i="21"/>
  <c r="N7" i="21"/>
  <c r="N16" i="21"/>
  <c r="N14" i="21"/>
  <c r="N13" i="21"/>
  <c r="N6" i="21"/>
  <c r="N17" i="21"/>
  <c r="N39" i="24"/>
  <c r="N10" i="21"/>
  <c r="N5" i="21"/>
  <c r="N10" i="19"/>
  <c r="N9" i="22"/>
  <c r="N15" i="21"/>
  <c r="N8" i="21"/>
  <c r="N8" i="24"/>
  <c r="N28" i="24"/>
  <c r="G13" i="22"/>
  <c r="I19" i="22"/>
  <c r="G17" i="22"/>
  <c r="G16" i="22"/>
  <c r="F24" i="24"/>
  <c r="F27" i="24"/>
  <c r="M5" i="19"/>
  <c r="M115" i="4"/>
  <c r="K187" i="4"/>
  <c r="L25" i="24"/>
  <c r="L6" i="19"/>
  <c r="G25" i="24"/>
  <c r="G6" i="19"/>
  <c r="G7" i="24"/>
  <c r="G10" i="24"/>
  <c r="G5" i="22"/>
  <c r="G28" i="22"/>
  <c r="G18" i="22"/>
  <c r="G25" i="22"/>
  <c r="E187" i="4"/>
  <c r="F25" i="24"/>
  <c r="F6" i="19"/>
  <c r="M187" i="4"/>
  <c r="N25" i="24"/>
  <c r="N6" i="19"/>
  <c r="H187" i="4"/>
  <c r="I25" i="24"/>
  <c r="I6" i="19"/>
  <c r="G14" i="19"/>
  <c r="G12" i="22"/>
  <c r="K14" i="19"/>
  <c r="N12" i="20"/>
  <c r="O25" i="22"/>
  <c r="F14" i="19"/>
  <c r="F12" i="22"/>
  <c r="J14" i="19"/>
  <c r="J12" i="22"/>
  <c r="G22" i="22"/>
  <c r="N25" i="22"/>
  <c r="O40" i="4"/>
  <c r="P19" i="19"/>
  <c r="I5" i="22"/>
  <c r="I7" i="24"/>
  <c r="I10" i="24"/>
  <c r="I28" i="22"/>
  <c r="I25" i="22"/>
  <c r="I17" i="22"/>
  <c r="I24" i="22"/>
  <c r="I18" i="22"/>
  <c r="G187" i="4"/>
  <c r="H25" i="24"/>
  <c r="H6" i="19"/>
  <c r="J187" i="4"/>
  <c r="K25" i="24"/>
  <c r="K6" i="19"/>
  <c r="M31" i="4"/>
  <c r="N14" i="19"/>
  <c r="I187" i="4"/>
  <c r="J25" i="24"/>
  <c r="J6" i="19"/>
  <c r="L187" i="4"/>
  <c r="M25" i="24"/>
  <c r="M6" i="19"/>
  <c r="D24" i="4"/>
  <c r="E11" i="19"/>
  <c r="E7" i="19"/>
  <c r="I14" i="19"/>
  <c r="I12" i="22"/>
  <c r="M14" i="19"/>
  <c r="G31" i="4"/>
  <c r="H14" i="19"/>
  <c r="H12" i="22"/>
  <c r="K31" i="4"/>
  <c r="L14" i="19"/>
  <c r="L12" i="22"/>
  <c r="I16" i="22"/>
  <c r="H24" i="24"/>
  <c r="H27" i="24"/>
  <c r="I22" i="22"/>
  <c r="L24" i="24"/>
  <c r="L27" i="24"/>
  <c r="L46" i="18"/>
  <c r="I46" i="18"/>
  <c r="E12" i="19"/>
  <c r="E13" i="24"/>
  <c r="E17" i="19"/>
  <c r="J46" i="18"/>
  <c r="K46" i="18"/>
  <c r="O143" i="4"/>
  <c r="N144" i="4"/>
  <c r="O10" i="18"/>
  <c r="N150" i="4"/>
  <c r="O149" i="4"/>
  <c r="N192" i="4"/>
  <c r="O191" i="4"/>
  <c r="N221" i="4"/>
  <c r="N222" i="4"/>
  <c r="O81" i="4"/>
  <c r="Q111" i="4"/>
  <c r="P80" i="4"/>
  <c r="O82" i="4"/>
  <c r="P28" i="19"/>
  <c r="O12" i="20"/>
  <c r="F236" i="4"/>
  <c r="J236" i="4"/>
  <c r="H236" i="4"/>
  <c r="L236" i="4"/>
  <c r="H240" i="4"/>
  <c r="H212" i="4"/>
  <c r="L240" i="4"/>
  <c r="L212" i="4"/>
  <c r="F240" i="4"/>
  <c r="F212" i="4"/>
  <c r="J240" i="4"/>
  <c r="J212" i="4"/>
  <c r="H199" i="4"/>
  <c r="H191" i="4"/>
  <c r="L199" i="4"/>
  <c r="N199" i="4"/>
  <c r="L191" i="4"/>
  <c r="F199" i="4"/>
  <c r="F191" i="4"/>
  <c r="J199" i="4"/>
  <c r="J191" i="4"/>
  <c r="F186" i="4"/>
  <c r="F195" i="4"/>
  <c r="H186" i="4"/>
  <c r="H195" i="4"/>
  <c r="L149" i="4"/>
  <c r="L186" i="4"/>
  <c r="L195" i="4"/>
  <c r="N195" i="4"/>
  <c r="F139" i="4"/>
  <c r="F187" i="4"/>
  <c r="J115" i="4"/>
  <c r="J186" i="4"/>
  <c r="J195" i="4"/>
  <c r="I17" i="4"/>
  <c r="H143" i="4"/>
  <c r="H138" i="4"/>
  <c r="H128" i="4"/>
  <c r="H154" i="4"/>
  <c r="H132" i="4"/>
  <c r="I115" i="4"/>
  <c r="H166" i="4"/>
  <c r="L143" i="4"/>
  <c r="L138" i="4"/>
  <c r="L128" i="4"/>
  <c r="N128" i="4"/>
  <c r="L154" i="4"/>
  <c r="L132" i="4"/>
  <c r="L166" i="4"/>
  <c r="N166" i="4"/>
  <c r="O166" i="4"/>
  <c r="G13" i="4"/>
  <c r="G139" i="4"/>
  <c r="G130" i="4"/>
  <c r="K13" i="4"/>
  <c r="K139" i="4"/>
  <c r="K130" i="4"/>
  <c r="J130" i="4"/>
  <c r="J139" i="4"/>
  <c r="H115" i="4"/>
  <c r="L115" i="4"/>
  <c r="F154" i="4"/>
  <c r="F128" i="4"/>
  <c r="F143" i="4"/>
  <c r="F138" i="4"/>
  <c r="F132" i="4"/>
  <c r="G115" i="4"/>
  <c r="F166" i="4"/>
  <c r="J154" i="4"/>
  <c r="J128" i="4"/>
  <c r="J143" i="4"/>
  <c r="J138" i="4"/>
  <c r="J166" i="4"/>
  <c r="J132" i="4"/>
  <c r="N132" i="4"/>
  <c r="N131" i="4"/>
  <c r="E13" i="4"/>
  <c r="E139" i="4"/>
  <c r="I13" i="4"/>
  <c r="I139" i="4"/>
  <c r="I130" i="4"/>
  <c r="M139" i="4"/>
  <c r="M130" i="4"/>
  <c r="H139" i="4"/>
  <c r="H130" i="4"/>
  <c r="L139" i="4"/>
  <c r="L130" i="4"/>
  <c r="F115" i="4"/>
  <c r="G17" i="4"/>
  <c r="H13" i="4"/>
  <c r="H31" i="4"/>
  <c r="H28" i="4"/>
  <c r="H39" i="4"/>
  <c r="L13" i="4"/>
  <c r="L31" i="4"/>
  <c r="L28" i="4"/>
  <c r="L39" i="4"/>
  <c r="F13" i="4"/>
  <c r="F28" i="4"/>
  <c r="F39" i="4"/>
  <c r="F31" i="4"/>
  <c r="J13" i="4"/>
  <c r="J28" i="4"/>
  <c r="J39" i="4"/>
  <c r="J31" i="4"/>
  <c r="H17" i="4"/>
  <c r="H22" i="4"/>
  <c r="I10" i="19"/>
  <c r="I9" i="22"/>
  <c r="L17" i="4"/>
  <c r="L22" i="4"/>
  <c r="M10" i="19"/>
  <c r="H19" i="4"/>
  <c r="L19" i="4"/>
  <c r="H21" i="4"/>
  <c r="L21" i="4"/>
  <c r="F17" i="4"/>
  <c r="F22" i="4"/>
  <c r="G10" i="19"/>
  <c r="G9" i="22"/>
  <c r="J17" i="4"/>
  <c r="J22" i="4"/>
  <c r="K10" i="19"/>
  <c r="F19" i="4"/>
  <c r="J19" i="4"/>
  <c r="F21" i="4"/>
  <c r="J21" i="4"/>
  <c r="Q62" i="4"/>
  <c r="Q13" i="20"/>
  <c r="O33" i="20"/>
  <c r="Q45" i="4"/>
  <c r="P10" i="20"/>
  <c r="K9" i="22"/>
  <c r="K16" i="22"/>
  <c r="J28" i="24"/>
  <c r="K18" i="22"/>
  <c r="K24" i="22"/>
  <c r="K5" i="22"/>
  <c r="K22" i="22"/>
  <c r="K12" i="22"/>
  <c r="J24" i="24"/>
  <c r="K19" i="22"/>
  <c r="K23" i="22"/>
  <c r="K25" i="22"/>
  <c r="K7" i="24"/>
  <c r="K10" i="24"/>
  <c r="J27" i="24"/>
  <c r="K17" i="22"/>
  <c r="Q20" i="19"/>
  <c r="K28" i="22"/>
  <c r="P40" i="4"/>
  <c r="Q40" i="4"/>
  <c r="R40" i="4"/>
  <c r="N12" i="22"/>
  <c r="O199" i="4"/>
  <c r="P199" i="4"/>
  <c r="Q199" i="4"/>
  <c r="R199" i="4"/>
  <c r="S199" i="4"/>
  <c r="N200" i="4"/>
  <c r="O24" i="18"/>
  <c r="I26" i="2"/>
  <c r="I25" i="12"/>
  <c r="I23" i="12"/>
  <c r="O13" i="18"/>
  <c r="M9" i="22"/>
  <c r="D35" i="4"/>
  <c r="E16" i="19"/>
  <c r="K24" i="4"/>
  <c r="L11" i="19"/>
  <c r="L7" i="19"/>
  <c r="L7" i="22"/>
  <c r="I24" i="24"/>
  <c r="I27" i="24"/>
  <c r="I28" i="24"/>
  <c r="I14" i="4"/>
  <c r="I24" i="4"/>
  <c r="J11" i="19"/>
  <c r="J7" i="19"/>
  <c r="J7" i="22"/>
  <c r="J6" i="22"/>
  <c r="J26" i="24"/>
  <c r="M14" i="4"/>
  <c r="N11" i="19"/>
  <c r="N7" i="19"/>
  <c r="F6" i="22"/>
  <c r="F26" i="24"/>
  <c r="L6" i="22"/>
  <c r="L26" i="24"/>
  <c r="M5" i="22"/>
  <c r="M7" i="24"/>
  <c r="M10" i="24"/>
  <c r="M28" i="22"/>
  <c r="M18" i="22"/>
  <c r="M25" i="22"/>
  <c r="M17" i="22"/>
  <c r="M24" i="22"/>
  <c r="M16" i="22"/>
  <c r="M13" i="22"/>
  <c r="M22" i="22"/>
  <c r="M19" i="22"/>
  <c r="M23" i="22"/>
  <c r="J24" i="4"/>
  <c r="K11" i="19"/>
  <c r="K7" i="19"/>
  <c r="K7" i="22"/>
  <c r="H24" i="4"/>
  <c r="I11" i="19"/>
  <c r="I7" i="19"/>
  <c r="I7" i="22"/>
  <c r="M12" i="22"/>
  <c r="M6" i="22"/>
  <c r="M26" i="24"/>
  <c r="H6" i="22"/>
  <c r="H26" i="24"/>
  <c r="I6" i="22"/>
  <c r="I26" i="24"/>
  <c r="N6" i="22"/>
  <c r="N26" i="24"/>
  <c r="G24" i="24"/>
  <c r="G27" i="24"/>
  <c r="G28" i="24"/>
  <c r="L24" i="4"/>
  <c r="M11" i="19"/>
  <c r="M7" i="19"/>
  <c r="K14" i="4"/>
  <c r="F24" i="4"/>
  <c r="G11" i="19"/>
  <c r="G7" i="19"/>
  <c r="G7" i="22"/>
  <c r="E14" i="4"/>
  <c r="E24" i="4"/>
  <c r="F11" i="19"/>
  <c r="F7" i="19"/>
  <c r="F7" i="22"/>
  <c r="G14" i="4"/>
  <c r="G24" i="4"/>
  <c r="H11" i="19"/>
  <c r="H7" i="19"/>
  <c r="H7" i="22"/>
  <c r="K6" i="22"/>
  <c r="K26" i="24"/>
  <c r="G6" i="22"/>
  <c r="G26" i="24"/>
  <c r="N187" i="4"/>
  <c r="O187" i="4"/>
  <c r="P187" i="4"/>
  <c r="N23" i="20"/>
  <c r="O132" i="4"/>
  <c r="N196" i="4"/>
  <c r="O195" i="4"/>
  <c r="Q80" i="4"/>
  <c r="P82" i="4"/>
  <c r="Q28" i="19"/>
  <c r="P12" i="20"/>
  <c r="O128" i="4"/>
  <c r="N127" i="4"/>
  <c r="P191" i="4"/>
  <c r="N168" i="4"/>
  <c r="O16" i="18"/>
  <c r="N28" i="20"/>
  <c r="N130" i="4"/>
  <c r="O221" i="4"/>
  <c r="O222" i="4"/>
  <c r="P81" i="4"/>
  <c r="R111" i="4"/>
  <c r="O33" i="18"/>
  <c r="P149" i="4"/>
  <c r="P143" i="4"/>
  <c r="J14" i="4"/>
  <c r="L14" i="4"/>
  <c r="F14" i="4"/>
  <c r="H14" i="4"/>
  <c r="O2" i="4"/>
  <c r="P2" i="4"/>
  <c r="Q2" i="4"/>
  <c r="R2" i="4"/>
  <c r="S2" i="4"/>
  <c r="N2" i="4"/>
  <c r="R62" i="4"/>
  <c r="R13" i="20"/>
  <c r="N170" i="4"/>
  <c r="O17" i="18"/>
  <c r="R45" i="4"/>
  <c r="S20" i="19"/>
  <c r="Q10" i="20"/>
  <c r="R20" i="19"/>
  <c r="P33" i="20"/>
  <c r="K28" i="24"/>
  <c r="K24" i="24"/>
  <c r="K27" i="24"/>
  <c r="N7" i="22"/>
  <c r="M7" i="22"/>
  <c r="S40" i="4"/>
  <c r="M36" i="4"/>
  <c r="N14" i="24"/>
  <c r="D66" i="4"/>
  <c r="D70" i="4"/>
  <c r="D71" i="4"/>
  <c r="G25" i="4"/>
  <c r="H12" i="19"/>
  <c r="K25" i="4"/>
  <c r="L12" i="19"/>
  <c r="K35" i="4"/>
  <c r="L16" i="19"/>
  <c r="L14" i="22"/>
  <c r="F10" i="22"/>
  <c r="F42" i="24"/>
  <c r="F43" i="24"/>
  <c r="N10" i="22"/>
  <c r="N42" i="24"/>
  <c r="N43" i="24"/>
  <c r="H10" i="22"/>
  <c r="H42" i="24"/>
  <c r="H43" i="24"/>
  <c r="J10" i="22"/>
  <c r="J42" i="24"/>
  <c r="J43" i="24"/>
  <c r="I25" i="4"/>
  <c r="J17" i="19"/>
  <c r="G35" i="4"/>
  <c r="H16" i="19"/>
  <c r="H14" i="22"/>
  <c r="H8" i="19"/>
  <c r="H12" i="24"/>
  <c r="M10" i="22"/>
  <c r="M42" i="24"/>
  <c r="M43" i="24"/>
  <c r="J12" i="24"/>
  <c r="J8" i="19"/>
  <c r="M12" i="24"/>
  <c r="M8" i="19"/>
  <c r="L8" i="19"/>
  <c r="L12" i="24"/>
  <c r="K12" i="24"/>
  <c r="K8" i="19"/>
  <c r="E35" i="4"/>
  <c r="F16" i="19"/>
  <c r="F14" i="22"/>
  <c r="F12" i="24"/>
  <c r="F8" i="19"/>
  <c r="K10" i="22"/>
  <c r="K42" i="24"/>
  <c r="K43" i="24"/>
  <c r="N12" i="24"/>
  <c r="N8" i="19"/>
  <c r="I12" i="24"/>
  <c r="I8" i="19"/>
  <c r="G12" i="24"/>
  <c r="G8" i="19"/>
  <c r="M25" i="4"/>
  <c r="N13" i="24"/>
  <c r="I35" i="4"/>
  <c r="J16" i="19"/>
  <c r="J14" i="22"/>
  <c r="G10" i="22"/>
  <c r="G42" i="24"/>
  <c r="G43" i="24"/>
  <c r="I10" i="22"/>
  <c r="I42" i="24"/>
  <c r="I43" i="24"/>
  <c r="M24" i="24"/>
  <c r="M27" i="24"/>
  <c r="M28" i="24"/>
  <c r="L10" i="22"/>
  <c r="L42" i="24"/>
  <c r="L43" i="24"/>
  <c r="O24" i="24"/>
  <c r="N133" i="4"/>
  <c r="Q19" i="19"/>
  <c r="Q187" i="4"/>
  <c r="Q143" i="4"/>
  <c r="Q149" i="4"/>
  <c r="P33" i="18"/>
  <c r="P166" i="4"/>
  <c r="P221" i="4"/>
  <c r="P222" i="4"/>
  <c r="Q81" i="4"/>
  <c r="S111" i="4"/>
  <c r="O130" i="4"/>
  <c r="Q191" i="4"/>
  <c r="P128" i="4"/>
  <c r="R80" i="4"/>
  <c r="Q82" i="4"/>
  <c r="R28" i="19"/>
  <c r="Q12" i="20"/>
  <c r="P195" i="4"/>
  <c r="P132" i="4"/>
  <c r="E25" i="4"/>
  <c r="H35" i="4"/>
  <c r="I16" i="19"/>
  <c r="I14" i="22"/>
  <c r="H25" i="4"/>
  <c r="F35" i="4"/>
  <c r="G16" i="19"/>
  <c r="G14" i="22"/>
  <c r="F25" i="4"/>
  <c r="L35" i="4"/>
  <c r="L25" i="4"/>
  <c r="J35" i="4"/>
  <c r="K16" i="19"/>
  <c r="K14" i="22"/>
  <c r="J25" i="4"/>
  <c r="S62" i="4"/>
  <c r="S13" i="20"/>
  <c r="R10" i="20"/>
  <c r="R33" i="20"/>
  <c r="S45" i="4"/>
  <c r="Q33" i="20"/>
  <c r="J12" i="19"/>
  <c r="J13" i="24"/>
  <c r="I66" i="4"/>
  <c r="J23" i="19"/>
  <c r="J20" i="22"/>
  <c r="E23" i="19"/>
  <c r="N17" i="19"/>
  <c r="N12" i="19"/>
  <c r="K36" i="4"/>
  <c r="L14" i="24"/>
  <c r="M16" i="19"/>
  <c r="E11" i="17"/>
  <c r="E55" i="17"/>
  <c r="N16" i="19"/>
  <c r="N23" i="19"/>
  <c r="N20" i="22"/>
  <c r="L17" i="19"/>
  <c r="H13" i="24"/>
  <c r="L13" i="24"/>
  <c r="G66" i="4"/>
  <c r="H23" i="19"/>
  <c r="H20" i="22"/>
  <c r="I36" i="4"/>
  <c r="J14" i="24"/>
  <c r="H17" i="19"/>
  <c r="K66" i="4"/>
  <c r="L23" i="19"/>
  <c r="G36" i="4"/>
  <c r="H14" i="24"/>
  <c r="E66" i="4"/>
  <c r="F23" i="19"/>
  <c r="E36" i="4"/>
  <c r="F14" i="24"/>
  <c r="N24" i="20"/>
  <c r="K17" i="19"/>
  <c r="K13" i="24"/>
  <c r="K12" i="19"/>
  <c r="M17" i="19"/>
  <c r="M13" i="24"/>
  <c r="M12" i="19"/>
  <c r="G17" i="19"/>
  <c r="G13" i="24"/>
  <c r="G12" i="19"/>
  <c r="I17" i="19"/>
  <c r="I13" i="24"/>
  <c r="I12" i="19"/>
  <c r="F13" i="24"/>
  <c r="F12" i="19"/>
  <c r="F17" i="19"/>
  <c r="D90" i="4"/>
  <c r="E27" i="19"/>
  <c r="E25" i="19"/>
  <c r="D77" i="4"/>
  <c r="D84" i="4"/>
  <c r="R19" i="19"/>
  <c r="Q33" i="18"/>
  <c r="Q132" i="4"/>
  <c r="S80" i="4"/>
  <c r="S82" i="4"/>
  <c r="R82" i="4"/>
  <c r="S28" i="19"/>
  <c r="R12" i="20"/>
  <c r="Q128" i="4"/>
  <c r="R191" i="4"/>
  <c r="P130" i="4"/>
  <c r="Q166" i="4"/>
  <c r="Q195" i="4"/>
  <c r="Q221" i="4"/>
  <c r="Q222" i="4"/>
  <c r="R81" i="4"/>
  <c r="R149" i="4"/>
  <c r="R143" i="4"/>
  <c r="R187" i="4"/>
  <c r="J36" i="4"/>
  <c r="K14" i="24"/>
  <c r="J66" i="4"/>
  <c r="K23" i="19"/>
  <c r="L36" i="4"/>
  <c r="M14" i="24"/>
  <c r="L66" i="4"/>
  <c r="M23" i="19"/>
  <c r="F36" i="4"/>
  <c r="G14" i="24"/>
  <c r="F66" i="4"/>
  <c r="G23" i="19"/>
  <c r="H36" i="4"/>
  <c r="I14" i="24"/>
  <c r="H66" i="4"/>
  <c r="I23" i="19"/>
  <c r="I70" i="4"/>
  <c r="D95" i="4"/>
  <c r="S10" i="20"/>
  <c r="T20" i="19"/>
  <c r="I77" i="4"/>
  <c r="I5" i="20"/>
  <c r="I17" i="20"/>
  <c r="I67" i="4"/>
  <c r="M67" i="4"/>
  <c r="M70" i="4"/>
  <c r="N14" i="22"/>
  <c r="M14" i="22"/>
  <c r="L20" i="22"/>
  <c r="E90" i="4"/>
  <c r="E70" i="4"/>
  <c r="G70" i="4"/>
  <c r="K70" i="4"/>
  <c r="E67" i="4"/>
  <c r="E77" i="4"/>
  <c r="E5" i="20"/>
  <c r="E17" i="20"/>
  <c r="G77" i="4"/>
  <c r="G5" i="20"/>
  <c r="G17" i="20"/>
  <c r="K67" i="4"/>
  <c r="G67" i="4"/>
  <c r="K77" i="4"/>
  <c r="K5" i="20"/>
  <c r="K17" i="20"/>
  <c r="I20" i="22"/>
  <c r="G20" i="22"/>
  <c r="K20" i="22"/>
  <c r="S221" i="4"/>
  <c r="T28" i="19"/>
  <c r="S12" i="20"/>
  <c r="F20" i="22"/>
  <c r="M20" i="22"/>
  <c r="D85" i="4"/>
  <c r="S19" i="19"/>
  <c r="T19" i="19"/>
  <c r="R33" i="18"/>
  <c r="S187" i="4"/>
  <c r="S143" i="4"/>
  <c r="S149" i="4"/>
  <c r="R195" i="4"/>
  <c r="R166" i="4"/>
  <c r="Q130" i="4"/>
  <c r="R128" i="4"/>
  <c r="R132" i="4"/>
  <c r="S191" i="4"/>
  <c r="R221" i="4"/>
  <c r="R222" i="4"/>
  <c r="S81" i="4"/>
  <c r="H70" i="4"/>
  <c r="H77" i="4"/>
  <c r="H5" i="20"/>
  <c r="H17" i="20"/>
  <c r="H67" i="4"/>
  <c r="F70" i="4"/>
  <c r="F77" i="4"/>
  <c r="F5" i="20"/>
  <c r="F17" i="20"/>
  <c r="F90" i="4"/>
  <c r="F67" i="4"/>
  <c r="L70" i="4"/>
  <c r="L77" i="4"/>
  <c r="L5" i="20"/>
  <c r="L17" i="20"/>
  <c r="L67" i="4"/>
  <c r="J70" i="4"/>
  <c r="J77" i="4"/>
  <c r="J5" i="20"/>
  <c r="J17" i="20"/>
  <c r="J67" i="4"/>
  <c r="N17" i="24"/>
  <c r="S33" i="20"/>
  <c r="I84" i="4"/>
  <c r="I85" i="4"/>
  <c r="I98" i="4"/>
  <c r="J16" i="24"/>
  <c r="I78" i="4"/>
  <c r="J15" i="24"/>
  <c r="J17" i="24"/>
  <c r="M84" i="4"/>
  <c r="N26" i="22"/>
  <c r="N16" i="24"/>
  <c r="M78" i="4"/>
  <c r="N15" i="24"/>
  <c r="H16" i="24"/>
  <c r="H17" i="24"/>
  <c r="G27" i="19"/>
  <c r="G24" i="22"/>
  <c r="F27" i="20"/>
  <c r="M16" i="24"/>
  <c r="M17" i="24"/>
  <c r="L30" i="20"/>
  <c r="G17" i="24"/>
  <c r="G16" i="24"/>
  <c r="E84" i="4"/>
  <c r="F17" i="24"/>
  <c r="F16" i="24"/>
  <c r="I16" i="24"/>
  <c r="I17" i="24"/>
  <c r="K17" i="24"/>
  <c r="K16" i="24"/>
  <c r="F27" i="19"/>
  <c r="F24" i="22"/>
  <c r="E27" i="20"/>
  <c r="K78" i="4"/>
  <c r="L15" i="24"/>
  <c r="L17" i="24"/>
  <c r="L16" i="24"/>
  <c r="K84" i="4"/>
  <c r="E78" i="4"/>
  <c r="F15" i="24"/>
  <c r="G84" i="4"/>
  <c r="G78" i="4"/>
  <c r="H15" i="24"/>
  <c r="D101" i="4"/>
  <c r="E32" i="19"/>
  <c r="E29" i="19"/>
  <c r="S222" i="4"/>
  <c r="T33" i="18"/>
  <c r="S33" i="18"/>
  <c r="R130" i="4"/>
  <c r="S166" i="4"/>
  <c r="R115" i="4"/>
  <c r="S195" i="4"/>
  <c r="S132" i="4"/>
  <c r="S128" i="4"/>
  <c r="J84" i="4"/>
  <c r="J78" i="4"/>
  <c r="K15" i="24"/>
  <c r="H84" i="4"/>
  <c r="H78" i="4"/>
  <c r="I15" i="24"/>
  <c r="L84" i="4"/>
  <c r="L78" i="4"/>
  <c r="M15" i="24"/>
  <c r="F84" i="4"/>
  <c r="F78" i="4"/>
  <c r="G15" i="24"/>
  <c r="I89" i="4"/>
  <c r="I26" i="22"/>
  <c r="H95" i="4"/>
  <c r="H26" i="22"/>
  <c r="G95" i="4"/>
  <c r="H29" i="19"/>
  <c r="G26" i="22"/>
  <c r="F95" i="4"/>
  <c r="G29" i="19"/>
  <c r="K26" i="22"/>
  <c r="J95" i="4"/>
  <c r="L26" i="22"/>
  <c r="K95" i="4"/>
  <c r="L29" i="19"/>
  <c r="F26" i="22"/>
  <c r="E95" i="4"/>
  <c r="F29" i="19"/>
  <c r="M26" i="22"/>
  <c r="L95" i="4"/>
  <c r="N235" i="4"/>
  <c r="M95" i="4"/>
  <c r="M101" i="4"/>
  <c r="N32" i="19"/>
  <c r="N29" i="22"/>
  <c r="J26" i="22"/>
  <c r="I95" i="4"/>
  <c r="J29" i="19"/>
  <c r="M49" i="20"/>
  <c r="M85" i="4"/>
  <c r="M98" i="4"/>
  <c r="M89" i="4"/>
  <c r="K85" i="4"/>
  <c r="K98" i="4"/>
  <c r="E85" i="4"/>
  <c r="K89" i="4"/>
  <c r="G89" i="4"/>
  <c r="G85" i="4"/>
  <c r="G98" i="4"/>
  <c r="S115" i="4"/>
  <c r="S130" i="4"/>
  <c r="F85" i="4"/>
  <c r="L85" i="4"/>
  <c r="L98" i="4"/>
  <c r="L89" i="4"/>
  <c r="H85" i="4"/>
  <c r="H98" i="4"/>
  <c r="H89" i="4"/>
  <c r="J85" i="4"/>
  <c r="J98" i="4"/>
  <c r="J89" i="4"/>
  <c r="M105" i="4"/>
  <c r="N18" i="24"/>
  <c r="N29" i="19"/>
  <c r="D8" i="17"/>
  <c r="D15" i="17"/>
  <c r="N19" i="24"/>
  <c r="I101" i="4"/>
  <c r="J32" i="19"/>
  <c r="J29" i="22"/>
  <c r="I105" i="4"/>
  <c r="J18" i="24"/>
  <c r="N236" i="4"/>
  <c r="N237" i="4"/>
  <c r="O39" i="18"/>
  <c r="G105" i="4"/>
  <c r="H18" i="24"/>
  <c r="E101" i="4"/>
  <c r="F32" i="19"/>
  <c r="F29" i="22"/>
  <c r="K101" i="4"/>
  <c r="L32" i="19"/>
  <c r="L29" i="22"/>
  <c r="K105" i="4"/>
  <c r="L18" i="24"/>
  <c r="G101" i="4"/>
  <c r="H32" i="19"/>
  <c r="H29" i="22"/>
  <c r="G30" i="20"/>
  <c r="J101" i="4"/>
  <c r="K32" i="19"/>
  <c r="K29" i="22"/>
  <c r="K29" i="19"/>
  <c r="I29" i="19"/>
  <c r="H101" i="4"/>
  <c r="I32" i="19"/>
  <c r="I29" i="22"/>
  <c r="C8" i="17"/>
  <c r="M29" i="19"/>
  <c r="L101" i="4"/>
  <c r="M32" i="19"/>
  <c r="M29" i="22"/>
  <c r="L105" i="4"/>
  <c r="M18" i="24"/>
  <c r="J105" i="4"/>
  <c r="K18" i="24"/>
  <c r="H105" i="4"/>
  <c r="I18" i="24"/>
  <c r="F105" i="4"/>
  <c r="G18" i="24"/>
  <c r="F101" i="4"/>
  <c r="G32" i="19"/>
  <c r="G29" i="22"/>
  <c r="D52" i="17"/>
  <c r="D59" i="17"/>
  <c r="N20" i="24"/>
  <c r="F30" i="20"/>
  <c r="I30" i="20"/>
  <c r="K30" i="20"/>
  <c r="E30" i="20"/>
  <c r="C15" i="17"/>
  <c r="M19" i="24"/>
  <c r="C52" i="17"/>
  <c r="C59" i="17"/>
  <c r="M20" i="24"/>
  <c r="N15" i="6"/>
  <c r="K15" i="6"/>
  <c r="L15" i="6"/>
  <c r="L6" i="6"/>
  <c r="L48" i="6"/>
  <c r="J30" i="20"/>
  <c r="H30" i="20"/>
  <c r="F46" i="6"/>
  <c r="H46" i="6"/>
  <c r="J46" i="6"/>
  <c r="I46" i="6"/>
  <c r="L46" i="6"/>
  <c r="G46" i="6"/>
  <c r="K46" i="6"/>
  <c r="K6" i="6"/>
  <c r="N6" i="6"/>
  <c r="M6" i="6"/>
  <c r="Q29" i="16"/>
  <c r="O205" i="4"/>
  <c r="O207" i="4"/>
  <c r="O216" i="4"/>
  <c r="R31" i="16"/>
  <c r="Q31" i="16"/>
  <c r="Q5" i="16"/>
  <c r="Q18" i="16"/>
  <c r="R30" i="16"/>
  <c r="N10" i="4"/>
  <c r="O6" i="19"/>
  <c r="N140" i="4"/>
  <c r="E48" i="5"/>
  <c r="E47" i="5"/>
  <c r="E46" i="5"/>
  <c r="E45" i="5"/>
  <c r="O209" i="4"/>
  <c r="O61" i="4"/>
  <c r="P209" i="4"/>
  <c r="P61" i="4"/>
  <c r="O77" i="7"/>
  <c r="O9" i="18"/>
  <c r="N188" i="4"/>
  <c r="N186" i="4"/>
  <c r="N129" i="4"/>
  <c r="N135" i="4"/>
  <c r="N249" i="4"/>
  <c r="O25" i="24"/>
  <c r="O6" i="22"/>
  <c r="N14" i="4"/>
  <c r="O7" i="19"/>
  <c r="N48" i="6"/>
  <c r="N46" i="6"/>
  <c r="O8" i="20"/>
  <c r="O7" i="22"/>
  <c r="O23" i="18"/>
  <c r="N180" i="4"/>
  <c r="N181" i="4"/>
  <c r="O22" i="18"/>
  <c r="N21" i="20"/>
  <c r="O26" i="24"/>
  <c r="O8" i="19"/>
  <c r="O12" i="24"/>
  <c r="F46" i="5"/>
  <c r="F45" i="5"/>
  <c r="O11" i="19"/>
  <c r="N25" i="4"/>
  <c r="O8" i="18"/>
  <c r="N20" i="20"/>
  <c r="O46" i="6"/>
  <c r="O158" i="4"/>
  <c r="P76" i="7"/>
  <c r="P8" i="20"/>
  <c r="O156" i="4"/>
  <c r="O10" i="22"/>
  <c r="N22" i="20"/>
  <c r="N25" i="20"/>
  <c r="G46" i="5"/>
  <c r="G45" i="5"/>
  <c r="F48" i="5"/>
  <c r="F47" i="5"/>
  <c r="O13" i="24"/>
  <c r="O17" i="19"/>
  <c r="O12" i="19"/>
  <c r="O16" i="19"/>
  <c r="N36" i="4"/>
  <c r="O14" i="24"/>
  <c r="P46" i="6"/>
  <c r="O48" i="6"/>
  <c r="F10" i="17"/>
  <c r="F54" i="17"/>
  <c r="Q8" i="20"/>
  <c r="P77" i="7"/>
  <c r="P14" i="18"/>
  <c r="P156" i="4"/>
  <c r="O14" i="22"/>
  <c r="H46" i="5"/>
  <c r="H45" i="5"/>
  <c r="G48" i="5"/>
  <c r="G47" i="5"/>
  <c r="O96" i="6"/>
  <c r="Q46" i="6"/>
  <c r="P48" i="6"/>
  <c r="G10" i="17"/>
  <c r="G54" i="17"/>
  <c r="Q156" i="4"/>
  <c r="O29" i="4"/>
  <c r="O30" i="4"/>
  <c r="R8" i="20"/>
  <c r="I46" i="5"/>
  <c r="I45" i="5"/>
  <c r="H48" i="5"/>
  <c r="H47" i="5"/>
  <c r="P96" i="6"/>
  <c r="P14" i="19"/>
  <c r="Q48" i="6"/>
  <c r="R46" i="6"/>
  <c r="P158" i="4"/>
  <c r="Q76" i="7"/>
  <c r="Q77" i="7"/>
  <c r="H10" i="17"/>
  <c r="H54" i="17"/>
  <c r="P30" i="4"/>
  <c r="P29" i="4"/>
  <c r="J46" i="5"/>
  <c r="J45" i="5"/>
  <c r="S46" i="6"/>
  <c r="J48" i="5"/>
  <c r="J47" i="5"/>
  <c r="I48" i="5"/>
  <c r="I47" i="5"/>
  <c r="Q96" i="6"/>
  <c r="Q14" i="19"/>
  <c r="S48" i="6"/>
  <c r="R48" i="6"/>
  <c r="S78" i="7"/>
  <c r="R77" i="7"/>
  <c r="Q30" i="4"/>
  <c r="Q29" i="4"/>
  <c r="Q14" i="18"/>
  <c r="S8" i="20"/>
  <c r="R14" i="19"/>
  <c r="R156" i="4"/>
  <c r="I10" i="17"/>
  <c r="I54" i="17"/>
  <c r="Q158" i="4"/>
  <c r="R76" i="7"/>
  <c r="R158" i="4"/>
  <c r="R29" i="4"/>
  <c r="R14" i="18"/>
  <c r="S156" i="4"/>
  <c r="S62" i="6"/>
  <c r="T10" i="19"/>
  <c r="R96" i="6"/>
  <c r="R30" i="4"/>
  <c r="J10" i="17"/>
  <c r="J54" i="17"/>
  <c r="S76" i="7"/>
  <c r="S77" i="7"/>
  <c r="S154" i="4"/>
  <c r="S39" i="4"/>
  <c r="T5" i="19"/>
  <c r="S168" i="4"/>
  <c r="T16" i="18"/>
  <c r="S116" i="4"/>
  <c r="S192" i="4"/>
  <c r="S196" i="4"/>
  <c r="S150" i="4"/>
  <c r="S19" i="4"/>
  <c r="S127" i="4"/>
  <c r="S133" i="4"/>
  <c r="S131" i="4"/>
  <c r="S200" i="4"/>
  <c r="T24" i="18"/>
  <c r="S144" i="4"/>
  <c r="T10" i="18"/>
  <c r="S21" i="4"/>
  <c r="S96" i="6"/>
  <c r="S14" i="19"/>
  <c r="S17" i="4"/>
  <c r="S14" i="18"/>
  <c r="S29" i="4"/>
  <c r="S158" i="4"/>
  <c r="S28" i="4"/>
  <c r="S30" i="4"/>
  <c r="T6" i="18"/>
  <c r="T13" i="18"/>
  <c r="S170" i="4"/>
  <c r="T9" i="22"/>
  <c r="T13" i="22"/>
  <c r="T16" i="22"/>
  <c r="T28" i="22"/>
  <c r="T17" i="22"/>
  <c r="T23" i="22"/>
  <c r="T5" i="22"/>
  <c r="T25" i="22"/>
  <c r="T7" i="24"/>
  <c r="T10" i="24"/>
  <c r="S31" i="4"/>
  <c r="T14" i="19"/>
  <c r="T12" i="22"/>
  <c r="T14" i="18"/>
  <c r="T27" i="24"/>
  <c r="T17" i="18"/>
  <c r="N30" i="6"/>
  <c r="N71" i="6"/>
  <c r="N72" i="6"/>
  <c r="O30" i="6"/>
  <c r="P30" i="6"/>
  <c r="Q30" i="6"/>
  <c r="R30" i="6"/>
  <c r="N32" i="6"/>
  <c r="N40" i="6"/>
  <c r="R38" i="6"/>
  <c r="Q38" i="6"/>
  <c r="O38" i="6"/>
  <c r="N38" i="6"/>
  <c r="P38" i="6"/>
  <c r="O32" i="6"/>
  <c r="P32" i="6"/>
  <c r="N42" i="6"/>
  <c r="O40" i="6"/>
  <c r="P40" i="6"/>
  <c r="N37" i="6"/>
  <c r="S43" i="6"/>
  <c r="N34" i="6"/>
  <c r="P42" i="6"/>
  <c r="P37" i="6"/>
  <c r="O42" i="6"/>
  <c r="P34" i="6"/>
  <c r="O19" i="6"/>
  <c r="O95" i="6"/>
  <c r="O34" i="6"/>
  <c r="O37" i="6"/>
  <c r="O62" i="6"/>
  <c r="O67" i="6"/>
  <c r="P19" i="6"/>
  <c r="O99" i="6"/>
  <c r="P99" i="6"/>
  <c r="O105" i="6"/>
  <c r="P105" i="6"/>
  <c r="O94" i="6"/>
  <c r="P94" i="6"/>
  <c r="O98" i="6"/>
  <c r="P98" i="6"/>
  <c r="P62" i="6"/>
  <c r="O106" i="6"/>
  <c r="P106" i="6"/>
  <c r="O97" i="6"/>
  <c r="P97" i="6"/>
  <c r="O107" i="6"/>
  <c r="P107" i="6"/>
  <c r="Q10" i="19"/>
  <c r="P95" i="6"/>
  <c r="P6" i="4"/>
  <c r="P39" i="4"/>
  <c r="O154" i="4"/>
  <c r="O39" i="4"/>
  <c r="O28" i="4"/>
  <c r="O192" i="4"/>
  <c r="O70" i="6"/>
  <c r="P70" i="6"/>
  <c r="O69" i="6"/>
  <c r="P69" i="6"/>
  <c r="P5" i="19"/>
  <c r="O200" i="4"/>
  <c r="P24" i="18"/>
  <c r="O150" i="4"/>
  <c r="O116" i="4"/>
  <c r="O6" i="4"/>
  <c r="O196" i="4"/>
  <c r="O168" i="4"/>
  <c r="P16" i="18"/>
  <c r="O28" i="20"/>
  <c r="O144" i="4"/>
  <c r="P10" i="18"/>
  <c r="O127" i="4"/>
  <c r="O133" i="4"/>
  <c r="O31" i="4"/>
  <c r="O19" i="4"/>
  <c r="P10" i="19"/>
  <c r="O131" i="4"/>
  <c r="P127" i="4"/>
  <c r="P133" i="4"/>
  <c r="O21" i="4"/>
  <c r="Q5" i="19"/>
  <c r="P168" i="4"/>
  <c r="Q16" i="18"/>
  <c r="P21" i="4"/>
  <c r="P196" i="4"/>
  <c r="P150" i="4"/>
  <c r="P31" i="4"/>
  <c r="P131" i="4"/>
  <c r="P200" i="4"/>
  <c r="P192" i="4"/>
  <c r="P154" i="4"/>
  <c r="P144" i="4"/>
  <c r="Q10" i="18"/>
  <c r="P116" i="4"/>
  <c r="P28" i="4"/>
  <c r="P19" i="4"/>
  <c r="P17" i="4"/>
  <c r="P67" i="6"/>
  <c r="P6" i="18"/>
  <c r="O19" i="20"/>
  <c r="Q6" i="18"/>
  <c r="P170" i="4"/>
  <c r="Q17" i="18"/>
  <c r="P13" i="18"/>
  <c r="O170" i="4"/>
  <c r="P17" i="18"/>
  <c r="P9" i="22"/>
  <c r="P13" i="22"/>
  <c r="P16" i="22"/>
  <c r="P28" i="22"/>
  <c r="P23" i="22"/>
  <c r="P5" i="22"/>
  <c r="O71" i="6"/>
  <c r="O72" i="6"/>
  <c r="P7" i="24"/>
  <c r="P24" i="24"/>
  <c r="P12" i="22"/>
  <c r="P25" i="22"/>
  <c r="P17" i="22"/>
  <c r="O17" i="4"/>
  <c r="Q25" i="22"/>
  <c r="Q9" i="22"/>
  <c r="Q7" i="24"/>
  <c r="O23" i="20"/>
  <c r="Q16" i="22"/>
  <c r="Q12" i="22"/>
  <c r="Q17" i="22"/>
  <c r="Q13" i="22"/>
  <c r="F11" i="17"/>
  <c r="F55" i="17"/>
  <c r="Q13" i="18"/>
  <c r="P28" i="20"/>
  <c r="Q28" i="22"/>
  <c r="Q23" i="22"/>
  <c r="Q5" i="22"/>
  <c r="Q24" i="18"/>
  <c r="P24" i="20"/>
  <c r="P23" i="20"/>
  <c r="P71" i="6"/>
  <c r="P72" i="6"/>
  <c r="G11" i="17"/>
  <c r="G55" i="17"/>
  <c r="O24" i="20"/>
  <c r="O86" i="6"/>
  <c r="P19" i="20"/>
  <c r="Q27" i="24"/>
  <c r="Q10" i="24"/>
  <c r="P27" i="24"/>
  <c r="P10" i="24"/>
  <c r="Q24" i="24"/>
  <c r="P86" i="6"/>
  <c r="Q32" i="6"/>
  <c r="Q40" i="6"/>
  <c r="Q42" i="6"/>
  <c r="Q37" i="6"/>
  <c r="Q34" i="6"/>
  <c r="Q98" i="6"/>
  <c r="Q97" i="6"/>
  <c r="Q62" i="6"/>
  <c r="Q67" i="6"/>
  <c r="Q106" i="6"/>
  <c r="Q107" i="6"/>
  <c r="Q95" i="6"/>
  <c r="Q99" i="6"/>
  <c r="Q94" i="6"/>
  <c r="Q105" i="6"/>
  <c r="R10" i="19"/>
  <c r="Q19" i="6"/>
  <c r="Q39" i="4"/>
  <c r="Q69" i="6"/>
  <c r="Q70" i="6"/>
  <c r="Q17" i="4"/>
  <c r="Q21" i="4"/>
  <c r="Q31" i="4"/>
  <c r="Q127" i="4"/>
  <c r="Q133" i="4"/>
  <c r="Q131" i="4"/>
  <c r="Q150" i="4"/>
  <c r="Q168" i="4"/>
  <c r="R16" i="18"/>
  <c r="Q196" i="4"/>
  <c r="Q19" i="4"/>
  <c r="Q28" i="4"/>
  <c r="Q116" i="4"/>
  <c r="Q6" i="4"/>
  <c r="Q144" i="4"/>
  <c r="R10" i="18"/>
  <c r="Q154" i="4"/>
  <c r="Q192" i="4"/>
  <c r="Q200" i="4"/>
  <c r="R24" i="18"/>
  <c r="R5" i="19"/>
  <c r="Q71" i="6"/>
  <c r="Q72" i="6"/>
  <c r="Q86" i="6"/>
  <c r="R6" i="18"/>
  <c r="Q19" i="20"/>
  <c r="Q170" i="4"/>
  <c r="R17" i="18"/>
  <c r="R13" i="18"/>
  <c r="H11" i="17"/>
  <c r="H55" i="17"/>
  <c r="Q28" i="20"/>
  <c r="Q23" i="20"/>
  <c r="R5" i="22"/>
  <c r="R13" i="22"/>
  <c r="R17" i="22"/>
  <c r="R23" i="22"/>
  <c r="R28" i="22"/>
  <c r="R9" i="22"/>
  <c r="R12" i="22"/>
  <c r="R7" i="24"/>
  <c r="R10" i="24"/>
  <c r="R16" i="22"/>
  <c r="R25" i="22"/>
  <c r="R32" i="6"/>
  <c r="Q24" i="20"/>
  <c r="R27" i="24"/>
  <c r="R24" i="24"/>
  <c r="R40" i="6"/>
  <c r="R42" i="6"/>
  <c r="R34" i="6"/>
  <c r="R37" i="6"/>
  <c r="R39" i="4"/>
  <c r="R105" i="6"/>
  <c r="S105" i="6"/>
  <c r="R106" i="6"/>
  <c r="S106" i="6"/>
  <c r="R107" i="6"/>
  <c r="S107" i="6"/>
  <c r="R95" i="6"/>
  <c r="S95" i="6"/>
  <c r="R98" i="6"/>
  <c r="S98" i="6"/>
  <c r="R94" i="6"/>
  <c r="S94" i="6"/>
  <c r="R97" i="6"/>
  <c r="S97" i="6"/>
  <c r="R99" i="6"/>
  <c r="S99" i="6"/>
  <c r="R19" i="6"/>
  <c r="S19" i="6"/>
  <c r="R62" i="6"/>
  <c r="R67" i="6"/>
  <c r="S67" i="6"/>
  <c r="S6" i="4"/>
  <c r="R31" i="4"/>
  <c r="R127" i="4"/>
  <c r="R150" i="4"/>
  <c r="R168" i="4"/>
  <c r="S16" i="18"/>
  <c r="R192" i="4"/>
  <c r="R200" i="4"/>
  <c r="S24" i="18"/>
  <c r="S5" i="19"/>
  <c r="R19" i="4"/>
  <c r="R28" i="4"/>
  <c r="R116" i="4"/>
  <c r="R131" i="4"/>
  <c r="R196" i="4"/>
  <c r="R6" i="4"/>
  <c r="R21" i="4"/>
  <c r="R144" i="4"/>
  <c r="S10" i="18"/>
  <c r="R154" i="4"/>
  <c r="S10" i="19"/>
  <c r="S6" i="18"/>
  <c r="S19" i="20"/>
  <c r="R170" i="4"/>
  <c r="S17" i="18"/>
  <c r="R69" i="6"/>
  <c r="S69" i="6"/>
  <c r="S28" i="20"/>
  <c r="R28" i="20"/>
  <c r="S13" i="18"/>
  <c r="R70" i="6"/>
  <c r="S70" i="6"/>
  <c r="S9" i="22"/>
  <c r="S23" i="20"/>
  <c r="R23" i="20"/>
  <c r="R17" i="4"/>
  <c r="R133" i="4"/>
  <c r="T24" i="24"/>
  <c r="S12" i="22"/>
  <c r="S16" i="22"/>
  <c r="S23" i="22"/>
  <c r="S28" i="22"/>
  <c r="S7" i="24"/>
  <c r="S10" i="24"/>
  <c r="S5" i="22"/>
  <c r="S25" i="22"/>
  <c r="S13" i="22"/>
  <c r="S17" i="22"/>
  <c r="R19" i="20"/>
  <c r="S71" i="6"/>
  <c r="S72" i="6"/>
  <c r="R71" i="6"/>
  <c r="R72" i="6"/>
  <c r="S86" i="6"/>
  <c r="S27" i="24"/>
  <c r="S24" i="24"/>
  <c r="R86" i="6"/>
  <c r="J11" i="17"/>
  <c r="J55" i="17"/>
  <c r="I11" i="17"/>
  <c r="I55" i="17"/>
  <c r="S24" i="20"/>
  <c r="R24" i="20"/>
  <c r="Q10" i="4"/>
  <c r="R7" i="19"/>
  <c r="R6" i="19"/>
  <c r="Q140" i="4"/>
  <c r="R9" i="18"/>
  <c r="O140" i="4"/>
  <c r="O10" i="4"/>
  <c r="P6" i="19"/>
  <c r="P25" i="24"/>
  <c r="S140" i="4"/>
  <c r="T9" i="18"/>
  <c r="S10" i="4"/>
  <c r="T6" i="19"/>
  <c r="P10" i="4"/>
  <c r="P140" i="4"/>
  <c r="Q6" i="19"/>
  <c r="R10" i="4"/>
  <c r="R140" i="4"/>
  <c r="S25" i="24"/>
  <c r="S6" i="19"/>
  <c r="R7" i="22"/>
  <c r="T6" i="22"/>
  <c r="R6" i="22"/>
  <c r="Q14" i="4"/>
  <c r="Q25" i="24"/>
  <c r="P6" i="22"/>
  <c r="S14" i="4"/>
  <c r="T7" i="19"/>
  <c r="O14" i="4"/>
  <c r="P7" i="19"/>
  <c r="P9" i="18"/>
  <c r="O188" i="4"/>
  <c r="P23" i="18"/>
  <c r="O129" i="4"/>
  <c r="O135" i="4"/>
  <c r="O249" i="4"/>
  <c r="R129" i="4"/>
  <c r="R135" i="4"/>
  <c r="R249" i="4"/>
  <c r="R188" i="4"/>
  <c r="S23" i="18"/>
  <c r="S188" i="4"/>
  <c r="T23" i="18"/>
  <c r="S9" i="18"/>
  <c r="T25" i="24"/>
  <c r="S129" i="4"/>
  <c r="S135" i="4"/>
  <c r="S249" i="4"/>
  <c r="Q6" i="22"/>
  <c r="Q7" i="19"/>
  <c r="P14" i="4"/>
  <c r="S6" i="22"/>
  <c r="R14" i="4"/>
  <c r="S7" i="19"/>
  <c r="P129" i="4"/>
  <c r="P135" i="4"/>
  <c r="P249" i="4"/>
  <c r="P188" i="4"/>
  <c r="Q23" i="18"/>
  <c r="Q188" i="4"/>
  <c r="R23" i="18"/>
  <c r="Q9" i="18"/>
  <c r="Q129" i="4"/>
  <c r="Q135" i="4"/>
  <c r="Q249" i="4"/>
  <c r="R25" i="24"/>
  <c r="S7" i="22"/>
  <c r="Q7" i="22"/>
  <c r="P7" i="22"/>
  <c r="T7" i="22"/>
  <c r="O21" i="20"/>
  <c r="R8" i="19"/>
  <c r="R12" i="24"/>
  <c r="R11" i="19"/>
  <c r="Q25" i="4"/>
  <c r="O180" i="4"/>
  <c r="O181" i="4"/>
  <c r="P22" i="18"/>
  <c r="O186" i="4"/>
  <c r="P8" i="19"/>
  <c r="P12" i="24"/>
  <c r="P26" i="24"/>
  <c r="P8" i="18"/>
  <c r="P11" i="19"/>
  <c r="O25" i="4"/>
  <c r="T11" i="19"/>
  <c r="T10" i="22"/>
  <c r="S25" i="4"/>
  <c r="T8" i="19"/>
  <c r="T12" i="24"/>
  <c r="R8" i="18"/>
  <c r="Q180" i="4"/>
  <c r="Q181" i="4"/>
  <c r="R186" i="4"/>
  <c r="Q8" i="18"/>
  <c r="S8" i="19"/>
  <c r="S12" i="24"/>
  <c r="S26" i="24"/>
  <c r="Q8" i="19"/>
  <c r="Q12" i="24"/>
  <c r="P25" i="4"/>
  <c r="Q11" i="19"/>
  <c r="S180" i="4"/>
  <c r="S181" i="4"/>
  <c r="S8" i="18"/>
  <c r="Q21" i="20"/>
  <c r="R26" i="24"/>
  <c r="P21" i="20"/>
  <c r="Q186" i="4"/>
  <c r="P180" i="4"/>
  <c r="P181" i="4"/>
  <c r="P186" i="4"/>
  <c r="S11" i="19"/>
  <c r="S10" i="22"/>
  <c r="R25" i="4"/>
  <c r="Q26" i="24"/>
  <c r="T8" i="18"/>
  <c r="S21" i="20"/>
  <c r="R21" i="20"/>
  <c r="T26" i="24"/>
  <c r="S186" i="4"/>
  <c r="R180" i="4"/>
  <c r="R181" i="4"/>
  <c r="Q10" i="22"/>
  <c r="R10" i="22"/>
  <c r="P10" i="22"/>
  <c r="O20" i="20"/>
  <c r="P20" i="20"/>
  <c r="Q20" i="20"/>
  <c r="R20" i="20"/>
  <c r="S20" i="20"/>
  <c r="O22" i="20"/>
  <c r="Q36" i="4"/>
  <c r="R14" i="24"/>
  <c r="R16" i="19"/>
  <c r="R12" i="19"/>
  <c r="R13" i="24"/>
  <c r="R17" i="19"/>
  <c r="S36" i="4"/>
  <c r="T14" i="24"/>
  <c r="T16" i="19"/>
  <c r="T14" i="22"/>
  <c r="P12" i="19"/>
  <c r="P13" i="24"/>
  <c r="P17" i="19"/>
  <c r="T12" i="19"/>
  <c r="T13" i="24"/>
  <c r="T17" i="19"/>
  <c r="O36" i="4"/>
  <c r="P14" i="24"/>
  <c r="P16" i="19"/>
  <c r="S22" i="18"/>
  <c r="Q22" i="18"/>
  <c r="S22" i="20"/>
  <c r="Q16" i="19"/>
  <c r="P36" i="4"/>
  <c r="Q14" i="24"/>
  <c r="R22" i="18"/>
  <c r="R22" i="20"/>
  <c r="S17" i="19"/>
  <c r="S13" i="24"/>
  <c r="S12" i="19"/>
  <c r="R36" i="4"/>
  <c r="S14" i="24"/>
  <c r="S16" i="19"/>
  <c r="S14" i="22"/>
  <c r="P22" i="20"/>
  <c r="T22" i="18"/>
  <c r="Q12" i="19"/>
  <c r="Q13" i="24"/>
  <c r="Q17" i="19"/>
  <c r="Q22" i="20"/>
  <c r="R14" i="22"/>
  <c r="Q14" i="22"/>
  <c r="P14" i="22"/>
  <c r="R25" i="20"/>
  <c r="Q25" i="20"/>
  <c r="P25" i="20"/>
  <c r="O25" i="20"/>
  <c r="S25" i="20"/>
  <c r="P27" i="18"/>
  <c r="Q27" i="18"/>
  <c r="O27" i="18"/>
  <c r="N39" i="20"/>
  <c r="O39" i="20"/>
  <c r="P39" i="20"/>
  <c r="O29" i="18"/>
  <c r="R27" i="18"/>
  <c r="P29" i="18"/>
  <c r="Q39" i="20"/>
  <c r="S27" i="18"/>
  <c r="Q29" i="18"/>
  <c r="R39" i="20"/>
  <c r="T27" i="18"/>
  <c r="S39" i="20"/>
  <c r="R29" i="18"/>
  <c r="S29" i="18"/>
  <c r="T29" i="18"/>
  <c r="M47" i="6"/>
  <c r="D46" i="5"/>
  <c r="D45" i="5"/>
  <c r="M53" i="6"/>
  <c r="M57" i="6"/>
  <c r="M52" i="6"/>
  <c r="M46" i="6"/>
  <c r="M7" i="5"/>
  <c r="N7" i="5"/>
  <c r="R7" i="5"/>
  <c r="M8" i="5"/>
  <c r="N8" i="5"/>
  <c r="M9" i="5"/>
  <c r="N9" i="5"/>
  <c r="M10" i="5"/>
  <c r="N10" i="5"/>
  <c r="M11" i="5"/>
  <c r="M12" i="5"/>
  <c r="M13" i="5"/>
  <c r="N13" i="5"/>
  <c r="M15" i="5"/>
  <c r="N15" i="5"/>
  <c r="O5" i="21"/>
  <c r="P5" i="21"/>
  <c r="Q5" i="21"/>
  <c r="R5" i="21"/>
  <c r="S5" i="21"/>
  <c r="T5" i="21"/>
  <c r="O6" i="21"/>
  <c r="P6" i="21"/>
  <c r="Q6" i="21"/>
  <c r="R6" i="21"/>
  <c r="S6" i="21"/>
  <c r="T6" i="21"/>
  <c r="O7" i="21"/>
  <c r="P7" i="21"/>
  <c r="Q7" i="21"/>
  <c r="R7" i="21"/>
  <c r="S7" i="21"/>
  <c r="T7" i="21"/>
  <c r="O8" i="21"/>
  <c r="P8" i="21"/>
  <c r="Q8" i="21"/>
  <c r="R8" i="21"/>
  <c r="S8" i="21"/>
  <c r="T8" i="21"/>
  <c r="O9" i="21"/>
  <c r="P9" i="21"/>
  <c r="Q9" i="21"/>
  <c r="R9" i="21"/>
  <c r="S9" i="21"/>
  <c r="T9" i="21"/>
  <c r="O10" i="21"/>
  <c r="P10" i="21"/>
  <c r="Q10" i="21"/>
  <c r="R10" i="21"/>
  <c r="S10" i="21"/>
  <c r="T10" i="21"/>
  <c r="O11" i="21"/>
  <c r="P11" i="21"/>
  <c r="Q11" i="21"/>
  <c r="R11" i="21"/>
  <c r="S11" i="21"/>
  <c r="T11" i="21"/>
  <c r="O13" i="21"/>
  <c r="P13" i="21"/>
  <c r="Q13" i="21"/>
  <c r="R13" i="21"/>
  <c r="S13" i="21"/>
  <c r="T13" i="21"/>
  <c r="O14" i="21"/>
  <c r="P14" i="21"/>
  <c r="Q14" i="21"/>
  <c r="R14" i="21"/>
  <c r="S14" i="21"/>
  <c r="T14" i="21"/>
  <c r="O15" i="21"/>
  <c r="P15" i="21"/>
  <c r="Q15" i="21"/>
  <c r="R15" i="21"/>
  <c r="S15" i="21"/>
  <c r="T15" i="21"/>
  <c r="O16" i="21"/>
  <c r="P16" i="21"/>
  <c r="Q16" i="21"/>
  <c r="R16" i="21"/>
  <c r="S16" i="21"/>
  <c r="T16" i="21"/>
  <c r="O17" i="21"/>
  <c r="P17" i="21"/>
  <c r="Q17" i="21"/>
  <c r="R17" i="21"/>
  <c r="S17" i="21"/>
  <c r="T17" i="21"/>
  <c r="O20" i="21"/>
  <c r="P20" i="21"/>
  <c r="Q20" i="21"/>
  <c r="R20" i="21"/>
  <c r="S20" i="21"/>
  <c r="T20" i="21"/>
  <c r="O21" i="21"/>
  <c r="P21" i="21"/>
  <c r="Q21" i="21"/>
  <c r="R21" i="21"/>
  <c r="S21" i="21"/>
  <c r="T21" i="21"/>
  <c r="O22" i="21"/>
  <c r="P22" i="21"/>
  <c r="Q22" i="21"/>
  <c r="R22" i="21"/>
  <c r="S22" i="21"/>
  <c r="T22" i="21"/>
  <c r="O23" i="21"/>
  <c r="P23" i="21"/>
  <c r="Q23" i="21"/>
  <c r="R23" i="21"/>
  <c r="S23" i="21"/>
  <c r="T23" i="21"/>
  <c r="O24" i="21"/>
  <c r="P24" i="21"/>
  <c r="Q24" i="21"/>
  <c r="R24" i="21"/>
  <c r="S24" i="21"/>
  <c r="T24" i="21"/>
  <c r="O26" i="21"/>
  <c r="P26" i="21"/>
  <c r="Q26" i="21"/>
  <c r="R26" i="21"/>
  <c r="S26" i="21"/>
  <c r="T26" i="21"/>
  <c r="O27" i="21"/>
  <c r="P27" i="21"/>
  <c r="Q27" i="21"/>
  <c r="R27" i="21"/>
  <c r="S27" i="21"/>
  <c r="T27" i="21"/>
  <c r="O28" i="21"/>
  <c r="P28" i="21"/>
  <c r="Q28" i="21"/>
  <c r="R28" i="21"/>
  <c r="S28" i="21"/>
  <c r="T28" i="21"/>
  <c r="O29" i="21"/>
  <c r="P29" i="21"/>
  <c r="Q29" i="21"/>
  <c r="R29" i="21"/>
  <c r="S29" i="21"/>
  <c r="T29" i="21"/>
  <c r="O32" i="21"/>
  <c r="P32" i="21"/>
  <c r="Q32" i="21"/>
  <c r="R32" i="21"/>
  <c r="S32" i="21"/>
  <c r="T32" i="21"/>
  <c r="O33" i="21"/>
  <c r="P33" i="21"/>
  <c r="Q33" i="21"/>
  <c r="R33" i="21"/>
  <c r="S33" i="21"/>
  <c r="T33" i="21"/>
  <c r="O34" i="21"/>
  <c r="P34" i="21"/>
  <c r="Q34" i="21"/>
  <c r="R34" i="21"/>
  <c r="S34" i="21"/>
  <c r="T34" i="21"/>
  <c r="O35" i="21"/>
  <c r="P35" i="21"/>
  <c r="Q35" i="21"/>
  <c r="R35" i="21"/>
  <c r="S35" i="21"/>
  <c r="T35" i="21"/>
  <c r="O36" i="21"/>
  <c r="P36" i="21"/>
  <c r="Q36" i="21"/>
  <c r="R36" i="21"/>
  <c r="S36" i="21"/>
  <c r="T36" i="21"/>
  <c r="E8" i="17"/>
  <c r="F8" i="17"/>
  <c r="G8" i="17"/>
  <c r="H8" i="17"/>
  <c r="I8" i="17"/>
  <c r="J8" i="17"/>
  <c r="E9" i="17"/>
  <c r="F9" i="17"/>
  <c r="G9" i="17"/>
  <c r="H9" i="17"/>
  <c r="I9" i="17"/>
  <c r="J9" i="17"/>
  <c r="Q9" i="17"/>
  <c r="R9" i="17"/>
  <c r="Q10" i="17"/>
  <c r="R10" i="17"/>
  <c r="Q11" i="17"/>
  <c r="R11" i="17"/>
  <c r="Q12" i="17"/>
  <c r="R12" i="17"/>
  <c r="E13" i="17"/>
  <c r="F13" i="17"/>
  <c r="G13" i="17"/>
  <c r="H13" i="17"/>
  <c r="I13" i="17"/>
  <c r="J13" i="17"/>
  <c r="Q13" i="17"/>
  <c r="E14" i="17"/>
  <c r="F14" i="17"/>
  <c r="G14" i="17"/>
  <c r="H14" i="17"/>
  <c r="I14" i="17"/>
  <c r="J14" i="17"/>
  <c r="Q14" i="17"/>
  <c r="E15" i="17"/>
  <c r="F15" i="17"/>
  <c r="G15" i="17"/>
  <c r="H15" i="17"/>
  <c r="I15" i="17"/>
  <c r="J15" i="17"/>
  <c r="Q15" i="17"/>
  <c r="R15" i="17"/>
  <c r="F16" i="17"/>
  <c r="F17" i="17"/>
  <c r="G17" i="17"/>
  <c r="H17" i="17"/>
  <c r="I17" i="17"/>
  <c r="J17" i="17"/>
  <c r="Q17" i="17"/>
  <c r="R17" i="17"/>
  <c r="F23" i="17"/>
  <c r="G23" i="17"/>
  <c r="H23" i="17"/>
  <c r="I23" i="17"/>
  <c r="J23" i="17"/>
  <c r="F24" i="17"/>
  <c r="G24" i="17"/>
  <c r="H24" i="17"/>
  <c r="I24" i="17"/>
  <c r="J24" i="17"/>
  <c r="C25" i="17"/>
  <c r="C26" i="17"/>
  <c r="C27" i="17"/>
  <c r="M27" i="17"/>
  <c r="C28" i="17"/>
  <c r="C29" i="17"/>
  <c r="C30" i="17"/>
  <c r="C31" i="17"/>
  <c r="C33" i="17"/>
  <c r="E40" i="17"/>
  <c r="F40" i="17"/>
  <c r="G40" i="17"/>
  <c r="H40" i="17"/>
  <c r="I40" i="17"/>
  <c r="J40" i="17"/>
  <c r="E42" i="17"/>
  <c r="F42" i="17"/>
  <c r="G42" i="17"/>
  <c r="H42" i="17"/>
  <c r="I42" i="17"/>
  <c r="J42" i="17"/>
  <c r="E43" i="17"/>
  <c r="F43" i="17"/>
  <c r="G43" i="17"/>
  <c r="H43" i="17"/>
  <c r="I43" i="17"/>
  <c r="J43" i="17"/>
  <c r="E45" i="17"/>
  <c r="F45" i="17"/>
  <c r="G45" i="17"/>
  <c r="H45" i="17"/>
  <c r="I45" i="17"/>
  <c r="J45" i="17"/>
  <c r="E46" i="17"/>
  <c r="F46" i="17"/>
  <c r="G46" i="17"/>
  <c r="H46" i="17"/>
  <c r="I46" i="17"/>
  <c r="J46" i="17"/>
  <c r="E52" i="17"/>
  <c r="F52" i="17"/>
  <c r="G52" i="17"/>
  <c r="H52" i="17"/>
  <c r="I52" i="17"/>
  <c r="J52" i="17"/>
  <c r="E53" i="17"/>
  <c r="F53" i="17"/>
  <c r="G53" i="17"/>
  <c r="H53" i="17"/>
  <c r="I53" i="17"/>
  <c r="J53" i="17"/>
  <c r="E57" i="17"/>
  <c r="F57" i="17"/>
  <c r="G57" i="17"/>
  <c r="H57" i="17"/>
  <c r="I57" i="17"/>
  <c r="J57" i="17"/>
  <c r="E58" i="17"/>
  <c r="F58" i="17"/>
  <c r="G58" i="17"/>
  <c r="H58" i="17"/>
  <c r="I58" i="17"/>
  <c r="J58" i="17"/>
  <c r="E59" i="17"/>
  <c r="F59" i="17"/>
  <c r="G59" i="17"/>
  <c r="H59" i="17"/>
  <c r="I59" i="17"/>
  <c r="J59" i="17"/>
  <c r="F60" i="17"/>
  <c r="F61" i="17"/>
  <c r="G61" i="17"/>
  <c r="H61" i="17"/>
  <c r="I61" i="17"/>
  <c r="J61" i="17"/>
  <c r="M63" i="17"/>
  <c r="F68" i="17"/>
  <c r="G68" i="17"/>
  <c r="H68" i="17"/>
  <c r="I68" i="17"/>
  <c r="J68" i="17"/>
  <c r="C69" i="17"/>
  <c r="C70" i="17"/>
  <c r="C71" i="17"/>
  <c r="C72" i="17"/>
  <c r="C73" i="17"/>
  <c r="C74" i="17"/>
  <c r="C76" i="17"/>
  <c r="N48" i="4"/>
  <c r="O48" i="4"/>
  <c r="P48" i="4"/>
  <c r="Q48" i="4"/>
  <c r="R48" i="4"/>
  <c r="S48" i="4"/>
  <c r="N49" i="4"/>
  <c r="O49" i="4"/>
  <c r="P49" i="4"/>
  <c r="Q49" i="4"/>
  <c r="R49" i="4"/>
  <c r="S49" i="4"/>
  <c r="N55" i="4"/>
  <c r="O55" i="4"/>
  <c r="P55" i="4"/>
  <c r="Q55" i="4"/>
  <c r="R55" i="4"/>
  <c r="S55" i="4"/>
  <c r="N58" i="4"/>
  <c r="O58" i="4"/>
  <c r="P58" i="4"/>
  <c r="Q58" i="4"/>
  <c r="R58" i="4"/>
  <c r="S58" i="4"/>
  <c r="N59" i="4"/>
  <c r="O59" i="4"/>
  <c r="P59" i="4"/>
  <c r="Q59" i="4"/>
  <c r="R59" i="4"/>
  <c r="S59" i="4"/>
  <c r="N64" i="4"/>
  <c r="O64" i="4"/>
  <c r="P64" i="4"/>
  <c r="Q64" i="4"/>
  <c r="R64" i="4"/>
  <c r="S64" i="4"/>
  <c r="N66" i="4"/>
  <c r="O66" i="4"/>
  <c r="P66" i="4"/>
  <c r="Q66" i="4"/>
  <c r="R66" i="4"/>
  <c r="S66" i="4"/>
  <c r="N67" i="4"/>
  <c r="O67" i="4"/>
  <c r="P67" i="4"/>
  <c r="Q67" i="4"/>
  <c r="R67" i="4"/>
  <c r="S67" i="4"/>
  <c r="N71" i="4"/>
  <c r="O71" i="4"/>
  <c r="P71" i="4"/>
  <c r="Q71" i="4"/>
  <c r="R71" i="4"/>
  <c r="S71" i="4"/>
  <c r="N77" i="4"/>
  <c r="O77" i="4"/>
  <c r="P77" i="4"/>
  <c r="Q77" i="4"/>
  <c r="R77" i="4"/>
  <c r="S77" i="4"/>
  <c r="N78" i="4"/>
  <c r="O78" i="4"/>
  <c r="P78" i="4"/>
  <c r="Q78" i="4"/>
  <c r="R78" i="4"/>
  <c r="S78" i="4"/>
  <c r="N84" i="4"/>
  <c r="O84" i="4"/>
  <c r="P84" i="4"/>
  <c r="Q84" i="4"/>
  <c r="R84" i="4"/>
  <c r="S84" i="4"/>
  <c r="N85" i="4"/>
  <c r="O85" i="4"/>
  <c r="P85" i="4"/>
  <c r="Q85" i="4"/>
  <c r="R85" i="4"/>
  <c r="S85" i="4"/>
  <c r="N90" i="4"/>
  <c r="O90" i="4"/>
  <c r="P90" i="4"/>
  <c r="Q90" i="4"/>
  <c r="R90" i="4"/>
  <c r="S90" i="4"/>
  <c r="N95" i="4"/>
  <c r="O95" i="4"/>
  <c r="P95" i="4"/>
  <c r="Q95" i="4"/>
  <c r="R95" i="4"/>
  <c r="S95" i="4"/>
  <c r="N98" i="4"/>
  <c r="O98" i="4"/>
  <c r="P98" i="4"/>
  <c r="Q98" i="4"/>
  <c r="R98" i="4"/>
  <c r="S98" i="4"/>
  <c r="N101" i="4"/>
  <c r="O101" i="4"/>
  <c r="P101" i="4"/>
  <c r="Q101" i="4"/>
  <c r="R101" i="4"/>
  <c r="S101" i="4"/>
  <c r="N105" i="4"/>
  <c r="O105" i="4"/>
  <c r="P105" i="4"/>
  <c r="Q105" i="4"/>
  <c r="R105" i="4"/>
  <c r="S105" i="4"/>
  <c r="N110" i="4"/>
  <c r="O110" i="4"/>
  <c r="P110" i="4"/>
  <c r="Q110" i="4"/>
  <c r="R110" i="4"/>
  <c r="S110" i="4"/>
  <c r="N112" i="4"/>
  <c r="O112" i="4"/>
  <c r="P112" i="4"/>
  <c r="Q112" i="4"/>
  <c r="R112" i="4"/>
  <c r="S112" i="4"/>
  <c r="N146" i="4"/>
  <c r="O146" i="4"/>
  <c r="P146" i="4"/>
  <c r="Q146" i="4"/>
  <c r="R146" i="4"/>
  <c r="S146" i="4"/>
  <c r="N172" i="4"/>
  <c r="O172" i="4"/>
  <c r="P172" i="4"/>
  <c r="Q172" i="4"/>
  <c r="R172" i="4"/>
  <c r="S172" i="4"/>
  <c r="N176" i="4"/>
  <c r="O176" i="4"/>
  <c r="P176" i="4"/>
  <c r="Q176" i="4"/>
  <c r="R176" i="4"/>
  <c r="S176" i="4"/>
  <c r="N178" i="4"/>
  <c r="O178" i="4"/>
  <c r="P178" i="4"/>
  <c r="Q178" i="4"/>
  <c r="R178" i="4"/>
  <c r="S178" i="4"/>
  <c r="N202" i="4"/>
  <c r="O202" i="4"/>
  <c r="P202" i="4"/>
  <c r="Q202" i="4"/>
  <c r="R202" i="4"/>
  <c r="S202" i="4"/>
  <c r="N217" i="4"/>
  <c r="O217" i="4"/>
  <c r="P217" i="4"/>
  <c r="Q217" i="4"/>
  <c r="R217" i="4"/>
  <c r="S217" i="4"/>
  <c r="N232" i="4"/>
  <c r="O232" i="4"/>
  <c r="P232" i="4"/>
  <c r="Q232" i="4"/>
  <c r="R232" i="4"/>
  <c r="S232" i="4"/>
  <c r="N233" i="4"/>
  <c r="O233" i="4"/>
  <c r="P233" i="4"/>
  <c r="Q233" i="4"/>
  <c r="R233" i="4"/>
  <c r="S233" i="4"/>
  <c r="O235" i="4"/>
  <c r="P235" i="4"/>
  <c r="Q235" i="4"/>
  <c r="R235" i="4"/>
  <c r="S235" i="4"/>
  <c r="O236" i="4"/>
  <c r="P236" i="4"/>
  <c r="Q236" i="4"/>
  <c r="R236" i="4"/>
  <c r="S236" i="4"/>
  <c r="O237" i="4"/>
  <c r="P237" i="4"/>
  <c r="Q237" i="4"/>
  <c r="R237" i="4"/>
  <c r="S237" i="4"/>
  <c r="N243" i="4"/>
  <c r="O243" i="4"/>
  <c r="P243" i="4"/>
  <c r="Q243" i="4"/>
  <c r="R243" i="4"/>
  <c r="S243" i="4"/>
  <c r="N244" i="4"/>
  <c r="O244" i="4"/>
  <c r="P244" i="4"/>
  <c r="Q244" i="4"/>
  <c r="R244" i="4"/>
  <c r="S244" i="4"/>
  <c r="N247" i="4"/>
  <c r="O247" i="4"/>
  <c r="P247" i="4"/>
  <c r="Q247" i="4"/>
  <c r="R247" i="4"/>
  <c r="S247" i="4"/>
  <c r="N250" i="4"/>
  <c r="O250" i="4"/>
  <c r="P250" i="4"/>
  <c r="Q250" i="4"/>
  <c r="R250" i="4"/>
  <c r="S250" i="4"/>
  <c r="N251" i="4"/>
  <c r="O251" i="4"/>
  <c r="P251" i="4"/>
  <c r="Q251" i="4"/>
  <c r="R251" i="4"/>
  <c r="S251" i="4"/>
  <c r="O18" i="22"/>
  <c r="P18" i="22"/>
  <c r="Q18" i="22"/>
  <c r="R18" i="22"/>
  <c r="S18" i="22"/>
  <c r="T18" i="22"/>
  <c r="O19" i="22"/>
  <c r="P19" i="22"/>
  <c r="Q19" i="22"/>
  <c r="R19" i="22"/>
  <c r="S19" i="22"/>
  <c r="T19" i="22"/>
  <c r="O20" i="22"/>
  <c r="P20" i="22"/>
  <c r="Q20" i="22"/>
  <c r="R20" i="22"/>
  <c r="S20" i="22"/>
  <c r="T20" i="22"/>
  <c r="O22" i="22"/>
  <c r="P22" i="22"/>
  <c r="Q22" i="22"/>
  <c r="R22" i="22"/>
  <c r="S22" i="22"/>
  <c r="T22" i="22"/>
  <c r="O24" i="22"/>
  <c r="P24" i="22"/>
  <c r="Q24" i="22"/>
  <c r="R24" i="22"/>
  <c r="S24" i="22"/>
  <c r="T24" i="22"/>
  <c r="O26" i="22"/>
  <c r="P26" i="22"/>
  <c r="Q26" i="22"/>
  <c r="R26" i="22"/>
  <c r="S26" i="22"/>
  <c r="T26" i="22"/>
  <c r="O29" i="22"/>
  <c r="P29" i="22"/>
  <c r="Q29" i="22"/>
  <c r="R29" i="22"/>
  <c r="S29" i="22"/>
  <c r="T29" i="22"/>
  <c r="O5" i="18"/>
  <c r="P5" i="18"/>
  <c r="Q5" i="18"/>
  <c r="R5" i="18"/>
  <c r="S5" i="18"/>
  <c r="T5" i="18"/>
  <c r="O11" i="18"/>
  <c r="P11" i="18"/>
  <c r="Q11" i="18"/>
  <c r="R11" i="18"/>
  <c r="S11" i="18"/>
  <c r="T11" i="18"/>
  <c r="O18" i="18"/>
  <c r="P18" i="18"/>
  <c r="Q18" i="18"/>
  <c r="R18" i="18"/>
  <c r="S18" i="18"/>
  <c r="T18" i="18"/>
  <c r="O21" i="18"/>
  <c r="P21" i="18"/>
  <c r="Q21" i="18"/>
  <c r="R21" i="18"/>
  <c r="S21" i="18"/>
  <c r="T21" i="18"/>
  <c r="O25" i="18"/>
  <c r="P25" i="18"/>
  <c r="Q25" i="18"/>
  <c r="R25" i="18"/>
  <c r="S25" i="18"/>
  <c r="T25" i="18"/>
  <c r="O30" i="18"/>
  <c r="P30" i="18"/>
  <c r="Q30" i="18"/>
  <c r="R30" i="18"/>
  <c r="S30" i="18"/>
  <c r="T30" i="18"/>
  <c r="O38" i="18"/>
  <c r="P38" i="18"/>
  <c r="Q38" i="18"/>
  <c r="R38" i="18"/>
  <c r="S38" i="18"/>
  <c r="T38" i="18"/>
  <c r="P39" i="18"/>
  <c r="Q39" i="18"/>
  <c r="R39" i="18"/>
  <c r="S39" i="18"/>
  <c r="T39" i="18"/>
  <c r="O41" i="18"/>
  <c r="P41" i="18"/>
  <c r="Q41" i="18"/>
  <c r="R41" i="18"/>
  <c r="S41" i="18"/>
  <c r="T41" i="18"/>
  <c r="O42" i="18"/>
  <c r="P42" i="18"/>
  <c r="Q42" i="18"/>
  <c r="R42" i="18"/>
  <c r="S42" i="18"/>
  <c r="T42" i="18"/>
  <c r="O45" i="18"/>
  <c r="P45" i="18"/>
  <c r="Q45" i="18"/>
  <c r="R45" i="18"/>
  <c r="S45" i="18"/>
  <c r="T45" i="18"/>
  <c r="O46" i="18"/>
  <c r="P46" i="18"/>
  <c r="Q46" i="18"/>
  <c r="R46" i="18"/>
  <c r="S46" i="18"/>
  <c r="T46" i="18"/>
  <c r="O47" i="18"/>
  <c r="P47" i="18"/>
  <c r="Q47" i="18"/>
  <c r="R47" i="18"/>
  <c r="S47" i="18"/>
  <c r="T47" i="18"/>
  <c r="O48" i="18"/>
  <c r="P48" i="18"/>
  <c r="Q48" i="18"/>
  <c r="R48" i="18"/>
  <c r="S48" i="18"/>
  <c r="T48" i="18"/>
  <c r="N5" i="20"/>
  <c r="O5" i="20"/>
  <c r="P5" i="20"/>
  <c r="Q5" i="20"/>
  <c r="R5" i="20"/>
  <c r="S5" i="20"/>
  <c r="N14" i="20"/>
  <c r="O14" i="20"/>
  <c r="P14" i="20"/>
  <c r="Q14" i="20"/>
  <c r="R14" i="20"/>
  <c r="S14" i="20"/>
  <c r="N15" i="20"/>
  <c r="O15" i="20"/>
  <c r="P15" i="20"/>
  <c r="Q15" i="20"/>
  <c r="R15" i="20"/>
  <c r="S15" i="20"/>
  <c r="N17" i="20"/>
  <c r="O17" i="20"/>
  <c r="P17" i="20"/>
  <c r="Q17" i="20"/>
  <c r="R17" i="20"/>
  <c r="S17" i="20"/>
  <c r="N27" i="20"/>
  <c r="O27" i="20"/>
  <c r="P27" i="20"/>
  <c r="Q27" i="20"/>
  <c r="R27" i="20"/>
  <c r="S27" i="20"/>
  <c r="N30" i="20"/>
  <c r="O30" i="20"/>
  <c r="P30" i="20"/>
  <c r="Q30" i="20"/>
  <c r="R30" i="20"/>
  <c r="S30" i="20"/>
  <c r="N35" i="20"/>
  <c r="O35" i="20"/>
  <c r="P35" i="20"/>
  <c r="Q35" i="20"/>
  <c r="R35" i="20"/>
  <c r="S35" i="20"/>
  <c r="N36" i="20"/>
  <c r="O36" i="20"/>
  <c r="P36" i="20"/>
  <c r="Q36" i="20"/>
  <c r="R36" i="20"/>
  <c r="S36" i="20"/>
  <c r="N38" i="20"/>
  <c r="O38" i="20"/>
  <c r="P38" i="20"/>
  <c r="Q38" i="20"/>
  <c r="R38" i="20"/>
  <c r="S38" i="20"/>
  <c r="N44" i="20"/>
  <c r="O44" i="20"/>
  <c r="P44" i="20"/>
  <c r="Q44" i="20"/>
  <c r="R44" i="20"/>
  <c r="S44" i="20"/>
  <c r="N46" i="20"/>
  <c r="O46" i="20"/>
  <c r="P46" i="20"/>
  <c r="Q46" i="20"/>
  <c r="R46" i="20"/>
  <c r="S46" i="20"/>
  <c r="O47" i="20"/>
  <c r="P47" i="20"/>
  <c r="Q47" i="20"/>
  <c r="R47" i="20"/>
  <c r="S47" i="20"/>
  <c r="N48" i="20"/>
  <c r="O48" i="20"/>
  <c r="P48" i="20"/>
  <c r="Q48" i="20"/>
  <c r="R48" i="20"/>
  <c r="S48" i="20"/>
  <c r="N49" i="20"/>
  <c r="O49" i="20"/>
  <c r="P49" i="20"/>
  <c r="Q49" i="20"/>
  <c r="R49" i="20"/>
  <c r="S49" i="20"/>
  <c r="O21" i="19"/>
  <c r="P21" i="19"/>
  <c r="Q21" i="19"/>
  <c r="R21" i="19"/>
  <c r="S21" i="19"/>
  <c r="T21" i="19"/>
  <c r="O22" i="19"/>
  <c r="P22" i="19"/>
  <c r="Q22" i="19"/>
  <c r="R22" i="19"/>
  <c r="S22" i="19"/>
  <c r="T22" i="19"/>
  <c r="O23" i="19"/>
  <c r="P23" i="19"/>
  <c r="Q23" i="19"/>
  <c r="R23" i="19"/>
  <c r="S23" i="19"/>
  <c r="T23" i="19"/>
  <c r="O25" i="19"/>
  <c r="P25" i="19"/>
  <c r="Q25" i="19"/>
  <c r="R25" i="19"/>
  <c r="S25" i="19"/>
  <c r="T25" i="19"/>
  <c r="O27" i="19"/>
  <c r="P27" i="19"/>
  <c r="Q27" i="19"/>
  <c r="R27" i="19"/>
  <c r="S27" i="19"/>
  <c r="T27" i="19"/>
  <c r="O29" i="19"/>
  <c r="P29" i="19"/>
  <c r="Q29" i="19"/>
  <c r="R29" i="19"/>
  <c r="S29" i="19"/>
  <c r="T29" i="19"/>
  <c r="O32" i="19"/>
  <c r="P32" i="19"/>
  <c r="Q32" i="19"/>
  <c r="R32" i="19"/>
  <c r="S32" i="19"/>
  <c r="T32" i="19"/>
  <c r="O8" i="24"/>
  <c r="P8" i="24"/>
  <c r="Q8" i="24"/>
  <c r="R8" i="24"/>
  <c r="S8" i="24"/>
  <c r="T8" i="24"/>
  <c r="O9" i="24"/>
  <c r="P9" i="24"/>
  <c r="Q9" i="24"/>
  <c r="R9" i="24"/>
  <c r="S9" i="24"/>
  <c r="T9" i="24"/>
  <c r="O15" i="24"/>
  <c r="P15" i="24"/>
  <c r="Q15" i="24"/>
  <c r="R15" i="24"/>
  <c r="S15" i="24"/>
  <c r="T15" i="24"/>
  <c r="O16" i="24"/>
  <c r="P16" i="24"/>
  <c r="Q16" i="24"/>
  <c r="R16" i="24"/>
  <c r="S16" i="24"/>
  <c r="T16" i="24"/>
  <c r="O17" i="24"/>
  <c r="P17" i="24"/>
  <c r="Q17" i="24"/>
  <c r="R17" i="24"/>
  <c r="S17" i="24"/>
  <c r="T17" i="24"/>
  <c r="O18" i="24"/>
  <c r="P18" i="24"/>
  <c r="Q18" i="24"/>
  <c r="R18" i="24"/>
  <c r="S18" i="24"/>
  <c r="T18" i="24"/>
  <c r="O19" i="24"/>
  <c r="P19" i="24"/>
  <c r="Q19" i="24"/>
  <c r="R19" i="24"/>
  <c r="S19" i="24"/>
  <c r="T19" i="24"/>
  <c r="O20" i="24"/>
  <c r="P20" i="24"/>
  <c r="Q20" i="24"/>
  <c r="R20" i="24"/>
  <c r="S20" i="24"/>
  <c r="T20" i="24"/>
  <c r="O21" i="24"/>
  <c r="P21" i="24"/>
  <c r="Q21" i="24"/>
  <c r="R21" i="24"/>
  <c r="S21" i="24"/>
  <c r="T21" i="24"/>
  <c r="O28" i="24"/>
  <c r="P28" i="24"/>
  <c r="Q28" i="24"/>
  <c r="R28" i="24"/>
  <c r="S28" i="24"/>
  <c r="T28" i="24"/>
  <c r="O31" i="24"/>
  <c r="P31" i="24"/>
  <c r="Q31" i="24"/>
  <c r="R31" i="24"/>
  <c r="S31" i="24"/>
  <c r="T31" i="24"/>
  <c r="O32" i="24"/>
  <c r="P32" i="24"/>
  <c r="Q32" i="24"/>
  <c r="R32" i="24"/>
  <c r="S32" i="24"/>
  <c r="T32" i="24"/>
  <c r="O33" i="24"/>
  <c r="P33" i="24"/>
  <c r="Q33" i="24"/>
  <c r="R33" i="24"/>
  <c r="S33" i="24"/>
  <c r="T33" i="24"/>
  <c r="O34" i="24"/>
  <c r="P34" i="24"/>
  <c r="Q34" i="24"/>
  <c r="R34" i="24"/>
  <c r="S34" i="24"/>
  <c r="T34" i="24"/>
  <c r="O35" i="24"/>
  <c r="P35" i="24"/>
  <c r="Q35" i="24"/>
  <c r="R35" i="24"/>
  <c r="S35" i="24"/>
  <c r="T35" i="24"/>
  <c r="O38" i="24"/>
  <c r="P38" i="24"/>
  <c r="Q38" i="24"/>
  <c r="R38" i="24"/>
  <c r="S38" i="24"/>
  <c r="T38" i="24"/>
  <c r="O39" i="24"/>
  <c r="P39" i="24"/>
  <c r="Q39" i="24"/>
  <c r="R39" i="24"/>
  <c r="S39" i="24"/>
  <c r="T39" i="24"/>
  <c r="O40" i="24"/>
  <c r="P40" i="24"/>
  <c r="Q40" i="24"/>
  <c r="R40" i="24"/>
  <c r="S40" i="24"/>
  <c r="T40" i="24"/>
  <c r="O41" i="24"/>
  <c r="P41" i="24"/>
  <c r="Q41" i="24"/>
  <c r="R41" i="24"/>
  <c r="S41" i="24"/>
  <c r="T41" i="24"/>
  <c r="O42" i="24"/>
  <c r="P42" i="24"/>
  <c r="Q42" i="24"/>
  <c r="R42" i="24"/>
  <c r="S42" i="24"/>
  <c r="T42" i="24"/>
  <c r="O43" i="24"/>
  <c r="P43" i="24"/>
  <c r="Q43" i="24"/>
  <c r="R43" i="24"/>
  <c r="S43" i="24"/>
  <c r="T43"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U65" authorId="0" shapeId="0" xr:uid="{00000000-0006-0000-0700-000001000000}">
      <text>
        <r>
          <rPr>
            <b/>
            <sz val="11"/>
            <color theme="1"/>
            <rFont val="Calibri"/>
            <family val="2"/>
            <scheme val="minor"/>
          </rPr>
          <t>Author:</t>
        </r>
        <r>
          <rPr>
            <sz val="11"/>
            <color theme="1"/>
            <rFont val="Calibri"/>
            <family val="2"/>
            <scheme val="minor"/>
          </rPr>
          <t xml:space="preserve">
</t>
        </r>
      </text>
    </comment>
    <comment ref="K66" authorId="0" shapeId="0" xr:uid="{00000000-0006-0000-0700-000002000000}">
      <text>
        <r>
          <rPr>
            <b/>
            <sz val="9"/>
            <color indexed="81"/>
            <rFont val="Tahoma"/>
            <family val="2"/>
          </rPr>
          <t>Author:</t>
        </r>
        <r>
          <rPr>
            <sz val="9"/>
            <color indexed="81"/>
            <rFont val="Tahoma"/>
            <family val="2"/>
          </rPr>
          <t xml:space="preserve">
Hỏi CNG???</t>
        </r>
      </text>
    </comment>
    <comment ref="O93" authorId="0" shapeId="0" xr:uid="{00000000-0006-0000-0700-000003000000}">
      <text>
        <r>
          <rPr>
            <b/>
            <sz val="9"/>
            <color indexed="81"/>
            <rFont val="Calibri"/>
            <family val="2"/>
          </rPr>
          <t xml:space="preserve">Author: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J41" authorId="0" shapeId="0" xr:uid="{00000000-0006-0000-0800-000001000000}">
      <text>
        <r>
          <rPr>
            <b/>
            <sz val="9"/>
            <color indexed="81"/>
            <rFont val="Tahoma"/>
            <family val="2"/>
          </rPr>
          <t>Author:</t>
        </r>
        <r>
          <rPr>
            <sz val="9"/>
            <color indexed="81"/>
            <rFont val="Tahoma"/>
            <family val="2"/>
          </rPr>
          <t xml:space="preserve">
Giảm tài sản theo thông tư 45/2013/TT-BTC</t>
        </r>
      </text>
    </comment>
    <comment ref="J48" authorId="0" shapeId="0" xr:uid="{00000000-0006-0000-0800-000002000000}">
      <text>
        <r>
          <rPr>
            <b/>
            <sz val="9"/>
            <color indexed="81"/>
            <rFont val="Tahoma"/>
            <family val="2"/>
          </rPr>
          <t>Author:</t>
        </r>
        <r>
          <rPr>
            <sz val="9"/>
            <color indexed="81"/>
            <rFont val="Tahoma"/>
            <family val="2"/>
          </rPr>
          <t xml:space="preserve">
Giảm tài sản theo thông tư 45/2013/TT-BTC</t>
        </r>
      </text>
    </comment>
    <comment ref="B60" authorId="0" shapeId="0" xr:uid="{00000000-0006-0000-0800-000003000000}">
      <text>
        <r>
          <rPr>
            <b/>
            <sz val="9"/>
            <color indexed="81"/>
            <rFont val="Tahoma"/>
            <family val="2"/>
          </rPr>
          <t>Author:</t>
        </r>
        <r>
          <rPr>
            <sz val="9"/>
            <color indexed="81"/>
            <rFont val="Tahoma"/>
            <family val="2"/>
          </rPr>
          <t xml:space="preserve">
từ ngày 01 tháng 01 năm 2015, Công ty đã áp dụng trích khấu hao nhanh theo phương pháp số dư giảm dần có điều chỉnh đối với một số tài sản cố định hữu hình là máy móc thiết bị và phương tiện vận tải sử dụng vào hoạt động sản xuất, chiết nạp khí CNG.</t>
        </r>
      </text>
    </comment>
    <comment ref="J74" authorId="0" shapeId="0" xr:uid="{00000000-0006-0000-0800-000004000000}">
      <text>
        <r>
          <rPr>
            <b/>
            <sz val="9"/>
            <color indexed="81"/>
            <rFont val="Tahoma"/>
            <family val="2"/>
          </rPr>
          <t>Author:</t>
        </r>
        <r>
          <rPr>
            <sz val="9"/>
            <color indexed="81"/>
            <rFont val="Tahoma"/>
            <family val="2"/>
          </rPr>
          <t xml:space="preserve">
Giảm tài sản theo thông tư 45/2013/TT-BTC</t>
        </r>
      </text>
    </comment>
    <comment ref="K93" authorId="0" shapeId="0" xr:uid="{00000000-0006-0000-0800-000005000000}">
      <text>
        <r>
          <rPr>
            <b/>
            <sz val="9"/>
            <color indexed="81"/>
            <rFont val="Tahoma"/>
            <family val="2"/>
          </rPr>
          <t>Author:</t>
        </r>
        <r>
          <rPr>
            <sz val="9"/>
            <color indexed="81"/>
            <rFont val="Tahoma"/>
            <family val="2"/>
          </rPr>
          <t xml:space="preserve">
Mua lại TSCĐ thuê tài chính</t>
        </r>
      </text>
    </comment>
    <comment ref="K100" authorId="0" shapeId="0" xr:uid="{00000000-0006-0000-0800-000006000000}">
      <text>
        <r>
          <rPr>
            <b/>
            <sz val="9"/>
            <color indexed="81"/>
            <rFont val="Tahoma"/>
            <family val="2"/>
          </rPr>
          <t>Author:</t>
        </r>
        <r>
          <rPr>
            <sz val="9"/>
            <color indexed="81"/>
            <rFont val="Tahoma"/>
            <family val="2"/>
          </rPr>
          <t xml:space="preserve">
Tăng do mua lại TSC thuê tài chính</t>
        </r>
      </text>
    </comment>
    <comment ref="J119" authorId="0" shapeId="0" xr:uid="{00000000-0006-0000-0800-000007000000}">
      <text>
        <r>
          <rPr>
            <b/>
            <sz val="9"/>
            <color indexed="81"/>
            <rFont val="Tahoma"/>
            <family val="2"/>
          </rPr>
          <t>Author:</t>
        </r>
        <r>
          <rPr>
            <sz val="9"/>
            <color indexed="81"/>
            <rFont val="Tahoma"/>
            <family val="2"/>
          </rPr>
          <t xml:space="preserve">
Giảm tài sản theo thông tư 45/2013/TT-BTC</t>
        </r>
      </text>
    </comment>
    <comment ref="J126" authorId="0" shapeId="0" xr:uid="{00000000-0006-0000-0800-000008000000}">
      <text>
        <r>
          <rPr>
            <b/>
            <sz val="9"/>
            <color indexed="81"/>
            <rFont val="Tahoma"/>
            <family val="2"/>
          </rPr>
          <t>Author:</t>
        </r>
        <r>
          <rPr>
            <sz val="9"/>
            <color indexed="81"/>
            <rFont val="Tahoma"/>
            <family val="2"/>
          </rPr>
          <t xml:space="preserve">
Giảm tài sản theo thông tư 45/2013/TT-BTC</t>
        </r>
      </text>
    </comment>
    <comment ref="N141" authorId="0" shapeId="0" xr:uid="{00000000-0006-0000-0800-000009000000}">
      <text>
        <r>
          <rPr>
            <b/>
            <sz val="9"/>
            <color indexed="81"/>
            <rFont val="Tahoma"/>
            <family val="2"/>
          </rPr>
          <t>Author:</t>
        </r>
        <r>
          <rPr>
            <sz val="9"/>
            <color indexed="81"/>
            <rFont val="Tahoma"/>
            <family val="2"/>
          </rPr>
          <t xml:space="preserve">
Mua đất xây văn phòng</t>
        </r>
      </text>
    </comment>
    <comment ref="B216" authorId="0" shapeId="0" xr:uid="{00000000-0006-0000-0800-00000A000000}">
      <text>
        <r>
          <rPr>
            <b/>
            <sz val="9"/>
            <color indexed="81"/>
            <rFont val="Tahoma"/>
            <family val="2"/>
          </rPr>
          <t>Author:</t>
        </r>
        <r>
          <rPr>
            <sz val="9"/>
            <color indexed="81"/>
            <rFont val="Tahoma"/>
            <family val="2"/>
          </rPr>
          <t xml:space="preserve">
Từ ngày 01/01/2015, CNG đã áp dụng trích khấu hao nhanh theo phương pháp số dư giảm dần có điều chỉnh đối với máy móc thiết bị sử dụng vào hoạt động sản xuất, chiết nạp khí CNG.</t>
        </r>
      </text>
    </comment>
    <comment ref="B227" authorId="0" shapeId="0" xr:uid="{00000000-0006-0000-0800-00000B000000}">
      <text>
        <r>
          <rPr>
            <b/>
            <sz val="9"/>
            <color indexed="81"/>
            <rFont val="Tahoma"/>
            <family val="2"/>
          </rPr>
          <t>Author:</t>
        </r>
        <r>
          <rPr>
            <sz val="9"/>
            <color indexed="81"/>
            <rFont val="Tahoma"/>
            <family val="2"/>
          </rPr>
          <t xml:space="preserve">
Từ ngày 01/01/2015, CNG đã áp dụng trích khấu hao nhanh theo phương pháp số dư giảm dần có điều chỉnh đối với phương tiện vận tải sử dụng vào hoạt động sản xuất, chiết nạp khí CNG.</t>
        </r>
      </text>
    </comment>
    <comment ref="O267" authorId="0" shapeId="0" xr:uid="{00000000-0006-0000-0800-00000C000000}">
      <text>
        <r>
          <rPr>
            <b/>
            <sz val="9"/>
            <color indexed="81"/>
            <rFont val="Tahoma"/>
            <family val="2"/>
          </rPr>
          <t>Author:</t>
        </r>
        <r>
          <rPr>
            <sz val="9"/>
            <color indexed="81"/>
            <rFont val="Tahoma"/>
            <family val="2"/>
          </rPr>
          <t xml:space="preserve">
Nâng cấp thêm 30 triệu Sm3/năm</t>
        </r>
      </text>
    </comment>
    <comment ref="P267" authorId="0" shapeId="0" xr:uid="{00000000-0006-0000-0800-00000D000000}">
      <text>
        <r>
          <rPr>
            <b/>
            <sz val="9"/>
            <color indexed="81"/>
            <rFont val="Tahoma"/>
            <family val="2"/>
          </rPr>
          <t>Author:</t>
        </r>
        <r>
          <rPr>
            <sz val="9"/>
            <color indexed="81"/>
            <rFont val="Tahoma"/>
            <family val="2"/>
          </rPr>
          <t xml:space="preserve">
Đầu tư duy trì</t>
        </r>
      </text>
    </comment>
    <comment ref="O270" authorId="0" shapeId="0" xr:uid="{00000000-0006-0000-0800-00000E000000}">
      <text>
        <r>
          <rPr>
            <b/>
            <sz val="9"/>
            <color indexed="81"/>
            <rFont val="Tahoma"/>
            <family val="2"/>
          </rPr>
          <t>Author:</t>
        </r>
        <r>
          <rPr>
            <sz val="9"/>
            <color indexed="81"/>
            <rFont val="Tahoma"/>
            <family val="2"/>
          </rPr>
          <t xml:space="preserve">
Thay thế và đầu tư duy trì phương tiện vận tải 2 năm lần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K6" authorId="0" shapeId="0" xr:uid="{00000000-0006-0000-0900-000001000000}">
      <text>
        <r>
          <rPr>
            <b/>
            <sz val="9"/>
            <color indexed="81"/>
            <rFont val="Tahoma"/>
            <family val="2"/>
          </rPr>
          <t>Author:</t>
        </r>
        <r>
          <rPr>
            <sz val="9"/>
            <color indexed="81"/>
            <rFont val="Tahoma"/>
            <family val="2"/>
          </rPr>
          <t xml:space="preserve">
lãi vay cơ sở của khoản vay trung hạn áp dụng cho khách hàng doanh nghiệp cộng với biên độ 1,35%/năm.</t>
        </r>
      </text>
    </comment>
    <comment ref="K10" authorId="0" shapeId="0" xr:uid="{00000000-0006-0000-0900-000002000000}">
      <text>
        <r>
          <rPr>
            <b/>
            <sz val="9"/>
            <color indexed="81"/>
            <rFont val="Tahoma"/>
            <family val="2"/>
          </rPr>
          <t>Author:</t>
        </r>
        <r>
          <rPr>
            <sz val="9"/>
            <color indexed="81"/>
            <rFont val="Tahoma"/>
            <family val="2"/>
          </rPr>
          <t xml:space="preserve">
Điều chỉnh 3 tháng một lần theo chính sách của Ngân hàng.</t>
        </r>
      </text>
    </comment>
    <comment ref="K14" authorId="0" shapeId="0" xr:uid="{00000000-0006-0000-0900-000003000000}">
      <text>
        <r>
          <rPr>
            <b/>
            <sz val="9"/>
            <color indexed="81"/>
            <rFont val="Tahoma"/>
            <family val="2"/>
          </rPr>
          <t>Author:</t>
        </r>
        <r>
          <rPr>
            <sz val="9"/>
            <color indexed="81"/>
            <rFont val="Tahoma"/>
            <family val="2"/>
          </rPr>
          <t xml:space="preserve">
LS huy động tiền gửi 12 tháng + 1,5%.</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42" authorId="0" shapeId="0" xr:uid="{00000000-0006-0000-0A00-000001000000}">
      <text>
        <r>
          <rPr>
            <b/>
            <sz val="9"/>
            <color indexed="81"/>
            <rFont val="Tahoma"/>
            <family val="2"/>
          </rPr>
          <t>Author:</t>
        </r>
        <r>
          <rPr>
            <sz val="9"/>
            <color indexed="81"/>
            <rFont val="Tahoma"/>
            <family val="2"/>
          </rPr>
          <t xml:space="preserve">
Non-operating revenues</t>
        </r>
      </text>
    </comment>
    <comment ref="N180" authorId="0" shapeId="0" xr:uid="{00000000-0006-0000-0A00-000002000000}">
      <text>
        <r>
          <rPr>
            <b/>
            <sz val="9"/>
            <color indexed="81"/>
            <rFont val="Tahoma"/>
            <family val="2"/>
          </rPr>
          <t>Author:</t>
        </r>
        <r>
          <rPr>
            <sz val="9"/>
            <color indexed="81"/>
            <rFont val="Tahoma"/>
            <family val="2"/>
          </rPr>
          <t xml:space="preserve">
Kết chuyển 646,668,000 đồng từ nợ dài hạn đến hạn trả</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T25" authorId="0" shapeId="0" xr:uid="{00000000-0006-0000-0B00-000001000000}">
      <text>
        <r>
          <rPr>
            <b/>
            <sz val="9"/>
            <color indexed="81"/>
            <rFont val="Tahoma"/>
            <family val="2"/>
          </rPr>
          <t>Author:</t>
        </r>
        <r>
          <rPr>
            <sz val="9"/>
            <color indexed="81"/>
            <rFont val="Tahoma"/>
            <family val="2"/>
          </rPr>
          <t xml:space="preserve">
Total debt ngành/Total Equity ngành</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8" authorId="0" shapeId="0" xr:uid="{00000000-0006-0000-0D00-000001000000}">
      <text>
        <r>
          <rPr>
            <b/>
            <sz val="9"/>
            <color indexed="81"/>
            <rFont val="Tahoma"/>
            <family val="2"/>
          </rPr>
          <t>Author:</t>
        </r>
        <r>
          <rPr>
            <sz val="9"/>
            <color indexed="81"/>
            <rFont val="Tahoma"/>
            <family val="2"/>
          </rPr>
          <t xml:space="preserve">
http://www.mof.gov.vn/webcenter/portal/kbnn/r/o/tpcp/kqph/kqph_chitiet?dDocName=UCMTMP120966&amp;_adf.ctrl-state=ms8v656ab_4&amp;_afrLoop=44307024387377565#!%40%40%3F_afrLoop%3D44307024387377565%26dDocName%3DUCMTMP120966%26_adf.ctrl-state%3D1cg923t5wd_4</t>
        </r>
      </text>
    </comment>
  </commentList>
</comments>
</file>

<file path=xl/sharedStrings.xml><?xml version="1.0" encoding="utf-8"?>
<sst xmlns="http://schemas.openxmlformats.org/spreadsheetml/2006/main" count="1979" uniqueCount="718">
  <si>
    <t>INCOME STATEMENT</t>
  </si>
  <si>
    <t>Note</t>
  </si>
  <si>
    <t>Revenue</t>
  </si>
  <si>
    <t>Growth%</t>
  </si>
  <si>
    <t>(Đã kiểm toán)</t>
  </si>
  <si>
    <t>TÀI SẢN</t>
  </si>
  <si>
    <t>A. Tài sản ngắn hạn</t>
  </si>
  <si>
    <t>I. Tiền và tương đương tiền</t>
  </si>
  <si>
    <t>1. Tiền</t>
  </si>
  <si>
    <t>2. Các khoản tương đương tiền</t>
  </si>
  <si>
    <t>II. Giá trị thuần đầu tư ngắn hạn</t>
  </si>
  <si>
    <t>1. Đầu tư ngắn hạn</t>
  </si>
  <si>
    <t>2. Dự phòng đầu tư ngắn hạn</t>
  </si>
  <si>
    <t>III. Các khoản phải thu</t>
  </si>
  <si>
    <t>1. Phải thu khách hàng</t>
  </si>
  <si>
    <t>2. Trả trước người bán</t>
  </si>
  <si>
    <t>3. Phải thu nội bộ</t>
  </si>
  <si>
    <t>4. Phải thu về XDCB</t>
  </si>
  <si>
    <t>5. Phải thu khác</t>
  </si>
  <si>
    <t>6. Dự phòng nợ khó đòi</t>
  </si>
  <si>
    <t>IV. Hàng tồn kho, ròng</t>
  </si>
  <si>
    <t>1. Hàng tồn kho</t>
  </si>
  <si>
    <t>2. Dự phòng giảm giá HTK</t>
  </si>
  <si>
    <t>V. Tài sản lưu động khác</t>
  </si>
  <si>
    <t>1. Trả trước ngắn</t>
  </si>
  <si>
    <t>2. Thuế VAT phải thu</t>
  </si>
  <si>
    <t>3. Phải thu thuế khác</t>
  </si>
  <si>
    <t>4. Tài sản lưu động khác</t>
  </si>
  <si>
    <t>B. Tài sản dài hạn</t>
  </si>
  <si>
    <t>I. Phải thu dài hạn</t>
  </si>
  <si>
    <t>1. Phải thu khách hàng dài hạn</t>
  </si>
  <si>
    <t>2. Phải thu nội bộ dài hạn</t>
  </si>
  <si>
    <t>3. Phải thu dài hạn khác</t>
  </si>
  <si>
    <t>4. Dự phòng phải thu dài hạn</t>
  </si>
  <si>
    <t>II. Tài sản cố định</t>
  </si>
  <si>
    <t>1. GTCL TSCĐ hữu hình</t>
  </si>
  <si>
    <t>Nguyên giá TSCĐ hữu hình</t>
  </si>
  <si>
    <t>Khấu hao luỹ kế TSCĐ hữu hình</t>
  </si>
  <si>
    <t>2. GTCL Tài sản thuê tài chính</t>
  </si>
  <si>
    <t>Nguyên giá tài sản thuê tài chính</t>
  </si>
  <si>
    <t>Khấu hao luỹ kế tài sản thuê tài chính</t>
  </si>
  <si>
    <t>3. GTCL tài sản cố định vô hình</t>
  </si>
  <si>
    <t>Nguyên giá TSCĐ vô hình</t>
  </si>
  <si>
    <t>Khấu hao luỹ kế TSCĐ vô hình</t>
  </si>
  <si>
    <t>4. Xây dựng cơ bản dở dang</t>
  </si>
  <si>
    <t>III. Giá trị ròng tài sản đầu tư</t>
  </si>
  <si>
    <t>1. Nguyên giá tài sản đầu tư</t>
  </si>
  <si>
    <t>2. Khấu hao luỹ kế tài sản đầu tư</t>
  </si>
  <si>
    <t>IV. Đầu tư dài hạn</t>
  </si>
  <si>
    <t>1. Đầu tư vào các công ty con</t>
  </si>
  <si>
    <t>2. Đầu tư vào các công ty liên kết</t>
  </si>
  <si>
    <t>3. Đầu tư dài hạn khác</t>
  </si>
  <si>
    <t>4. Dự phòng giảm giá đầu tư dài hạn</t>
  </si>
  <si>
    <t>V. Tài sản dài hạn khác</t>
  </si>
  <si>
    <t>1. Trả trước dài hạn</t>
  </si>
  <si>
    <t>2. Thuế thu nhập hoãn lại phải thu</t>
  </si>
  <si>
    <t>3. Tài sản dài hạn khác</t>
  </si>
  <si>
    <t>TỔNG CỘNG TÀI SẢN</t>
  </si>
  <si>
    <t>NGUỒN VỐN</t>
  </si>
  <si>
    <t>A. Nợ phải trả</t>
  </si>
  <si>
    <t>I. Nợ ngắn hạn</t>
  </si>
  <si>
    <t>1. Vay ngắn hạn</t>
  </si>
  <si>
    <t>2. Phải trả nhà cung cấp ngắn hạn</t>
  </si>
  <si>
    <t>3. Tạm ứng của khách hàng</t>
  </si>
  <si>
    <t>4. Các khoản phải trả về thuế</t>
  </si>
  <si>
    <t>5. Phải trả người lao động</t>
  </si>
  <si>
    <t>6. Chi phí phải trả</t>
  </si>
  <si>
    <t>7. Phải trả nội bộ</t>
  </si>
  <si>
    <t>8. Phải trả về xây dựng cơ bản</t>
  </si>
  <si>
    <t>9. Phải trả khác</t>
  </si>
  <si>
    <t>10. Dự phòng các khoản phải trả ngắn hạn</t>
  </si>
  <si>
    <t>II. Nợ dài hạn</t>
  </si>
  <si>
    <t>1. Phải trả nhà cung cấp dài hạn</t>
  </si>
  <si>
    <t>2. Phải trả nội bộ dài hạn</t>
  </si>
  <si>
    <t>3. Phải trả dài hạn khác</t>
  </si>
  <si>
    <t>4. Vay dài hạn</t>
  </si>
  <si>
    <t>5. Thuế thu nhập hoãn lại phải trả</t>
  </si>
  <si>
    <t>6. Dự phòng trợ cấp thôi việc</t>
  </si>
  <si>
    <t>7. Dự phòng các khoản công nợ dài hạn</t>
  </si>
  <si>
    <t>B. Vốn chủ sở hữu</t>
  </si>
  <si>
    <t>I. Vốn và các quỹ</t>
  </si>
  <si>
    <t>1. Vốn góp</t>
  </si>
  <si>
    <t>2. Thặng dư vốn cổ phần</t>
  </si>
  <si>
    <t>3. Vốn khác</t>
  </si>
  <si>
    <t>4. Cổ phiếu quỹ</t>
  </si>
  <si>
    <t>5. Chênh lệch đánh giá lại tài sản</t>
  </si>
  <si>
    <t>6. Chênh lệch tỷ giá</t>
  </si>
  <si>
    <t>7. Quỹ đầu tư và phát triển</t>
  </si>
  <si>
    <t>8. Quỹ dự phòng tài chính</t>
  </si>
  <si>
    <t>9. Quỹ khác</t>
  </si>
  <si>
    <t>10. Lãi chưa phân phối</t>
  </si>
  <si>
    <t>II. Vốn ngân sách nhà nước và quỹ khác</t>
  </si>
  <si>
    <t>1. Quỹ khen thưởng, phúc lợi</t>
  </si>
  <si>
    <t>2. Vốn ngân sách nhà nước</t>
  </si>
  <si>
    <t>C. Lợi ích cổ đông thiểu số</t>
  </si>
  <si>
    <t>TỔNG CỘNG NGUỒN VỐN</t>
  </si>
  <si>
    <t>Đvt: đồng</t>
  </si>
  <si>
    <t>1. Doanh số</t>
  </si>
  <si>
    <t>2. Các khoản giảm trừ</t>
  </si>
  <si>
    <t>3. Doanh số thuần</t>
  </si>
  <si>
    <t>4. Giá vốn hàng bán</t>
  </si>
  <si>
    <t>5. Lãi gộp</t>
  </si>
  <si>
    <t>6. Thu nhập tài chính</t>
  </si>
  <si>
    <t>7. Chi phí tài chính</t>
  </si>
  <si>
    <t>- Trong đó: Chi phí lãi vay</t>
  </si>
  <si>
    <t>8.Chi phí bán hàng</t>
  </si>
  <si>
    <t>9. Chi phí quản lý doanh nghiệp</t>
  </si>
  <si>
    <t>10 Lãi/(lỗ) từ hoạt động kinh doanh</t>
  </si>
  <si>
    <t>11. Thu nhập khác</t>
  </si>
  <si>
    <t>12. Chi phí khác</t>
  </si>
  <si>
    <t>13. Thu nhập khác, ròng</t>
  </si>
  <si>
    <t>13b. Lãi/(lỗ) từ công ty liên doanh</t>
  </si>
  <si>
    <t>14. Lãi/(lỗ) ròng trước thuế</t>
  </si>
  <si>
    <t>15. Thuế thu nhập doanh nghiệp – hiện thời</t>
  </si>
  <si>
    <t>16. Thuế thu nhập doanh nghiệp – hoãn lại</t>
  </si>
  <si>
    <t>17. Chi phí thuế thu nhập doanh nghiệp</t>
  </si>
  <si>
    <t>18. Lãi/(lỗ) thuần sau thuế</t>
  </si>
  <si>
    <t>19. Lợi ích cổ đông thiểu số</t>
  </si>
  <si>
    <t>20. Cổ đông của Công ty mẹ</t>
  </si>
  <si>
    <t>21. Lãi cơ bản trên cổ phiếu</t>
  </si>
  <si>
    <t>22. Lãi trên cổ phiếu pha loãng</t>
  </si>
  <si>
    <t>na</t>
  </si>
  <si>
    <t>COGS</t>
  </si>
  <si>
    <t>As % Revenue</t>
  </si>
  <si>
    <t>Gross profit</t>
  </si>
  <si>
    <t>Gross margin</t>
  </si>
  <si>
    <t>SG&amp;A</t>
  </si>
  <si>
    <t>Selling expenses</t>
  </si>
  <si>
    <t>Administration expenses</t>
  </si>
  <si>
    <t>I. LƯU CHUYỂN TIỀN TỪ HOẠT ĐỘNG KINH DOANH</t>
  </si>
  <si>
    <t>1. Lãi trước thuế</t>
  </si>
  <si>
    <t>2. Khấu hao TSCĐ</t>
  </si>
  <si>
    <t>3. Chi phí dự phòng</t>
  </si>
  <si>
    <t>4. Lãi/(lỗ) chênh lệch tỷ giá chưa thực hiện</t>
  </si>
  <si>
    <t>5. Lãi/(lỗ) từ thanh lý tài sản cố định</t>
  </si>
  <si>
    <t>6. Lãi/(lỗ) từ hoạt động đầu tư</t>
  </si>
  <si>
    <t>7. Chi phí lãi vay</t>
  </si>
  <si>
    <t>8. Thu lãi và cổ tức</t>
  </si>
  <si>
    <t>9. Lãi/(lỗ) trước những thay đổi vốn cố định</t>
  </si>
  <si>
    <t>10. (Tăng)/giảm các khoản phải thu</t>
  </si>
  <si>
    <t>11. (Tăng)/giảm hàng tồn kho</t>
  </si>
  <si>
    <t>12. Tăng/(giảm) các khoản phải trả</t>
  </si>
  <si>
    <t>13. (Tăng)/giảm chi phí trả trước</t>
  </si>
  <si>
    <t>14. Chi phí lãi vay đã trả</t>
  </si>
  <si>
    <t>15. Thuế TNDN đã nộp</t>
  </si>
  <si>
    <t>16. Tiền thu khác từ các hoạt động kinh doanh</t>
  </si>
  <si>
    <t>17. Tiền chi khác cho hoạt động kinh doanh</t>
  </si>
  <si>
    <t>Lưu chuyển tiền tệ ròng từ các hoạt động sản xuất kinh doanh</t>
  </si>
  <si>
    <t>II. LƯU CHUYỂN TỪ HOẠT ĐỘNG ĐẦU TƯ</t>
  </si>
  <si>
    <t>1. Tiền mua tài sản cố định và các tài sản dài hạn khác</t>
  </si>
  <si>
    <t>2. Tiền thu từ thanh lý, nhượng bán TSCĐ</t>
  </si>
  <si>
    <t>3. Tiền cho vay hoặc mua công cụ nợ</t>
  </si>
  <si>
    <t>4. Tiền thu từ cho vay hoặc thu từ phát hành công cụ nợ</t>
  </si>
  <si>
    <t>5. Đầu tư vào các doanh nghiệp khác</t>
  </si>
  <si>
    <t>6. Tiền thu từ việc bán các khoản đầu tư vào các doanh nghiệp khác</t>
  </si>
  <si>
    <t>7. Cổ tức và tiền lãi nhận được</t>
  </si>
  <si>
    <t>Lưu chuyển tiền tệ ròng từ hoạt động đầu tư</t>
  </si>
  <si>
    <t>III. LƯU CHUYỂN TIỀN TỪ HOẠT ĐỘNG TÀI CHÍNH</t>
  </si>
  <si>
    <t>1. Tiền thu từ phát hành cổ phiếu và vốn góp</t>
  </si>
  <si>
    <t>2. Chi trả cho việc mua lại, trả lại cổ phiếu</t>
  </si>
  <si>
    <t>3. Tiền thu được các khoản đi vay</t>
  </si>
  <si>
    <t>4. Tiển trả các khoản đi vay</t>
  </si>
  <si>
    <t>5. Tiền thanh toán vốn gốc đi thuê tài chính</t>
  </si>
  <si>
    <t>6. Cổ tức đã trả</t>
  </si>
  <si>
    <t>7. Tiền lãi đã nhận</t>
  </si>
  <si>
    <t>Lưu chuyển tiền tệ từ hoạt động tài chính</t>
  </si>
  <si>
    <t>Lưu chuyển tiền thuần trong kỳ</t>
  </si>
  <si>
    <t>Tiền và các khoản tương đương tiền đầu kỳ</t>
  </si>
  <si>
    <t>Ảnh hưởng của chênh lệch tỷ giá</t>
  </si>
  <si>
    <t>Tiền và các khoản tương đương tiền cuối kỳ</t>
  </si>
  <si>
    <t>As % revenue</t>
  </si>
  <si>
    <t>EBITDA</t>
  </si>
  <si>
    <t>EBITDA margin</t>
  </si>
  <si>
    <t>Depreciation</t>
  </si>
  <si>
    <t>As % prior fixed assets</t>
  </si>
  <si>
    <t>Amortization of intangibles</t>
  </si>
  <si>
    <t>EBIT</t>
  </si>
  <si>
    <t>EBIT margin</t>
  </si>
  <si>
    <t>Non-Operating expenses</t>
  </si>
  <si>
    <t>Gain (loss) on asset sales</t>
  </si>
  <si>
    <t>Gross proceeds from asset sales</t>
  </si>
  <si>
    <t>Book value of assets sold</t>
  </si>
  <si>
    <t>Financial Revenues</t>
  </si>
  <si>
    <t>Interest income</t>
  </si>
  <si>
    <t>Excess cash</t>
  </si>
  <si>
    <t>Operating cash</t>
  </si>
  <si>
    <t>Marketable securties</t>
  </si>
  <si>
    <t>Profits/dividends receive</t>
  </si>
  <si>
    <t>Gain from Foreign exchange differences</t>
  </si>
  <si>
    <t>Others</t>
  </si>
  <si>
    <t>Earning before taxes (EBT)</t>
  </si>
  <si>
    <t>EBT margin</t>
  </si>
  <si>
    <t>Financial Expenses</t>
  </si>
  <si>
    <t>Interest expenses</t>
  </si>
  <si>
    <t>Revolver</t>
  </si>
  <si>
    <t>Short-term notes</t>
  </si>
  <si>
    <t>Loss from Foreign exchange differences</t>
  </si>
  <si>
    <t>Provision for taxes</t>
  </si>
  <si>
    <t>Tax rate %</t>
  </si>
  <si>
    <t>Equity earnings in affiliates</t>
  </si>
  <si>
    <t>Percent growth %</t>
  </si>
  <si>
    <t>Net income</t>
  </si>
  <si>
    <t>Net margin</t>
  </si>
  <si>
    <t>Minority interest in earnings</t>
  </si>
  <si>
    <t>Net Income Attributable to Controlling Interest</t>
  </si>
  <si>
    <t>Parent company</t>
  </si>
  <si>
    <t>Subsidiaries</t>
  </si>
  <si>
    <t>Affiliates</t>
  </si>
  <si>
    <t>Welfare Fund</t>
  </si>
  <si>
    <t>As % earnings after taxes in year (t-1)</t>
  </si>
  <si>
    <t>Preferred dividends</t>
  </si>
  <si>
    <t>Yield (see BS for input)</t>
  </si>
  <si>
    <t>Net income available to common shareholders</t>
  </si>
  <si>
    <t>Common dividends</t>
  </si>
  <si>
    <t>Payout ratio %</t>
  </si>
  <si>
    <t>% Par value</t>
  </si>
  <si>
    <t>Net to retained earnings</t>
  </si>
  <si>
    <t>Number of shares outstanding (average basic)</t>
  </si>
  <si>
    <t>EPS</t>
  </si>
  <si>
    <t>Basic EPS</t>
  </si>
  <si>
    <t>BALANCE SHEET</t>
  </si>
  <si>
    <t>ASSETS</t>
  </si>
  <si>
    <t>Interest rate %</t>
  </si>
  <si>
    <t>Short-term invesments</t>
  </si>
  <si>
    <t>% growth</t>
  </si>
  <si>
    <t>Accounts receivable from customers</t>
  </si>
  <si>
    <t>Days of AR</t>
  </si>
  <si>
    <t>Prepayments to suppliers</t>
  </si>
  <si>
    <t>% Purchasing value</t>
  </si>
  <si>
    <t>Other short-term receivables</t>
  </si>
  <si>
    <t>Allowance for doubtful debts</t>
  </si>
  <si>
    <t>% AR from customers</t>
  </si>
  <si>
    <t>Inventory</t>
  </si>
  <si>
    <t>Days of Inventory</t>
  </si>
  <si>
    <t>Other current assets</t>
  </si>
  <si>
    <t>CURRENT ASSETS</t>
  </si>
  <si>
    <t>Net PPE</t>
  </si>
  <si>
    <t>Capex</t>
  </si>
  <si>
    <t>Intangibles</t>
  </si>
  <si>
    <t>Amortization</t>
  </si>
  <si>
    <t>Amortization (accumulated)</t>
  </si>
  <si>
    <t>Other Long-term assets</t>
  </si>
  <si>
    <t>NON-CURRENT ASSETS</t>
  </si>
  <si>
    <t>TOTAL ASSETS</t>
  </si>
  <si>
    <t>Check</t>
  </si>
  <si>
    <t>Long-term Accounts receivable (AR)</t>
  </si>
  <si>
    <t>Short-term Account receivable (AR)</t>
  </si>
  <si>
    <t>Short-term Accounts receivable (AR)</t>
  </si>
  <si>
    <t>LIABILITIES</t>
  </si>
  <si>
    <t>Days of Payables</t>
  </si>
  <si>
    <t>Other current liabilities</t>
  </si>
  <si>
    <t>Payables to employees</t>
  </si>
  <si>
    <t>Short-term trade payable</t>
  </si>
  <si>
    <t xml:space="preserve">Taxes and amounts payable to the State budget </t>
  </si>
  <si>
    <t>CURRENT LIABILITIES</t>
  </si>
  <si>
    <t>New (amortization)</t>
  </si>
  <si>
    <t>Long-term liabilities</t>
  </si>
  <si>
    <t>NON-CURRENT LIABILITIES</t>
  </si>
  <si>
    <t>TOTAL LIABILITIES</t>
  </si>
  <si>
    <t>MINORITY INTEREST</t>
  </si>
  <si>
    <t>Minority interest</t>
  </si>
  <si>
    <t>Minority interest earnings</t>
  </si>
  <si>
    <t>SHARE HOLDER'S EQUITY</t>
  </si>
  <si>
    <t>Common stock</t>
  </si>
  <si>
    <t>Retained earnings</t>
  </si>
  <si>
    <t>Other equity accounts</t>
  </si>
  <si>
    <t>Shareholder's equity</t>
  </si>
  <si>
    <t>TOTAL LIABS, MIN INTEREST, EQUITY</t>
  </si>
  <si>
    <t>Balance check</t>
  </si>
  <si>
    <t xml:space="preserve">Investment and development fund </t>
  </si>
  <si>
    <t>Other owner's capital</t>
  </si>
  <si>
    <t>Assets without Excess cash</t>
  </si>
  <si>
    <t>Total equity without Revolver</t>
  </si>
  <si>
    <t>GIẢ ĐỊNH VỀ ĐỊNH GIÁ</t>
  </si>
  <si>
    <t>Tham số định giá</t>
  </si>
  <si>
    <t>Giai đoạn dự phóng chi tiết</t>
  </si>
  <si>
    <t>Lãi suất phi rủi ro</t>
  </si>
  <si>
    <t>Beta (U)</t>
  </si>
  <si>
    <t>Equity risk premium (ERP)</t>
  </si>
  <si>
    <t>ERP tính toán</t>
  </si>
  <si>
    <t>ERP tùy chọn</t>
  </si>
  <si>
    <t>Giai đoạn tăng trưởng dài hạn</t>
  </si>
  <si>
    <t>D/(D+E) mục tiêu</t>
  </si>
  <si>
    <t>D/E mục tiêu</t>
  </si>
  <si>
    <t>Ke mục tiêu</t>
  </si>
  <si>
    <t>Chi phí lãi vay dài hạn</t>
  </si>
  <si>
    <t>Thuế suất tại năm cuối dự phóng</t>
  </si>
  <si>
    <t>Chi phí lãi vay dài hạn sau thuế</t>
  </si>
  <si>
    <t>WACC mục tiêu</t>
  </si>
  <si>
    <t>WACC tính toán</t>
  </si>
  <si>
    <t>WACC tùy chọn</t>
  </si>
  <si>
    <t>Tăng trưởng dài hạn</t>
  </si>
  <si>
    <t>SLCP hiện tại (triệu CP)</t>
  </si>
  <si>
    <t>SLCP pha loãng tối đa (triệu CP)</t>
  </si>
  <si>
    <t>DCF Valuation</t>
  </si>
  <si>
    <t>FCFF</t>
  </si>
  <si>
    <t>FCFE</t>
  </si>
  <si>
    <t>Long-term growth</t>
  </si>
  <si>
    <t>PV of FCF</t>
  </si>
  <si>
    <t>PV of Terminal value</t>
  </si>
  <si>
    <t>Terminal value % of total PV of FCF</t>
  </si>
  <si>
    <t>Add: cash &amp; ST investments</t>
  </si>
  <si>
    <t>Enterprise value (EV)</t>
  </si>
  <si>
    <t>Less: short and long-term debt</t>
  </si>
  <si>
    <t>Equity value</t>
  </si>
  <si>
    <t>Diluted Outstanding shares (million)</t>
  </si>
  <si>
    <t>Price per share</t>
  </si>
  <si>
    <t>GIẢ ĐỊNH VỀ HOẠT ĐỘNG KINH DOANH</t>
  </si>
  <si>
    <t>YoY</t>
  </si>
  <si>
    <t>Exchange rate (USD/VND)</t>
  </si>
  <si>
    <t>REVENUE (price - sale - volume)</t>
  </si>
  <si>
    <t>Doanh thu thuần</t>
  </si>
  <si>
    <t>Công suất thiết kế (Triệu Sm3/năm)</t>
  </si>
  <si>
    <t>Nhà máy miền Bắc</t>
  </si>
  <si>
    <t>Khí thiên nhiên nén</t>
  </si>
  <si>
    <t>% hoạt động</t>
  </si>
  <si>
    <t>Growth</t>
  </si>
  <si>
    <t>Doanh thu (tỷ đồng)</t>
  </si>
  <si>
    <t>Nhà máy Phú Mỹ</t>
  </si>
  <si>
    <t>Sản lượng thực tế (Triệu Sm3/năm)</t>
  </si>
  <si>
    <t>Sản lượng thực tế (Sm3/năm)</t>
  </si>
  <si>
    <t>Giá bán khí (USD/MMBtu)</t>
  </si>
  <si>
    <t>Phương án 1:</t>
  </si>
  <si>
    <t>Nguyên liệu, vật liệu</t>
  </si>
  <si>
    <t>Nhân công</t>
  </si>
  <si>
    <t>Khấu hao TSCĐ</t>
  </si>
  <si>
    <t>Chi phí dịch vụ mua ngoài</t>
  </si>
  <si>
    <t>Khác</t>
  </si>
  <si>
    <t>Chi phí quản lý doanh nghiệp</t>
  </si>
  <si>
    <t>Chi phí bán hàng</t>
  </si>
  <si>
    <t>Chi phí khác</t>
  </si>
  <si>
    <t>% As revenue (excl Depr)</t>
  </si>
  <si>
    <t>% As revenue (incl Depr)</t>
  </si>
  <si>
    <t>Hoàn nhập dự phòng nợ phải thu khó đòi</t>
  </si>
  <si>
    <t>CP nhân viên quản lý</t>
  </si>
  <si>
    <t>CP đồ dùng văn phòng</t>
  </si>
  <si>
    <t>CP khấu hao TSCĐ</t>
  </si>
  <si>
    <t>CP dịch vụ mua ngoài</t>
  </si>
  <si>
    <t>% As revenue</t>
  </si>
  <si>
    <t>Fixed Assets</t>
  </si>
  <si>
    <t>TÀI SẢN CỐ ĐỊNH</t>
  </si>
  <si>
    <t>Tài sản cố định cuối kỳ</t>
  </si>
  <si>
    <t>Khấu hao trong kỳ</t>
  </si>
  <si>
    <t>Trong đó: Capex duy trì</t>
  </si>
  <si>
    <t>Tài sản dở dang dài hạn</t>
  </si>
  <si>
    <t>Tài sản cố định hữu hình</t>
  </si>
  <si>
    <t xml:space="preserve">  - Nguyên giá</t>
  </si>
  <si>
    <t xml:space="preserve">  - Giá trị hao mòn lũy kế</t>
  </si>
  <si>
    <t>Tài sản cố định vô hình</t>
  </si>
  <si>
    <t>CHI PHÍ XÂY DỰNG DỞ DANG</t>
  </si>
  <si>
    <t xml:space="preserve">  - Số dư đầu kỳ</t>
  </si>
  <si>
    <t xml:space="preserve">  - Chuyển sang tài sản cố định hữu hình</t>
  </si>
  <si>
    <t xml:space="preserve">  - Chuyển sang tài sản cố định vô hình</t>
  </si>
  <si>
    <t xml:space="preserve">  - Tăng thêm trong kỳ</t>
  </si>
  <si>
    <t xml:space="preserve">  - Đánh giá lại</t>
  </si>
  <si>
    <t xml:space="preserve">  - Chuyển từ chi phí trả trước dài hạn</t>
  </si>
  <si>
    <t xml:space="preserve">  - Số dư cuối kỳ</t>
  </si>
  <si>
    <t>TÀI SẢN CỐ ĐỊNH HỮU HÌNH</t>
  </si>
  <si>
    <t>Nguyên giá</t>
  </si>
  <si>
    <t>Nhà xưởng và vật kiến trúc</t>
  </si>
  <si>
    <t>Số dư đầu kỳ</t>
  </si>
  <si>
    <t>Thanh lý, nhượng bán</t>
  </si>
  <si>
    <t>Giảm khác trong kỳ</t>
  </si>
  <si>
    <t>Nguyên giá cuối kỳ</t>
  </si>
  <si>
    <t>Giá trị hao mòn lũy kế</t>
  </si>
  <si>
    <t>Giá trị hao mòn lũy kế cuối kỳ</t>
  </si>
  <si>
    <t xml:space="preserve">   Số dư đầu kỳ</t>
  </si>
  <si>
    <t xml:space="preserve">   Số dư cuối kỳ</t>
  </si>
  <si>
    <t xml:space="preserve">     - Giá trị còn lại của tài sản cuối 2016</t>
  </si>
  <si>
    <t xml:space="preserve">     - Giá trị còn lại của tài sản đầu tư thêm năm 2017</t>
  </si>
  <si>
    <t xml:space="preserve">     - Giá trị còn lại của tài sản đầu tư thêm năm 2018</t>
  </si>
  <si>
    <t xml:space="preserve">     - Giá trị còn lại của tài sản đầu tư thêm năm 2019</t>
  </si>
  <si>
    <t xml:space="preserve">     - Giá trị còn lại của tài sản đầu tư thêm năm 2020</t>
  </si>
  <si>
    <t xml:space="preserve">     - Giá trị còn lại của tài sản đầu tư thêm năm 2021</t>
  </si>
  <si>
    <t xml:space="preserve">     - Giá trị còn lại của tài sản đầu tư thêm năm 2022</t>
  </si>
  <si>
    <t>Máy móc thiết bị</t>
  </si>
  <si>
    <t>Tăng trong năm</t>
  </si>
  <si>
    <t>Kết chuyển từ XDCB dở dang</t>
  </si>
  <si>
    <t>Phân loại lại</t>
  </si>
  <si>
    <t>Phương tiện vận tải</t>
  </si>
  <si>
    <t>Thiết bị văn phòng</t>
  </si>
  <si>
    <t>TÀI SẢN CỐ ĐỊNH VÔ HÌNH</t>
  </si>
  <si>
    <t>XÂY DỰNG CƠ BẢN DỞ DANG</t>
  </si>
  <si>
    <t>Thời gian khấu hao (năm)</t>
  </si>
  <si>
    <t>Min</t>
  </si>
  <si>
    <t>Max</t>
  </si>
  <si>
    <t>Thời gian khấu hao bình quân</t>
  </si>
  <si>
    <t>Thời gian khấu hao</t>
  </si>
  <si>
    <t>TSCĐ vô hình</t>
  </si>
  <si>
    <t>Nhà xưởng, vật kiến trúc</t>
  </si>
  <si>
    <t>Máy móc và thiết bị</t>
  </si>
  <si>
    <t>TS cũ cuối năm 2016</t>
  </si>
  <si>
    <t>TS mới tăng thêm năm 2017</t>
  </si>
  <si>
    <t>TS mới tăng thêm năm 2018</t>
  </si>
  <si>
    <t>TS mới tăng thêm năm 2019</t>
  </si>
  <si>
    <t>TS mới tăng thêm năm 2020</t>
  </si>
  <si>
    <t>TS mới tăng thêm năm 2021</t>
  </si>
  <si>
    <t>TS mới tăng thêm năm 2022</t>
  </si>
  <si>
    <t>Khấu hao</t>
  </si>
  <si>
    <t>Bảng tính khấu hao tài sản</t>
  </si>
  <si>
    <t>Coal price (USD/tấn)</t>
  </si>
  <si>
    <t>ERP</t>
  </si>
  <si>
    <t>VNINDEX</t>
  </si>
  <si>
    <t>S&amp;P 500</t>
  </si>
  <si>
    <t>Date</t>
  </si>
  <si>
    <t>Last price</t>
  </si>
  <si>
    <t>Thay đổi</t>
  </si>
  <si>
    <t>2007 - 2017</t>
  </si>
  <si>
    <t>Stdev VN</t>
  </si>
  <si>
    <t>Tương quan</t>
  </si>
  <si>
    <t>Method 1</t>
  </si>
  <si>
    <t>ERP VN = ERP US * (Std Dev VN/ Std Dev US)</t>
  </si>
  <si>
    <t>ERP US</t>
  </si>
  <si>
    <t>Hệ số điều chỉnh</t>
  </si>
  <si>
    <t>ERP VN</t>
  </si>
  <si>
    <t>Damodaran</t>
  </si>
  <si>
    <t>Stdev US</t>
  </si>
  <si>
    <t>ERP VN = ERP US + CRP VN (không điều chỉnh)</t>
  </si>
  <si>
    <t>Chênh lệch CDS</t>
  </si>
  <si>
    <t>ERP VN = ERP US + CRP VN (có điều chỉnh)</t>
  </si>
  <si>
    <t>ERP VN (bình quân)</t>
  </si>
  <si>
    <t>Change</t>
  </si>
  <si>
    <t>2011-2017</t>
  </si>
  <si>
    <t>Beta (L)</t>
  </si>
  <si>
    <t>D/E</t>
  </si>
  <si>
    <t>Thuế suất</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</si>
  <si>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</si>
  <si>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</si>
  <si>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</si>
  <si>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</si>
  <si>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</si>
  <si>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</si>
  <si>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</si>
  <si>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</si>
  <si>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</si>
  <si>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</si>
  <si>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</si>
  <si>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</si>
  <si>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</si>
  <si>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</si>
  <si>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</si>
  <si>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</si>
  <si>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</si>
  <si>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</si>
  <si>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</si>
  <si>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</si>
  <si>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</si>
  <si>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</si>
  <si>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</si>
  <si>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</si>
  <si>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X Variable 1</t>
  </si>
  <si>
    <t>Y2007</t>
  </si>
  <si>
    <t>Y2008</t>
  </si>
  <si>
    <t>Y2009</t>
  </si>
  <si>
    <t>Y2010</t>
  </si>
  <si>
    <t>Y2011</t>
  </si>
  <si>
    <t>Y2012</t>
  </si>
  <si>
    <t>Y2013</t>
  </si>
  <si>
    <t>Y2014</t>
  </si>
  <si>
    <t>Y2015</t>
  </si>
  <si>
    <t>Y2016</t>
  </si>
  <si>
    <t>Q3 2010</t>
  </si>
  <si>
    <t>Q1 2011</t>
  </si>
  <si>
    <t>Q2 2011</t>
  </si>
  <si>
    <t>Q3 2011</t>
  </si>
  <si>
    <t>Q4 2011</t>
  </si>
  <si>
    <t>Q1 2012</t>
  </si>
  <si>
    <t>Q2 2012</t>
  </si>
  <si>
    <t>Q3 2012</t>
  </si>
  <si>
    <t>Q4 2012</t>
  </si>
  <si>
    <t>Q1 2013</t>
  </si>
  <si>
    <t>Q2 2013</t>
  </si>
  <si>
    <t>Q3 2013</t>
  </si>
  <si>
    <t>Q4 2013</t>
  </si>
  <si>
    <t>Q1 2014</t>
  </si>
  <si>
    <t>Q2 2014</t>
  </si>
  <si>
    <t>Q3 2014</t>
  </si>
  <si>
    <t>Q4 2014</t>
  </si>
  <si>
    <t>Q1 2015</t>
  </si>
  <si>
    <t>Q2 2015</t>
  </si>
  <si>
    <t>Q3 2015</t>
  </si>
  <si>
    <t>Q4 2015</t>
  </si>
  <si>
    <t>Q1 2016</t>
  </si>
  <si>
    <t>Q2 2016</t>
  </si>
  <si>
    <t>Q3 2016</t>
  </si>
  <si>
    <t>Q4 2016</t>
  </si>
  <si>
    <t>Q1 2017</t>
  </si>
  <si>
    <t>Q2 2017</t>
  </si>
  <si>
    <t>(Đã soát xét)</t>
  </si>
  <si>
    <t>(Chưa soát xét)</t>
  </si>
  <si>
    <t>Báo cáo KQKD</t>
  </si>
  <si>
    <t>VND</t>
  </si>
  <si>
    <t>Bảng CĐKT</t>
  </si>
  <si>
    <t>BÁO CÁO TÀI CHÍNH</t>
  </si>
  <si>
    <t>THÔNG TIN KHOẢN VAY</t>
  </si>
  <si>
    <t>Số cuối năm</t>
  </si>
  <si>
    <t>Tăng</t>
  </si>
  <si>
    <t>Giảm</t>
  </si>
  <si>
    <t>Số đầu năm</t>
  </si>
  <si>
    <t>Gốc vay</t>
  </si>
  <si>
    <t>Thời điểm vay</t>
  </si>
  <si>
    <t>Kỳ hạn (tháng)</t>
  </si>
  <si>
    <t>Lãi suất năm</t>
  </si>
  <si>
    <t>Loại lãi suất</t>
  </si>
  <si>
    <t>Kỳ điều chỉnh</t>
  </si>
  <si>
    <t>NỢ VAY</t>
  </si>
  <si>
    <t>NỢ VAY MỚI</t>
  </si>
  <si>
    <t>NỢ VAY CŨ</t>
  </si>
  <si>
    <t>Techcombank (i)</t>
  </si>
  <si>
    <t>ABBank (ii)</t>
  </si>
  <si>
    <t>Sacombank (ii)</t>
  </si>
  <si>
    <t>Dự nợ gốc cuối năm</t>
  </si>
  <si>
    <t>Trả nợ gốc hàng năm</t>
  </si>
  <si>
    <t>Lãi vay hàng năm</t>
  </si>
  <si>
    <t>floating</t>
  </si>
  <si>
    <t>Hạn mức tín dụng</t>
  </si>
  <si>
    <t>Vay trung dài hạn ngân hàng</t>
  </si>
  <si>
    <t>Tổng</t>
  </si>
  <si>
    <t>TỔNG HỢP NỢ VAY TRUNG DÀI HẠN</t>
  </si>
  <si>
    <t>Dư nợ gốc cuối năm</t>
  </si>
  <si>
    <t>Exchange rate (VND/USD)</t>
  </si>
  <si>
    <t>Crude oil price (USD/bbl)</t>
  </si>
  <si>
    <t>Account receivable (AR)</t>
  </si>
  <si>
    <t>Current assets</t>
  </si>
  <si>
    <t>Long-term assets</t>
  </si>
  <si>
    <t>Non-current assets</t>
  </si>
  <si>
    <t>Total assets</t>
  </si>
  <si>
    <t xml:space="preserve">Account payable </t>
  </si>
  <si>
    <t>Current liabilities</t>
  </si>
  <si>
    <t>Non-current liabilities</t>
  </si>
  <si>
    <t>Total liabilities</t>
  </si>
  <si>
    <t>Total Liabilities &amp; Equity</t>
  </si>
  <si>
    <t>Net working capital</t>
  </si>
  <si>
    <t>Change in NWC</t>
  </si>
  <si>
    <t>D/(D+E)</t>
  </si>
  <si>
    <t>CASH FLOW</t>
  </si>
  <si>
    <t>Add back:</t>
  </si>
  <si>
    <t>(Gain) loss on asset sales</t>
  </si>
  <si>
    <t>Operating profit before change in WC</t>
  </si>
  <si>
    <t>(Incr) decr in Operating cash</t>
  </si>
  <si>
    <t>(Incr) decr in Account receivable</t>
  </si>
  <si>
    <t>(Incr) decr in Inventory</t>
  </si>
  <si>
    <t>(Incr) decr in Other current assets</t>
  </si>
  <si>
    <t>Incr (decr) in Account payable</t>
  </si>
  <si>
    <t>Incr (decr) in Other current liabilities</t>
  </si>
  <si>
    <t>(Incr) decr in Operating working capital</t>
  </si>
  <si>
    <t>Other payments for operating activities</t>
  </si>
  <si>
    <t>(Incr) decr in Long-term assets</t>
  </si>
  <si>
    <t>Incr (decr) in Long-term liabilities</t>
  </si>
  <si>
    <t>Net Cashflow from Operations (CFO)</t>
  </si>
  <si>
    <t>Proceed from sale of assets</t>
  </si>
  <si>
    <t>(Incr) decr in ST investments</t>
  </si>
  <si>
    <t>Net Cashflow from Invesments (CFI)</t>
  </si>
  <si>
    <t>Incr (decr) in Short-term notes &amp; Revolver</t>
  </si>
  <si>
    <t>Other incr (decr) in minority interest</t>
  </si>
  <si>
    <t>Incr (decr) in common stock</t>
  </si>
  <si>
    <t>Other incr (decr) in other equity accounts</t>
  </si>
  <si>
    <t>Net Cashflow from financing (CFF)</t>
  </si>
  <si>
    <t>Net Cashflow during the year</t>
  </si>
  <si>
    <t>Cash &amp; Cash Equivalent at the beginning of the year</t>
  </si>
  <si>
    <t>Cash &amp; Cash Equivalent at the end of the year</t>
  </si>
  <si>
    <t>Ratio</t>
  </si>
  <si>
    <t>SIZE</t>
  </si>
  <si>
    <t>Basic Outstanding share (million)</t>
  </si>
  <si>
    <t>Total equity</t>
  </si>
  <si>
    <t>PROFITABILITY RATIOS</t>
  </si>
  <si>
    <t>ROA</t>
  </si>
  <si>
    <t>ROE</t>
  </si>
  <si>
    <t>Sales/FCFF</t>
  </si>
  <si>
    <t>EFFICIENCY RATIOS</t>
  </si>
  <si>
    <t>Days AR on hands</t>
  </si>
  <si>
    <t>Day Invenroty on hands</t>
  </si>
  <si>
    <t>Day AP</t>
  </si>
  <si>
    <t>Sales/Net fix assets</t>
  </si>
  <si>
    <t>Sales/Total assets</t>
  </si>
  <si>
    <t>LIQUIDITY RATIOS</t>
  </si>
  <si>
    <t>Working capital</t>
  </si>
  <si>
    <t>Operating working capital</t>
  </si>
  <si>
    <t>Current ratio</t>
  </si>
  <si>
    <t>Quick ratio</t>
  </si>
  <si>
    <t>Cash ratio</t>
  </si>
  <si>
    <t>LEVERAGE RATIOS</t>
  </si>
  <si>
    <t>Total liabilities/Total Equity</t>
  </si>
  <si>
    <t>Total Debt to Assets</t>
  </si>
  <si>
    <t>Total Debt to Equity</t>
  </si>
  <si>
    <t>Net Debt to Equity</t>
  </si>
  <si>
    <t>Total debt/EBITDA</t>
  </si>
  <si>
    <t>Net debt/EBITDA</t>
  </si>
  <si>
    <t>Crude Oil price (USD/thùng)</t>
  </si>
  <si>
    <t>VALUATION</t>
  </si>
  <si>
    <t>Valuation date</t>
  </si>
  <si>
    <t>Valuation Date to Year-End (year)</t>
  </si>
  <si>
    <t>FCFF Method</t>
  </si>
  <si>
    <t>Less: Financial Revenue</t>
  </si>
  <si>
    <t>Add: Depreciation</t>
  </si>
  <si>
    <t>Add: Allowance</t>
  </si>
  <si>
    <t>Less: Capex</t>
  </si>
  <si>
    <t>(Increase) / Decreace in NWC</t>
  </si>
  <si>
    <t>Add: Interest Expenses*(1-t)</t>
  </si>
  <si>
    <t>Full year FCFF</t>
  </si>
  <si>
    <t>Less: Pre-valuation date flows</t>
  </si>
  <si>
    <t>Discountable FCFF</t>
  </si>
  <si>
    <t>Constant Growth</t>
  </si>
  <si>
    <t>WACC target</t>
  </si>
  <si>
    <t>Discount Factor</t>
  </si>
  <si>
    <t>PV of FCFF</t>
  </si>
  <si>
    <t>Total PV of FCFF</t>
  </si>
  <si>
    <t>Terminal Value</t>
  </si>
  <si>
    <t>PV of Terminal Value</t>
  </si>
  <si>
    <t>Enterprise Value</t>
  </si>
  <si>
    <t>Equity Value</t>
  </si>
  <si>
    <t>+ Excess cash + ST investments</t>
  </si>
  <si>
    <t>- Debt</t>
  </si>
  <si>
    <t>Equity Value per share</t>
  </si>
  <si>
    <t>WACC dự phóng 2017-2022</t>
  </si>
  <si>
    <t>Lãi suất phi  rủi ro</t>
  </si>
  <si>
    <t>Phần bù rủi ro thị trường</t>
  </si>
  <si>
    <t>Thuế suất TNDN</t>
  </si>
  <si>
    <t>Chi phí vốn CSH (Ke)</t>
  </si>
  <si>
    <t>Chi phí vay nợ dài hạn (Kd)</t>
  </si>
  <si>
    <t>Chi phí vốn bình quân (WACC)</t>
  </si>
  <si>
    <t>% As Revenue</t>
  </si>
  <si>
    <t>Chi phí SXKD theo yếu tố</t>
  </si>
  <si>
    <t>CP nguyên liệu, vật liệu</t>
  </si>
  <si>
    <t>CP nhân công</t>
  </si>
  <si>
    <t>CP khác bằng tiền</t>
  </si>
  <si>
    <t>Phân bổ CP khấu hao</t>
  </si>
  <si>
    <t>CP quản lý DN</t>
  </si>
  <si>
    <t>Giá vốn hàng bán</t>
  </si>
  <si>
    <t xml:space="preserve"> </t>
  </si>
  <si>
    <t xml:space="preserve">  - Khấu hao trong kỳ</t>
  </si>
  <si>
    <t>Phương án 2:</t>
  </si>
  <si>
    <t>Gross profit margin by product w/o depreciation</t>
  </si>
  <si>
    <t>Diluted Number of share outstanding</t>
  </si>
  <si>
    <t>Thời gian trích khấu hao của TSCĐ</t>
  </si>
  <si>
    <t>CAPEX</t>
  </si>
  <si>
    <t>Nhà cửa vật kiến trúc</t>
  </si>
  <si>
    <r>
      <t xml:space="preserve">Đến 4 năm (t </t>
    </r>
    <r>
      <rPr>
        <sz val="11"/>
        <rFont val="Calibri"/>
        <family val="2"/>
      </rPr>
      <t>≤ 4 năm)</t>
    </r>
  </si>
  <si>
    <t>Trên 4 đến 6 năm (4 năm &lt; t ≤  6 năm)</t>
  </si>
  <si>
    <t>Trên 6 năm (t &gt; 6 năm)</t>
  </si>
  <si>
    <t>Hệ số điều chỉnh khi thực hiện khấu hao giảm dần</t>
  </si>
  <si>
    <t>Constant growth</t>
  </si>
  <si>
    <t>FCFE Method</t>
  </si>
  <si>
    <t>Add: Net borrowing</t>
  </si>
  <si>
    <t>Full year FCFE</t>
  </si>
  <si>
    <t>Discountable FCFE</t>
  </si>
  <si>
    <t>Ke target</t>
  </si>
  <si>
    <t>Total PV of FCFE</t>
  </si>
  <si>
    <t>Equity Value from Operating assets</t>
  </si>
  <si>
    <t>Giá trị nội tại mỗi cổ phần (VND)</t>
  </si>
  <si>
    <t>WACC</t>
  </si>
  <si>
    <t>Price per Share (VND)</t>
  </si>
  <si>
    <t>Cost of Equity</t>
  </si>
  <si>
    <t>Gross profit w/o depreciation</t>
  </si>
  <si>
    <t>COGS w/o depreciation</t>
  </si>
  <si>
    <t>Depreciation in COGS</t>
  </si>
  <si>
    <t>COGS include Depreciation</t>
  </si>
  <si>
    <t>Depreciation in COGS as Revenue</t>
  </si>
  <si>
    <t>CNG - Biên LN gộp (không tính khấu hao)</t>
  </si>
  <si>
    <t>CNG - Giá bán (USD/MMBtu)</t>
  </si>
  <si>
    <t>Note: Tốc độ tăng trưởng ngành khí toàn cầu giai đoạn 1996-2016 trung bình 2-3%/năm</t>
  </si>
  <si>
    <t>Dư nợ gốc đầu năm</t>
  </si>
  <si>
    <t>Vay thêm trong năm</t>
  </si>
  <si>
    <t>GIÁ BÁN VÀ BIÊN LỢI NHUẬN GỘP</t>
  </si>
  <si>
    <t>Dự phóng chi tiết từ CNG Forecast</t>
  </si>
  <si>
    <t>Dự phóng chi tiết từ sheet Fixed Assets (F)</t>
  </si>
  <si>
    <t>Bình quân 9 năm</t>
  </si>
  <si>
    <t>CNG không có công ty con</t>
  </si>
  <si>
    <t>CNG không bị ảnh hưởng nhiều về tỷ giá</t>
  </si>
  <si>
    <t>Tính toán dựa trên số dư Revolver line 199</t>
  </si>
  <si>
    <t>Tính toán dựa trên bảng tính Nợ vay dài hạn LT.Debt(F)</t>
  </si>
  <si>
    <t>CNG được miễn thuế thu nhập trong 02 năm kể từ năm 2009 và được giảm 50% thuế suất áp dụng nêu trên cho 06 năm tiếp theo (từ năm 2011), kể từ năm 2016 hết thời gian hưởng ưu đãi thuế.</t>
  </si>
  <si>
    <t>Không phát sinh do CNG không có công ty LDLK</t>
  </si>
  <si>
    <t>Căn cứ vào SLCP bình quân trong năm</t>
  </si>
  <si>
    <t>Giả định số ngày phải thu bình quân 51,7 ngày</t>
  </si>
  <si>
    <t>Giả định tỷ lệ 0,5% giá trị mua hàng trong kỳ</t>
  </si>
  <si>
    <t>Giả định tỷ lệ 0,8% doanh thu</t>
  </si>
  <si>
    <t>Giả định tỷ lệ 3,3% khoản phải thu</t>
  </si>
  <si>
    <t>Giả định số ngày HTK bình quân là 15 ngày (cuối năm 2016 CNG tích khá nhiều NVL hơn bình thường với dự báo giá dầu tăng)</t>
  </si>
  <si>
    <t>Giả định tỷ lệ 0,2% doanh thu</t>
  </si>
  <si>
    <t>Giả định chiếm 20% nợ ngắn hạn</t>
  </si>
  <si>
    <t>Dự phóng chi tiết từ Nợ vay dài hạn LT.Debt(F)</t>
  </si>
  <si>
    <t>Trích 5% quỹ ĐTPT trên LNST hàng năm</t>
  </si>
  <si>
    <t>Daily</t>
  </si>
  <si>
    <t>CNG VN</t>
  </si>
  <si>
    <t>Weekly</t>
  </si>
  <si>
    <t>Monthly</t>
  </si>
  <si>
    <t>Quarterly</t>
  </si>
  <si>
    <t>Beta</t>
  </si>
  <si>
    <t>TPCP 20 năm</t>
  </si>
  <si>
    <t>Ngành khí</t>
  </si>
  <si>
    <t>Miền Bắc</t>
  </si>
  <si>
    <t>Other long-term liabilities</t>
  </si>
  <si>
    <t>Giả định giữ mức ổn định 7,0 tỷ</t>
  </si>
  <si>
    <t>Giá dầu FO trong nước (Đồng/kg)</t>
  </si>
  <si>
    <t>Sau khi nâng cấp nhà máy thêm 30 triệu Sm3/năm năm 2018, CNG chỉ đầu tư duy trì mức 10 tỷ/năm</t>
  </si>
  <si>
    <t>Tiền hoạt động của CNG trung bình khoảng 6% doanh thu</t>
  </si>
  <si>
    <t>Nâng cấp phương tiện vận tải 2 năm/lần với mức 20 tỷ</t>
  </si>
  <si>
    <t>PV of FCFE</t>
  </si>
  <si>
    <t xml:space="preserve">Interest and dividends received </t>
  </si>
  <si>
    <t>Dự kiến trích 14% LNST năm 2017 và giả định những năm sau đó trích 14% LNST cho quỹ khen thưởng phúc lợi.</t>
  </si>
  <si>
    <t>% Công suất sản xuất</t>
  </si>
  <si>
    <t>Công suất thiết kế</t>
  </si>
  <si>
    <t>Giả định các năm sau bằng mức năm 2016</t>
  </si>
  <si>
    <t>Sau năm 2017, do CNG không còn hưởng thuế ưu đãi và vấn đề cân dòng tiền đầu tư duy trì nên CNG sẽ chi trả cổ tức ổn định với tỷ lệ 20% mệnh giá</t>
  </si>
  <si>
    <t>Giá dầu dài hạn (USD/thùng)</t>
  </si>
  <si>
    <t xml:space="preserve">Ngành khí </t>
  </si>
  <si>
    <t>Dự phóng chi tiết từ Fixed Assets (F)</t>
  </si>
  <si>
    <t>Excess cash (revolver)</t>
  </si>
  <si>
    <t>Lãi/lỗ từ hoạt động tài chính</t>
  </si>
  <si>
    <t>Debt (long-term debt)</t>
  </si>
  <si>
    <t>Debt (long-term) - Bank loans</t>
  </si>
  <si>
    <t>Debt</t>
  </si>
  <si>
    <t>Method 3</t>
  </si>
  <si>
    <t>Method 2</t>
  </si>
  <si>
    <t>Incr (decr) in Debt</t>
  </si>
  <si>
    <t>Giá mua khí (USD/MMBtu)</t>
  </si>
  <si>
    <t>Amortization of intangibles (accumulated)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</si>
</sst>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0">
    <numFmt numFmtId="8" formatCode="&quot;$&quot;#,##0.00_);[Red]\(&quot;$&quot;#,##0.00\)"/>
    <numFmt numFmtId="164" formatCode="_-* #,##0.00\ _₫_-;\-* #,##0.00\ _₫_-;_-* &quot;-&quot;??\ _₫_-;_-@_-"/>
    <numFmt numFmtId="165" formatCode="_(* #,##0_);_(* \(#,##0\);_(* &quot;-&quot;??_);_(@_)"/>
    <numFmt numFmtId="166" formatCode="0.0"/>
    <numFmt numFmtId="167" formatCode="0.0%"/>
    <numFmt numFmtId="168" formatCode="#,##0.0"/>
    <numFmt numFmtId="169" formatCode="_(* #,##0.0_);_(* \(#,##0.0\);_(* &quot;-&quot;??_);_(@_)"/>
    <numFmt numFmtId="170" formatCode="0_);\(0\)"/>
    <numFmt numFmtId="171" formatCode="[$-409]mmm\-yy;@"/>
    <numFmt numFmtId="172" formatCode="_-* #,##0\ _₫_-;\-* #,##0\ _₫_-;_-* &quot;-&quot;??\ _₫_-;_-@_-"/>
    <numFmt numFmtId="173" formatCode="[$-409]d\-mmm\-yy;@"/>
    <numFmt numFmtId="174" formatCode="_-* #,##0.0\ _₫_-;\-* #,##0.0\ _₫_-;_-* &quot;-&quot;??\ _₫_-;_-@_-"/>
    <numFmt numFmtId="175" formatCode="_(* #,##0.0_);_(* \(#,##0.0\);_(* &quot;-&quot;?_);_(@_)"/>
    <numFmt numFmtId="176" formatCode="0.0000"/>
    <numFmt numFmtId="177" formatCode="0.0000000000000"/>
    <numFmt numFmtId="178" formatCode="0.000"/>
    <numFmt numFmtId="179" formatCode="#,##0.000"/>
    <numFmt numFmtId="180" formatCode="_-* #,##0.0\ _₫_-;\-* #,##0.0\ _₫_-;_-* &quot;-&quot;?\ _₫_-;_-@_-"/>
    <numFmt numFmtId="181" formatCode="#,##0.0_ ;\-#,##0.0\ "/>
    <numFmt numFmtId="182" formatCode="0.00000000000000%"/>
  </numFmts>
  <fonts count="43"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b/>
      <sz val="10"/>
      <color rgb="FF000000"/>
      <name val="Arial"/>
      <family val="2"/>
    </font>
    <font>
      <b/>
      <sz val="10"/>
      <color theme="1"/>
      <name val="Arial"/>
      <family val="2"/>
    </font>
    <font>
      <sz val="10"/>
      <color theme="1"/>
      <name val="Arial"/>
      <family val="2"/>
    </font>
    <font>
      <sz val="10"/>
      <color rgb="FF000000"/>
      <name val="Arial"/>
      <family val="2"/>
    </font>
    <font>
      <sz val="9"/>
      <color indexed="81"/>
      <name val="Tahoma"/>
      <family val="2"/>
    </font>
    <font>
      <b/>
      <sz val="9"/>
      <color indexed="81"/>
      <name val="Tahoma"/>
      <family val="2"/>
    </font>
    <font>
      <sz val="11"/>
      <name val="Calibri"/>
      <family val="2"/>
      <scheme val="minor"/>
    </font>
    <font>
      <b/>
      <sz val="11"/>
      <name val="Calibri"/>
      <family val="2"/>
      <scheme val="minor"/>
    </font>
    <font>
      <i/>
      <sz val="10"/>
      <name val="Arial"/>
      <family val="2"/>
    </font>
    <font>
      <sz val="11"/>
      <color indexed="12"/>
      <name val="Calibri"/>
      <family val="2"/>
    </font>
    <font>
      <i/>
      <sz val="11"/>
      <name val="Calibri"/>
      <family val="2"/>
      <scheme val="minor"/>
    </font>
    <font>
      <sz val="10"/>
      <name val="Arial"/>
      <family val="2"/>
    </font>
    <font>
      <sz val="9"/>
      <color theme="1"/>
      <name val="Arial"/>
      <family val="2"/>
    </font>
    <font>
      <u/>
      <sz val="11"/>
      <color theme="10"/>
      <name val="Calibri"/>
      <family val="2"/>
      <scheme val="minor"/>
    </font>
    <font>
      <b/>
      <sz val="12"/>
      <color rgb="FF14325A"/>
      <name val="Calibri"/>
      <family val="2"/>
      <scheme val="minor"/>
    </font>
    <font>
      <i/>
      <sz val="11"/>
      <color theme="1"/>
      <name val="Calibri"/>
      <family val="2"/>
      <scheme val="minor"/>
    </font>
    <font>
      <b/>
      <sz val="10"/>
      <color theme="0"/>
      <name val="Arial"/>
      <family val="2"/>
    </font>
    <font>
      <b/>
      <sz val="16"/>
      <color rgb="FF14325A"/>
      <name val="Calibri"/>
      <family val="2"/>
      <scheme val="minor"/>
    </font>
    <font>
      <sz val="16"/>
      <color rgb="FF14325A"/>
      <name val="Calibri"/>
      <family val="2"/>
      <scheme val="minor"/>
    </font>
    <font>
      <sz val="11"/>
      <color rgb="FFFF0000"/>
      <name val="Calibri"/>
      <family val="2"/>
      <scheme val="minor"/>
    </font>
    <font>
      <b/>
      <sz val="14"/>
      <color rgb="FF14325A"/>
      <name val="Calibri"/>
      <family val="2"/>
      <scheme val="minor"/>
    </font>
    <font>
      <b/>
      <sz val="11"/>
      <color rgb="FF14325A"/>
      <name val="Calibri"/>
      <family val="2"/>
    </font>
    <font>
      <sz val="11"/>
      <name val="Calibri"/>
      <family val="2"/>
    </font>
    <font>
      <b/>
      <sz val="9"/>
      <color theme="1"/>
      <name val="Arial"/>
      <family val="2"/>
    </font>
    <font>
      <b/>
      <sz val="9"/>
      <color rgb="FF6EAA46"/>
      <name val="Arial"/>
      <family val="2"/>
    </font>
    <font>
      <b/>
      <sz val="9"/>
      <name val="Arial"/>
      <family val="2"/>
    </font>
    <font>
      <sz val="9"/>
      <name val="Arial"/>
      <family val="2"/>
    </font>
    <font>
      <b/>
      <sz val="10"/>
      <name val="Arial"/>
      <family val="2"/>
    </font>
    <font>
      <b/>
      <sz val="10"/>
      <color rgb="FF6EAA46"/>
      <name val="Arial"/>
      <family val="2"/>
    </font>
    <font>
      <sz val="10"/>
      <name val="Calibri"/>
      <family val="2"/>
      <scheme val="minor"/>
    </font>
    <font>
      <b/>
      <sz val="11"/>
      <color rgb="FFC00000"/>
      <name val="Calibri"/>
      <family val="2"/>
      <scheme val="minor"/>
    </font>
    <font>
      <sz val="11"/>
      <color theme="10"/>
      <name val="Calibri"/>
      <family val="2"/>
      <scheme val="minor"/>
    </font>
    <font>
      <i/>
      <sz val="11"/>
      <color theme="1"/>
      <name val="Calibri"/>
      <family val="2"/>
      <charset val="163"/>
      <scheme val="minor"/>
    </font>
    <font>
      <b/>
      <sz val="11"/>
      <name val="Calibri"/>
      <family val="2"/>
    </font>
    <font>
      <b/>
      <sz val="9"/>
      <color theme="0"/>
      <name val="Arial"/>
      <family val="2"/>
    </font>
    <font>
      <i/>
      <sz val="10"/>
      <color theme="1"/>
      <name val="Calibri"/>
      <family val="2"/>
      <scheme val="minor"/>
    </font>
    <font>
      <sz val="11"/>
      <name val="Times New Roman"/>
      <family val="1"/>
    </font>
    <font>
      <b/>
      <sz val="9"/>
      <color indexed="81"/>
      <name val="Calibri"/>
      <family val="2"/>
    </font>
    <font>
      <u/>
      <sz val="11"/>
      <color theme="11"/>
      <name val="Calibri"/>
      <family val="2"/>
      <scheme val="minor"/>
    </font>
  </fonts>
  <fills count="15">
    <fill>
      <patternFill patternType="none"/>
    </fill>
    <fill>
      <patternFill patternType="gray125"/>
    </fill>
    <fill>
      <patternFill patternType="solid">
        <fgColor rgb="FF14325A"/>
        <bgColor indexed="64"/>
      </patternFill>
    </fill>
    <fill>
      <patternFill patternType="solid">
        <fgColor rgb="FFFFFF00"/>
        <bgColor indexed="64"/>
      </patternFill>
    </fill>
    <fill>
      <patternFill patternType="solid">
        <fgColor theme="0"/>
        <bgColor indexed="64"/>
      </patternFill>
    </fill>
    <fill>
      <patternFill patternType="solid">
        <fgColor indexed="43"/>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8CB4D2"/>
        <bgColor indexed="64"/>
      </patternFill>
    </fill>
    <fill>
      <patternFill patternType="solid">
        <fgColor rgb="FFBFBFBF"/>
        <bgColor indexed="64"/>
      </patternFill>
    </fill>
    <fill>
      <patternFill patternType="solid">
        <fgColor rgb="FFFFFF99"/>
        <bgColor indexed="64"/>
      </patternFill>
    </fill>
    <fill>
      <patternFill patternType="solid">
        <fgColor indexed="26"/>
        <bgColor indexed="64"/>
      </patternFill>
    </fill>
    <fill>
      <patternFill patternType="solid">
        <fgColor rgb="FF92D050"/>
        <bgColor indexed="64"/>
      </patternFill>
    </fill>
    <fill>
      <patternFill patternType="solid">
        <fgColor rgb="FF6E96B4"/>
        <bgColor indexed="64"/>
      </patternFill>
    </fill>
    <fill>
      <patternFill patternType="solid">
        <fgColor rgb="FF6EAA46"/>
        <bgColor indexed="64"/>
      </patternFill>
    </fill>
  </fills>
  <borders count="24">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right/>
      <top style="thin">
        <color auto="1"/>
      </top>
      <bottom style="thin">
        <color auto="1"/>
      </bottom>
      <diagonal/>
    </border>
    <border>
      <left/>
      <right/>
      <top/>
      <bottom style="double">
        <color auto="1"/>
      </bottom>
      <diagonal/>
    </border>
    <border>
      <left/>
      <right/>
      <top style="thin">
        <color auto="1"/>
      </top>
      <bottom style="double">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style="thin">
        <color auto="1"/>
      </top>
      <bottom/>
      <diagonal/>
    </border>
    <border>
      <left/>
      <right style="thin">
        <color auto="1"/>
      </right>
      <top/>
      <bottom/>
      <diagonal/>
    </border>
    <border>
      <left style="hair">
        <color auto="1"/>
      </left>
      <right style="hair">
        <color auto="1"/>
      </right>
      <top style="hair">
        <color auto="1"/>
      </top>
      <bottom style="hair">
        <color auto="1"/>
      </bottom>
      <diagonal/>
    </border>
    <border>
      <left/>
      <right style="thin">
        <color auto="1"/>
      </right>
      <top/>
      <bottom style="thin">
        <color auto="1"/>
      </bottom>
      <diagonal/>
    </border>
    <border>
      <left style="hair">
        <color auto="1"/>
      </left>
      <right style="hair">
        <color auto="1"/>
      </right>
      <top style="hair">
        <color auto="1"/>
      </top>
      <bottom style="thin">
        <color auto="1"/>
      </bottom>
      <diagonal/>
    </border>
    <border>
      <left/>
      <right/>
      <top/>
      <bottom style="medium">
        <color auto="1"/>
      </bottom>
      <diagonal/>
    </border>
    <border>
      <left/>
      <right/>
      <top style="medium">
        <color auto="1"/>
      </top>
      <bottom style="thin">
        <color auto="1"/>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n">
        <color auto="1"/>
      </bottom>
      <diagonal/>
    </border>
    <border>
      <left style="thin">
        <color rgb="FFBFBFBF"/>
      </left>
      <right style="thin">
        <color rgb="FFBFBFBF"/>
      </right>
      <top/>
      <bottom style="thin">
        <color rgb="FFBFBFBF"/>
      </bottom>
      <diagonal/>
    </border>
    <border>
      <left/>
      <right style="thin">
        <color rgb="FFBFBFBF"/>
      </right>
      <top/>
      <bottom style="thin">
        <color auto="1"/>
      </bottom>
      <diagonal/>
    </border>
    <border>
      <left/>
      <right/>
      <top style="double">
        <color auto="1"/>
      </top>
      <bottom/>
      <diagonal/>
    </border>
    <border>
      <left/>
      <right/>
      <top/>
      <bottom style="thick">
        <color auto="1"/>
      </bottom>
      <diagonal/>
    </border>
    <border>
      <left style="thin">
        <color auto="1"/>
      </left>
      <right style="thin">
        <color auto="1"/>
      </right>
      <top/>
      <bottom/>
      <diagonal/>
    </border>
  </borders>
  <cellStyleXfs count="10">
    <xf numFmtId="0" fontId="0" fillId="0" borderId="0"/>
    <xf numFmtId="164" fontId="1" fillId="0" borderId="0" applyFont="0" applyFill="0" applyBorder="0" applyAlignment="0" applyProtection="0"/>
    <xf numFmtId="9" fontId="1" fillId="0" borderId="0" applyFont="0" applyFill="0" applyBorder="0" applyAlignment="0" applyProtection="0"/>
    <xf numFmtId="170" fontId="12" fillId="0" borderId="0" applyFill="0" applyBorder="0" applyAlignment="0" applyProtection="0"/>
    <xf numFmtId="0" fontId="1" fillId="0" borderId="0"/>
    <xf numFmtId="0" fontId="15" fillId="0" borderId="0"/>
    <xf numFmtId="9" fontId="16" fillId="0" borderId="0" applyFont="0" applyFill="0" applyBorder="0" applyAlignment="0" applyProtection="0"/>
    <xf numFmtId="0" fontId="17" fillId="0" borderId="0" applyNumberFormat="0" applyFill="0" applyBorder="0" applyAlignment="0" applyProtection="0"/>
    <xf numFmtId="0" fontId="40" fillId="0" borderId="0"/>
    <xf numFmtId="0" fontId="42" fillId="0" borderId="0" applyNumberFormat="0" applyFill="0" applyBorder="0" applyAlignment="0" applyProtection="0"/>
  </cellStyleXfs>
  <cellXfs count="675">
    <xf numFmtId="0" fontId="0" fillId="0" borderId="0" xfId="0"/>
    <xf numFmtId="0" fontId="2" fillId="2" borderId="1" xfId="0" applyFont="1" applyFill="1" applyBorder="1" applyAlignment="1">
      <alignment horizontal="center" vertical="center"/>
    </xf>
    <xf numFmtId="0" fontId="4" fillId="0" borderId="2" xfId="0" applyFont="1" applyBorder="1" applyAlignment="1">
      <alignment vertical="center" wrapText="1"/>
    </xf>
    <xf numFmtId="165" fontId="6" fillId="0" borderId="2" xfId="1" applyNumberFormat="1" applyFont="1" applyBorder="1" applyAlignment="1">
      <alignment horizontal="right" vertical="center" wrapText="1"/>
    </xf>
    <xf numFmtId="165" fontId="5" fillId="0" borderId="2" xfId="1" applyNumberFormat="1" applyFont="1" applyBorder="1" applyAlignment="1">
      <alignment horizontal="right" vertical="center" wrapText="1"/>
    </xf>
    <xf numFmtId="0" fontId="7" fillId="0" borderId="2" xfId="0" applyFont="1" applyBorder="1" applyAlignment="1">
      <alignment vertical="center" wrapText="1"/>
    </xf>
    <xf numFmtId="14" fontId="5" fillId="0" borderId="2" xfId="1" applyNumberFormat="1" applyFont="1" applyBorder="1" applyAlignment="1">
      <alignment horizontal="center" vertical="center" wrapText="1"/>
    </xf>
    <xf numFmtId="0" fontId="5" fillId="0" borderId="2" xfId="0" applyFont="1" applyBorder="1" applyAlignment="1">
      <alignment wrapText="1"/>
    </xf>
    <xf numFmtId="0" fontId="5" fillId="0" borderId="2" xfId="0" applyFont="1" applyBorder="1" applyAlignment="1">
      <alignment horizontal="right" wrapText="1"/>
    </xf>
    <xf numFmtId="0" fontId="6" fillId="0" borderId="2" xfId="0" applyFont="1" applyBorder="1" applyAlignment="1">
      <alignment horizontal="right" wrapText="1"/>
    </xf>
    <xf numFmtId="3" fontId="5" fillId="0" borderId="2" xfId="0" applyNumberFormat="1" applyFont="1" applyBorder="1" applyAlignment="1">
      <alignment horizontal="right" wrapText="1"/>
    </xf>
    <xf numFmtId="0" fontId="6" fillId="0" borderId="2" xfId="0" applyFont="1" applyBorder="1" applyAlignment="1">
      <alignment wrapText="1"/>
    </xf>
    <xf numFmtId="3" fontId="6" fillId="0" borderId="2" xfId="0" applyNumberFormat="1" applyFont="1" applyBorder="1" applyAlignment="1">
      <alignment horizontal="right" wrapText="1"/>
    </xf>
    <xf numFmtId="0" fontId="3" fillId="0" borderId="0" xfId="0" applyFont="1"/>
    <xf numFmtId="0" fontId="5" fillId="0" borderId="2" xfId="0" applyFont="1" applyBorder="1" applyAlignment="1">
      <alignment vertical="center" wrapText="1"/>
    </xf>
    <xf numFmtId="0" fontId="5" fillId="0" borderId="2" xfId="0" applyFont="1" applyBorder="1" applyAlignment="1">
      <alignment horizontal="right" vertical="center" wrapText="1"/>
    </xf>
    <xf numFmtId="0" fontId="6" fillId="0" borderId="2" xfId="0" applyFont="1" applyBorder="1" applyAlignment="1">
      <alignment horizontal="right" vertical="center" wrapText="1"/>
    </xf>
    <xf numFmtId="3" fontId="5" fillId="0" borderId="2" xfId="0" applyNumberFormat="1" applyFont="1" applyBorder="1" applyAlignment="1">
      <alignment horizontal="right" vertical="center" wrapText="1"/>
    </xf>
    <xf numFmtId="3" fontId="6" fillId="0" borderId="2" xfId="0" applyNumberFormat="1" applyFont="1" applyBorder="1" applyAlignment="1">
      <alignment horizontal="right" vertical="center" wrapText="1"/>
    </xf>
    <xf numFmtId="0" fontId="11" fillId="4" borderId="0" xfId="4" applyFont="1" applyFill="1" applyBorder="1" applyAlignment="1" applyProtection="1">
      <alignment vertical="center"/>
    </xf>
    <xf numFmtId="10" fontId="11" fillId="4" borderId="0" xfId="2" quotePrefix="1" applyNumberFormat="1" applyFont="1" applyFill="1" applyBorder="1" applyAlignment="1" applyProtection="1">
      <alignment horizontal="right" vertical="center"/>
    </xf>
    <xf numFmtId="0" fontId="10" fillId="4" borderId="0" xfId="4" applyFont="1" applyFill="1" applyBorder="1" applyAlignment="1" applyProtection="1">
      <alignment vertical="center"/>
    </xf>
    <xf numFmtId="3" fontId="10" fillId="4" borderId="0" xfId="5" quotePrefix="1" applyNumberFormat="1" applyFont="1" applyFill="1" applyBorder="1" applyAlignment="1" applyProtection="1">
      <alignment horizontal="right" vertical="center"/>
    </xf>
    <xf numFmtId="165" fontId="10" fillId="4" borderId="0" xfId="4" applyNumberFormat="1" applyFont="1" applyFill="1" applyAlignment="1" applyProtection="1">
      <alignment vertical="center"/>
    </xf>
    <xf numFmtId="0" fontId="10" fillId="4" borderId="0" xfId="4" applyFont="1" applyFill="1" applyBorder="1" applyAlignment="1" applyProtection="1">
      <alignment horizontal="left" vertical="center"/>
    </xf>
    <xf numFmtId="9" fontId="10" fillId="4" borderId="0" xfId="6" quotePrefix="1" applyFont="1" applyFill="1" applyBorder="1" applyAlignment="1" applyProtection="1">
      <alignment horizontal="right" vertical="center"/>
    </xf>
    <xf numFmtId="165" fontId="10" fillId="4" borderId="0" xfId="4" applyNumberFormat="1" applyFont="1" applyFill="1" applyAlignment="1" applyProtection="1">
      <alignment horizontal="right" vertical="center"/>
    </xf>
    <xf numFmtId="0" fontId="11" fillId="4" borderId="0" xfId="4" applyFont="1" applyFill="1" applyBorder="1" applyAlignment="1" applyProtection="1">
      <alignment horizontal="left" vertical="center"/>
    </xf>
    <xf numFmtId="3" fontId="11" fillId="4" borderId="0" xfId="5" quotePrefix="1" applyNumberFormat="1" applyFont="1" applyFill="1" applyBorder="1" applyAlignment="1" applyProtection="1">
      <alignment horizontal="right" vertical="center"/>
    </xf>
    <xf numFmtId="165" fontId="11" fillId="4" borderId="0" xfId="4" applyNumberFormat="1" applyFont="1" applyFill="1" applyAlignment="1" applyProtection="1">
      <alignment vertical="center"/>
    </xf>
    <xf numFmtId="0" fontId="2" fillId="2" borderId="0" xfId="0" applyFont="1" applyFill="1" applyBorder="1"/>
    <xf numFmtId="169" fontId="2" fillId="2" borderId="1" xfId="1" applyNumberFormat="1" applyFont="1" applyFill="1" applyBorder="1" applyAlignment="1">
      <alignment vertical="center"/>
    </xf>
    <xf numFmtId="164" fontId="3" fillId="7" borderId="0" xfId="1" applyFont="1" applyFill="1"/>
    <xf numFmtId="164" fontId="0" fillId="7" borderId="0" xfId="1" applyFont="1" applyFill="1"/>
    <xf numFmtId="169" fontId="10" fillId="4" borderId="2" xfId="1" applyNumberFormat="1" applyFont="1" applyFill="1" applyBorder="1" applyAlignment="1">
      <alignment horizontal="left" vertical="center"/>
    </xf>
    <xf numFmtId="169" fontId="10" fillId="4" borderId="2" xfId="1" quotePrefix="1" applyNumberFormat="1" applyFont="1" applyFill="1" applyBorder="1" applyAlignment="1">
      <alignment horizontal="left" vertical="center"/>
    </xf>
    <xf numFmtId="169" fontId="10" fillId="4" borderId="2" xfId="1" quotePrefix="1" applyNumberFormat="1" applyFont="1" applyFill="1" applyBorder="1" applyAlignment="1">
      <alignment vertical="center"/>
    </xf>
    <xf numFmtId="169" fontId="10" fillId="4" borderId="2" xfId="1" applyNumberFormat="1" applyFont="1" applyFill="1" applyBorder="1" applyAlignment="1">
      <alignment horizontal="center" vertical="center"/>
    </xf>
    <xf numFmtId="169" fontId="10" fillId="4" borderId="2" xfId="1" applyNumberFormat="1" applyFont="1" applyFill="1" applyBorder="1" applyAlignment="1">
      <alignment vertical="center"/>
    </xf>
    <xf numFmtId="0" fontId="2" fillId="2" borderId="0" xfId="4" applyFont="1" applyFill="1" applyBorder="1" applyAlignment="1" applyProtection="1">
      <alignment horizontal="center" vertical="center"/>
    </xf>
    <xf numFmtId="0" fontId="3" fillId="8" borderId="0" xfId="0" applyFont="1" applyFill="1"/>
    <xf numFmtId="0" fontId="0" fillId="8" borderId="0" xfId="0" applyFill="1"/>
    <xf numFmtId="10" fontId="3" fillId="8" borderId="0" xfId="2" applyNumberFormat="1" applyFont="1" applyFill="1"/>
    <xf numFmtId="10" fontId="2" fillId="2" borderId="0" xfId="2" applyNumberFormat="1" applyFont="1" applyFill="1" applyBorder="1"/>
    <xf numFmtId="0" fontId="2" fillId="2" borderId="0" xfId="0" applyFont="1" applyFill="1"/>
    <xf numFmtId="2" fontId="2" fillId="2" borderId="0" xfId="1" applyNumberFormat="1" applyFont="1" applyFill="1"/>
    <xf numFmtId="0" fontId="4" fillId="3" borderId="2" xfId="0" applyFont="1" applyFill="1" applyBorder="1" applyAlignment="1">
      <alignment vertical="center" wrapText="1"/>
    </xf>
    <xf numFmtId="3" fontId="5" fillId="3" borderId="2" xfId="0" applyNumberFormat="1" applyFont="1" applyFill="1" applyBorder="1" applyAlignment="1">
      <alignment horizontal="right" wrapText="1"/>
    </xf>
    <xf numFmtId="172" fontId="6" fillId="0" borderId="2" xfId="1" applyNumberFormat="1" applyFont="1" applyBorder="1" applyAlignment="1">
      <alignment horizontal="right" wrapText="1"/>
    </xf>
    <xf numFmtId="165" fontId="5" fillId="0" borderId="2" xfId="1" applyNumberFormat="1" applyFont="1" applyBorder="1" applyAlignment="1">
      <alignment wrapText="1"/>
    </xf>
    <xf numFmtId="165" fontId="6" fillId="0" borderId="2" xfId="1" applyNumberFormat="1" applyFont="1" applyBorder="1" applyAlignment="1">
      <alignment horizontal="right" wrapText="1"/>
    </xf>
    <xf numFmtId="0" fontId="5" fillId="3" borderId="2" xfId="0" applyFont="1" applyFill="1" applyBorder="1" applyAlignment="1">
      <alignment wrapText="1"/>
    </xf>
    <xf numFmtId="3" fontId="6" fillId="3" borderId="2" xfId="0" applyNumberFormat="1" applyFont="1" applyFill="1" applyBorder="1" applyAlignment="1">
      <alignment horizontal="right" wrapText="1"/>
    </xf>
    <xf numFmtId="165" fontId="6" fillId="3" borderId="2" xfId="1" applyNumberFormat="1" applyFont="1" applyFill="1" applyBorder="1" applyAlignment="1">
      <alignment horizontal="right" wrapText="1"/>
    </xf>
    <xf numFmtId="0" fontId="0" fillId="4" borderId="0" xfId="0" applyFill="1"/>
    <xf numFmtId="0" fontId="3" fillId="4" borderId="0" xfId="0" applyFont="1" applyFill="1"/>
    <xf numFmtId="0" fontId="0" fillId="4" borderId="0" xfId="0" applyFill="1" applyBorder="1"/>
    <xf numFmtId="0" fontId="20" fillId="2" borderId="0" xfId="0" applyFont="1" applyFill="1" applyBorder="1" applyAlignment="1">
      <alignment vertical="center" wrapText="1"/>
    </xf>
    <xf numFmtId="0" fontId="4" fillId="4" borderId="0" xfId="0" applyFont="1" applyFill="1" applyBorder="1" applyAlignment="1">
      <alignment vertical="center" wrapText="1"/>
    </xf>
    <xf numFmtId="165" fontId="6" fillId="4" borderId="0" xfId="1" applyNumberFormat="1" applyFont="1" applyFill="1" applyBorder="1" applyAlignment="1">
      <alignment horizontal="right" vertical="center" wrapText="1"/>
    </xf>
    <xf numFmtId="164" fontId="5" fillId="4" borderId="0" xfId="1" applyNumberFormat="1" applyFont="1" applyFill="1" applyBorder="1" applyAlignment="1">
      <alignment horizontal="right" vertical="center" wrapText="1"/>
    </xf>
    <xf numFmtId="0" fontId="7" fillId="4" borderId="0" xfId="0" applyFont="1" applyFill="1" applyBorder="1" applyAlignment="1">
      <alignment vertical="center" wrapText="1"/>
    </xf>
    <xf numFmtId="164" fontId="6" fillId="4" borderId="0" xfId="1" applyNumberFormat="1" applyFont="1" applyFill="1" applyBorder="1" applyAlignment="1">
      <alignment horizontal="right" vertical="center" wrapText="1"/>
    </xf>
    <xf numFmtId="0" fontId="5" fillId="2" borderId="0" xfId="0" applyFont="1" applyFill="1" applyBorder="1" applyAlignment="1">
      <alignment vertical="center" wrapText="1"/>
    </xf>
    <xf numFmtId="0" fontId="20" fillId="2" borderId="0" xfId="0" applyFont="1" applyFill="1" applyBorder="1" applyAlignment="1">
      <alignment horizontal="right" vertical="center" wrapText="1"/>
    </xf>
    <xf numFmtId="0" fontId="5" fillId="4" borderId="0" xfId="0" applyFont="1" applyFill="1" applyBorder="1" applyAlignment="1">
      <alignment vertical="center" wrapText="1"/>
    </xf>
    <xf numFmtId="4" fontId="5" fillId="4" borderId="0" xfId="0" applyNumberFormat="1" applyFont="1" applyFill="1" applyBorder="1" applyAlignment="1">
      <alignment horizontal="right" vertical="center" wrapText="1"/>
    </xf>
    <xf numFmtId="0" fontId="6" fillId="4" borderId="0" xfId="0" applyFont="1" applyFill="1" applyBorder="1" applyAlignment="1">
      <alignment vertical="center" wrapText="1"/>
    </xf>
    <xf numFmtId="4" fontId="6" fillId="4" borderId="0" xfId="0" applyNumberFormat="1" applyFont="1" applyFill="1" applyBorder="1" applyAlignment="1">
      <alignment horizontal="right" vertical="center" wrapText="1"/>
    </xf>
    <xf numFmtId="0" fontId="4" fillId="8" borderId="0" xfId="0" applyFont="1" applyFill="1" applyBorder="1" applyAlignment="1">
      <alignment vertical="center" wrapText="1"/>
    </xf>
    <xf numFmtId="164" fontId="5" fillId="8" borderId="0" xfId="1" applyNumberFormat="1" applyFont="1" applyFill="1" applyBorder="1" applyAlignment="1">
      <alignment horizontal="right" vertical="center" wrapText="1"/>
    </xf>
    <xf numFmtId="0" fontId="4" fillId="7" borderId="0" xfId="0" applyFont="1" applyFill="1" applyBorder="1" applyAlignment="1">
      <alignment vertical="center" wrapText="1"/>
    </xf>
    <xf numFmtId="164" fontId="5" fillId="7" borderId="0" xfId="1" applyNumberFormat="1" applyFont="1" applyFill="1" applyBorder="1" applyAlignment="1">
      <alignment horizontal="right" vertical="center" wrapText="1"/>
    </xf>
    <xf numFmtId="0" fontId="5" fillId="9" borderId="0" xfId="0" applyFont="1" applyFill="1" applyBorder="1" applyAlignment="1">
      <alignment vertical="center" wrapText="1"/>
    </xf>
    <xf numFmtId="4" fontId="5" fillId="9" borderId="0" xfId="0" applyNumberFormat="1" applyFont="1" applyFill="1" applyBorder="1" applyAlignment="1">
      <alignment horizontal="right" vertical="center" wrapText="1"/>
    </xf>
    <xf numFmtId="0" fontId="5" fillId="8" borderId="0" xfId="0" applyFont="1" applyFill="1" applyBorder="1" applyAlignment="1">
      <alignment vertical="center" wrapText="1"/>
    </xf>
    <xf numFmtId="0" fontId="5" fillId="8" borderId="0" xfId="0" applyFont="1" applyFill="1" applyBorder="1" applyAlignment="1">
      <alignment horizontal="right" vertical="center" wrapText="1"/>
    </xf>
    <xf numFmtId="4" fontId="5" fillId="8" borderId="0" xfId="0" applyNumberFormat="1" applyFont="1" applyFill="1" applyBorder="1" applyAlignment="1">
      <alignment horizontal="right" vertical="center" wrapText="1"/>
    </xf>
    <xf numFmtId="0" fontId="18" fillId="4" borderId="0" xfId="0" applyFont="1" applyFill="1" applyBorder="1" applyAlignment="1">
      <alignment vertical="center"/>
    </xf>
    <xf numFmtId="0" fontId="0" fillId="4" borderId="0" xfId="0" applyFill="1" applyBorder="1" applyAlignment="1">
      <alignment vertical="center"/>
    </xf>
    <xf numFmtId="166" fontId="5" fillId="4" borderId="0" xfId="0" applyNumberFormat="1" applyFont="1" applyFill="1" applyBorder="1" applyAlignment="1">
      <alignment horizontal="right" vertical="center" wrapText="1"/>
    </xf>
    <xf numFmtId="0" fontId="3" fillId="4" borderId="0" xfId="0" applyFont="1" applyFill="1" applyBorder="1" applyAlignment="1">
      <alignment vertical="center"/>
    </xf>
    <xf numFmtId="168" fontId="5" fillId="4" borderId="0" xfId="0" applyNumberFormat="1" applyFont="1" applyFill="1" applyBorder="1" applyAlignment="1">
      <alignment horizontal="right" vertical="center" wrapText="1"/>
    </xf>
    <xf numFmtId="166" fontId="6" fillId="4" borderId="0" xfId="0" applyNumberFormat="1" applyFont="1" applyFill="1" applyBorder="1" applyAlignment="1">
      <alignment horizontal="right" vertical="center" wrapText="1"/>
    </xf>
    <xf numFmtId="168" fontId="6" fillId="4" borderId="0" xfId="0" applyNumberFormat="1" applyFont="1" applyFill="1" applyBorder="1" applyAlignment="1">
      <alignment horizontal="right" vertical="center" wrapText="1"/>
    </xf>
    <xf numFmtId="0" fontId="5" fillId="7" borderId="0" xfId="0" applyFont="1" applyFill="1" applyBorder="1" applyAlignment="1">
      <alignment vertical="center" wrapText="1"/>
    </xf>
    <xf numFmtId="166" fontId="5" fillId="7" borderId="0" xfId="0" applyNumberFormat="1" applyFont="1" applyFill="1" applyBorder="1" applyAlignment="1">
      <alignment horizontal="right" vertical="center" wrapText="1"/>
    </xf>
    <xf numFmtId="168" fontId="5" fillId="7" borderId="0" xfId="0" applyNumberFormat="1" applyFont="1" applyFill="1" applyBorder="1" applyAlignment="1">
      <alignment horizontal="right" vertical="center" wrapText="1"/>
    </xf>
    <xf numFmtId="0" fontId="5" fillId="6" borderId="0" xfId="0" applyFont="1" applyFill="1" applyBorder="1" applyAlignment="1">
      <alignment vertical="center" wrapText="1"/>
    </xf>
    <xf numFmtId="166" fontId="5" fillId="6" borderId="0" xfId="0" applyNumberFormat="1" applyFont="1" applyFill="1" applyBorder="1" applyAlignment="1">
      <alignment horizontal="right" vertical="center" wrapText="1"/>
    </xf>
    <xf numFmtId="0" fontId="6" fillId="4" borderId="0" xfId="0" applyFont="1" applyFill="1" applyBorder="1" applyAlignment="1">
      <alignment horizontal="right" vertical="center" wrapText="1"/>
    </xf>
    <xf numFmtId="3" fontId="6" fillId="4" borderId="0" xfId="0" applyNumberFormat="1" applyFont="1" applyFill="1" applyBorder="1" applyAlignment="1">
      <alignment horizontal="right" vertical="center" wrapText="1"/>
    </xf>
    <xf numFmtId="0" fontId="3" fillId="7" borderId="0" xfId="0" applyFont="1" applyFill="1" applyBorder="1" applyAlignment="1">
      <alignment vertical="center"/>
    </xf>
    <xf numFmtId="4" fontId="5" fillId="7" borderId="0" xfId="0" applyNumberFormat="1" applyFont="1" applyFill="1" applyBorder="1" applyAlignment="1">
      <alignment horizontal="right" vertical="center" wrapText="1"/>
    </xf>
    <xf numFmtId="0" fontId="3" fillId="8" borderId="0" xfId="0" applyFont="1" applyFill="1" applyBorder="1" applyAlignment="1">
      <alignment vertical="center"/>
    </xf>
    <xf numFmtId="165" fontId="5" fillId="8" borderId="0" xfId="1" applyNumberFormat="1" applyFont="1" applyFill="1" applyBorder="1" applyAlignment="1">
      <alignment horizontal="right" vertical="center" wrapText="1"/>
    </xf>
    <xf numFmtId="0" fontId="3" fillId="9" borderId="0" xfId="0" applyFont="1" applyFill="1" applyBorder="1" applyAlignment="1">
      <alignment vertical="center"/>
    </xf>
    <xf numFmtId="0" fontId="0" fillId="4" borderId="5" xfId="0" applyFill="1" applyBorder="1"/>
    <xf numFmtId="0" fontId="3" fillId="4" borderId="5" xfId="0" applyFont="1" applyFill="1" applyBorder="1" applyAlignment="1">
      <alignment horizontal="center"/>
    </xf>
    <xf numFmtId="0" fontId="3" fillId="4" borderId="1" xfId="0" applyFont="1" applyFill="1" applyBorder="1" applyAlignment="1">
      <alignment horizontal="center"/>
    </xf>
    <xf numFmtId="0" fontId="3" fillId="4" borderId="1" xfId="0" applyFont="1" applyFill="1" applyBorder="1"/>
    <xf numFmtId="14" fontId="0" fillId="4" borderId="0" xfId="0" applyNumberFormat="1" applyFill="1"/>
    <xf numFmtId="167" fontId="0" fillId="4" borderId="0" xfId="2" applyNumberFormat="1" applyFont="1" applyFill="1"/>
    <xf numFmtId="2" fontId="0" fillId="4" borderId="3" xfId="0" applyNumberFormat="1" applyFill="1" applyBorder="1"/>
    <xf numFmtId="0" fontId="0" fillId="4" borderId="0" xfId="0" applyFill="1" applyBorder="1" applyAlignment="1"/>
    <xf numFmtId="10" fontId="0" fillId="4" borderId="0" xfId="0" applyNumberFormat="1" applyFill="1"/>
    <xf numFmtId="0" fontId="17" fillId="4" borderId="0" xfId="7" applyFill="1"/>
    <xf numFmtId="2" fontId="0" fillId="4" borderId="0" xfId="0" applyNumberFormat="1" applyFill="1"/>
    <xf numFmtId="0" fontId="0" fillId="4" borderId="15" xfId="0" applyFill="1" applyBorder="1" applyAlignment="1"/>
    <xf numFmtId="0" fontId="3" fillId="4" borderId="0" xfId="0" applyFont="1" applyFill="1" applyAlignment="1">
      <alignment horizontal="center"/>
    </xf>
    <xf numFmtId="3" fontId="0" fillId="4" borderId="0" xfId="0" applyNumberFormat="1" applyFill="1"/>
    <xf numFmtId="4" fontId="0" fillId="4" borderId="0" xfId="0" applyNumberFormat="1" applyFill="1"/>
    <xf numFmtId="0" fontId="0" fillId="4" borderId="0" xfId="0" applyFill="1" applyAlignment="1">
      <alignment horizontal="left"/>
    </xf>
    <xf numFmtId="0" fontId="21" fillId="4" borderId="0" xfId="0" applyFont="1" applyFill="1"/>
    <xf numFmtId="0" fontId="22" fillId="4" borderId="0" xfId="0" applyFont="1" applyFill="1"/>
    <xf numFmtId="0" fontId="11" fillId="4" borderId="0" xfId="0" applyFont="1" applyFill="1"/>
    <xf numFmtId="0" fontId="10" fillId="4" borderId="0" xfId="0" applyFont="1" applyFill="1" applyAlignment="1">
      <alignment horizontal="left" indent="2"/>
    </xf>
    <xf numFmtId="0" fontId="11" fillId="4" borderId="0" xfId="0" applyFont="1" applyFill="1" applyAlignment="1">
      <alignment horizontal="left"/>
    </xf>
    <xf numFmtId="0" fontId="11" fillId="4" borderId="0" xfId="0" applyFont="1" applyFill="1" applyAlignment="1">
      <alignment horizontal="right"/>
    </xf>
    <xf numFmtId="4" fontId="3" fillId="4" borderId="0" xfId="0" applyNumberFormat="1" applyFont="1" applyFill="1"/>
    <xf numFmtId="0" fontId="0" fillId="4" borderId="0" xfId="0" applyFont="1" applyFill="1" applyBorder="1" applyAlignment="1">
      <alignment horizontal="left" indent="2"/>
    </xf>
    <xf numFmtId="0" fontId="0" fillId="4" borderId="0" xfId="0" applyFont="1" applyFill="1"/>
    <xf numFmtId="0" fontId="0" fillId="4" borderId="0" xfId="0" applyFont="1" applyFill="1" applyBorder="1" applyAlignment="1">
      <alignment horizontal="left" wrapText="1" indent="2"/>
    </xf>
    <xf numFmtId="0" fontId="0" fillId="4" borderId="1" xfId="0" applyFont="1" applyFill="1" applyBorder="1" applyAlignment="1">
      <alignment horizontal="left" wrapText="1" indent="2"/>
    </xf>
    <xf numFmtId="0" fontId="3" fillId="4" borderId="0" xfId="0" applyFont="1" applyFill="1" applyBorder="1" applyAlignment="1">
      <alignment horizontal="center" wrapText="1"/>
    </xf>
    <xf numFmtId="0" fontId="3" fillId="4" borderId="17" xfId="0" applyFont="1" applyFill="1" applyBorder="1"/>
    <xf numFmtId="14" fontId="3" fillId="4" borderId="17" xfId="0" applyNumberFormat="1" applyFont="1" applyFill="1" applyBorder="1"/>
    <xf numFmtId="2" fontId="0" fillId="4" borderId="17" xfId="0" applyNumberFormat="1" applyFont="1" applyFill="1" applyBorder="1"/>
    <xf numFmtId="0" fontId="0" fillId="4" borderId="17" xfId="0" applyFont="1" applyFill="1" applyBorder="1"/>
    <xf numFmtId="2" fontId="3" fillId="4" borderId="17" xfId="0" applyNumberFormat="1" applyFont="1" applyFill="1" applyBorder="1"/>
    <xf numFmtId="167" fontId="3" fillId="4" borderId="17" xfId="2" applyNumberFormat="1" applyFont="1" applyFill="1" applyBorder="1"/>
    <xf numFmtId="10" fontId="3" fillId="4" borderId="17" xfId="0" applyNumberFormat="1" applyFont="1" applyFill="1" applyBorder="1"/>
    <xf numFmtId="4" fontId="3" fillId="4" borderId="19" xfId="0" applyNumberFormat="1" applyFont="1" applyFill="1" applyBorder="1"/>
    <xf numFmtId="0" fontId="3" fillId="4" borderId="19" xfId="0" applyFont="1" applyFill="1" applyBorder="1"/>
    <xf numFmtId="2" fontId="0" fillId="4" borderId="18" xfId="0" applyNumberFormat="1" applyFont="1" applyFill="1" applyBorder="1"/>
    <xf numFmtId="0" fontId="0" fillId="4" borderId="18" xfId="0" applyFont="1" applyFill="1" applyBorder="1"/>
    <xf numFmtId="4" fontId="3" fillId="4" borderId="19" xfId="1" applyNumberFormat="1" applyFont="1" applyFill="1" applyBorder="1"/>
    <xf numFmtId="14" fontId="3" fillId="4" borderId="19" xfId="0" applyNumberFormat="1" applyFont="1" applyFill="1" applyBorder="1"/>
    <xf numFmtId="167" fontId="3" fillId="4" borderId="19" xfId="0" applyNumberFormat="1" applyFont="1" applyFill="1" applyBorder="1"/>
    <xf numFmtId="0" fontId="0" fillId="4" borderId="18" xfId="0" applyFill="1" applyBorder="1"/>
    <xf numFmtId="0" fontId="2" fillId="2" borderId="20" xfId="0" applyFont="1" applyFill="1" applyBorder="1" applyAlignment="1">
      <alignment horizontal="center" vertical="center" wrapText="1"/>
    </xf>
    <xf numFmtId="0" fontId="11" fillId="7" borderId="18" xfId="0" applyFont="1" applyFill="1" applyBorder="1" applyAlignment="1">
      <alignment horizontal="center" vertical="center" wrapText="1"/>
    </xf>
    <xf numFmtId="171" fontId="11" fillId="7" borderId="18" xfId="0" applyNumberFormat="1" applyFont="1" applyFill="1" applyBorder="1" applyAlignment="1">
      <alignment horizontal="center" vertical="center" wrapText="1"/>
    </xf>
    <xf numFmtId="167" fontId="11" fillId="7" borderId="18" xfId="2" applyNumberFormat="1" applyFont="1" applyFill="1" applyBorder="1" applyAlignment="1">
      <alignment horizontal="center" vertical="center" wrapText="1"/>
    </xf>
    <xf numFmtId="0" fontId="0" fillId="7" borderId="0" xfId="0" applyFill="1"/>
    <xf numFmtId="0" fontId="3" fillId="7" borderId="0" xfId="0" applyFont="1" applyFill="1"/>
    <xf numFmtId="4" fontId="3" fillId="7" borderId="1" xfId="0" applyNumberFormat="1" applyFont="1" applyFill="1" applyBorder="1"/>
    <xf numFmtId="0" fontId="0" fillId="7" borderId="1" xfId="0" applyFill="1" applyBorder="1"/>
    <xf numFmtId="4" fontId="3" fillId="7" borderId="0" xfId="0" applyNumberFormat="1" applyFont="1" applyFill="1"/>
    <xf numFmtId="4" fontId="0" fillId="7" borderId="0" xfId="0" applyNumberFormat="1" applyFont="1" applyFill="1"/>
    <xf numFmtId="0" fontId="0" fillId="7" borderId="0" xfId="0" applyFont="1" applyFill="1"/>
    <xf numFmtId="2" fontId="0" fillId="7" borderId="0" xfId="0" applyNumberFormat="1" applyFont="1" applyFill="1"/>
    <xf numFmtId="166" fontId="0" fillId="7" borderId="0" xfId="0" applyNumberFormat="1" applyFont="1" applyFill="1"/>
    <xf numFmtId="2" fontId="3" fillId="7" borderId="0" xfId="0" applyNumberFormat="1" applyFont="1" applyFill="1"/>
    <xf numFmtId="9" fontId="0" fillId="7" borderId="0" xfId="2" applyFont="1" applyFill="1"/>
    <xf numFmtId="0" fontId="0" fillId="7" borderId="1" xfId="0" applyFont="1" applyFill="1" applyBorder="1"/>
    <xf numFmtId="2" fontId="0" fillId="7" borderId="1" xfId="0" applyNumberFormat="1" applyFont="1" applyFill="1" applyBorder="1"/>
    <xf numFmtId="171" fontId="11" fillId="4" borderId="1" xfId="0" applyNumberFormat="1" applyFont="1" applyFill="1" applyBorder="1" applyAlignment="1">
      <alignment horizontal="center" vertical="center" wrapText="1"/>
    </xf>
    <xf numFmtId="0" fontId="11" fillId="8" borderId="0" xfId="0" applyFont="1" applyFill="1" applyBorder="1"/>
    <xf numFmtId="0" fontId="11" fillId="8" borderId="0" xfId="0" applyFont="1" applyFill="1"/>
    <xf numFmtId="169" fontId="11" fillId="8" borderId="0" xfId="1" applyNumberFormat="1" applyFont="1" applyFill="1" applyAlignment="1">
      <alignment horizontal="left"/>
    </xf>
    <xf numFmtId="0" fontId="10" fillId="7" borderId="0" xfId="0" applyFont="1" applyFill="1"/>
    <xf numFmtId="2" fontId="10" fillId="7" borderId="0" xfId="1" applyNumberFormat="1" applyFont="1" applyFill="1"/>
    <xf numFmtId="9" fontId="10" fillId="7" borderId="0" xfId="0" applyNumberFormat="1" applyFont="1" applyFill="1"/>
    <xf numFmtId="10" fontId="13" fillId="7" borderId="0" xfId="2" applyNumberFormat="1" applyFont="1" applyFill="1" applyBorder="1" applyAlignment="1">
      <alignment vertical="center"/>
    </xf>
    <xf numFmtId="164" fontId="13" fillId="7" borderId="0" xfId="1" applyFont="1" applyFill="1" applyBorder="1" applyAlignment="1">
      <alignment vertical="center"/>
    </xf>
    <xf numFmtId="9" fontId="13" fillId="7" borderId="0" xfId="2" applyFont="1" applyFill="1" applyBorder="1" applyAlignment="1">
      <alignment vertical="center"/>
    </xf>
    <xf numFmtId="4" fontId="13" fillId="7" borderId="0" xfId="1" applyNumberFormat="1" applyFont="1" applyFill="1" applyBorder="1" applyAlignment="1">
      <alignment vertical="center"/>
    </xf>
    <xf numFmtId="0" fontId="11" fillId="8" borderId="0" xfId="0" applyFont="1" applyFill="1" applyBorder="1" applyAlignment="1">
      <alignment horizontal="center" vertical="center"/>
    </xf>
    <xf numFmtId="0" fontId="0" fillId="4" borderId="0" xfId="0" applyFill="1" applyAlignment="1">
      <alignment vertical="center"/>
    </xf>
    <xf numFmtId="0" fontId="21" fillId="4" borderId="0" xfId="0" applyFont="1" applyFill="1" applyAlignment="1">
      <alignment vertical="center"/>
    </xf>
    <xf numFmtId="0" fontId="10" fillId="4" borderId="7" xfId="0" applyFont="1" applyFill="1" applyBorder="1" applyAlignment="1">
      <alignment vertical="center"/>
    </xf>
    <xf numFmtId="0" fontId="10" fillId="4" borderId="3" xfId="0" applyFont="1" applyFill="1" applyBorder="1" applyAlignment="1">
      <alignment vertical="center"/>
    </xf>
    <xf numFmtId="0" fontId="10" fillId="4" borderId="10" xfId="0" applyFont="1" applyFill="1" applyBorder="1" applyAlignment="1">
      <alignment vertical="center"/>
    </xf>
    <xf numFmtId="0" fontId="10" fillId="4" borderId="8" xfId="0" applyFont="1" applyFill="1" applyBorder="1" applyAlignment="1">
      <alignment vertical="center"/>
    </xf>
    <xf numFmtId="0" fontId="10" fillId="4" borderId="11" xfId="0" applyFont="1" applyFill="1" applyBorder="1" applyAlignment="1">
      <alignment vertical="center"/>
    </xf>
    <xf numFmtId="0" fontId="11" fillId="4" borderId="0" xfId="0" applyFont="1" applyFill="1" applyBorder="1" applyAlignment="1">
      <alignment vertical="center"/>
    </xf>
    <xf numFmtId="0" fontId="10" fillId="4" borderId="0" xfId="0" applyFont="1" applyFill="1" applyBorder="1" applyAlignment="1">
      <alignment vertical="center"/>
    </xf>
    <xf numFmtId="0" fontId="11" fillId="4" borderId="8" xfId="0" applyFont="1" applyFill="1" applyBorder="1" applyAlignment="1">
      <alignment vertical="center"/>
    </xf>
    <xf numFmtId="0" fontId="10" fillId="4" borderId="0" xfId="0" applyFont="1" applyFill="1" applyBorder="1" applyAlignment="1">
      <alignment horizontal="center" vertical="center"/>
    </xf>
    <xf numFmtId="0" fontId="11" fillId="4" borderId="11" xfId="0" applyFont="1" applyFill="1" applyBorder="1" applyAlignment="1">
      <alignment vertical="center"/>
    </xf>
    <xf numFmtId="0" fontId="0" fillId="4" borderId="11" xfId="0" applyFill="1" applyBorder="1" applyAlignment="1">
      <alignment vertical="center"/>
    </xf>
    <xf numFmtId="2" fontId="10" fillId="4" borderId="0" xfId="0" applyNumberFormat="1" applyFont="1" applyFill="1" applyBorder="1" applyAlignment="1">
      <alignment vertical="center"/>
    </xf>
    <xf numFmtId="2" fontId="10" fillId="4" borderId="1" xfId="0" applyNumberFormat="1" applyFont="1" applyFill="1" applyBorder="1" applyAlignment="1">
      <alignment vertical="center"/>
    </xf>
    <xf numFmtId="10" fontId="10" fillId="4" borderId="0" xfId="0" applyNumberFormat="1" applyFont="1" applyFill="1" applyBorder="1" applyAlignment="1">
      <alignment vertical="center"/>
    </xf>
    <xf numFmtId="10" fontId="11" fillId="4" borderId="0" xfId="2" applyNumberFormat="1" applyFont="1" applyFill="1" applyBorder="1" applyAlignment="1">
      <alignment vertical="center"/>
    </xf>
    <xf numFmtId="10" fontId="10" fillId="4" borderId="0" xfId="2" applyNumberFormat="1" applyFont="1" applyFill="1" applyBorder="1" applyAlignment="1">
      <alignment vertical="center"/>
    </xf>
    <xf numFmtId="0" fontId="14" fillId="4" borderId="0" xfId="0" applyFont="1" applyFill="1" applyBorder="1" applyAlignment="1">
      <alignment horizontal="left" vertical="center"/>
    </xf>
    <xf numFmtId="10" fontId="14" fillId="4" borderId="0" xfId="2" applyNumberFormat="1" applyFont="1" applyFill="1" applyBorder="1" applyAlignment="1">
      <alignment vertical="center"/>
    </xf>
    <xf numFmtId="0" fontId="10" fillId="4" borderId="9" xfId="0" applyFont="1" applyFill="1" applyBorder="1" applyAlignment="1">
      <alignment vertical="center"/>
    </xf>
    <xf numFmtId="0" fontId="10" fillId="4" borderId="1" xfId="0" applyFont="1" applyFill="1" applyBorder="1" applyAlignment="1">
      <alignment vertical="center"/>
    </xf>
    <xf numFmtId="0" fontId="10" fillId="4" borderId="13" xfId="0" applyFont="1" applyFill="1" applyBorder="1" applyAlignment="1">
      <alignment vertical="center"/>
    </xf>
    <xf numFmtId="0" fontId="21" fillId="4" borderId="0" xfId="0" applyFont="1" applyFill="1" applyBorder="1" applyAlignment="1">
      <alignment vertical="center"/>
    </xf>
    <xf numFmtId="165" fontId="11" fillId="8" borderId="0" xfId="1" applyNumberFormat="1" applyFont="1" applyFill="1" applyAlignment="1" applyProtection="1">
      <alignment vertical="center"/>
    </xf>
    <xf numFmtId="4" fontId="13" fillId="5" borderId="12" xfId="1" applyNumberFormat="1" applyFont="1" applyFill="1" applyBorder="1"/>
    <xf numFmtId="4" fontId="13" fillId="10" borderId="12" xfId="1" applyNumberFormat="1" applyFont="1" applyFill="1" applyBorder="1"/>
    <xf numFmtId="10" fontId="13" fillId="10" borderId="12" xfId="2" applyNumberFormat="1" applyFont="1" applyFill="1" applyBorder="1" applyAlignment="1">
      <alignment vertical="center"/>
    </xf>
    <xf numFmtId="0" fontId="2" fillId="2" borderId="0" xfId="4" applyFont="1" applyFill="1" applyBorder="1" applyAlignment="1" applyProtection="1">
      <alignment horizontal="center" vertical="center"/>
    </xf>
    <xf numFmtId="0" fontId="10" fillId="4" borderId="0" xfId="0" applyFont="1" applyFill="1"/>
    <xf numFmtId="171" fontId="2" fillId="2" borderId="0" xfId="0" applyNumberFormat="1" applyFont="1" applyFill="1" applyBorder="1"/>
    <xf numFmtId="167" fontId="10" fillId="4" borderId="0" xfId="2" applyNumberFormat="1" applyFont="1" applyFill="1"/>
    <xf numFmtId="10" fontId="13" fillId="5" borderId="12" xfId="3" applyNumberFormat="1" applyFont="1" applyFill="1" applyBorder="1"/>
    <xf numFmtId="0" fontId="10" fillId="4" borderId="0" xfId="0" applyFont="1" applyFill="1" applyBorder="1"/>
    <xf numFmtId="165" fontId="11" fillId="4" borderId="0" xfId="1" applyNumberFormat="1" applyFont="1" applyFill="1" applyBorder="1"/>
    <xf numFmtId="0" fontId="2" fillId="2" borderId="22" xfId="0" applyFont="1" applyFill="1" applyBorder="1"/>
    <xf numFmtId="0" fontId="11" fillId="4" borderId="3" xfId="0" applyFont="1" applyFill="1" applyBorder="1"/>
    <xf numFmtId="0" fontId="11" fillId="4" borderId="6" xfId="0" applyFont="1" applyFill="1" applyBorder="1"/>
    <xf numFmtId="0" fontId="11" fillId="4" borderId="5" xfId="0" applyFont="1" applyFill="1" applyBorder="1"/>
    <xf numFmtId="171" fontId="11" fillId="4" borderId="22" xfId="0" applyNumberFormat="1" applyFont="1" applyFill="1" applyBorder="1"/>
    <xf numFmtId="0" fontId="11" fillId="4" borderId="4" xfId="0" applyFont="1" applyFill="1" applyBorder="1"/>
    <xf numFmtId="0" fontId="11" fillId="4" borderId="0" xfId="0" applyFont="1" applyFill="1" applyBorder="1"/>
    <xf numFmtId="0" fontId="11" fillId="4" borderId="22" xfId="0" applyFont="1" applyFill="1" applyBorder="1"/>
    <xf numFmtId="0" fontId="10" fillId="4" borderId="0" xfId="0" applyFont="1" applyFill="1" applyAlignment="1">
      <alignment horizontal="left"/>
    </xf>
    <xf numFmtId="0" fontId="11" fillId="4" borderId="3" xfId="0" applyFont="1" applyFill="1" applyBorder="1" applyAlignment="1">
      <alignment horizontal="left"/>
    </xf>
    <xf numFmtId="0" fontId="10" fillId="4" borderId="3" xfId="0" applyFont="1" applyFill="1" applyBorder="1" applyAlignment="1">
      <alignment horizontal="left"/>
    </xf>
    <xf numFmtId="0" fontId="10" fillId="4" borderId="3" xfId="0" applyFont="1" applyFill="1" applyBorder="1"/>
    <xf numFmtId="167" fontId="0" fillId="7" borderId="1" xfId="1" applyNumberFormat="1" applyFont="1" applyFill="1" applyBorder="1"/>
    <xf numFmtId="167" fontId="0" fillId="7" borderId="0" xfId="2" applyNumberFormat="1" applyFont="1" applyFill="1"/>
    <xf numFmtId="167" fontId="0" fillId="7" borderId="0" xfId="2" applyNumberFormat="1" applyFont="1" applyFill="1" applyBorder="1"/>
    <xf numFmtId="0" fontId="0" fillId="7" borderId="0" xfId="0" applyFill="1" applyBorder="1"/>
    <xf numFmtId="0" fontId="3" fillId="8" borderId="0" xfId="1" applyNumberFormat="1" applyFont="1" applyFill="1"/>
    <xf numFmtId="0" fontId="3" fillId="8" borderId="1" xfId="0" applyFont="1" applyFill="1" applyBorder="1"/>
    <xf numFmtId="166" fontId="0" fillId="7" borderId="0" xfId="0" applyNumberFormat="1" applyFill="1"/>
    <xf numFmtId="169" fontId="3" fillId="7" borderId="0" xfId="0" applyNumberFormat="1" applyFont="1" applyFill="1"/>
    <xf numFmtId="0" fontId="3" fillId="4" borderId="0" xfId="0" applyFont="1" applyFill="1" applyBorder="1"/>
    <xf numFmtId="14" fontId="3" fillId="4" borderId="1" xfId="0" applyNumberFormat="1" applyFont="1" applyFill="1" applyBorder="1"/>
    <xf numFmtId="14" fontId="3" fillId="4" borderId="0" xfId="0" applyNumberFormat="1" applyFont="1" applyFill="1"/>
    <xf numFmtId="166" fontId="0" fillId="4" borderId="0" xfId="0" applyNumberFormat="1" applyFill="1"/>
    <xf numFmtId="0" fontId="19" fillId="4" borderId="0" xfId="0" applyFont="1" applyFill="1"/>
    <xf numFmtId="167" fontId="19" fillId="4" borderId="0" xfId="2" applyNumberFormat="1" applyFont="1" applyFill="1"/>
    <xf numFmtId="167" fontId="0" fillId="4" borderId="0" xfId="2" applyNumberFormat="1" applyFont="1" applyFill="1" applyBorder="1"/>
    <xf numFmtId="169" fontId="3" fillId="4" borderId="0" xfId="1" applyNumberFormat="1" applyFont="1" applyFill="1"/>
    <xf numFmtId="0" fontId="0" fillId="4" borderId="1" xfId="0" applyFill="1" applyBorder="1"/>
    <xf numFmtId="166" fontId="3" fillId="4" borderId="0" xfId="0" applyNumberFormat="1" applyFont="1" applyFill="1"/>
    <xf numFmtId="1" fontId="0" fillId="4" borderId="0" xfId="0" applyNumberFormat="1" applyFill="1"/>
    <xf numFmtId="167" fontId="19" fillId="7" borderId="0" xfId="2" applyNumberFormat="1" applyFont="1" applyFill="1"/>
    <xf numFmtId="169" fontId="3" fillId="7" borderId="0" xfId="1" applyNumberFormat="1" applyFont="1" applyFill="1"/>
    <xf numFmtId="0" fontId="3" fillId="4" borderId="3" xfId="0" applyFont="1" applyFill="1" applyBorder="1"/>
    <xf numFmtId="0" fontId="0" fillId="4" borderId="3" xfId="0" applyFill="1" applyBorder="1"/>
    <xf numFmtId="166" fontId="3" fillId="4" borderId="3" xfId="0" applyNumberFormat="1" applyFont="1" applyFill="1" applyBorder="1"/>
    <xf numFmtId="173" fontId="25" fillId="11" borderId="12" xfId="5" applyNumberFormat="1" applyFont="1" applyFill="1" applyBorder="1" applyAlignment="1">
      <alignment horizontal="center"/>
    </xf>
    <xf numFmtId="171" fontId="2" fillId="2" borderId="1" xfId="4" applyNumberFormat="1" applyFont="1" applyFill="1" applyBorder="1" applyAlignment="1" applyProtection="1">
      <alignment horizontal="right" vertical="center"/>
    </xf>
    <xf numFmtId="171" fontId="2" fillId="2" borderId="1" xfId="4" applyNumberFormat="1" applyFont="1" applyFill="1" applyBorder="1" applyAlignment="1" applyProtection="1">
      <alignment horizontal="left" vertical="center"/>
    </xf>
    <xf numFmtId="0" fontId="10" fillId="4" borderId="0" xfId="4" applyFont="1" applyFill="1" applyAlignment="1" applyProtection="1">
      <alignment vertical="center"/>
    </xf>
    <xf numFmtId="0" fontId="24" fillId="4" borderId="0" xfId="0" applyFont="1" applyFill="1"/>
    <xf numFmtId="0" fontId="10" fillId="4" borderId="1" xfId="4" applyFont="1" applyFill="1" applyBorder="1" applyAlignment="1" applyProtection="1">
      <alignment vertical="center"/>
    </xf>
    <xf numFmtId="166" fontId="3" fillId="7" borderId="0" xfId="0" applyNumberFormat="1" applyFont="1" applyFill="1"/>
    <xf numFmtId="0" fontId="0" fillId="4" borderId="0" xfId="0" quotePrefix="1" applyFill="1"/>
    <xf numFmtId="0" fontId="3" fillId="8" borderId="7" xfId="0" applyFont="1" applyFill="1" applyBorder="1"/>
    <xf numFmtId="0" fontId="0" fillId="4" borderId="10" xfId="0" applyFill="1" applyBorder="1"/>
    <xf numFmtId="0" fontId="11" fillId="4" borderId="8" xfId="4" applyFont="1" applyFill="1" applyBorder="1" applyAlignment="1" applyProtection="1">
      <alignment vertical="center"/>
    </xf>
    <xf numFmtId="10" fontId="0" fillId="4" borderId="0" xfId="0" applyNumberFormat="1" applyFill="1" applyBorder="1"/>
    <xf numFmtId="0" fontId="0" fillId="4" borderId="11" xfId="0" applyFill="1" applyBorder="1"/>
    <xf numFmtId="4" fontId="0" fillId="4" borderId="0" xfId="0" applyNumberFormat="1" applyFill="1" applyBorder="1"/>
    <xf numFmtId="0" fontId="10" fillId="4" borderId="8" xfId="4" applyFont="1" applyFill="1" applyBorder="1" applyAlignment="1" applyProtection="1">
      <alignment vertical="center"/>
    </xf>
    <xf numFmtId="9" fontId="0" fillId="4" borderId="0" xfId="0" applyNumberFormat="1" applyFill="1" applyBorder="1"/>
    <xf numFmtId="9" fontId="0" fillId="4" borderId="11" xfId="0" applyNumberFormat="1" applyFill="1" applyBorder="1"/>
    <xf numFmtId="0" fontId="11" fillId="4" borderId="9" xfId="4" applyFont="1" applyFill="1" applyBorder="1" applyAlignment="1" applyProtection="1">
      <alignment vertical="center"/>
    </xf>
    <xf numFmtId="166" fontId="10" fillId="4" borderId="0" xfId="0" applyNumberFormat="1" applyFont="1" applyFill="1"/>
    <xf numFmtId="166" fontId="10" fillId="7" borderId="0" xfId="0" applyNumberFormat="1" applyFont="1" applyFill="1"/>
    <xf numFmtId="166" fontId="11" fillId="4" borderId="3" xfId="0" applyNumberFormat="1" applyFont="1" applyFill="1" applyBorder="1"/>
    <xf numFmtId="166" fontId="11" fillId="7" borderId="3" xfId="0" applyNumberFormat="1" applyFont="1" applyFill="1" applyBorder="1"/>
    <xf numFmtId="166" fontId="11" fillId="4" borderId="6" xfId="0" applyNumberFormat="1" applyFont="1" applyFill="1" applyBorder="1"/>
    <xf numFmtId="166" fontId="11" fillId="7" borderId="6" xfId="0" applyNumberFormat="1" applyFont="1" applyFill="1" applyBorder="1"/>
    <xf numFmtId="166" fontId="11" fillId="4" borderId="4" xfId="0" applyNumberFormat="1" applyFont="1" applyFill="1" applyBorder="1"/>
    <xf numFmtId="166" fontId="11" fillId="4" borderId="0" xfId="0" applyNumberFormat="1" applyFont="1" applyFill="1"/>
    <xf numFmtId="166" fontId="11" fillId="7" borderId="4" xfId="0" applyNumberFormat="1" applyFont="1" applyFill="1" applyBorder="1"/>
    <xf numFmtId="166" fontId="11" fillId="7" borderId="0" xfId="0" applyNumberFormat="1" applyFont="1" applyFill="1"/>
    <xf numFmtId="166" fontId="10" fillId="4" borderId="0" xfId="0" applyNumberFormat="1" applyFont="1" applyFill="1" applyBorder="1"/>
    <xf numFmtId="166" fontId="11" fillId="4" borderId="0" xfId="0" applyNumberFormat="1" applyFont="1" applyFill="1" applyBorder="1"/>
    <xf numFmtId="166" fontId="10" fillId="7" borderId="0" xfId="0" applyNumberFormat="1" applyFont="1" applyFill="1" applyBorder="1"/>
    <xf numFmtId="166" fontId="11" fillId="7" borderId="0" xfId="0" applyNumberFormat="1" applyFont="1" applyFill="1" applyBorder="1"/>
    <xf numFmtId="9" fontId="0" fillId="4" borderId="0" xfId="2" applyFont="1" applyFill="1"/>
    <xf numFmtId="2" fontId="0" fillId="4" borderId="0" xfId="0" applyNumberFormat="1" applyFill="1" applyBorder="1"/>
    <xf numFmtId="2" fontId="0" fillId="4" borderId="11" xfId="0" applyNumberFormat="1" applyFill="1" applyBorder="1"/>
    <xf numFmtId="167" fontId="0" fillId="4" borderId="0" xfId="0" applyNumberFormat="1" applyFill="1" applyBorder="1"/>
    <xf numFmtId="167" fontId="0" fillId="4" borderId="11" xfId="0" applyNumberFormat="1" applyFill="1" applyBorder="1"/>
    <xf numFmtId="9" fontId="0" fillId="4" borderId="0" xfId="2" applyFont="1" applyFill="1" applyBorder="1"/>
    <xf numFmtId="167" fontId="0" fillId="4" borderId="1" xfId="2" applyNumberFormat="1" applyFont="1" applyFill="1" applyBorder="1"/>
    <xf numFmtId="167" fontId="0" fillId="4" borderId="11" xfId="2" applyNumberFormat="1" applyFont="1" applyFill="1" applyBorder="1"/>
    <xf numFmtId="167" fontId="0" fillId="4" borderId="13" xfId="2" applyNumberFormat="1" applyFont="1" applyFill="1" applyBorder="1"/>
    <xf numFmtId="166" fontId="0" fillId="4" borderId="1" xfId="0" applyNumberFormat="1" applyFill="1" applyBorder="1"/>
    <xf numFmtId="166" fontId="0" fillId="7" borderId="1" xfId="0" applyNumberFormat="1" applyFill="1" applyBorder="1"/>
    <xf numFmtId="0" fontId="3" fillId="7" borderId="0" xfId="0" applyFont="1" applyFill="1" applyBorder="1"/>
    <xf numFmtId="0" fontId="0" fillId="7" borderId="0" xfId="0" applyFont="1" applyFill="1" applyBorder="1"/>
    <xf numFmtId="167" fontId="3" fillId="7" borderId="0" xfId="0" applyNumberFormat="1" applyFont="1" applyFill="1" applyBorder="1"/>
    <xf numFmtId="167" fontId="3" fillId="7" borderId="0" xfId="2" applyNumberFormat="1" applyFont="1" applyFill="1" applyBorder="1"/>
    <xf numFmtId="167" fontId="0" fillId="7" borderId="1" xfId="2" applyNumberFormat="1" applyFont="1" applyFill="1" applyBorder="1"/>
    <xf numFmtId="9" fontId="3" fillId="7" borderId="0" xfId="2" applyFont="1" applyFill="1"/>
    <xf numFmtId="166" fontId="3" fillId="7" borderId="0" xfId="1" applyNumberFormat="1" applyFont="1" applyFill="1" applyBorder="1"/>
    <xf numFmtId="166" fontId="0" fillId="7" borderId="0" xfId="1" applyNumberFormat="1" applyFont="1" applyFill="1" applyBorder="1"/>
    <xf numFmtId="166" fontId="0" fillId="7" borderId="0" xfId="0" applyNumberFormat="1" applyFill="1" applyBorder="1"/>
    <xf numFmtId="166" fontId="0" fillId="7" borderId="1" xfId="1" applyNumberFormat="1" applyFont="1" applyFill="1" applyBorder="1"/>
    <xf numFmtId="166" fontId="3" fillId="7" borderId="0" xfId="1" applyNumberFormat="1" applyFont="1" applyFill="1"/>
    <xf numFmtId="169" fontId="3" fillId="7" borderId="0" xfId="1" applyNumberFormat="1" applyFont="1" applyFill="1" applyBorder="1"/>
    <xf numFmtId="169" fontId="0" fillId="7" borderId="0" xfId="0" applyNumberFormat="1" applyFill="1" applyBorder="1"/>
    <xf numFmtId="169" fontId="0" fillId="7" borderId="1" xfId="0" applyNumberFormat="1" applyFill="1" applyBorder="1"/>
    <xf numFmtId="167" fontId="0" fillId="7" borderId="0" xfId="0" applyNumberFormat="1" applyFont="1" applyFill="1"/>
    <xf numFmtId="167" fontId="0" fillId="7" borderId="0" xfId="0" applyNumberFormat="1" applyFill="1"/>
    <xf numFmtId="0" fontId="23" fillId="4" borderId="0" xfId="0" applyFont="1" applyFill="1" applyAlignment="1">
      <alignment horizontal="left" indent="2"/>
    </xf>
    <xf numFmtId="0" fontId="10" fillId="4" borderId="0" xfId="0" applyFont="1" applyFill="1" applyBorder="1" applyAlignment="1">
      <alignment horizontal="left" indent="2"/>
    </xf>
    <xf numFmtId="0" fontId="10" fillId="4" borderId="1" xfId="0" applyFont="1" applyFill="1" applyBorder="1" applyAlignment="1">
      <alignment horizontal="left" indent="2"/>
    </xf>
    <xf numFmtId="14" fontId="3" fillId="4" borderId="0" xfId="0" applyNumberFormat="1" applyFont="1" applyFill="1" applyBorder="1"/>
    <xf numFmtId="165" fontId="3" fillId="4" borderId="0" xfId="1" applyNumberFormat="1" applyFont="1" applyFill="1"/>
    <xf numFmtId="2" fontId="3" fillId="4" borderId="0" xfId="0" applyNumberFormat="1" applyFont="1" applyFill="1"/>
    <xf numFmtId="165" fontId="19" fillId="4" borderId="0" xfId="1" applyNumberFormat="1" applyFont="1" applyFill="1"/>
    <xf numFmtId="169" fontId="3" fillId="4" borderId="1" xfId="1" applyNumberFormat="1" applyFont="1" applyFill="1" applyBorder="1"/>
    <xf numFmtId="0" fontId="0" fillId="4" borderId="0" xfId="0" applyFill="1" applyAlignment="1">
      <alignment horizontal="left" indent="3"/>
    </xf>
    <xf numFmtId="0" fontId="0" fillId="4" borderId="0" xfId="0" applyFill="1" applyBorder="1" applyAlignment="1">
      <alignment horizontal="left" indent="3"/>
    </xf>
    <xf numFmtId="0" fontId="0" fillId="4" borderId="0" xfId="0" applyFont="1" applyFill="1" applyBorder="1"/>
    <xf numFmtId="9" fontId="3" fillId="4" borderId="0" xfId="2" applyFont="1" applyFill="1"/>
    <xf numFmtId="0" fontId="0" fillId="4" borderId="1" xfId="0" applyFill="1" applyBorder="1" applyAlignment="1">
      <alignment horizontal="left" indent="3"/>
    </xf>
    <xf numFmtId="0" fontId="0" fillId="4" borderId="1" xfId="0" applyFont="1" applyFill="1" applyBorder="1"/>
    <xf numFmtId="167" fontId="3" fillId="4" borderId="0" xfId="0" applyNumberFormat="1" applyFont="1" applyFill="1" applyBorder="1"/>
    <xf numFmtId="167" fontId="3" fillId="4" borderId="0" xfId="2" applyNumberFormat="1" applyFont="1" applyFill="1" applyBorder="1"/>
    <xf numFmtId="0" fontId="0" fillId="4" borderId="1" xfId="2" applyNumberFormat="1" applyFont="1" applyFill="1" applyBorder="1"/>
    <xf numFmtId="0" fontId="3" fillId="4" borderId="0" xfId="0" applyFont="1" applyFill="1" applyAlignment="1">
      <alignment horizontal="left"/>
    </xf>
    <xf numFmtId="166" fontId="0" fillId="4" borderId="0" xfId="1" applyNumberFormat="1" applyFont="1" applyFill="1" applyBorder="1"/>
    <xf numFmtId="166" fontId="3" fillId="4" borderId="0" xfId="1" applyNumberFormat="1" applyFont="1" applyFill="1" applyBorder="1"/>
    <xf numFmtId="166" fontId="3" fillId="4" borderId="0" xfId="1" applyNumberFormat="1" applyFont="1" applyFill="1" applyBorder="1" applyAlignment="1">
      <alignment horizontal="right"/>
    </xf>
    <xf numFmtId="166" fontId="0" fillId="4" borderId="0" xfId="0" applyNumberFormat="1" applyFill="1" applyBorder="1"/>
    <xf numFmtId="166" fontId="0" fillId="4" borderId="1" xfId="1" applyNumberFormat="1" applyFont="1" applyFill="1" applyBorder="1"/>
    <xf numFmtId="166" fontId="1" fillId="4" borderId="1" xfId="1" applyNumberFormat="1" applyFont="1" applyFill="1" applyBorder="1"/>
    <xf numFmtId="166" fontId="3" fillId="4" borderId="0" xfId="1" applyNumberFormat="1" applyFont="1" applyFill="1"/>
    <xf numFmtId="166" fontId="0" fillId="4" borderId="0" xfId="1" applyNumberFormat="1" applyFont="1" applyFill="1"/>
    <xf numFmtId="166" fontId="1" fillId="4" borderId="0" xfId="1" applyNumberFormat="1" applyFont="1" applyFill="1"/>
    <xf numFmtId="169" fontId="3" fillId="4" borderId="0" xfId="1" applyNumberFormat="1" applyFont="1" applyFill="1" applyBorder="1"/>
    <xf numFmtId="164" fontId="3" fillId="4" borderId="0" xfId="1" applyFont="1" applyFill="1" applyBorder="1"/>
    <xf numFmtId="169" fontId="0" fillId="4" borderId="0" xfId="0" applyNumberFormat="1" applyFill="1" applyBorder="1"/>
    <xf numFmtId="169" fontId="0" fillId="4" borderId="0" xfId="1" applyNumberFormat="1" applyFont="1" applyFill="1" applyBorder="1"/>
    <xf numFmtId="169" fontId="0" fillId="4" borderId="1" xfId="1" applyNumberFormat="1" applyFont="1" applyFill="1" applyBorder="1"/>
    <xf numFmtId="164" fontId="3" fillId="4" borderId="0" xfId="1" applyFont="1" applyFill="1"/>
    <xf numFmtId="165" fontId="0" fillId="4" borderId="0" xfId="1" applyNumberFormat="1" applyFont="1" applyFill="1"/>
    <xf numFmtId="0" fontId="0" fillId="4" borderId="0" xfId="0" applyFont="1" applyFill="1" applyBorder="1" applyAlignment="1">
      <alignment horizontal="left" indent="3"/>
    </xf>
    <xf numFmtId="0" fontId="0" fillId="4" borderId="1" xfId="0" applyFont="1" applyFill="1" applyBorder="1" applyAlignment="1">
      <alignment horizontal="left" indent="3"/>
    </xf>
    <xf numFmtId="0" fontId="10" fillId="4" borderId="0" xfId="0" applyFont="1" applyFill="1" applyAlignment="1">
      <alignment horizontal="left" indent="3"/>
    </xf>
    <xf numFmtId="169" fontId="0" fillId="4" borderId="0" xfId="1" applyNumberFormat="1" applyFont="1" applyFill="1"/>
    <xf numFmtId="0" fontId="23" fillId="4" borderId="0" xfId="0" applyFont="1" applyFill="1"/>
    <xf numFmtId="0" fontId="23" fillId="4" borderId="0" xfId="0" applyFont="1" applyFill="1" applyBorder="1"/>
    <xf numFmtId="166" fontId="23" fillId="4" borderId="0" xfId="0" applyNumberFormat="1" applyFont="1" applyFill="1" applyBorder="1"/>
    <xf numFmtId="166" fontId="3" fillId="4" borderId="0" xfId="0" applyNumberFormat="1" applyFont="1" applyFill="1" applyBorder="1"/>
    <xf numFmtId="164" fontId="0" fillId="4" borderId="0" xfId="1" applyNumberFormat="1" applyFont="1" applyFill="1" applyBorder="1"/>
    <xf numFmtId="2" fontId="0" fillId="4" borderId="1" xfId="0" applyNumberFormat="1" applyFill="1" applyBorder="1"/>
    <xf numFmtId="168" fontId="13" fillId="5" borderId="12" xfId="1" applyNumberFormat="1" applyFont="1" applyFill="1" applyBorder="1"/>
    <xf numFmtId="0" fontId="19" fillId="7" borderId="0" xfId="0" applyFont="1" applyFill="1"/>
    <xf numFmtId="165" fontId="3" fillId="7" borderId="0" xfId="1" applyNumberFormat="1" applyFont="1" applyFill="1"/>
    <xf numFmtId="0" fontId="3" fillId="4" borderId="0" xfId="0" applyFont="1" applyFill="1" applyBorder="1" applyAlignment="1">
      <alignment horizontal="center"/>
    </xf>
    <xf numFmtId="0" fontId="0" fillId="4" borderId="1" xfId="0" applyFill="1" applyBorder="1" applyAlignment="1">
      <alignment horizontal="right"/>
    </xf>
    <xf numFmtId="167" fontId="0" fillId="4" borderId="1" xfId="1" applyNumberFormat="1" applyFont="1" applyFill="1" applyBorder="1"/>
    <xf numFmtId="4" fontId="3" fillId="4" borderId="0" xfId="1" applyNumberFormat="1" applyFont="1" applyFill="1"/>
    <xf numFmtId="0" fontId="0" fillId="4" borderId="0" xfId="0" applyFill="1" applyAlignment="1">
      <alignment horizontal="right"/>
    </xf>
    <xf numFmtId="0" fontId="3" fillId="4" borderId="3" xfId="0" applyFont="1" applyFill="1" applyBorder="1" applyAlignment="1">
      <alignment horizontal="left"/>
    </xf>
    <xf numFmtId="167" fontId="0" fillId="4" borderId="0" xfId="2" applyNumberFormat="1" applyFont="1" applyFill="1" applyAlignment="1">
      <alignment horizontal="right"/>
    </xf>
    <xf numFmtId="0" fontId="0" fillId="4" borderId="0" xfId="0" applyFill="1" applyAlignment="1">
      <alignment horizontal="left" indent="6"/>
    </xf>
    <xf numFmtId="168" fontId="0" fillId="4" borderId="0" xfId="0" applyNumberFormat="1" applyFill="1"/>
    <xf numFmtId="169" fontId="3" fillId="4" borderId="3" xfId="1" applyNumberFormat="1" applyFont="1" applyFill="1" applyBorder="1"/>
    <xf numFmtId="168" fontId="3" fillId="4" borderId="3" xfId="0" applyNumberFormat="1" applyFont="1" applyFill="1" applyBorder="1"/>
    <xf numFmtId="164" fontId="0" fillId="4" borderId="0" xfId="1" applyFont="1" applyFill="1"/>
    <xf numFmtId="168" fontId="3" fillId="4" borderId="0" xfId="0" applyNumberFormat="1" applyFont="1" applyFill="1"/>
    <xf numFmtId="168" fontId="0" fillId="4" borderId="0" xfId="0" applyNumberFormat="1" applyFill="1" applyBorder="1"/>
    <xf numFmtId="0" fontId="0" fillId="4" borderId="0" xfId="0" applyFill="1" applyBorder="1" applyAlignment="1">
      <alignment horizontal="left" indent="2"/>
    </xf>
    <xf numFmtId="0" fontId="0" fillId="4" borderId="0" xfId="0" applyFill="1" applyBorder="1" applyAlignment="1">
      <alignment horizontal="left" indent="5"/>
    </xf>
    <xf numFmtId="0" fontId="0" fillId="4" borderId="1" xfId="0" applyFill="1" applyBorder="1" applyAlignment="1">
      <alignment horizontal="left" indent="2"/>
    </xf>
    <xf numFmtId="0" fontId="3" fillId="4" borderId="0" xfId="0" applyFont="1" applyFill="1" applyBorder="1" applyAlignment="1">
      <alignment horizontal="left"/>
    </xf>
    <xf numFmtId="0" fontId="3" fillId="4" borderId="4" xfId="0" applyFont="1" applyFill="1" applyBorder="1"/>
    <xf numFmtId="164" fontId="3" fillId="4" borderId="4" xfId="0" applyNumberFormat="1" applyFont="1" applyFill="1" applyBorder="1"/>
    <xf numFmtId="0" fontId="3" fillId="4" borderId="5" xfId="0" applyFont="1" applyFill="1" applyBorder="1"/>
    <xf numFmtId="166" fontId="3" fillId="4" borderId="5" xfId="0" applyNumberFormat="1" applyFont="1" applyFill="1" applyBorder="1"/>
    <xf numFmtId="165" fontId="0" fillId="4" borderId="0" xfId="1" applyNumberFormat="1" applyFont="1" applyFill="1" applyBorder="1"/>
    <xf numFmtId="165" fontId="0" fillId="4" borderId="0" xfId="0" applyNumberFormat="1" applyFill="1"/>
    <xf numFmtId="172" fontId="0" fillId="4" borderId="0" xfId="0" applyNumberFormat="1" applyFill="1" applyBorder="1"/>
    <xf numFmtId="166" fontId="0" fillId="4" borderId="0" xfId="0" applyNumberFormat="1" applyFont="1" applyFill="1" applyBorder="1"/>
    <xf numFmtId="9" fontId="0" fillId="4" borderId="1" xfId="2" applyFont="1" applyFill="1" applyBorder="1"/>
    <xf numFmtId="0" fontId="0" fillId="4" borderId="0" xfId="0" applyFill="1" applyBorder="1" applyAlignment="1">
      <alignment horizontal="left"/>
    </xf>
    <xf numFmtId="166" fontId="0" fillId="4" borderId="0" xfId="0" applyNumberFormat="1" applyFill="1" applyAlignment="1">
      <alignment horizontal="right"/>
    </xf>
    <xf numFmtId="166" fontId="0" fillId="4" borderId="0" xfId="0" applyNumberFormat="1" applyFill="1" applyBorder="1" applyAlignment="1">
      <alignment horizontal="right"/>
    </xf>
    <xf numFmtId="0" fontId="0" fillId="4" borderId="1" xfId="0" applyFill="1" applyBorder="1" applyAlignment="1">
      <alignment horizontal="left" indent="6"/>
    </xf>
    <xf numFmtId="0" fontId="0" fillId="4" borderId="0" xfId="0" applyFill="1" applyBorder="1" applyAlignment="1">
      <alignment horizontal="right"/>
    </xf>
    <xf numFmtId="167" fontId="0" fillId="4" borderId="1" xfId="2" applyNumberFormat="1" applyFont="1" applyFill="1" applyBorder="1" applyAlignment="1">
      <alignment horizontal="right"/>
    </xf>
    <xf numFmtId="167" fontId="0" fillId="4" borderId="0" xfId="2" applyNumberFormat="1" applyFont="1" applyFill="1" applyBorder="1" applyAlignment="1">
      <alignment horizontal="right"/>
    </xf>
    <xf numFmtId="0" fontId="3" fillId="4" borderId="6" xfId="0" applyFont="1" applyFill="1" applyBorder="1"/>
    <xf numFmtId="166" fontId="3" fillId="4" borderId="6" xfId="0" applyNumberFormat="1" applyFont="1" applyFill="1" applyBorder="1"/>
    <xf numFmtId="0" fontId="0" fillId="4" borderId="0" xfId="0" applyFill="1" applyAlignment="1">
      <alignment wrapText="1"/>
    </xf>
    <xf numFmtId="0" fontId="3" fillId="4" borderId="0" xfId="0" applyFont="1" applyFill="1" applyAlignment="1">
      <alignment wrapText="1"/>
    </xf>
    <xf numFmtId="166" fontId="3" fillId="4" borderId="1" xfId="0" applyNumberFormat="1" applyFont="1" applyFill="1" applyBorder="1"/>
    <xf numFmtId="0" fontId="0" fillId="4" borderId="0" xfId="0" applyFont="1" applyFill="1" applyAlignment="1">
      <alignment horizontal="left" indent="3"/>
    </xf>
    <xf numFmtId="0" fontId="0" fillId="4" borderId="7" xfId="0" applyFont="1" applyFill="1" applyBorder="1"/>
    <xf numFmtId="0" fontId="0" fillId="4" borderId="3" xfId="0" applyFont="1" applyFill="1" applyBorder="1"/>
    <xf numFmtId="0" fontId="0" fillId="4" borderId="8" xfId="0" applyFill="1" applyBorder="1"/>
    <xf numFmtId="0" fontId="3" fillId="4" borderId="9" xfId="0" applyFont="1" applyFill="1" applyBorder="1"/>
    <xf numFmtId="167" fontId="0" fillId="7" borderId="0" xfId="2" applyNumberFormat="1" applyFont="1" applyFill="1" applyAlignment="1">
      <alignment horizontal="right"/>
    </xf>
    <xf numFmtId="2" fontId="0" fillId="7" borderId="0" xfId="0" applyNumberFormat="1" applyFill="1" applyBorder="1"/>
    <xf numFmtId="9" fontId="0" fillId="7" borderId="1" xfId="0" applyNumberFormat="1" applyFill="1" applyBorder="1"/>
    <xf numFmtId="164" fontId="0" fillId="7" borderId="0" xfId="0" applyNumberFormat="1" applyFill="1"/>
    <xf numFmtId="164" fontId="0" fillId="7" borderId="0" xfId="1" applyNumberFormat="1" applyFont="1" applyFill="1" applyBorder="1"/>
    <xf numFmtId="172" fontId="0" fillId="7" borderId="0" xfId="0" applyNumberFormat="1" applyFill="1" applyBorder="1"/>
    <xf numFmtId="167" fontId="0" fillId="7" borderId="1" xfId="0" applyNumberFormat="1" applyFill="1" applyBorder="1"/>
    <xf numFmtId="169" fontId="11" fillId="4" borderId="2" xfId="1" applyNumberFormat="1" applyFont="1" applyFill="1" applyBorder="1" applyAlignment="1">
      <alignment vertical="center"/>
    </xf>
    <xf numFmtId="169" fontId="11" fillId="4" borderId="2" xfId="1" applyNumberFormat="1" applyFont="1" applyFill="1" applyBorder="1" applyAlignment="1">
      <alignment horizontal="center" vertical="center"/>
    </xf>
    <xf numFmtId="164" fontId="0" fillId="7" borderId="0" xfId="1" applyFont="1" applyFill="1" applyBorder="1"/>
    <xf numFmtId="164" fontId="0" fillId="7" borderId="1" xfId="1" applyFont="1" applyFill="1" applyBorder="1"/>
    <xf numFmtId="174" fontId="0" fillId="7" borderId="0" xfId="1" applyNumberFormat="1" applyFont="1" applyFill="1"/>
    <xf numFmtId="169" fontId="11" fillId="4" borderId="0" xfId="1" applyNumberFormat="1" applyFont="1" applyFill="1" applyBorder="1" applyAlignment="1">
      <alignment vertical="center" wrapText="1"/>
    </xf>
    <xf numFmtId="0" fontId="3" fillId="4" borderId="0" xfId="0" applyFont="1" applyFill="1" applyAlignment="1">
      <alignment horizontal="left" indent="3"/>
    </xf>
    <xf numFmtId="164" fontId="10" fillId="4" borderId="0" xfId="1" applyFont="1" applyFill="1"/>
    <xf numFmtId="0" fontId="11" fillId="4" borderId="0" xfId="0" applyFont="1" applyFill="1" applyAlignment="1">
      <alignment horizontal="left" indent="3"/>
    </xf>
    <xf numFmtId="164" fontId="11" fillId="4" borderId="0" xfId="1" applyFont="1" applyFill="1"/>
    <xf numFmtId="0" fontId="10" fillId="4" borderId="1" xfId="0" applyFont="1" applyFill="1" applyBorder="1" applyAlignment="1">
      <alignment horizontal="left" indent="3"/>
    </xf>
    <xf numFmtId="164" fontId="0" fillId="4" borderId="1" xfId="1" applyFont="1" applyFill="1" applyBorder="1"/>
    <xf numFmtId="169" fontId="11" fillId="4" borderId="0" xfId="1" applyNumberFormat="1" applyFont="1" applyFill="1" applyBorder="1" applyAlignment="1">
      <alignment horizontal="left" vertical="center"/>
    </xf>
    <xf numFmtId="169" fontId="10" fillId="4" borderId="0" xfId="1" applyNumberFormat="1" applyFont="1" applyFill="1" applyBorder="1" applyAlignment="1">
      <alignment horizontal="left" vertical="center" indent="2"/>
    </xf>
    <xf numFmtId="169" fontId="10" fillId="4" borderId="1" xfId="1" applyNumberFormat="1" applyFont="1" applyFill="1" applyBorder="1" applyAlignment="1">
      <alignment horizontal="left" vertical="center" indent="2"/>
    </xf>
    <xf numFmtId="169" fontId="10" fillId="4" borderId="0" xfId="1" applyNumberFormat="1" applyFont="1" applyFill="1" applyBorder="1" applyAlignment="1">
      <alignment horizontal="left" vertical="center"/>
    </xf>
    <xf numFmtId="169" fontId="10" fillId="4" borderId="0" xfId="1" quotePrefix="1" applyNumberFormat="1" applyFont="1" applyFill="1" applyBorder="1" applyAlignment="1">
      <alignment horizontal="left" vertical="center"/>
    </xf>
    <xf numFmtId="0" fontId="10" fillId="4" borderId="0" xfId="0" applyFont="1" applyFill="1" applyBorder="1" applyAlignment="1">
      <alignment horizontal="left" indent="3"/>
    </xf>
    <xf numFmtId="164" fontId="0" fillId="4" borderId="0" xfId="1" applyFont="1" applyFill="1" applyBorder="1"/>
    <xf numFmtId="164" fontId="3" fillId="4" borderId="0" xfId="1" applyNumberFormat="1" applyFont="1" applyFill="1"/>
    <xf numFmtId="164" fontId="0" fillId="4" borderId="0" xfId="1" applyNumberFormat="1" applyFont="1" applyFill="1"/>
    <xf numFmtId="169" fontId="11" fillId="4" borderId="2" xfId="1" applyNumberFormat="1" applyFont="1" applyFill="1" applyBorder="1" applyAlignment="1">
      <alignment horizontal="center" vertical="center" wrapText="1"/>
    </xf>
    <xf numFmtId="169" fontId="10" fillId="4" borderId="0" xfId="1" applyNumberFormat="1" applyFont="1" applyFill="1" applyBorder="1" applyAlignment="1">
      <alignment vertical="center"/>
    </xf>
    <xf numFmtId="169" fontId="10" fillId="4" borderId="1" xfId="1" applyNumberFormat="1" applyFont="1" applyFill="1" applyBorder="1" applyAlignment="1">
      <alignment vertical="center"/>
    </xf>
    <xf numFmtId="169" fontId="11" fillId="4" borderId="0" xfId="1" applyNumberFormat="1" applyFont="1" applyFill="1" applyBorder="1" applyAlignment="1">
      <alignment vertical="center"/>
    </xf>
    <xf numFmtId="164" fontId="1" fillId="4" borderId="0" xfId="1" applyFont="1" applyFill="1"/>
    <xf numFmtId="174" fontId="0" fillId="7" borderId="1" xfId="1" applyNumberFormat="1" applyFont="1" applyFill="1" applyBorder="1"/>
    <xf numFmtId="174" fontId="0" fillId="7" borderId="0" xfId="1" applyNumberFormat="1" applyFont="1" applyFill="1" applyBorder="1"/>
    <xf numFmtId="167" fontId="0" fillId="4" borderId="1" xfId="0" applyNumberFormat="1" applyFill="1" applyBorder="1"/>
    <xf numFmtId="175" fontId="3" fillId="4" borderId="0" xfId="0" applyNumberFormat="1" applyFont="1" applyFill="1"/>
    <xf numFmtId="169" fontId="3" fillId="4" borderId="0" xfId="0" applyNumberFormat="1" applyFont="1" applyFill="1"/>
    <xf numFmtId="4" fontId="3" fillId="4" borderId="0" xfId="0" applyNumberFormat="1" applyFont="1" applyFill="1" applyBorder="1"/>
    <xf numFmtId="4" fontId="3" fillId="4" borderId="1" xfId="0" applyNumberFormat="1" applyFont="1" applyFill="1" applyBorder="1"/>
    <xf numFmtId="4" fontId="0" fillId="4" borderId="0" xfId="0" applyNumberFormat="1" applyFont="1" applyFill="1"/>
    <xf numFmtId="2" fontId="0" fillId="4" borderId="0" xfId="0" applyNumberFormat="1" applyFont="1" applyFill="1"/>
    <xf numFmtId="168" fontId="0" fillId="8" borderId="0" xfId="0" applyNumberFormat="1" applyFill="1"/>
    <xf numFmtId="168" fontId="3" fillId="8" borderId="0" xfId="0" applyNumberFormat="1" applyFont="1" applyFill="1"/>
    <xf numFmtId="1" fontId="10" fillId="4" borderId="0" xfId="0" applyNumberFormat="1" applyFont="1" applyFill="1"/>
    <xf numFmtId="168" fontId="10" fillId="4" borderId="0" xfId="0" applyNumberFormat="1" applyFont="1" applyFill="1"/>
    <xf numFmtId="168" fontId="10" fillId="4" borderId="0" xfId="0" applyNumberFormat="1" applyFont="1" applyFill="1" applyBorder="1"/>
    <xf numFmtId="0" fontId="10" fillId="4" borderId="0" xfId="0" applyFont="1" applyFill="1" applyAlignment="1">
      <alignment horizontal="right"/>
    </xf>
    <xf numFmtId="1" fontId="10" fillId="4" borderId="0" xfId="0" applyNumberFormat="1" applyFont="1" applyFill="1" applyAlignment="1">
      <alignment horizontal="right"/>
    </xf>
    <xf numFmtId="166" fontId="10" fillId="4" borderId="0" xfId="0" applyNumberFormat="1" applyFont="1" applyFill="1" applyAlignment="1">
      <alignment horizontal="right"/>
    </xf>
    <xf numFmtId="9" fontId="10" fillId="4" borderId="0" xfId="2" applyFont="1" applyFill="1" applyAlignment="1">
      <alignment horizontal="right"/>
    </xf>
    <xf numFmtId="9" fontId="10" fillId="4" borderId="0" xfId="2" applyFont="1" applyFill="1"/>
    <xf numFmtId="169" fontId="10" fillId="4" borderId="0" xfId="0" applyNumberFormat="1" applyFont="1" applyFill="1"/>
    <xf numFmtId="169" fontId="11" fillId="4" borderId="5" xfId="0" applyNumberFormat="1" applyFont="1" applyFill="1" applyBorder="1"/>
    <xf numFmtId="171" fontId="11" fillId="4" borderId="22" xfId="0" applyNumberFormat="1" applyFont="1" applyFill="1" applyBorder="1" applyAlignment="1">
      <alignment horizontal="right"/>
    </xf>
    <xf numFmtId="0" fontId="11" fillId="4" borderId="3" xfId="0" applyFont="1" applyFill="1" applyBorder="1" applyAlignment="1">
      <alignment horizontal="right"/>
    </xf>
    <xf numFmtId="0" fontId="10" fillId="4" borderId="3" xfId="0" applyFont="1" applyFill="1" applyBorder="1" applyAlignment="1">
      <alignment horizontal="right"/>
    </xf>
    <xf numFmtId="166" fontId="11" fillId="4" borderId="3" xfId="0" applyNumberFormat="1" applyFont="1" applyFill="1" applyBorder="1" applyAlignment="1">
      <alignment horizontal="right"/>
    </xf>
    <xf numFmtId="166" fontId="10" fillId="7" borderId="0" xfId="0" applyNumberFormat="1" applyFont="1" applyFill="1" applyAlignment="1">
      <alignment horizontal="right"/>
    </xf>
    <xf numFmtId="1" fontId="10" fillId="7" borderId="0" xfId="0" applyNumberFormat="1" applyFont="1" applyFill="1" applyAlignment="1">
      <alignment horizontal="right"/>
    </xf>
    <xf numFmtId="0" fontId="10" fillId="7" borderId="0" xfId="0" applyFont="1" applyFill="1" applyAlignment="1">
      <alignment horizontal="right"/>
    </xf>
    <xf numFmtId="0" fontId="11" fillId="4" borderId="4" xfId="0" applyFont="1" applyFill="1" applyBorder="1" applyAlignment="1">
      <alignment horizontal="right"/>
    </xf>
    <xf numFmtId="166" fontId="11" fillId="4" borderId="4" xfId="0" applyNumberFormat="1" applyFont="1" applyFill="1" applyBorder="1" applyAlignment="1">
      <alignment horizontal="right"/>
    </xf>
    <xf numFmtId="0" fontId="3" fillId="4" borderId="0" xfId="0" applyFont="1" applyFill="1" applyAlignment="1">
      <alignment horizontal="right"/>
    </xf>
    <xf numFmtId="166" fontId="3" fillId="4" borderId="0" xfId="0" applyNumberFormat="1" applyFont="1" applyFill="1" applyAlignment="1">
      <alignment horizontal="right"/>
    </xf>
    <xf numFmtId="9" fontId="10" fillId="4" borderId="0" xfId="2" applyFont="1" applyFill="1" applyBorder="1"/>
    <xf numFmtId="9" fontId="10" fillId="4" borderId="1" xfId="2" applyFont="1" applyFill="1" applyBorder="1"/>
    <xf numFmtId="9" fontId="10" fillId="4" borderId="0" xfId="2" applyFont="1" applyFill="1" applyBorder="1" applyAlignment="1">
      <alignment horizontal="right"/>
    </xf>
    <xf numFmtId="9" fontId="10" fillId="4" borderId="1" xfId="2" applyFont="1" applyFill="1" applyBorder="1" applyAlignment="1">
      <alignment horizontal="right"/>
    </xf>
    <xf numFmtId="9" fontId="11" fillId="4" borderId="0" xfId="2" applyFont="1" applyFill="1" applyBorder="1"/>
    <xf numFmtId="0" fontId="11" fillId="4" borderId="6" xfId="0" applyFont="1" applyFill="1" applyBorder="1" applyAlignment="1">
      <alignment horizontal="right"/>
    </xf>
    <xf numFmtId="0" fontId="11" fillId="4" borderId="5" xfId="0" applyFont="1" applyFill="1" applyBorder="1" applyAlignment="1">
      <alignment horizontal="right"/>
    </xf>
    <xf numFmtId="9" fontId="11" fillId="4" borderId="5" xfId="2" applyFont="1" applyFill="1" applyBorder="1"/>
    <xf numFmtId="9" fontId="11" fillId="4" borderId="3" xfId="2" applyFont="1" applyFill="1" applyBorder="1"/>
    <xf numFmtId="9" fontId="10" fillId="7" borderId="0" xfId="2" applyFont="1" applyFill="1" applyBorder="1"/>
    <xf numFmtId="9" fontId="10" fillId="7" borderId="1" xfId="2" applyFont="1" applyFill="1" applyBorder="1"/>
    <xf numFmtId="9" fontId="11" fillId="7" borderId="5" xfId="2" applyFont="1" applyFill="1" applyBorder="1"/>
    <xf numFmtId="9" fontId="10" fillId="7" borderId="0" xfId="2" applyFont="1" applyFill="1"/>
    <xf numFmtId="0" fontId="10" fillId="4" borderId="0" xfId="0" applyFont="1" applyFill="1" applyBorder="1" applyAlignment="1">
      <alignment horizontal="right"/>
    </xf>
    <xf numFmtId="0" fontId="10" fillId="4" borderId="1" xfId="0" applyFont="1" applyFill="1" applyBorder="1" applyAlignment="1">
      <alignment horizontal="right"/>
    </xf>
    <xf numFmtId="9" fontId="11" fillId="4" borderId="6" xfId="2" applyFont="1" applyFill="1" applyBorder="1"/>
    <xf numFmtId="9" fontId="11" fillId="4" borderId="4" xfId="2" applyFont="1" applyFill="1" applyBorder="1"/>
    <xf numFmtId="9" fontId="11" fillId="4" borderId="0" xfId="2" applyFont="1" applyFill="1"/>
    <xf numFmtId="9" fontId="11" fillId="7" borderId="0" xfId="2" applyFont="1" applyFill="1" applyBorder="1"/>
    <xf numFmtId="168" fontId="10" fillId="4" borderId="3" xfId="0" applyNumberFormat="1" applyFont="1" applyFill="1" applyBorder="1"/>
    <xf numFmtId="168" fontId="10" fillId="7" borderId="3" xfId="0" applyNumberFormat="1" applyFont="1" applyFill="1" applyBorder="1"/>
    <xf numFmtId="168" fontId="10" fillId="7" borderId="0" xfId="0" applyNumberFormat="1" applyFont="1" applyFill="1" applyBorder="1"/>
    <xf numFmtId="9" fontId="10" fillId="4" borderId="3" xfId="2" applyFont="1" applyFill="1" applyBorder="1" applyAlignment="1">
      <alignment horizontal="right"/>
    </xf>
    <xf numFmtId="9" fontId="10" fillId="7" borderId="3" xfId="2" applyFont="1" applyFill="1" applyBorder="1" applyAlignment="1">
      <alignment horizontal="right"/>
    </xf>
    <xf numFmtId="3" fontId="11" fillId="4" borderId="0" xfId="0" applyNumberFormat="1" applyFont="1" applyFill="1"/>
    <xf numFmtId="3" fontId="11" fillId="7" borderId="0" xfId="0" applyNumberFormat="1" applyFont="1" applyFill="1"/>
    <xf numFmtId="1" fontId="10" fillId="7" borderId="0" xfId="0" applyNumberFormat="1" applyFont="1" applyFill="1"/>
    <xf numFmtId="0" fontId="2" fillId="12" borderId="0" xfId="4" applyFont="1" applyFill="1" applyBorder="1" applyAlignment="1" applyProtection="1">
      <alignment horizontal="right" vertical="center"/>
    </xf>
    <xf numFmtId="169" fontId="10" fillId="6" borderId="0" xfId="4" applyNumberFormat="1" applyFont="1" applyFill="1" applyAlignment="1" applyProtection="1">
      <alignment vertical="center"/>
    </xf>
    <xf numFmtId="165" fontId="2" fillId="12" borderId="0" xfId="1" applyNumberFormat="1" applyFont="1" applyFill="1" applyAlignment="1" applyProtection="1">
      <alignment vertical="center"/>
    </xf>
    <xf numFmtId="0" fontId="11" fillId="4" borderId="0" xfId="4" applyFont="1" applyFill="1" applyAlignment="1" applyProtection="1">
      <alignment vertical="center"/>
    </xf>
    <xf numFmtId="165" fontId="11" fillId="4" borderId="0" xfId="1" applyNumberFormat="1" applyFont="1" applyFill="1" applyAlignment="1" applyProtection="1">
      <alignment vertical="center"/>
    </xf>
    <xf numFmtId="9" fontId="11" fillId="4" borderId="0" xfId="2" applyFont="1" applyFill="1" applyAlignment="1" applyProtection="1">
      <alignment vertical="center"/>
    </xf>
    <xf numFmtId="0" fontId="2" fillId="2" borderId="1" xfId="4" applyFont="1" applyFill="1" applyBorder="1" applyAlignment="1" applyProtection="1">
      <alignment horizontal="center" vertical="center"/>
    </xf>
    <xf numFmtId="0" fontId="2" fillId="13" borderId="0" xfId="4" applyFont="1" applyFill="1" applyAlignment="1" applyProtection="1">
      <alignment vertical="center"/>
    </xf>
    <xf numFmtId="168" fontId="0" fillId="4" borderId="1" xfId="0" applyNumberFormat="1" applyFill="1" applyBorder="1"/>
    <xf numFmtId="4" fontId="0" fillId="4" borderId="1" xfId="0" applyNumberFormat="1" applyFill="1" applyBorder="1"/>
    <xf numFmtId="168" fontId="2" fillId="13" borderId="0" xfId="4" applyNumberFormat="1" applyFont="1" applyFill="1" applyAlignment="1" applyProtection="1">
      <alignment vertical="center"/>
    </xf>
    <xf numFmtId="0" fontId="11" fillId="12" borderId="0" xfId="4" applyFont="1" applyFill="1" applyAlignment="1" applyProtection="1">
      <alignment vertical="center"/>
    </xf>
    <xf numFmtId="2" fontId="11" fillId="12" borderId="0" xfId="4" applyNumberFormat="1" applyFont="1" applyFill="1" applyAlignment="1" applyProtection="1">
      <alignment vertical="center"/>
    </xf>
    <xf numFmtId="2" fontId="11" fillId="7" borderId="0" xfId="0" applyNumberFormat="1" applyFont="1" applyFill="1"/>
    <xf numFmtId="167" fontId="29" fillId="4" borderId="23" xfId="2" applyNumberFormat="1" applyFont="1" applyFill="1" applyBorder="1" applyAlignment="1">
      <alignment horizontal="center"/>
    </xf>
    <xf numFmtId="165" fontId="30" fillId="4" borderId="23" xfId="1" applyNumberFormat="1" applyFont="1" applyFill="1" applyBorder="1" applyAlignment="1">
      <alignment horizontal="center" vertical="center"/>
    </xf>
    <xf numFmtId="165" fontId="30" fillId="4" borderId="4" xfId="1" applyNumberFormat="1" applyFont="1" applyFill="1" applyBorder="1" applyAlignment="1">
      <alignment horizontal="center" vertical="center"/>
    </xf>
    <xf numFmtId="165" fontId="28" fillId="4" borderId="0" xfId="0" applyNumberFormat="1" applyFont="1" applyFill="1" applyBorder="1"/>
    <xf numFmtId="165" fontId="16" fillId="4" borderId="0" xfId="1" applyNumberFormat="1" applyFont="1" applyFill="1" applyBorder="1" applyAlignment="1">
      <alignment horizontal="center" vertical="center"/>
    </xf>
    <xf numFmtId="165" fontId="15" fillId="4" borderId="23" xfId="1" applyNumberFormat="1" applyFont="1" applyFill="1" applyBorder="1" applyAlignment="1">
      <alignment horizontal="center" vertical="center"/>
    </xf>
    <xf numFmtId="165" fontId="15" fillId="4" borderId="4" xfId="1" applyNumberFormat="1" applyFont="1" applyFill="1" applyBorder="1" applyAlignment="1">
      <alignment horizontal="center" vertical="center"/>
    </xf>
    <xf numFmtId="165" fontId="6" fillId="4" borderId="0" xfId="1" applyNumberFormat="1" applyFont="1" applyFill="1" applyBorder="1" applyAlignment="1">
      <alignment horizontal="center" vertical="center"/>
    </xf>
    <xf numFmtId="0" fontId="5" fillId="4" borderId="0" xfId="0" applyFont="1" applyFill="1" applyAlignment="1">
      <alignment vertical="center" textRotation="90"/>
    </xf>
    <xf numFmtId="166" fontId="10" fillId="4" borderId="3" xfId="0" applyNumberFormat="1" applyFont="1" applyFill="1" applyBorder="1"/>
    <xf numFmtId="166" fontId="10" fillId="7" borderId="3" xfId="0" applyNumberFormat="1" applyFont="1" applyFill="1" applyBorder="1"/>
    <xf numFmtId="0" fontId="33" fillId="4" borderId="0" xfId="0" applyFont="1" applyFill="1"/>
    <xf numFmtId="0" fontId="33" fillId="4" borderId="1" xfId="0" applyFont="1" applyFill="1" applyBorder="1"/>
    <xf numFmtId="0" fontId="10" fillId="4" borderId="0" xfId="0" applyFont="1" applyFill="1" applyAlignment="1">
      <alignment vertical="center"/>
    </xf>
    <xf numFmtId="0" fontId="11" fillId="8" borderId="0" xfId="0" applyFont="1" applyFill="1" applyAlignment="1">
      <alignment horizontal="left" vertical="center"/>
    </xf>
    <xf numFmtId="0" fontId="3" fillId="4" borderId="0" xfId="0" applyFont="1" applyFill="1" applyAlignment="1">
      <alignment vertical="center"/>
    </xf>
    <xf numFmtId="0" fontId="3" fillId="8" borderId="0" xfId="0" applyFont="1" applyFill="1" applyAlignment="1">
      <alignment vertical="center"/>
    </xf>
    <xf numFmtId="171" fontId="11" fillId="8" borderId="0" xfId="0" applyNumberFormat="1" applyFont="1" applyFill="1" applyAlignment="1">
      <alignment vertical="center"/>
    </xf>
    <xf numFmtId="167" fontId="0" fillId="4" borderId="0" xfId="2" applyNumberFormat="1" applyFont="1" applyFill="1" applyAlignment="1">
      <alignment vertical="center"/>
    </xf>
    <xf numFmtId="167" fontId="0" fillId="4" borderId="1" xfId="0" applyNumberFormat="1" applyFill="1" applyBorder="1" applyAlignment="1">
      <alignment vertical="center"/>
    </xf>
    <xf numFmtId="167" fontId="0" fillId="4" borderId="1" xfId="2" applyNumberFormat="1" applyFont="1" applyFill="1" applyBorder="1" applyAlignment="1">
      <alignment vertical="center"/>
    </xf>
    <xf numFmtId="168" fontId="3" fillId="7" borderId="0" xfId="0" applyNumberFormat="1" applyFont="1" applyFill="1"/>
    <xf numFmtId="3" fontId="11" fillId="8" borderId="0" xfId="2" quotePrefix="1" applyNumberFormat="1" applyFont="1" applyFill="1" applyBorder="1" applyAlignment="1" applyProtection="1">
      <alignment horizontal="right" vertical="center"/>
    </xf>
    <xf numFmtId="168" fontId="11" fillId="4" borderId="0" xfId="2" quotePrefix="1" applyNumberFormat="1" applyFont="1" applyFill="1" applyBorder="1" applyAlignment="1" applyProtection="1">
      <alignment horizontal="right" vertical="center"/>
    </xf>
    <xf numFmtId="168" fontId="10" fillId="4" borderId="0" xfId="2" quotePrefix="1" applyNumberFormat="1" applyFont="1" applyFill="1" applyBorder="1" applyAlignment="1" applyProtection="1">
      <alignment horizontal="right" vertical="center"/>
    </xf>
    <xf numFmtId="9" fontId="10" fillId="4" borderId="0" xfId="2" quotePrefix="1" applyFont="1" applyFill="1" applyBorder="1" applyAlignment="1" applyProtection="1">
      <alignment horizontal="right" vertical="center"/>
    </xf>
    <xf numFmtId="0" fontId="34" fillId="4" borderId="0" xfId="0" applyFont="1" applyFill="1"/>
    <xf numFmtId="0" fontId="11" fillId="4" borderId="21" xfId="0" applyFont="1" applyFill="1" applyBorder="1"/>
    <xf numFmtId="171" fontId="11" fillId="8" borderId="0" xfId="0" applyNumberFormat="1" applyFont="1" applyFill="1" applyAlignment="1">
      <alignment horizontal="right" vertical="center"/>
    </xf>
    <xf numFmtId="167" fontId="13" fillId="5" borderId="12" xfId="2" applyNumberFormat="1" applyFont="1" applyFill="1" applyBorder="1"/>
    <xf numFmtId="168" fontId="0" fillId="7" borderId="0" xfId="0" applyNumberFormat="1" applyFont="1" applyFill="1"/>
    <xf numFmtId="164" fontId="1" fillId="7" borderId="0" xfId="1" applyFont="1" applyFill="1"/>
    <xf numFmtId="0" fontId="35" fillId="4" borderId="0" xfId="7" applyFont="1" applyFill="1"/>
    <xf numFmtId="0" fontId="35" fillId="4" borderId="3" xfId="7" applyFont="1" applyFill="1" applyBorder="1"/>
    <xf numFmtId="0" fontId="35" fillId="4" borderId="0" xfId="7" applyFont="1" applyFill="1" applyBorder="1"/>
    <xf numFmtId="4" fontId="0" fillId="7" borderId="0" xfId="0" applyNumberFormat="1" applyFill="1"/>
    <xf numFmtId="168" fontId="0" fillId="4" borderId="0" xfId="0" applyNumberFormat="1" applyFont="1" applyFill="1"/>
    <xf numFmtId="2" fontId="0" fillId="4" borderId="1" xfId="0" applyNumberFormat="1" applyFont="1" applyFill="1" applyBorder="1"/>
    <xf numFmtId="177" fontId="0" fillId="4" borderId="0" xfId="0" applyNumberFormat="1" applyFont="1" applyFill="1"/>
    <xf numFmtId="0" fontId="0" fillId="4" borderId="0" xfId="0" applyFill="1" applyAlignment="1">
      <alignment vertical="center" wrapText="1"/>
    </xf>
    <xf numFmtId="176" fontId="0" fillId="4" borderId="0" xfId="0" applyNumberFormat="1" applyFill="1"/>
    <xf numFmtId="9" fontId="0" fillId="4" borderId="0" xfId="0" applyNumberFormat="1" applyFill="1"/>
    <xf numFmtId="10" fontId="13" fillId="10" borderId="14" xfId="2" applyNumberFormat="1" applyFont="1" applyFill="1" applyBorder="1" applyAlignment="1">
      <alignment vertical="center"/>
    </xf>
    <xf numFmtId="0" fontId="36" fillId="4" borderId="16" xfId="0" applyFont="1" applyFill="1" applyBorder="1" applyAlignment="1">
      <alignment horizontal="centerContinuous"/>
    </xf>
    <xf numFmtId="0" fontId="36" fillId="4" borderId="16" xfId="0" applyFont="1" applyFill="1" applyBorder="1" applyAlignment="1">
      <alignment horizontal="center"/>
    </xf>
    <xf numFmtId="9" fontId="0" fillId="7" borderId="0" xfId="0" applyNumberFormat="1" applyFill="1"/>
    <xf numFmtId="176" fontId="0" fillId="4" borderId="0" xfId="0" applyNumberFormat="1" applyFill="1" applyBorder="1" applyAlignment="1"/>
    <xf numFmtId="176" fontId="0" fillId="4" borderId="15" xfId="0" applyNumberFormat="1" applyFill="1" applyBorder="1" applyAlignment="1"/>
    <xf numFmtId="176" fontId="36" fillId="4" borderId="16" xfId="0" applyNumberFormat="1" applyFont="1" applyFill="1" applyBorder="1" applyAlignment="1">
      <alignment horizontal="center"/>
    </xf>
    <xf numFmtId="1" fontId="0" fillId="4" borderId="15" xfId="0" applyNumberFormat="1" applyFill="1" applyBorder="1" applyAlignment="1"/>
    <xf numFmtId="1" fontId="0" fillId="4" borderId="0" xfId="0" applyNumberFormat="1" applyFill="1" applyBorder="1" applyAlignment="1"/>
    <xf numFmtId="178" fontId="0" fillId="7" borderId="0" xfId="0" applyNumberFormat="1" applyFont="1" applyFill="1" applyAlignment="1">
      <alignment horizontal="right"/>
    </xf>
    <xf numFmtId="0" fontId="3" fillId="8" borderId="0" xfId="0" applyFont="1" applyFill="1" applyAlignment="1">
      <alignment horizontal="center"/>
    </xf>
    <xf numFmtId="168" fontId="10" fillId="7" borderId="0" xfId="0" applyNumberFormat="1" applyFont="1" applyFill="1"/>
    <xf numFmtId="9" fontId="10" fillId="7" borderId="0" xfId="2" applyFont="1" applyFill="1" applyAlignment="1">
      <alignment horizontal="right"/>
    </xf>
    <xf numFmtId="169" fontId="10" fillId="7" borderId="0" xfId="0" applyNumberFormat="1" applyFont="1" applyFill="1"/>
    <xf numFmtId="169" fontId="11" fillId="7" borderId="5" xfId="0" applyNumberFormat="1" applyFont="1" applyFill="1" applyBorder="1"/>
    <xf numFmtId="4" fontId="37" fillId="4" borderId="0" xfId="1" applyNumberFormat="1" applyFont="1" applyFill="1" applyBorder="1" applyAlignment="1">
      <alignment horizontal="right"/>
    </xf>
    <xf numFmtId="167" fontId="13" fillId="5" borderId="12" xfId="3" applyNumberFormat="1" applyFont="1" applyFill="1" applyBorder="1"/>
    <xf numFmtId="167" fontId="27" fillId="4" borderId="0" xfId="2" applyNumberFormat="1" applyFont="1" applyFill="1" applyBorder="1" applyAlignment="1">
      <alignment horizontal="right" vertical="center"/>
    </xf>
    <xf numFmtId="167" fontId="27" fillId="4" borderId="0" xfId="2" applyNumberFormat="1" applyFont="1" applyFill="1" applyBorder="1" applyAlignment="1">
      <alignment horizontal="center"/>
    </xf>
    <xf numFmtId="168" fontId="0" fillId="7" borderId="0" xfId="0" applyNumberFormat="1" applyFill="1"/>
    <xf numFmtId="168" fontId="0" fillId="7" borderId="1" xfId="0" applyNumberFormat="1" applyFill="1" applyBorder="1"/>
    <xf numFmtId="168" fontId="0" fillId="7" borderId="0" xfId="1" applyNumberFormat="1" applyFont="1" applyFill="1"/>
    <xf numFmtId="166" fontId="0" fillId="4" borderId="0" xfId="0" applyNumberFormat="1" applyFill="1" applyAlignment="1">
      <alignment vertical="center"/>
    </xf>
    <xf numFmtId="166" fontId="0" fillId="4" borderId="1" xfId="0" applyNumberFormat="1" applyFill="1" applyBorder="1" applyAlignment="1">
      <alignment vertical="center"/>
    </xf>
    <xf numFmtId="166" fontId="3" fillId="4" borderId="0" xfId="0" applyNumberFormat="1" applyFont="1" applyFill="1" applyAlignment="1">
      <alignment vertical="center"/>
    </xf>
    <xf numFmtId="167" fontId="29" fillId="4" borderId="4" xfId="2" applyNumberFormat="1" applyFont="1" applyFill="1" applyBorder="1" applyAlignment="1">
      <alignment horizontal="right" vertical="center"/>
    </xf>
    <xf numFmtId="167" fontId="5" fillId="4" borderId="0" xfId="2" applyNumberFormat="1" applyFont="1" applyFill="1" applyBorder="1" applyAlignment="1">
      <alignment horizontal="right" vertical="center"/>
    </xf>
    <xf numFmtId="167" fontId="31" fillId="4" borderId="4" xfId="2" applyNumberFormat="1" applyFont="1" applyFill="1" applyBorder="1" applyAlignment="1">
      <alignment horizontal="right" vertical="center"/>
    </xf>
    <xf numFmtId="167" fontId="0" fillId="4" borderId="0" xfId="2" applyNumberFormat="1" applyFont="1" applyFill="1" applyBorder="1" applyAlignment="1">
      <alignment vertical="center"/>
    </xf>
    <xf numFmtId="179" fontId="0" fillId="4" borderId="0" xfId="0" applyNumberFormat="1" applyFont="1" applyFill="1"/>
    <xf numFmtId="164" fontId="0" fillId="4" borderId="0" xfId="0" applyNumberFormat="1" applyFill="1"/>
    <xf numFmtId="180" fontId="0" fillId="4" borderId="0" xfId="0" applyNumberFormat="1" applyFill="1"/>
    <xf numFmtId="181" fontId="0" fillId="7" borderId="0" xfId="1" applyNumberFormat="1" applyFont="1" applyFill="1" applyBorder="1"/>
    <xf numFmtId="175" fontId="0" fillId="7" borderId="0" xfId="0" applyNumberFormat="1" applyFill="1" applyBorder="1"/>
    <xf numFmtId="0" fontId="0" fillId="0" borderId="0" xfId="0" applyFill="1" applyBorder="1"/>
    <xf numFmtId="172" fontId="0" fillId="4" borderId="0" xfId="1" applyNumberFormat="1" applyFont="1" applyFill="1" applyBorder="1"/>
    <xf numFmtId="167" fontId="0" fillId="4" borderId="0" xfId="0" applyNumberFormat="1" applyFill="1" applyAlignment="1">
      <alignment vertical="center"/>
    </xf>
    <xf numFmtId="3" fontId="3" fillId="4" borderId="0" xfId="0" applyNumberFormat="1" applyFont="1" applyFill="1"/>
    <xf numFmtId="168" fontId="3" fillId="7" borderId="0" xfId="1" applyNumberFormat="1" applyFont="1" applyFill="1"/>
    <xf numFmtId="168" fontId="0" fillId="4" borderId="0" xfId="1" applyNumberFormat="1" applyFont="1" applyFill="1"/>
    <xf numFmtId="9" fontId="3" fillId="4" borderId="0" xfId="2" applyFont="1" applyFill="1" applyBorder="1"/>
    <xf numFmtId="182" fontId="0" fillId="4" borderId="0" xfId="0" applyNumberFormat="1" applyFill="1" applyAlignment="1">
      <alignment vertical="center"/>
    </xf>
    <xf numFmtId="0" fontId="11" fillId="4" borderId="0" xfId="1" applyNumberFormat="1" applyFont="1" applyFill="1" applyBorder="1" applyAlignment="1">
      <alignment horizontal="left" vertical="center"/>
    </xf>
    <xf numFmtId="167" fontId="3" fillId="4" borderId="0" xfId="2" applyNumberFormat="1" applyFont="1" applyFill="1"/>
    <xf numFmtId="10" fontId="0" fillId="4" borderId="0" xfId="2" applyNumberFormat="1" applyFont="1" applyFill="1"/>
    <xf numFmtId="0" fontId="6" fillId="4" borderId="0" xfId="0" applyFont="1" applyFill="1" applyBorder="1"/>
    <xf numFmtId="165" fontId="38" fillId="14" borderId="2" xfId="1" applyNumberFormat="1" applyFont="1" applyFill="1" applyBorder="1" applyAlignment="1">
      <alignment horizontal="center" vertical="center"/>
    </xf>
    <xf numFmtId="0" fontId="6" fillId="4" borderId="0" xfId="0" applyFont="1" applyFill="1" applyAlignment="1">
      <alignment vertical="center"/>
    </xf>
    <xf numFmtId="3" fontId="32" fillId="4" borderId="0" xfId="0" applyNumberFormat="1" applyFont="1" applyFill="1" applyAlignment="1">
      <alignment vertical="center"/>
    </xf>
    <xf numFmtId="167" fontId="5" fillId="4" borderId="0" xfId="0" applyNumberFormat="1" applyFont="1" applyFill="1" applyAlignment="1">
      <alignment vertical="center"/>
    </xf>
    <xf numFmtId="3" fontId="6" fillId="4" borderId="0" xfId="0" applyNumberFormat="1" applyFont="1" applyFill="1" applyAlignment="1">
      <alignment vertical="center"/>
    </xf>
    <xf numFmtId="3" fontId="6" fillId="4" borderId="23" xfId="0" applyNumberFormat="1" applyFont="1" applyFill="1" applyBorder="1" applyAlignment="1">
      <alignment vertical="center"/>
    </xf>
    <xf numFmtId="3" fontId="6" fillId="4" borderId="4" xfId="0" applyNumberFormat="1" applyFont="1" applyFill="1" applyBorder="1" applyAlignment="1">
      <alignment vertical="center"/>
    </xf>
    <xf numFmtId="3" fontId="20" fillId="14" borderId="2" xfId="0" applyNumberFormat="1" applyFont="1" applyFill="1" applyBorder="1" applyAlignment="1">
      <alignment vertical="center"/>
    </xf>
    <xf numFmtId="168" fontId="10" fillId="4" borderId="0" xfId="0" applyNumberFormat="1" applyFont="1" applyFill="1" applyAlignment="1">
      <alignment horizontal="right"/>
    </xf>
    <xf numFmtId="168" fontId="10" fillId="4" borderId="3" xfId="0" applyNumberFormat="1" applyFont="1" applyFill="1" applyBorder="1" applyAlignment="1">
      <alignment horizontal="right"/>
    </xf>
    <xf numFmtId="0" fontId="39" fillId="4" borderId="0" xfId="0" applyFont="1" applyFill="1"/>
    <xf numFmtId="0" fontId="14" fillId="4" borderId="0" xfId="0" applyFont="1" applyFill="1" applyAlignment="1">
      <alignment horizontal="left" indent="1"/>
    </xf>
    <xf numFmtId="168" fontId="14" fillId="4" borderId="0" xfId="0" applyNumberFormat="1" applyFont="1" applyFill="1" applyAlignment="1">
      <alignment horizontal="right" indent="1"/>
    </xf>
    <xf numFmtId="168" fontId="14" fillId="7" borderId="0" xfId="0" applyNumberFormat="1" applyFont="1" applyFill="1" applyAlignment="1">
      <alignment horizontal="right" indent="1"/>
    </xf>
    <xf numFmtId="168" fontId="11" fillId="4" borderId="3" xfId="0" applyNumberFormat="1" applyFont="1" applyFill="1" applyBorder="1" applyAlignment="1">
      <alignment horizontal="right"/>
    </xf>
    <xf numFmtId="166" fontId="0" fillId="4" borderId="0" xfId="0" applyNumberFormat="1" applyFont="1" applyFill="1" applyAlignment="1">
      <alignment horizontal="right"/>
    </xf>
    <xf numFmtId="166" fontId="0" fillId="7" borderId="0" xfId="0" applyNumberFormat="1" applyFont="1" applyFill="1" applyAlignment="1">
      <alignment horizontal="right"/>
    </xf>
    <xf numFmtId="0" fontId="16" fillId="8" borderId="0" xfId="0" applyFont="1" applyFill="1"/>
    <xf numFmtId="0" fontId="5" fillId="8" borderId="0" xfId="0" applyFont="1" applyFill="1" applyAlignment="1">
      <alignment vertical="center" textRotation="90"/>
    </xf>
    <xf numFmtId="168" fontId="0" fillId="4" borderId="0" xfId="0" applyNumberFormat="1" applyFill="1" applyAlignment="1">
      <alignment vertical="center"/>
    </xf>
    <xf numFmtId="0" fontId="6" fillId="2" borderId="0" xfId="0" applyFont="1" applyFill="1" applyAlignment="1">
      <alignment vertical="center"/>
    </xf>
    <xf numFmtId="165" fontId="20" fillId="14" borderId="2" xfId="1" applyNumberFormat="1" applyFont="1" applyFill="1" applyBorder="1" applyAlignment="1">
      <alignment horizontal="center" vertical="center"/>
    </xf>
    <xf numFmtId="0" fontId="20" fillId="4" borderId="0" xfId="0" applyFont="1" applyFill="1" applyBorder="1" applyAlignment="1">
      <alignment vertical="center"/>
    </xf>
    <xf numFmtId="14" fontId="20" fillId="4" borderId="0" xfId="0" applyNumberFormat="1" applyFont="1" applyFill="1" applyBorder="1" applyAlignment="1">
      <alignment vertical="center"/>
    </xf>
    <xf numFmtId="0" fontId="20" fillId="4" borderId="0" xfId="0" applyFont="1" applyFill="1" applyBorder="1" applyAlignment="1">
      <alignment horizontal="center" vertical="center" wrapText="1"/>
    </xf>
    <xf numFmtId="166" fontId="6" fillId="4" borderId="0" xfId="0" applyNumberFormat="1" applyFont="1" applyFill="1" applyBorder="1"/>
    <xf numFmtId="167" fontId="6" fillId="4" borderId="0" xfId="2" applyNumberFormat="1" applyFont="1" applyFill="1" applyBorder="1"/>
    <xf numFmtId="0" fontId="6" fillId="4" borderId="0" xfId="0" applyFont="1" applyFill="1" applyBorder="1" applyAlignment="1">
      <alignment horizontal="left"/>
    </xf>
    <xf numFmtId="0" fontId="5" fillId="4" borderId="0" xfId="0" applyFont="1" applyFill="1" applyBorder="1"/>
    <xf numFmtId="165" fontId="5" fillId="4" borderId="0" xfId="0" applyNumberFormat="1" applyFont="1" applyFill="1" applyBorder="1"/>
    <xf numFmtId="167" fontId="5" fillId="4" borderId="0" xfId="2" applyNumberFormat="1" applyFont="1" applyFill="1" applyBorder="1"/>
    <xf numFmtId="167" fontId="5" fillId="4" borderId="4" xfId="2" applyNumberFormat="1" applyFont="1" applyFill="1" applyBorder="1" applyAlignment="1">
      <alignment vertical="center"/>
    </xf>
    <xf numFmtId="168" fontId="5" fillId="4" borderId="0" xfId="2" applyNumberFormat="1" applyFont="1" applyFill="1" applyAlignment="1">
      <alignment vertical="center"/>
    </xf>
    <xf numFmtId="168" fontId="5" fillId="4" borderId="23" xfId="2" applyNumberFormat="1" applyFont="1" applyFill="1" applyBorder="1" applyAlignment="1">
      <alignment vertical="center"/>
    </xf>
    <xf numFmtId="167" fontId="11" fillId="4" borderId="0" xfId="2" applyNumberFormat="1" applyFont="1" applyFill="1" applyBorder="1"/>
    <xf numFmtId="0" fontId="3" fillId="4" borderId="0" xfId="0" applyFont="1" applyFill="1" applyBorder="1" applyAlignment="1">
      <alignment horizontal="right" vertical="center"/>
    </xf>
    <xf numFmtId="0" fontId="0" fillId="4" borderId="0" xfId="1" applyNumberFormat="1" applyFont="1" applyFill="1"/>
    <xf numFmtId="0" fontId="19" fillId="4" borderId="16" xfId="0" applyFont="1" applyFill="1" applyBorder="1" applyAlignment="1">
      <alignment horizontal="centerContinuous"/>
    </xf>
    <xf numFmtId="0" fontId="19" fillId="4" borderId="16" xfId="0" applyFont="1" applyFill="1" applyBorder="1" applyAlignment="1">
      <alignment horizontal="center"/>
    </xf>
    <xf numFmtId="2" fontId="0" fillId="4" borderId="15" xfId="0" applyNumberFormat="1" applyFill="1" applyBorder="1" applyAlignment="1"/>
    <xf numFmtId="2" fontId="0" fillId="7" borderId="0" xfId="0" applyNumberFormat="1" applyFont="1" applyFill="1" applyAlignment="1">
      <alignment horizontal="right"/>
    </xf>
    <xf numFmtId="165" fontId="6" fillId="3" borderId="2" xfId="1" applyNumberFormat="1" applyFont="1" applyFill="1" applyBorder="1" applyAlignment="1">
      <alignment horizontal="right" vertical="center" wrapText="1"/>
    </xf>
    <xf numFmtId="166" fontId="3" fillId="7" borderId="1" xfId="0" applyNumberFormat="1" applyFont="1" applyFill="1" applyBorder="1"/>
    <xf numFmtId="0" fontId="17" fillId="4" borderId="0" xfId="7" applyFill="1" applyBorder="1"/>
    <xf numFmtId="166" fontId="0" fillId="7" borderId="0" xfId="0" applyNumberFormat="1" applyFont="1" applyFill="1" applyBorder="1"/>
    <xf numFmtId="166" fontId="3" fillId="7" borderId="6" xfId="0" applyNumberFormat="1" applyFont="1" applyFill="1" applyBorder="1"/>
    <xf numFmtId="0" fontId="3" fillId="7" borderId="0" xfId="0" applyFont="1" applyFill="1" applyAlignment="1">
      <alignment horizontal="right"/>
    </xf>
    <xf numFmtId="168" fontId="0" fillId="4" borderId="1" xfId="1" applyNumberFormat="1" applyFont="1" applyFill="1" applyBorder="1"/>
    <xf numFmtId="168" fontId="0" fillId="7" borderId="1" xfId="1" applyNumberFormat="1" applyFont="1" applyFill="1" applyBorder="1"/>
    <xf numFmtId="168" fontId="3" fillId="7" borderId="3" xfId="0" applyNumberFormat="1" applyFont="1" applyFill="1" applyBorder="1"/>
    <xf numFmtId="174" fontId="0" fillId="4" borderId="0" xfId="1" applyNumberFormat="1" applyFont="1" applyFill="1"/>
    <xf numFmtId="174" fontId="0" fillId="4" borderId="1" xfId="1" applyNumberFormat="1" applyFont="1" applyFill="1" applyBorder="1"/>
    <xf numFmtId="174" fontId="0" fillId="4" borderId="0" xfId="1" applyNumberFormat="1" applyFont="1" applyFill="1" applyBorder="1"/>
    <xf numFmtId="168" fontId="0" fillId="4" borderId="3" xfId="0" applyNumberFormat="1" applyFont="1" applyFill="1" applyBorder="1"/>
    <xf numFmtId="168" fontId="0" fillId="7" borderId="3" xfId="0" applyNumberFormat="1" applyFont="1" applyFill="1" applyBorder="1"/>
    <xf numFmtId="168" fontId="3" fillId="4" borderId="1" xfId="0" applyNumberFormat="1" applyFont="1" applyFill="1" applyBorder="1"/>
    <xf numFmtId="168" fontId="3" fillId="7" borderId="1" xfId="0" applyNumberFormat="1" applyFont="1" applyFill="1" applyBorder="1"/>
    <xf numFmtId="2" fontId="11" fillId="4" borderId="0" xfId="0" applyNumberFormat="1" applyFont="1" applyFill="1"/>
    <xf numFmtId="3" fontId="3" fillId="7" borderId="0" xfId="0" applyNumberFormat="1" applyFont="1" applyFill="1"/>
    <xf numFmtId="0" fontId="19" fillId="4" borderId="0" xfId="0" applyFont="1" applyFill="1" applyAlignment="1">
      <alignment horizontal="left" indent="3"/>
    </xf>
    <xf numFmtId="8" fontId="0" fillId="4" borderId="0" xfId="0" applyNumberFormat="1" applyFill="1"/>
    <xf numFmtId="164" fontId="3" fillId="4" borderId="0" xfId="1" applyFont="1" applyFill="1" applyAlignment="1">
      <alignment horizontal="center"/>
    </xf>
    <xf numFmtId="0" fontId="0" fillId="4" borderId="0" xfId="0" applyFill="1" applyAlignment="1">
      <alignment horizontal="left" wrapText="1"/>
    </xf>
    <xf numFmtId="0" fontId="0" fillId="4" borderId="0" xfId="0" applyFill="1" applyAlignment="1">
      <alignment horizontal="left" vertical="center" wrapText="1"/>
    </xf>
    <xf numFmtId="0" fontId="11" fillId="4" borderId="0" xfId="0" applyFont="1" applyFill="1" applyBorder="1" applyAlignment="1">
      <alignment horizontal="center"/>
    </xf>
    <xf numFmtId="0" fontId="0" fillId="4" borderId="0" xfId="0" applyFill="1" applyBorder="1" applyAlignment="1">
      <alignment horizontal="left" vertical="center" wrapText="1"/>
    </xf>
    <xf numFmtId="0" fontId="0" fillId="4" borderId="1" xfId="0" applyFill="1" applyBorder="1" applyAlignment="1">
      <alignment horizontal="left" vertical="center" wrapText="1"/>
    </xf>
    <xf numFmtId="0" fontId="0" fillId="4" borderId="0" xfId="0" applyFill="1" applyBorder="1" applyAlignment="1">
      <alignment horizontal="left" wrapText="1"/>
    </xf>
    <xf numFmtId="0" fontId="0" fillId="4" borderId="1" xfId="0" applyFill="1" applyBorder="1" applyAlignment="1">
      <alignment horizontal="left" wrapText="1"/>
    </xf>
    <xf numFmtId="0" fontId="3" fillId="4" borderId="1" xfId="0" applyFont="1" applyFill="1" applyBorder="1" applyAlignment="1">
      <alignment horizontal="center"/>
    </xf>
    <xf numFmtId="0" fontId="3" fillId="7" borderId="1" xfId="0" applyFont="1" applyFill="1" applyBorder="1" applyAlignment="1">
      <alignment horizontal="left"/>
    </xf>
    <xf numFmtId="0" fontId="3" fillId="4" borderId="5" xfId="0" applyFont="1" applyFill="1" applyBorder="1" applyAlignment="1">
      <alignment horizontal="center"/>
    </xf>
    <xf numFmtId="0" fontId="2" fillId="12" borderId="0" xfId="4" applyFont="1" applyFill="1" applyBorder="1" applyAlignment="1" applyProtection="1">
      <alignment horizontal="center" vertical="center"/>
    </xf>
    <xf numFmtId="0" fontId="11" fillId="4" borderId="0" xfId="4" applyFont="1" applyFill="1" applyBorder="1" applyAlignment="1" applyProtection="1">
      <alignment vertical="center"/>
    </xf>
    <xf numFmtId="0" fontId="10" fillId="4" borderId="0" xfId="4" applyFont="1" applyFill="1" applyBorder="1" applyAlignment="1" applyProtection="1">
      <alignment vertical="center"/>
    </xf>
    <xf numFmtId="0" fontId="10" fillId="4" borderId="0" xfId="4" applyFont="1" applyFill="1" applyBorder="1" applyAlignment="1" applyProtection="1">
      <alignment horizontal="left" vertical="center"/>
    </xf>
    <xf numFmtId="0" fontId="31" fillId="8" borderId="0" xfId="0" applyFont="1" applyFill="1" applyAlignment="1">
      <alignment horizontal="center"/>
    </xf>
    <xf numFmtId="0" fontId="5" fillId="4" borderId="0" xfId="0" applyFont="1" applyFill="1" applyAlignment="1">
      <alignment horizontal="center" vertical="center" textRotation="90"/>
    </xf>
    <xf numFmtId="0" fontId="27" fillId="4" borderId="0" xfId="0" applyFont="1" applyFill="1" applyAlignment="1">
      <alignment horizontal="center" vertical="center" textRotation="90"/>
    </xf>
    <xf numFmtId="0" fontId="11" fillId="4" borderId="0" xfId="4" applyFont="1" applyFill="1" applyBorder="1" applyAlignment="1" applyProtection="1">
      <alignment horizontal="left" vertical="center"/>
    </xf>
    <xf numFmtId="0" fontId="10" fillId="6" borderId="0" xfId="4" applyFont="1" applyFill="1" applyBorder="1" applyAlignment="1" applyProtection="1">
      <alignment horizontal="left" vertical="center"/>
    </xf>
    <xf numFmtId="0" fontId="2" fillId="12" borderId="0" xfId="4" applyFont="1" applyFill="1" applyBorder="1" applyAlignment="1" applyProtection="1">
      <alignment vertical="center"/>
    </xf>
    <xf numFmtId="0" fontId="29" fillId="8" borderId="0" xfId="0" applyFont="1" applyFill="1" applyAlignment="1">
      <alignment horizontal="center"/>
    </xf>
    <xf numFmtId="9" fontId="27" fillId="4" borderId="0" xfId="2" applyFont="1" applyFill="1" applyAlignment="1">
      <alignment horizontal="center"/>
    </xf>
    <xf numFmtId="9" fontId="5" fillId="4" borderId="0" xfId="2" applyFont="1" applyFill="1" applyAlignment="1">
      <alignment horizontal="center"/>
    </xf>
    <xf numFmtId="0" fontId="11" fillId="8" borderId="0" xfId="4" applyFont="1" applyFill="1" applyBorder="1" applyAlignment="1" applyProtection="1">
      <alignment vertical="center"/>
    </xf>
    <xf numFmtId="0" fontId="2" fillId="2" borderId="0" xfId="0" applyFont="1" applyFill="1" applyAlignment="1">
      <alignment horizontal="center" vertical="center"/>
    </xf>
    <xf numFmtId="0" fontId="2" fillId="2" borderId="0" xfId="0" applyFont="1" applyFill="1" applyBorder="1" applyAlignment="1">
      <alignment horizontal="center" vertical="center"/>
    </xf>
    <xf numFmtId="0" fontId="2" fillId="2" borderId="0" xfId="4" applyFont="1" applyFill="1" applyBorder="1" applyAlignment="1" applyProtection="1">
      <alignment horizontal="center" vertical="center"/>
    </xf>
    <xf numFmtId="0" fontId="20" fillId="2" borderId="0" xfId="0" applyFont="1" applyFill="1" applyAlignment="1">
      <alignment horizontal="center" vertical="center"/>
    </xf>
    <xf numFmtId="0" fontId="5" fillId="4" borderId="0" xfId="0" applyFont="1" applyFill="1" applyAlignment="1">
      <alignment horizontal="center" vertical="center"/>
    </xf>
  </cellXfs>
  <cellStyles count="10">
    <cellStyle name="Comma" xfId="1" builtinId="3"/>
    <cellStyle name="Followed Hyperlink" xfId="9" builtinId="9" hidden="1"/>
    <cellStyle name="Hyperlink" xfId="7" builtinId="8"/>
    <cellStyle name="Normal" xfId="0" builtinId="0"/>
    <cellStyle name="Normal 2" xfId="5" xr:uid="{00000000-0005-0000-0000-000004000000}"/>
    <cellStyle name="Normal 3 2" xfId="4" xr:uid="{00000000-0005-0000-0000-000005000000}"/>
    <cellStyle name="Normal 4" xfId="8" xr:uid="{00000000-0005-0000-0000-000006000000}"/>
    <cellStyle name="Percent" xfId="2" builtinId="5"/>
    <cellStyle name="Percent 2" xfId="3" xr:uid="{00000000-0005-0000-0000-000008000000}"/>
    <cellStyle name="Percent 8" xfId="6" xr:uid="{00000000-0005-0000-0000-000009000000}"/>
  </cellStyles>
  <dxfs count="5">
    <dxf>
      <font>
        <color rgb="FFFF0000"/>
      </font>
    </dxf>
    <dxf>
      <font>
        <color rgb="FFFF0000"/>
      </font>
    </dxf>
    <dxf>
      <font>
        <color rgb="FFFF0000"/>
      </font>
    </dxf>
    <dxf>
      <font>
        <color rgb="FFFF0000"/>
      </font>
    </dxf>
    <dxf>
      <font>
        <color rgb="FFFF0000"/>
      </font>
    </dxf>
  </dxfs>
  <tableStyles count="0" defaultTableStyle="TableStyleMedium2" defaultPivotStyle="PivotStyleMedium9"/>
  <colors>
    <mruColors>
      <color rgb="FF14325A"/>
      <color rgb="FF6EAA46"/>
      <color rgb="FF8CB4D2"/>
      <color rgb="FFBFBFBF"/>
      <color rgb="FF404040"/>
      <color rgb="FF5078A0"/>
      <color rgb="FF000000"/>
      <color rgb="FF325A78"/>
      <color rgb="FF7F7F7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hyperlink" Target="http://people.stern.nyu.edu/adamodar/pc/datasets/?C=M;O=D" TargetMode="External"/><Relationship Id="rId1" Type="http://schemas.openxmlformats.org/officeDocument/2006/relationships/hyperlink" Target="http://people.stern.nyu.edu/adamodar/pc/datasets/?C=M;O=D" TargetMode="External"/><Relationship Id="rId4" Type="http://schemas.openxmlformats.org/officeDocument/2006/relationships/comments" Target="../comments5.xml"/></Relationships>
</file>

<file path=xl/worksheets/_rels/sheet14.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L95"/>
  <sheetViews>
    <sheetView topLeftCell="A28" workbookViewId="0">
      <selection activeCell="C41" sqref="A41:XFD41"/>
    </sheetView>
  </sheetViews>
  <sheetFormatPr defaultColWidth="8.88671875" defaultRowHeight="14.4" x14ac:dyDescent="0.3"/>
  <cols>
    <col min="2" max="2" width="39.44140625" customWidth="1"/>
    <col min="3" max="4" width="15" bestFit="1" customWidth="1"/>
    <col min="5" max="6" width="16" bestFit="1" customWidth="1"/>
    <col min="7" max="12" width="16.44140625" bestFit="1" customWidth="1"/>
  </cols>
  <sheetData>
    <row r="3" spans="2:12" x14ac:dyDescent="0.3">
      <c r="B3" s="2" t="s">
        <v>96</v>
      </c>
      <c r="C3" s="6">
        <v>39447</v>
      </c>
      <c r="D3" s="6">
        <v>39813</v>
      </c>
      <c r="E3" s="6">
        <v>40178</v>
      </c>
      <c r="F3" s="6">
        <v>40543</v>
      </c>
      <c r="G3" s="6">
        <v>40908</v>
      </c>
      <c r="H3" s="6">
        <v>41274</v>
      </c>
      <c r="I3" s="6">
        <v>41639</v>
      </c>
      <c r="J3" s="6">
        <v>42004</v>
      </c>
      <c r="K3" s="6">
        <v>42369</v>
      </c>
      <c r="L3" s="6">
        <v>42735</v>
      </c>
    </row>
    <row r="4" spans="2:12" x14ac:dyDescent="0.3">
      <c r="B4" s="2"/>
      <c r="C4" s="3" t="s">
        <v>4</v>
      </c>
      <c r="D4" s="3" t="s">
        <v>4</v>
      </c>
      <c r="E4" s="3" t="s">
        <v>4</v>
      </c>
      <c r="F4" s="3" t="s">
        <v>4</v>
      </c>
      <c r="G4" s="3" t="s">
        <v>4</v>
      </c>
      <c r="H4" s="3" t="s">
        <v>4</v>
      </c>
      <c r="I4" s="3" t="s">
        <v>4</v>
      </c>
      <c r="J4" s="3" t="s">
        <v>4</v>
      </c>
      <c r="K4" s="3" t="s">
        <v>4</v>
      </c>
      <c r="L4" s="3" t="s">
        <v>4</v>
      </c>
    </row>
    <row r="5" spans="2:12" x14ac:dyDescent="0.3">
      <c r="B5" s="2" t="s">
        <v>5</v>
      </c>
      <c r="C5" s="3"/>
      <c r="D5" s="3"/>
      <c r="E5" s="3"/>
      <c r="F5" s="3"/>
      <c r="G5" s="3"/>
      <c r="H5" s="3"/>
      <c r="I5" s="3"/>
      <c r="J5" s="3"/>
      <c r="K5" s="3"/>
      <c r="L5" s="3"/>
    </row>
    <row r="6" spans="2:12" x14ac:dyDescent="0.3">
      <c r="B6" s="2" t="s">
        <v>6</v>
      </c>
      <c r="C6" s="4">
        <v>11189243925</v>
      </c>
      <c r="D6" s="4">
        <v>29804447039</v>
      </c>
      <c r="E6" s="4">
        <v>68494828112</v>
      </c>
      <c r="F6" s="4">
        <v>182822614720</v>
      </c>
      <c r="G6" s="4">
        <v>396381629464</v>
      </c>
      <c r="H6" s="4">
        <v>316418255598</v>
      </c>
      <c r="I6" s="4">
        <v>510956953793</v>
      </c>
      <c r="J6" s="4">
        <v>521087847405</v>
      </c>
      <c r="K6" s="4">
        <v>465633340617</v>
      </c>
      <c r="L6" s="4">
        <v>500544254289</v>
      </c>
    </row>
    <row r="7" spans="2:12" s="13" customFormat="1" x14ac:dyDescent="0.3">
      <c r="B7" s="2" t="s">
        <v>7</v>
      </c>
      <c r="C7" s="4">
        <v>11016964603</v>
      </c>
      <c r="D7" s="4">
        <v>14589526362</v>
      </c>
      <c r="E7" s="4">
        <v>36053940395</v>
      </c>
      <c r="F7" s="4">
        <v>92714464442</v>
      </c>
      <c r="G7" s="4">
        <v>179293614903</v>
      </c>
      <c r="H7" s="4">
        <v>85305119116</v>
      </c>
      <c r="I7" s="4">
        <v>249841848415</v>
      </c>
      <c r="J7" s="4">
        <v>288734892821</v>
      </c>
      <c r="K7" s="4">
        <v>281710813470</v>
      </c>
      <c r="L7" s="4">
        <v>342673472949</v>
      </c>
    </row>
    <row r="8" spans="2:12" x14ac:dyDescent="0.3">
      <c r="B8" s="5" t="s">
        <v>8</v>
      </c>
      <c r="C8" s="3">
        <v>5016964603</v>
      </c>
      <c r="D8" s="3">
        <v>1864088543</v>
      </c>
      <c r="E8" s="3">
        <v>12053940395</v>
      </c>
      <c r="F8" s="3">
        <v>23714464442</v>
      </c>
      <c r="G8" s="3">
        <v>7844958923</v>
      </c>
      <c r="H8" s="3">
        <v>17305119116</v>
      </c>
      <c r="I8" s="3">
        <v>62192126193</v>
      </c>
      <c r="J8" s="3">
        <v>126619892821</v>
      </c>
      <c r="K8" s="3">
        <v>32310813470</v>
      </c>
      <c r="L8" s="3">
        <v>18773472949</v>
      </c>
    </row>
    <row r="9" spans="2:12" x14ac:dyDescent="0.3">
      <c r="B9" s="5" t="s">
        <v>9</v>
      </c>
      <c r="C9" s="3">
        <v>6000000000</v>
      </c>
      <c r="D9" s="3">
        <v>12725437819</v>
      </c>
      <c r="E9" s="3">
        <v>24000000000</v>
      </c>
      <c r="F9" s="3">
        <v>69000000000</v>
      </c>
      <c r="G9" s="3">
        <v>171448655980</v>
      </c>
      <c r="H9" s="3">
        <v>68000000000</v>
      </c>
      <c r="I9" s="3">
        <v>187649722222</v>
      </c>
      <c r="J9" s="3">
        <v>162115000000</v>
      </c>
      <c r="K9" s="3">
        <v>249400000000</v>
      </c>
      <c r="L9" s="3">
        <v>323900000000</v>
      </c>
    </row>
    <row r="10" spans="2:12" s="13" customFormat="1" x14ac:dyDescent="0.3">
      <c r="B10" s="2" t="s">
        <v>10</v>
      </c>
      <c r="C10" s="4"/>
      <c r="D10" s="4">
        <v>10000000000</v>
      </c>
      <c r="E10" s="4">
        <v>7000000000</v>
      </c>
      <c r="F10" s="4">
        <v>6100000000</v>
      </c>
      <c r="G10" s="4">
        <v>62550000000</v>
      </c>
      <c r="H10" s="4">
        <v>55100000000</v>
      </c>
      <c r="I10" s="4">
        <v>65000000000</v>
      </c>
      <c r="J10" s="4">
        <v>40000000000</v>
      </c>
      <c r="K10" s="4">
        <v>13000000000</v>
      </c>
      <c r="L10" s="4"/>
    </row>
    <row r="11" spans="2:12" x14ac:dyDescent="0.3">
      <c r="B11" s="5" t="s">
        <v>11</v>
      </c>
      <c r="C11" s="3"/>
      <c r="D11" s="3">
        <v>10000000000</v>
      </c>
      <c r="E11" s="3">
        <v>7000000000</v>
      </c>
      <c r="F11" s="3">
        <v>6100000000</v>
      </c>
      <c r="G11" s="3">
        <v>63100000000</v>
      </c>
      <c r="H11" s="3">
        <v>55100000000</v>
      </c>
      <c r="I11" s="3">
        <v>65000000000</v>
      </c>
      <c r="J11" s="3">
        <v>40000000000</v>
      </c>
      <c r="K11" s="3"/>
      <c r="L11" s="3"/>
    </row>
    <row r="12" spans="2:12" x14ac:dyDescent="0.3">
      <c r="B12" s="5" t="s">
        <v>12</v>
      </c>
      <c r="C12" s="3"/>
      <c r="D12" s="3"/>
      <c r="E12" s="3"/>
      <c r="F12" s="3"/>
      <c r="G12" s="3">
        <v>-550000000</v>
      </c>
      <c r="H12" s="3"/>
      <c r="I12" s="3"/>
      <c r="J12" s="3"/>
      <c r="K12" s="3"/>
      <c r="L12" s="3"/>
    </row>
    <row r="13" spans="2:12" s="13" customFormat="1" x14ac:dyDescent="0.3">
      <c r="B13" s="2" t="s">
        <v>13</v>
      </c>
      <c r="C13" s="4"/>
      <c r="D13" s="4">
        <v>4013030387</v>
      </c>
      <c r="E13" s="4">
        <v>24968120773</v>
      </c>
      <c r="F13" s="4">
        <v>78715107848</v>
      </c>
      <c r="G13" s="4">
        <v>136599511989</v>
      </c>
      <c r="H13" s="4">
        <v>152125223262</v>
      </c>
      <c r="I13" s="4">
        <v>168576639650</v>
      </c>
      <c r="J13" s="4">
        <v>157495348318</v>
      </c>
      <c r="K13" s="4">
        <v>135602339039</v>
      </c>
      <c r="L13" s="4">
        <v>106086387832</v>
      </c>
    </row>
    <row r="14" spans="2:12" x14ac:dyDescent="0.3">
      <c r="B14" s="5" t="s">
        <v>14</v>
      </c>
      <c r="C14" s="3"/>
      <c r="D14" s="3">
        <v>3834235264</v>
      </c>
      <c r="E14" s="3">
        <v>23774509912</v>
      </c>
      <c r="F14" s="3">
        <v>62871772514</v>
      </c>
      <c r="G14" s="3">
        <v>123137046640</v>
      </c>
      <c r="H14" s="3">
        <v>136905574399</v>
      </c>
      <c r="I14" s="3">
        <v>152485916105</v>
      </c>
      <c r="J14" s="3">
        <v>153510756890</v>
      </c>
      <c r="K14" s="3">
        <v>132158317364</v>
      </c>
      <c r="L14" s="3">
        <v>106258851793</v>
      </c>
    </row>
    <row r="15" spans="2:12" x14ac:dyDescent="0.3">
      <c r="B15" s="5" t="s">
        <v>15</v>
      </c>
      <c r="C15" s="3"/>
      <c r="D15" s="3"/>
      <c r="E15" s="3">
        <v>8460000</v>
      </c>
      <c r="F15" s="3">
        <v>8224765005</v>
      </c>
      <c r="G15" s="3">
        <v>244886750</v>
      </c>
      <c r="H15" s="3">
        <v>1497061113</v>
      </c>
      <c r="I15" s="3">
        <v>3998356370</v>
      </c>
      <c r="J15" s="3">
        <v>3684831426</v>
      </c>
      <c r="K15" s="3">
        <v>4945987381</v>
      </c>
      <c r="L15" s="3">
        <v>1688852306</v>
      </c>
    </row>
    <row r="16" spans="2:12" x14ac:dyDescent="0.3">
      <c r="B16" s="5" t="s">
        <v>16</v>
      </c>
      <c r="C16" s="3"/>
      <c r="D16" s="3"/>
      <c r="E16" s="3"/>
      <c r="F16" s="3"/>
      <c r="G16" s="3"/>
      <c r="H16" s="3"/>
      <c r="I16" s="3"/>
      <c r="J16" s="3"/>
      <c r="K16" s="3"/>
      <c r="L16" s="3"/>
    </row>
    <row r="17" spans="2:12" x14ac:dyDescent="0.3">
      <c r="B17" s="5" t="s">
        <v>17</v>
      </c>
      <c r="C17" s="3"/>
      <c r="D17" s="3"/>
      <c r="E17" s="3"/>
      <c r="F17" s="3"/>
      <c r="G17" s="3"/>
      <c r="H17" s="3"/>
      <c r="I17" s="3"/>
      <c r="J17" s="3"/>
      <c r="K17" s="3"/>
      <c r="L17" s="3"/>
    </row>
    <row r="18" spans="2:12" x14ac:dyDescent="0.3">
      <c r="B18" s="5" t="s">
        <v>18</v>
      </c>
      <c r="C18" s="3"/>
      <c r="D18" s="3">
        <v>178795123</v>
      </c>
      <c r="E18" s="3">
        <v>1185150861</v>
      </c>
      <c r="F18" s="3">
        <v>7618570329</v>
      </c>
      <c r="G18" s="3">
        <v>13217578599</v>
      </c>
      <c r="H18" s="3">
        <v>14718170426</v>
      </c>
      <c r="I18" s="3">
        <v>12092367175</v>
      </c>
      <c r="J18" s="3">
        <v>7329351510</v>
      </c>
      <c r="K18" s="3">
        <v>1750218889</v>
      </c>
      <c r="L18" s="3">
        <v>1121505453</v>
      </c>
    </row>
    <row r="19" spans="2:12" x14ac:dyDescent="0.3">
      <c r="B19" s="5" t="s">
        <v>19</v>
      </c>
      <c r="C19" s="3"/>
      <c r="D19" s="3"/>
      <c r="E19" s="3"/>
      <c r="F19" s="3"/>
      <c r="G19" s="3"/>
      <c r="H19" s="3">
        <v>-995582676</v>
      </c>
      <c r="I19" s="3"/>
      <c r="J19" s="3">
        <v>-7029591508</v>
      </c>
      <c r="K19" s="3">
        <v>-3252184595</v>
      </c>
      <c r="L19" s="3">
        <v>-2982821720</v>
      </c>
    </row>
    <row r="20" spans="2:12" s="13" customFormat="1" x14ac:dyDescent="0.3">
      <c r="B20" s="2" t="s">
        <v>20</v>
      </c>
      <c r="C20" s="4">
        <v>5441000</v>
      </c>
      <c r="D20" s="4">
        <v>168907978</v>
      </c>
      <c r="E20" s="4">
        <v>372266944</v>
      </c>
      <c r="F20" s="4">
        <v>4802428530</v>
      </c>
      <c r="G20" s="4">
        <v>10005661391</v>
      </c>
      <c r="H20" s="4">
        <v>21500912441</v>
      </c>
      <c r="I20" s="4">
        <v>23172660906</v>
      </c>
      <c r="J20" s="4">
        <v>21931573085</v>
      </c>
      <c r="K20" s="4">
        <v>26446863900</v>
      </c>
      <c r="L20" s="4">
        <v>42038312846</v>
      </c>
    </row>
    <row r="21" spans="2:12" x14ac:dyDescent="0.3">
      <c r="B21" s="5" t="s">
        <v>21</v>
      </c>
      <c r="C21" s="3">
        <v>5441000</v>
      </c>
      <c r="D21" s="3">
        <v>168907978</v>
      </c>
      <c r="E21" s="3">
        <v>372266944</v>
      </c>
      <c r="F21" s="3">
        <v>4802428530</v>
      </c>
      <c r="G21" s="3">
        <v>10005661391</v>
      </c>
      <c r="H21" s="3">
        <v>21500912441</v>
      </c>
      <c r="I21" s="3">
        <v>23172660906</v>
      </c>
      <c r="J21" s="3">
        <v>21931573085</v>
      </c>
      <c r="K21" s="3">
        <v>26446863900</v>
      </c>
      <c r="L21" s="3">
        <v>42038312846</v>
      </c>
    </row>
    <row r="22" spans="2:12" x14ac:dyDescent="0.3">
      <c r="B22" s="5" t="s">
        <v>22</v>
      </c>
      <c r="C22" s="3"/>
      <c r="D22" s="3"/>
      <c r="E22" s="3"/>
      <c r="F22" s="3"/>
      <c r="G22" s="3"/>
      <c r="H22" s="3"/>
      <c r="I22" s="3"/>
      <c r="J22" s="3"/>
      <c r="K22" s="3"/>
      <c r="L22" s="3"/>
    </row>
    <row r="23" spans="2:12" s="13" customFormat="1" x14ac:dyDescent="0.3">
      <c r="B23" s="2" t="s">
        <v>23</v>
      </c>
      <c r="C23" s="4">
        <v>166838322</v>
      </c>
      <c r="D23" s="4">
        <v>1032982312</v>
      </c>
      <c r="E23" s="4">
        <v>100500000</v>
      </c>
      <c r="F23" s="4">
        <v>490613900</v>
      </c>
      <c r="G23" s="4">
        <v>7932841181</v>
      </c>
      <c r="H23" s="4">
        <v>2387000779</v>
      </c>
      <c r="I23" s="4">
        <v>4365804822</v>
      </c>
      <c r="J23" s="4">
        <v>12926033181</v>
      </c>
      <c r="K23" s="4">
        <v>8873324208</v>
      </c>
      <c r="L23" s="4">
        <v>9746080662</v>
      </c>
    </row>
    <row r="24" spans="2:12" x14ac:dyDescent="0.3">
      <c r="B24" s="5" t="s">
        <v>24</v>
      </c>
      <c r="C24" s="3">
        <v>20766217</v>
      </c>
      <c r="D24" s="3">
        <v>434700893</v>
      </c>
      <c r="E24" s="3">
        <v>100500000</v>
      </c>
      <c r="F24" s="3">
        <v>490613900</v>
      </c>
      <c r="G24" s="3">
        <v>2982681826</v>
      </c>
      <c r="H24" s="3"/>
      <c r="I24" s="3">
        <v>2597369762</v>
      </c>
      <c r="J24" s="3">
        <v>7515757001</v>
      </c>
      <c r="K24" s="3">
        <v>8347026069</v>
      </c>
      <c r="L24" s="3">
        <v>7495420821</v>
      </c>
    </row>
    <row r="25" spans="2:12" x14ac:dyDescent="0.3">
      <c r="B25" s="5" t="s">
        <v>25</v>
      </c>
      <c r="C25" s="3">
        <v>136572105</v>
      </c>
      <c r="D25" s="3">
        <v>436102419</v>
      </c>
      <c r="E25" s="3"/>
      <c r="F25" s="3"/>
      <c r="G25" s="3"/>
      <c r="H25" s="3">
        <v>2296717958</v>
      </c>
      <c r="I25" s="3">
        <v>1284060641</v>
      </c>
      <c r="J25" s="3">
        <v>5023983908</v>
      </c>
      <c r="K25" s="3">
        <v>524215318</v>
      </c>
      <c r="L25" s="3">
        <v>2250659841</v>
      </c>
    </row>
    <row r="26" spans="2:12" x14ac:dyDescent="0.3">
      <c r="B26" s="5" t="s">
        <v>26</v>
      </c>
      <c r="C26" s="3"/>
      <c r="D26" s="3">
        <v>162179000</v>
      </c>
      <c r="E26" s="3"/>
      <c r="F26" s="3"/>
      <c r="G26" s="3">
        <v>3242520356</v>
      </c>
      <c r="H26" s="3">
        <v>2082821</v>
      </c>
      <c r="I26" s="3">
        <v>2082821</v>
      </c>
      <c r="J26" s="3">
        <v>2082821</v>
      </c>
      <c r="K26" s="3">
        <v>2082821</v>
      </c>
      <c r="L26" s="3"/>
    </row>
    <row r="27" spans="2:12" x14ac:dyDescent="0.3">
      <c r="B27" s="5" t="s">
        <v>27</v>
      </c>
      <c r="C27" s="3">
        <v>9500000</v>
      </c>
      <c r="D27" s="3"/>
      <c r="E27" s="3"/>
      <c r="F27" s="3"/>
      <c r="G27" s="3">
        <v>1707638999</v>
      </c>
      <c r="H27" s="3">
        <v>88200000</v>
      </c>
      <c r="I27" s="3">
        <v>482291598</v>
      </c>
      <c r="J27" s="3">
        <v>384209451</v>
      </c>
      <c r="K27" s="3"/>
      <c r="L27" s="3"/>
    </row>
    <row r="28" spans="2:12" x14ac:dyDescent="0.3">
      <c r="B28" s="2" t="s">
        <v>28</v>
      </c>
      <c r="C28" s="4">
        <v>1465128427</v>
      </c>
      <c r="D28" s="4">
        <v>67616249177</v>
      </c>
      <c r="E28" s="4">
        <v>105392402889</v>
      </c>
      <c r="F28" s="4">
        <v>176753616245</v>
      </c>
      <c r="G28" s="4">
        <v>308892183129</v>
      </c>
      <c r="H28" s="4">
        <v>307314203009</v>
      </c>
      <c r="I28" s="4">
        <v>117186139192</v>
      </c>
      <c r="J28" s="4">
        <v>120434292003</v>
      </c>
      <c r="K28" s="4">
        <v>178162866544</v>
      </c>
      <c r="L28" s="4">
        <v>149367042486</v>
      </c>
    </row>
    <row r="29" spans="2:12" s="13" customFormat="1" x14ac:dyDescent="0.3">
      <c r="B29" s="2" t="s">
        <v>29</v>
      </c>
      <c r="C29" s="4"/>
      <c r="D29" s="4"/>
      <c r="E29" s="4"/>
      <c r="F29" s="4"/>
      <c r="G29" s="4"/>
      <c r="H29" s="4"/>
      <c r="I29" s="4"/>
      <c r="J29" s="4"/>
      <c r="K29" s="4">
        <v>936000000</v>
      </c>
      <c r="L29" s="4">
        <v>1927000000</v>
      </c>
    </row>
    <row r="30" spans="2:12" x14ac:dyDescent="0.3">
      <c r="B30" s="5" t="s">
        <v>30</v>
      </c>
      <c r="C30" s="3"/>
      <c r="D30" s="3"/>
      <c r="E30" s="3"/>
      <c r="F30" s="3"/>
      <c r="G30" s="3"/>
      <c r="H30" s="3"/>
      <c r="I30" s="3"/>
      <c r="J30" s="3"/>
      <c r="K30" s="3"/>
      <c r="L30" s="3"/>
    </row>
    <row r="31" spans="2:12" x14ac:dyDescent="0.3">
      <c r="B31" s="5" t="s">
        <v>31</v>
      </c>
      <c r="C31" s="3"/>
      <c r="D31" s="3"/>
      <c r="E31" s="3"/>
      <c r="F31" s="3"/>
      <c r="G31" s="3"/>
      <c r="H31" s="3"/>
      <c r="I31" s="3"/>
      <c r="J31" s="3"/>
      <c r="K31" s="3"/>
      <c r="L31" s="3"/>
    </row>
    <row r="32" spans="2:12" x14ac:dyDescent="0.3">
      <c r="B32" s="5" t="s">
        <v>32</v>
      </c>
      <c r="C32" s="3"/>
      <c r="D32" s="3"/>
      <c r="E32" s="3"/>
      <c r="F32" s="3"/>
      <c r="G32" s="3"/>
      <c r="H32" s="3"/>
      <c r="I32" s="3"/>
      <c r="J32" s="3"/>
      <c r="K32" s="3">
        <v>936000000</v>
      </c>
      <c r="L32" s="3">
        <v>1927000000</v>
      </c>
    </row>
    <row r="33" spans="2:12" x14ac:dyDescent="0.3">
      <c r="B33" s="5" t="s">
        <v>33</v>
      </c>
      <c r="C33" s="3"/>
      <c r="D33" s="3"/>
      <c r="E33" s="3"/>
      <c r="F33" s="3"/>
      <c r="G33" s="3"/>
      <c r="H33" s="3"/>
      <c r="I33" s="3"/>
      <c r="J33" s="3"/>
      <c r="K33" s="3"/>
      <c r="L33" s="3"/>
    </row>
    <row r="34" spans="2:12" s="13" customFormat="1" x14ac:dyDescent="0.3">
      <c r="B34" s="2" t="s">
        <v>34</v>
      </c>
      <c r="C34" s="4">
        <v>1337218554</v>
      </c>
      <c r="D34" s="4">
        <v>66223222901</v>
      </c>
      <c r="E34" s="4">
        <v>104474454436</v>
      </c>
      <c r="F34" s="4">
        <v>176517483584</v>
      </c>
      <c r="G34" s="4">
        <v>292344422568</v>
      </c>
      <c r="H34" s="4">
        <v>225197521552</v>
      </c>
      <c r="I34" s="4">
        <v>97487234747</v>
      </c>
      <c r="J34" s="4">
        <v>112454666260</v>
      </c>
      <c r="K34" s="4">
        <v>170817116061</v>
      </c>
      <c r="L34" s="4">
        <v>142672404911</v>
      </c>
    </row>
    <row r="35" spans="2:12" x14ac:dyDescent="0.3">
      <c r="B35" s="5" t="s">
        <v>35</v>
      </c>
      <c r="C35" s="3">
        <v>1055353296</v>
      </c>
      <c r="D35" s="3">
        <v>62837483218</v>
      </c>
      <c r="E35" s="3">
        <v>103830519854</v>
      </c>
      <c r="F35" s="3">
        <v>157913301509</v>
      </c>
      <c r="G35" s="3">
        <v>248982639215</v>
      </c>
      <c r="H35" s="3">
        <v>191757562055</v>
      </c>
      <c r="I35" s="3">
        <v>82057702882</v>
      </c>
      <c r="J35" s="3">
        <v>109110332709</v>
      </c>
      <c r="K35" s="3">
        <v>170390481805</v>
      </c>
      <c r="L35" s="3">
        <v>142525687323</v>
      </c>
    </row>
    <row r="36" spans="2:12" x14ac:dyDescent="0.3">
      <c r="B36" s="5" t="s">
        <v>36</v>
      </c>
      <c r="C36" s="3">
        <v>1101229101</v>
      </c>
      <c r="D36" s="3">
        <v>65148563414</v>
      </c>
      <c r="E36" s="3">
        <v>114094620446</v>
      </c>
      <c r="F36" s="3">
        <v>188547553096</v>
      </c>
      <c r="G36" s="3">
        <v>361997055835</v>
      </c>
      <c r="H36" s="3">
        <v>410978933094</v>
      </c>
      <c r="I36" s="3">
        <v>419192144781</v>
      </c>
      <c r="J36" s="3">
        <v>554228241388</v>
      </c>
      <c r="K36" s="3">
        <v>679452127701</v>
      </c>
      <c r="L36" s="3">
        <v>711625098491</v>
      </c>
    </row>
    <row r="37" spans="2:12" x14ac:dyDescent="0.3">
      <c r="B37" s="5" t="s">
        <v>37</v>
      </c>
      <c r="C37" s="3">
        <v>-45875805</v>
      </c>
      <c r="D37" s="3">
        <v>-2311080196</v>
      </c>
      <c r="E37" s="3">
        <v>-10264100592</v>
      </c>
      <c r="F37" s="3">
        <v>-30634251587</v>
      </c>
      <c r="G37" s="3">
        <v>-113014416620</v>
      </c>
      <c r="H37" s="3">
        <v>-219221371039</v>
      </c>
      <c r="I37" s="3">
        <v>-337134441899</v>
      </c>
      <c r="J37" s="3">
        <v>-445117908679</v>
      </c>
      <c r="K37" s="3">
        <v>-509061645896</v>
      </c>
      <c r="L37" s="3">
        <v>-569099411168</v>
      </c>
    </row>
    <row r="38" spans="2:12" x14ac:dyDescent="0.3">
      <c r="B38" s="5" t="s">
        <v>38</v>
      </c>
      <c r="C38" s="3"/>
      <c r="D38" s="3"/>
      <c r="E38" s="3"/>
      <c r="F38" s="3"/>
      <c r="G38" s="3">
        <v>42011397204</v>
      </c>
      <c r="H38" s="3">
        <v>27982456668</v>
      </c>
      <c r="I38" s="3">
        <v>13953516132</v>
      </c>
      <c r="J38" s="3"/>
      <c r="K38" s="3"/>
      <c r="L38" s="3"/>
    </row>
    <row r="39" spans="2:12" x14ac:dyDescent="0.3">
      <c r="B39" s="5" t="s">
        <v>39</v>
      </c>
      <c r="C39" s="3"/>
      <c r="D39" s="3"/>
      <c r="E39" s="3"/>
      <c r="F39" s="3"/>
      <c r="G39" s="3">
        <v>42086821615</v>
      </c>
      <c r="H39" s="3">
        <v>42086821615</v>
      </c>
      <c r="I39" s="3">
        <v>42086821615</v>
      </c>
      <c r="J39" s="3"/>
      <c r="K39" s="3"/>
      <c r="L39" s="3"/>
    </row>
    <row r="40" spans="2:12" x14ac:dyDescent="0.3">
      <c r="B40" s="5" t="s">
        <v>40</v>
      </c>
      <c r="C40" s="3"/>
      <c r="D40" s="3"/>
      <c r="E40" s="3"/>
      <c r="F40" s="3"/>
      <c r="G40" s="3">
        <v>-75424411</v>
      </c>
      <c r="H40" s="3">
        <v>-14104364947</v>
      </c>
      <c r="I40" s="3">
        <v>-28133305483</v>
      </c>
      <c r="J40" s="3"/>
      <c r="K40" s="3"/>
      <c r="L40" s="3"/>
    </row>
    <row r="41" spans="2:12" x14ac:dyDescent="0.3">
      <c r="B41" s="5" t="s">
        <v>41</v>
      </c>
      <c r="C41" s="3">
        <v>32313015</v>
      </c>
      <c r="D41" s="3">
        <v>25510275</v>
      </c>
      <c r="E41" s="3">
        <v>18707535</v>
      </c>
      <c r="F41" s="3">
        <v>3045411</v>
      </c>
      <c r="G41" s="3"/>
      <c r="H41" s="3">
        <v>96428949</v>
      </c>
      <c r="I41" s="3">
        <v>51081285</v>
      </c>
      <c r="J41" s="3">
        <v>712284545</v>
      </c>
      <c r="K41" s="3">
        <v>426634256</v>
      </c>
      <c r="L41" s="3">
        <v>146717588</v>
      </c>
    </row>
    <row r="42" spans="2:12" x14ac:dyDescent="0.3">
      <c r="B42" s="5" t="s">
        <v>42</v>
      </c>
      <c r="C42" s="3">
        <v>34013700</v>
      </c>
      <c r="D42" s="3">
        <v>34013700</v>
      </c>
      <c r="E42" s="3">
        <v>34013700</v>
      </c>
      <c r="F42" s="3">
        <v>34013700</v>
      </c>
      <c r="G42" s="3">
        <v>34013700</v>
      </c>
      <c r="H42" s="625">
        <v>170056700</v>
      </c>
      <c r="I42" s="3">
        <v>170056700</v>
      </c>
      <c r="J42" s="3">
        <v>1009806700</v>
      </c>
      <c r="K42" s="3">
        <v>1009806700</v>
      </c>
      <c r="L42" s="3">
        <v>1009806700</v>
      </c>
    </row>
    <row r="43" spans="2:12" x14ac:dyDescent="0.3">
      <c r="B43" s="5" t="s">
        <v>43</v>
      </c>
      <c r="C43" s="3">
        <v>-1700685</v>
      </c>
      <c r="D43" s="3">
        <v>-8503425</v>
      </c>
      <c r="E43" s="3">
        <v>-15306165</v>
      </c>
      <c r="F43" s="3">
        <v>-30968289</v>
      </c>
      <c r="G43" s="3">
        <v>-34013700</v>
      </c>
      <c r="H43" s="3">
        <v>-73627751</v>
      </c>
      <c r="I43" s="3">
        <v>-118975415</v>
      </c>
      <c r="J43" s="3">
        <v>-297522155</v>
      </c>
      <c r="K43" s="3">
        <v>-583172444</v>
      </c>
      <c r="L43" s="3">
        <v>-863089112</v>
      </c>
    </row>
    <row r="44" spans="2:12" x14ac:dyDescent="0.3">
      <c r="B44" s="5" t="s">
        <v>44</v>
      </c>
      <c r="C44" s="3">
        <v>249552243</v>
      </c>
      <c r="D44" s="3">
        <v>3360229408</v>
      </c>
      <c r="E44" s="3">
        <v>625227047</v>
      </c>
      <c r="F44" s="3">
        <v>18601136664</v>
      </c>
      <c r="G44" s="3">
        <v>1350386149</v>
      </c>
      <c r="H44" s="3">
        <v>5361073880</v>
      </c>
      <c r="I44" s="3">
        <v>1424934448</v>
      </c>
      <c r="J44" s="3">
        <v>2632049006</v>
      </c>
      <c r="K44" s="3"/>
      <c r="L44" s="3"/>
    </row>
    <row r="45" spans="2:12" s="13" customFormat="1" x14ac:dyDescent="0.3">
      <c r="B45" s="2" t="s">
        <v>45</v>
      </c>
      <c r="C45" s="4"/>
      <c r="D45" s="4"/>
      <c r="E45" s="4"/>
      <c r="F45" s="4"/>
      <c r="G45" s="4"/>
      <c r="H45" s="4"/>
      <c r="I45" s="4"/>
      <c r="J45" s="4"/>
      <c r="K45" s="4"/>
      <c r="L45" s="4"/>
    </row>
    <row r="46" spans="2:12" x14ac:dyDescent="0.3">
      <c r="B46" s="5" t="s">
        <v>46</v>
      </c>
      <c r="C46" s="3"/>
      <c r="D46" s="3"/>
      <c r="E46" s="3"/>
      <c r="F46" s="3"/>
      <c r="G46" s="3"/>
      <c r="H46" s="3"/>
      <c r="I46" s="3"/>
      <c r="J46" s="3"/>
      <c r="K46" s="3"/>
      <c r="L46" s="3"/>
    </row>
    <row r="47" spans="2:12" x14ac:dyDescent="0.3">
      <c r="B47" s="5" t="s">
        <v>47</v>
      </c>
      <c r="C47" s="3"/>
      <c r="D47" s="3"/>
      <c r="E47" s="3"/>
      <c r="F47" s="3"/>
      <c r="G47" s="3"/>
      <c r="H47" s="3"/>
      <c r="I47" s="3"/>
      <c r="J47" s="3"/>
      <c r="K47" s="3"/>
      <c r="L47" s="3"/>
    </row>
    <row r="48" spans="2:12" s="13" customFormat="1" x14ac:dyDescent="0.3">
      <c r="B48" s="2" t="s">
        <v>48</v>
      </c>
      <c r="C48" s="4"/>
      <c r="D48" s="4"/>
      <c r="E48" s="4"/>
      <c r="F48" s="4"/>
      <c r="G48" s="4"/>
      <c r="H48" s="4">
        <v>60000000000</v>
      </c>
      <c r="I48" s="4"/>
      <c r="J48" s="4"/>
      <c r="K48" s="4"/>
      <c r="L48" s="4"/>
    </row>
    <row r="49" spans="2:12" x14ac:dyDescent="0.3">
      <c r="B49" s="5" t="s">
        <v>49</v>
      </c>
      <c r="C49" s="3"/>
      <c r="D49" s="3"/>
      <c r="E49" s="3"/>
      <c r="F49" s="3"/>
      <c r="G49" s="3"/>
      <c r="H49" s="3"/>
      <c r="I49" s="3"/>
      <c r="J49" s="3"/>
      <c r="K49" s="3"/>
      <c r="L49" s="3"/>
    </row>
    <row r="50" spans="2:12" x14ac:dyDescent="0.3">
      <c r="B50" s="5" t="s">
        <v>50</v>
      </c>
      <c r="C50" s="3"/>
      <c r="D50" s="3"/>
      <c r="E50" s="3"/>
      <c r="F50" s="3"/>
      <c r="G50" s="3"/>
      <c r="H50" s="3"/>
      <c r="I50" s="3"/>
      <c r="J50" s="3"/>
      <c r="K50" s="3"/>
      <c r="L50" s="3"/>
    </row>
    <row r="51" spans="2:12" x14ac:dyDescent="0.3">
      <c r="B51" s="5" t="s">
        <v>51</v>
      </c>
      <c r="C51" s="3"/>
      <c r="D51" s="3"/>
      <c r="E51" s="3"/>
      <c r="F51" s="3"/>
      <c r="G51" s="3"/>
      <c r="H51" s="3">
        <v>60000000000</v>
      </c>
      <c r="I51" s="3"/>
      <c r="J51" s="3"/>
      <c r="K51" s="3"/>
      <c r="L51" s="3"/>
    </row>
    <row r="52" spans="2:12" x14ac:dyDescent="0.3">
      <c r="B52" s="5" t="s">
        <v>52</v>
      </c>
      <c r="C52" s="3"/>
      <c r="D52" s="3"/>
      <c r="E52" s="3"/>
      <c r="F52" s="3"/>
      <c r="G52" s="3"/>
      <c r="H52" s="3"/>
      <c r="I52" s="3"/>
      <c r="J52" s="3"/>
      <c r="K52" s="3"/>
      <c r="L52" s="3"/>
    </row>
    <row r="53" spans="2:12" s="13" customFormat="1" x14ac:dyDescent="0.3">
      <c r="B53" s="2" t="s">
        <v>53</v>
      </c>
      <c r="C53" s="4">
        <v>127909873</v>
      </c>
      <c r="D53" s="4">
        <v>1393026276</v>
      </c>
      <c r="E53" s="4">
        <v>917948453</v>
      </c>
      <c r="F53" s="4">
        <v>236132661</v>
      </c>
      <c r="G53" s="4">
        <v>16547760561</v>
      </c>
      <c r="H53" s="4">
        <v>22116681457</v>
      </c>
      <c r="I53" s="4">
        <v>19698904445</v>
      </c>
      <c r="J53" s="4">
        <v>7979625743</v>
      </c>
      <c r="K53" s="4">
        <v>6409750483</v>
      </c>
      <c r="L53" s="4">
        <v>4767637575</v>
      </c>
    </row>
    <row r="54" spans="2:12" x14ac:dyDescent="0.3">
      <c r="B54" s="5" t="s">
        <v>54</v>
      </c>
      <c r="C54" s="3">
        <v>107144873</v>
      </c>
      <c r="D54" s="3">
        <v>663799026</v>
      </c>
      <c r="E54" s="3">
        <v>395943215</v>
      </c>
      <c r="F54" s="3">
        <v>106082661</v>
      </c>
      <c r="G54" s="3">
        <v>13430492561</v>
      </c>
      <c r="H54" s="3">
        <v>18999413457</v>
      </c>
      <c r="I54" s="3">
        <v>16581636445</v>
      </c>
      <c r="J54" s="3"/>
      <c r="K54" s="3"/>
      <c r="L54" s="3"/>
    </row>
    <row r="55" spans="2:12" x14ac:dyDescent="0.3">
      <c r="B55" s="5" t="s">
        <v>55</v>
      </c>
      <c r="C55" s="3"/>
      <c r="D55" s="3">
        <v>599177250</v>
      </c>
      <c r="E55" s="3">
        <v>391955238</v>
      </c>
      <c r="F55" s="3"/>
      <c r="G55" s="3"/>
      <c r="H55" s="3"/>
      <c r="I55" s="3"/>
      <c r="J55" s="3">
        <v>7645625743</v>
      </c>
      <c r="K55" s="3">
        <v>6409750483</v>
      </c>
      <c r="L55" s="3">
        <v>4767637575</v>
      </c>
    </row>
    <row r="56" spans="2:12" x14ac:dyDescent="0.3">
      <c r="B56" s="5" t="s">
        <v>56</v>
      </c>
      <c r="C56" s="3">
        <v>20765000</v>
      </c>
      <c r="D56" s="3">
        <v>130050000</v>
      </c>
      <c r="E56" s="3">
        <v>130050000</v>
      </c>
      <c r="F56" s="3">
        <v>130050000</v>
      </c>
      <c r="G56" s="3">
        <v>3117268000</v>
      </c>
      <c r="H56" s="3">
        <v>3117268000</v>
      </c>
      <c r="I56" s="3">
        <v>3117268000</v>
      </c>
      <c r="J56" s="3">
        <v>334000000</v>
      </c>
      <c r="K56" s="3"/>
      <c r="L56" s="3"/>
    </row>
    <row r="57" spans="2:12" x14ac:dyDescent="0.3">
      <c r="B57" s="2" t="s">
        <v>57</v>
      </c>
      <c r="C57" s="4">
        <v>12654372352</v>
      </c>
      <c r="D57" s="4">
        <v>97420696216</v>
      </c>
      <c r="E57" s="4">
        <v>173887231001</v>
      </c>
      <c r="F57" s="4">
        <v>359576230965</v>
      </c>
      <c r="G57" s="4">
        <v>705273812593</v>
      </c>
      <c r="H57" s="4">
        <v>623732458607</v>
      </c>
      <c r="I57" s="4">
        <v>628143092985</v>
      </c>
      <c r="J57" s="4">
        <v>641522139408</v>
      </c>
      <c r="K57" s="4">
        <v>643796207161</v>
      </c>
      <c r="L57" s="4">
        <v>649911296775</v>
      </c>
    </row>
    <row r="58" spans="2:12" x14ac:dyDescent="0.3">
      <c r="B58" s="2" t="s">
        <v>58</v>
      </c>
      <c r="C58" s="3"/>
      <c r="D58" s="3"/>
      <c r="E58" s="3"/>
      <c r="F58" s="3"/>
      <c r="G58" s="3"/>
      <c r="H58" s="3"/>
      <c r="I58" s="3"/>
      <c r="J58" s="3"/>
      <c r="K58" s="3"/>
      <c r="L58" s="3"/>
    </row>
    <row r="59" spans="2:12" x14ac:dyDescent="0.3">
      <c r="B59" s="2" t="s">
        <v>59</v>
      </c>
      <c r="C59" s="4">
        <v>769098754</v>
      </c>
      <c r="D59" s="4">
        <v>36381788763</v>
      </c>
      <c r="E59" s="4">
        <v>100616557796</v>
      </c>
      <c r="F59" s="4">
        <v>126399745644</v>
      </c>
      <c r="G59" s="4">
        <v>317510272714</v>
      </c>
      <c r="H59" s="4">
        <v>243165451239</v>
      </c>
      <c r="I59" s="4">
        <v>184644711010</v>
      </c>
      <c r="J59" s="4">
        <v>209154360421</v>
      </c>
      <c r="K59" s="4">
        <v>245059826377</v>
      </c>
      <c r="L59" s="4">
        <v>185319914805</v>
      </c>
    </row>
    <row r="60" spans="2:12" x14ac:dyDescent="0.3">
      <c r="B60" s="2" t="s">
        <v>60</v>
      </c>
      <c r="C60" s="4">
        <v>769098754</v>
      </c>
      <c r="D60" s="4">
        <v>14700464862</v>
      </c>
      <c r="E60" s="4">
        <v>50566217622</v>
      </c>
      <c r="F60" s="4">
        <v>86700886768</v>
      </c>
      <c r="G60" s="4">
        <v>207355476800</v>
      </c>
      <c r="H60" s="4">
        <v>166425614738</v>
      </c>
      <c r="I60" s="4">
        <v>147459184141</v>
      </c>
      <c r="J60" s="4">
        <v>184284573426</v>
      </c>
      <c r="K60" s="4">
        <v>201176465912</v>
      </c>
      <c r="L60" s="4">
        <v>157297948961</v>
      </c>
    </row>
    <row r="61" spans="2:12" x14ac:dyDescent="0.3">
      <c r="B61" s="5" t="s">
        <v>61</v>
      </c>
      <c r="C61" s="3"/>
      <c r="D61" s="3"/>
      <c r="E61" s="3">
        <v>24232938009</v>
      </c>
      <c r="F61" s="3">
        <v>31053738106</v>
      </c>
      <c r="G61" s="3">
        <v>61946897154</v>
      </c>
      <c r="H61" s="3">
        <v>60183954800</v>
      </c>
      <c r="I61" s="3">
        <v>39660229072</v>
      </c>
      <c r="J61" s="3">
        <v>44605236280</v>
      </c>
      <c r="K61" s="3">
        <v>38121860356</v>
      </c>
      <c r="L61" s="3">
        <v>30839581662</v>
      </c>
    </row>
    <row r="62" spans="2:12" x14ac:dyDescent="0.3">
      <c r="B62" s="5" t="s">
        <v>62</v>
      </c>
      <c r="C62" s="3"/>
      <c r="D62" s="3">
        <v>8362770832</v>
      </c>
      <c r="E62" s="3">
        <v>20336353681</v>
      </c>
      <c r="F62" s="3">
        <v>37970883592</v>
      </c>
      <c r="G62" s="3">
        <v>103071909159</v>
      </c>
      <c r="H62" s="3">
        <v>91395735677</v>
      </c>
      <c r="I62" s="3">
        <v>90994504556</v>
      </c>
      <c r="J62" s="3">
        <v>122303826744</v>
      </c>
      <c r="K62" s="3">
        <v>100003964075</v>
      </c>
      <c r="L62" s="3">
        <v>96642193336</v>
      </c>
    </row>
    <row r="63" spans="2:12" x14ac:dyDescent="0.3">
      <c r="B63" s="5" t="s">
        <v>63</v>
      </c>
      <c r="C63" s="3"/>
      <c r="D63" s="3"/>
      <c r="E63" s="3"/>
      <c r="F63" s="3"/>
      <c r="G63" s="3"/>
      <c r="H63" s="3"/>
      <c r="I63" s="3"/>
      <c r="J63" s="3"/>
      <c r="K63" s="3"/>
      <c r="L63" s="3"/>
    </row>
    <row r="64" spans="2:12" x14ac:dyDescent="0.3">
      <c r="B64" s="5" t="s">
        <v>64</v>
      </c>
      <c r="C64" s="3">
        <v>13033256</v>
      </c>
      <c r="D64" s="3">
        <v>55235531</v>
      </c>
      <c r="E64" s="3">
        <v>801416056</v>
      </c>
      <c r="F64" s="3">
        <v>1687716046</v>
      </c>
      <c r="G64" s="3">
        <v>3207837023</v>
      </c>
      <c r="H64" s="3">
        <v>4331650442</v>
      </c>
      <c r="I64" s="3">
        <v>4076673560</v>
      </c>
      <c r="J64" s="3">
        <v>5550376499</v>
      </c>
      <c r="K64" s="3">
        <v>7050802250</v>
      </c>
      <c r="L64" s="3">
        <v>10477874058</v>
      </c>
    </row>
    <row r="65" spans="2:12" x14ac:dyDescent="0.3">
      <c r="B65" s="5" t="s">
        <v>65</v>
      </c>
      <c r="C65" s="3">
        <v>91546329</v>
      </c>
      <c r="D65" s="3">
        <v>333398726</v>
      </c>
      <c r="E65" s="3">
        <v>1854262785</v>
      </c>
      <c r="F65" s="3">
        <v>5537569912</v>
      </c>
      <c r="G65" s="3">
        <v>6465152451</v>
      </c>
      <c r="H65" s="3">
        <v>6949658337</v>
      </c>
      <c r="I65" s="3">
        <v>4535910887</v>
      </c>
      <c r="J65" s="3">
        <v>3353545179</v>
      </c>
      <c r="K65" s="3">
        <v>9890753381</v>
      </c>
      <c r="L65" s="3">
        <v>6224744849</v>
      </c>
    </row>
    <row r="66" spans="2:12" x14ac:dyDescent="0.3">
      <c r="B66" s="5" t="s">
        <v>66</v>
      </c>
      <c r="C66" s="3">
        <v>156287364</v>
      </c>
      <c r="D66" s="3">
        <v>4722334133</v>
      </c>
      <c r="E66" s="3">
        <v>2867364133</v>
      </c>
      <c r="F66" s="3">
        <v>9746471676</v>
      </c>
      <c r="G66" s="3">
        <v>1792942442</v>
      </c>
      <c r="H66" s="3">
        <v>2682591974</v>
      </c>
      <c r="I66" s="3">
        <v>6417666696</v>
      </c>
      <c r="J66" s="3">
        <v>5199471738</v>
      </c>
      <c r="K66" s="3">
        <v>1462174315</v>
      </c>
      <c r="L66" s="3">
        <v>9566189146</v>
      </c>
    </row>
    <row r="67" spans="2:12" x14ac:dyDescent="0.3">
      <c r="B67" s="5" t="s">
        <v>67</v>
      </c>
      <c r="C67" s="3"/>
      <c r="D67" s="3"/>
      <c r="E67" s="3"/>
      <c r="F67" s="3"/>
      <c r="G67" s="3"/>
      <c r="H67" s="3"/>
      <c r="I67" s="3"/>
      <c r="J67" s="3"/>
      <c r="K67" s="3"/>
      <c r="L67" s="3"/>
    </row>
    <row r="68" spans="2:12" x14ac:dyDescent="0.3">
      <c r="B68" s="5" t="s">
        <v>68</v>
      </c>
      <c r="C68" s="3"/>
      <c r="D68" s="3"/>
      <c r="E68" s="3"/>
      <c r="F68" s="3"/>
      <c r="G68" s="3"/>
      <c r="H68" s="3"/>
      <c r="I68" s="3"/>
      <c r="J68" s="3"/>
      <c r="K68" s="3"/>
      <c r="L68" s="3"/>
    </row>
    <row r="69" spans="2:12" x14ac:dyDescent="0.3">
      <c r="B69" s="5" t="s">
        <v>69</v>
      </c>
      <c r="C69" s="3">
        <v>508231805</v>
      </c>
      <c r="D69" s="3">
        <v>1226725640</v>
      </c>
      <c r="E69" s="3">
        <v>473882958</v>
      </c>
      <c r="F69" s="3">
        <v>704507436</v>
      </c>
      <c r="G69" s="3">
        <v>30870233571</v>
      </c>
      <c r="H69" s="3">
        <v>877574297</v>
      </c>
      <c r="I69" s="3">
        <v>1771472149</v>
      </c>
      <c r="J69" s="3">
        <v>3272089765</v>
      </c>
      <c r="K69" s="3">
        <v>43098147358</v>
      </c>
      <c r="L69" s="3">
        <v>626627677</v>
      </c>
    </row>
    <row r="70" spans="2:12" x14ac:dyDescent="0.3">
      <c r="B70" s="5" t="s">
        <v>70</v>
      </c>
      <c r="C70" s="3"/>
      <c r="D70" s="3"/>
      <c r="E70" s="3"/>
      <c r="F70" s="3"/>
      <c r="G70" s="3"/>
      <c r="H70" s="3"/>
      <c r="I70" s="3"/>
      <c r="J70" s="3"/>
      <c r="K70" s="3"/>
      <c r="L70" s="3"/>
    </row>
    <row r="71" spans="2:12" x14ac:dyDescent="0.3">
      <c r="B71" s="2" t="s">
        <v>71</v>
      </c>
      <c r="C71" s="4"/>
      <c r="D71" s="4">
        <v>21681323901</v>
      </c>
      <c r="E71" s="4">
        <v>50050340174</v>
      </c>
      <c r="F71" s="4">
        <v>39698858876</v>
      </c>
      <c r="G71" s="4">
        <v>110154795914</v>
      </c>
      <c r="H71" s="4">
        <v>76739836501</v>
      </c>
      <c r="I71" s="4">
        <v>37185526869</v>
      </c>
      <c r="J71" s="4">
        <v>24869786995</v>
      </c>
      <c r="K71" s="4">
        <v>43883360465</v>
      </c>
      <c r="L71" s="4">
        <v>28021965844</v>
      </c>
    </row>
    <row r="72" spans="2:12" x14ac:dyDescent="0.3">
      <c r="B72" s="5" t="s">
        <v>72</v>
      </c>
      <c r="C72" s="3"/>
      <c r="D72" s="3"/>
      <c r="E72" s="3"/>
      <c r="F72" s="3"/>
      <c r="G72" s="3"/>
      <c r="H72" s="3"/>
      <c r="I72" s="3"/>
      <c r="J72" s="3"/>
      <c r="K72" s="3"/>
      <c r="L72" s="3"/>
    </row>
    <row r="73" spans="2:12" x14ac:dyDescent="0.3">
      <c r="B73" s="5" t="s">
        <v>73</v>
      </c>
      <c r="C73" s="3"/>
      <c r="D73" s="3"/>
      <c r="E73" s="3"/>
      <c r="F73" s="3"/>
      <c r="G73" s="3"/>
      <c r="H73" s="3"/>
      <c r="I73" s="3"/>
      <c r="J73" s="3"/>
      <c r="K73" s="3"/>
      <c r="L73" s="3"/>
    </row>
    <row r="74" spans="2:12" x14ac:dyDescent="0.3">
      <c r="B74" s="5" t="s">
        <v>74</v>
      </c>
      <c r="C74" s="3"/>
      <c r="D74" s="3"/>
      <c r="E74" s="3"/>
      <c r="F74" s="3"/>
      <c r="G74" s="3"/>
      <c r="H74" s="3"/>
      <c r="I74" s="3"/>
      <c r="J74" s="3"/>
      <c r="K74" s="3"/>
      <c r="L74" s="3"/>
    </row>
    <row r="75" spans="2:12" x14ac:dyDescent="0.3">
      <c r="B75" s="5" t="s">
        <v>75</v>
      </c>
      <c r="C75" s="3"/>
      <c r="D75" s="3">
        <v>21556941201</v>
      </c>
      <c r="E75" s="3">
        <v>49976408102</v>
      </c>
      <c r="F75" s="3">
        <v>37625259254</v>
      </c>
      <c r="G75" s="3">
        <v>110078688914</v>
      </c>
      <c r="H75" s="3">
        <v>69785388862</v>
      </c>
      <c r="I75" s="3">
        <v>30231079230</v>
      </c>
      <c r="J75" s="3">
        <v>17915339356</v>
      </c>
      <c r="K75" s="3">
        <v>36928912826</v>
      </c>
      <c r="L75" s="3">
        <v>16614683724</v>
      </c>
    </row>
    <row r="76" spans="2:12" x14ac:dyDescent="0.3">
      <c r="B76" s="5" t="s">
        <v>76</v>
      </c>
      <c r="C76" s="3"/>
      <c r="D76" s="3"/>
      <c r="E76" s="3"/>
      <c r="F76" s="3"/>
      <c r="G76" s="3"/>
      <c r="H76" s="3"/>
      <c r="I76" s="3"/>
      <c r="J76" s="3"/>
      <c r="K76" s="3"/>
      <c r="L76" s="3"/>
    </row>
    <row r="77" spans="2:12" x14ac:dyDescent="0.3">
      <c r="B77" s="5" t="s">
        <v>77</v>
      </c>
      <c r="C77" s="3"/>
      <c r="D77" s="3">
        <v>124382700</v>
      </c>
      <c r="E77" s="3">
        <v>73932072</v>
      </c>
      <c r="F77" s="3">
        <v>73599622</v>
      </c>
      <c r="G77" s="3">
        <v>76107000</v>
      </c>
      <c r="H77" s="3"/>
      <c r="I77" s="3"/>
      <c r="J77" s="3"/>
      <c r="K77" s="3"/>
      <c r="L77" s="3"/>
    </row>
    <row r="78" spans="2:12" x14ac:dyDescent="0.3">
      <c r="B78" s="5" t="s">
        <v>78</v>
      </c>
      <c r="C78" s="3"/>
      <c r="D78" s="3"/>
      <c r="E78" s="3"/>
      <c r="F78" s="3"/>
      <c r="G78" s="3"/>
      <c r="H78" s="3"/>
      <c r="I78" s="3"/>
      <c r="J78" s="3"/>
      <c r="K78" s="3"/>
      <c r="L78" s="3">
        <v>4452834481</v>
      </c>
    </row>
    <row r="79" spans="2:12" x14ac:dyDescent="0.3">
      <c r="B79" s="2" t="s">
        <v>79</v>
      </c>
      <c r="C79" s="4">
        <v>11885273598</v>
      </c>
      <c r="D79" s="4">
        <v>61038907453</v>
      </c>
      <c r="E79" s="4">
        <v>73270673205</v>
      </c>
      <c r="F79" s="4">
        <v>233176485321</v>
      </c>
      <c r="G79" s="4">
        <v>387763539879</v>
      </c>
      <c r="H79" s="4">
        <v>380567007368</v>
      </c>
      <c r="I79" s="4">
        <v>443498381975</v>
      </c>
      <c r="J79" s="4">
        <v>432367778987</v>
      </c>
      <c r="K79" s="4">
        <v>398736380784</v>
      </c>
      <c r="L79" s="4">
        <v>464591381970</v>
      </c>
    </row>
    <row r="80" spans="2:12" s="13" customFormat="1" x14ac:dyDescent="0.3">
      <c r="B80" s="2" t="s">
        <v>80</v>
      </c>
      <c r="C80" s="4">
        <v>11885273598</v>
      </c>
      <c r="D80" s="4">
        <v>61038907453</v>
      </c>
      <c r="E80" s="4">
        <v>73270673205</v>
      </c>
      <c r="F80" s="4">
        <v>233176485321</v>
      </c>
      <c r="G80" s="4">
        <v>387763539879</v>
      </c>
      <c r="H80" s="4">
        <v>380567007368</v>
      </c>
      <c r="I80" s="4">
        <v>443498381975</v>
      </c>
      <c r="J80" s="4">
        <v>432367778987</v>
      </c>
      <c r="K80" s="4">
        <v>398736380784</v>
      </c>
      <c r="L80" s="4">
        <v>464591381970</v>
      </c>
    </row>
    <row r="81" spans="2:12" x14ac:dyDescent="0.3">
      <c r="B81" s="5" t="s">
        <v>81</v>
      </c>
      <c r="C81" s="3">
        <v>13570320000</v>
      </c>
      <c r="D81" s="3">
        <v>67200000000</v>
      </c>
      <c r="E81" s="3">
        <v>67200000000</v>
      </c>
      <c r="F81" s="3">
        <v>125000000000</v>
      </c>
      <c r="G81" s="3">
        <v>203120380000</v>
      </c>
      <c r="H81" s="3">
        <v>213276380000</v>
      </c>
      <c r="I81" s="3">
        <v>270000000000</v>
      </c>
      <c r="J81" s="3">
        <v>270000000000</v>
      </c>
      <c r="K81" s="3">
        <v>270000000000</v>
      </c>
      <c r="L81" s="3">
        <v>270000000000</v>
      </c>
    </row>
    <row r="82" spans="2:12" x14ac:dyDescent="0.3">
      <c r="B82" s="5" t="s">
        <v>82</v>
      </c>
      <c r="C82" s="3"/>
      <c r="D82" s="3"/>
      <c r="E82" s="3"/>
      <c r="F82" s="3">
        <v>1695680000</v>
      </c>
      <c r="G82" s="3">
        <v>1695680000</v>
      </c>
      <c r="H82" s="3">
        <v>1695680000</v>
      </c>
      <c r="I82" s="3">
        <v>1695680000</v>
      </c>
      <c r="J82" s="3">
        <v>1695680000</v>
      </c>
      <c r="K82" s="3">
        <v>1695680000</v>
      </c>
      <c r="L82" s="3">
        <v>1695680000</v>
      </c>
    </row>
    <row r="83" spans="2:12" x14ac:dyDescent="0.3">
      <c r="B83" s="5" t="s">
        <v>83</v>
      </c>
      <c r="C83" s="3"/>
      <c r="D83" s="3"/>
      <c r="E83" s="3"/>
      <c r="F83" s="3"/>
      <c r="G83" s="3"/>
      <c r="H83" s="3">
        <v>10172434367</v>
      </c>
      <c r="I83" s="3">
        <v>10172434367</v>
      </c>
      <c r="J83" s="3">
        <v>3554581745</v>
      </c>
      <c r="K83" s="3">
        <v>9179045649</v>
      </c>
      <c r="L83" s="3">
        <v>9179045649</v>
      </c>
    </row>
    <row r="84" spans="2:12" x14ac:dyDescent="0.3">
      <c r="B84" s="5" t="s">
        <v>84</v>
      </c>
      <c r="C84" s="3"/>
      <c r="D84" s="3"/>
      <c r="E84" s="3"/>
      <c r="F84" s="3"/>
      <c r="G84" s="3"/>
      <c r="H84" s="3"/>
      <c r="I84" s="3">
        <v>-3270000</v>
      </c>
      <c r="J84" s="3">
        <v>-3270000</v>
      </c>
      <c r="K84" s="3">
        <v>-3270000</v>
      </c>
      <c r="L84" s="3">
        <v>-3270000</v>
      </c>
    </row>
    <row r="85" spans="2:12" x14ac:dyDescent="0.3">
      <c r="B85" s="5" t="s">
        <v>85</v>
      </c>
      <c r="C85" s="3"/>
      <c r="D85" s="3"/>
      <c r="E85" s="3"/>
      <c r="F85" s="3"/>
      <c r="G85" s="3"/>
      <c r="H85" s="3"/>
      <c r="I85" s="3"/>
      <c r="J85" s="3"/>
      <c r="K85" s="3"/>
      <c r="L85" s="3"/>
    </row>
    <row r="86" spans="2:12" x14ac:dyDescent="0.3">
      <c r="B86" s="5" t="s">
        <v>86</v>
      </c>
      <c r="C86" s="3">
        <v>3641931</v>
      </c>
      <c r="D86" s="3"/>
      <c r="E86" s="3"/>
      <c r="F86" s="3"/>
      <c r="G86" s="3"/>
      <c r="H86" s="3"/>
      <c r="I86" s="3"/>
      <c r="J86" s="3"/>
      <c r="K86" s="3"/>
      <c r="L86" s="3"/>
    </row>
    <row r="87" spans="2:12" x14ac:dyDescent="0.3">
      <c r="B87" s="5" t="s">
        <v>87</v>
      </c>
      <c r="C87" s="3"/>
      <c r="D87" s="3"/>
      <c r="E87" s="3"/>
      <c r="F87" s="3"/>
      <c r="G87" s="3">
        <v>12485556241</v>
      </c>
      <c r="H87" s="3">
        <v>43002859341</v>
      </c>
      <c r="I87" s="3">
        <v>8727793258</v>
      </c>
      <c r="J87" s="3">
        <v>17915375316</v>
      </c>
      <c r="K87" s="3">
        <v>46226828725</v>
      </c>
      <c r="L87" s="3">
        <v>69972247531</v>
      </c>
    </row>
    <row r="88" spans="2:12" x14ac:dyDescent="0.3">
      <c r="B88" s="5" t="s">
        <v>88</v>
      </c>
      <c r="C88" s="3"/>
      <c r="D88" s="3"/>
      <c r="E88" s="3">
        <v>6070673205</v>
      </c>
      <c r="F88" s="3">
        <v>610000000</v>
      </c>
      <c r="G88" s="3">
        <v>11141013212</v>
      </c>
      <c r="H88" s="3">
        <v>21313447579</v>
      </c>
      <c r="I88" s="3">
        <v>27209759537</v>
      </c>
      <c r="J88" s="3">
        <v>22686989505</v>
      </c>
      <c r="K88" s="3"/>
      <c r="L88" s="3"/>
    </row>
    <row r="89" spans="2:12" x14ac:dyDescent="0.3">
      <c r="B89" s="5" t="s">
        <v>89</v>
      </c>
      <c r="C89" s="3"/>
      <c r="D89" s="3"/>
      <c r="E89" s="3"/>
      <c r="F89" s="3"/>
      <c r="G89" s="3"/>
      <c r="H89" s="3"/>
      <c r="I89" s="3"/>
      <c r="J89" s="3"/>
      <c r="K89" s="3"/>
      <c r="L89" s="3"/>
    </row>
    <row r="90" spans="2:12" x14ac:dyDescent="0.3">
      <c r="B90" s="5" t="s">
        <v>90</v>
      </c>
      <c r="C90" s="3">
        <v>-1688688333</v>
      </c>
      <c r="D90" s="3">
        <v>-6161092547</v>
      </c>
      <c r="E90" s="3"/>
      <c r="F90" s="3">
        <v>105870805321</v>
      </c>
      <c r="G90" s="3">
        <v>159320910426</v>
      </c>
      <c r="H90" s="3">
        <v>91106206081</v>
      </c>
      <c r="I90" s="3">
        <v>125695984813</v>
      </c>
      <c r="J90" s="3">
        <v>116518422421</v>
      </c>
      <c r="K90" s="3">
        <v>71638096410</v>
      </c>
      <c r="L90" s="3">
        <v>113747678790</v>
      </c>
    </row>
    <row r="91" spans="2:12" s="13" customFormat="1" x14ac:dyDescent="0.3">
      <c r="B91" s="2" t="s">
        <v>91</v>
      </c>
      <c r="C91" s="4"/>
      <c r="D91" s="4"/>
      <c r="E91" s="4"/>
      <c r="F91" s="4"/>
      <c r="G91" s="4"/>
      <c r="H91" s="4"/>
      <c r="I91" s="4"/>
      <c r="J91" s="4"/>
      <c r="K91" s="4"/>
      <c r="L91" s="4"/>
    </row>
    <row r="92" spans="2:12" x14ac:dyDescent="0.3">
      <c r="B92" s="5" t="s">
        <v>92</v>
      </c>
      <c r="C92" s="3"/>
      <c r="D92" s="3"/>
      <c r="E92" s="3"/>
      <c r="F92" s="3"/>
      <c r="G92" s="3"/>
      <c r="H92" s="3"/>
      <c r="I92" s="3"/>
      <c r="J92" s="3"/>
      <c r="K92" s="3"/>
      <c r="L92" s="3"/>
    </row>
    <row r="93" spans="2:12" x14ac:dyDescent="0.3">
      <c r="B93" s="5" t="s">
        <v>93</v>
      </c>
      <c r="C93" s="3"/>
      <c r="D93" s="3"/>
      <c r="E93" s="3"/>
      <c r="F93" s="3"/>
      <c r="G93" s="3"/>
      <c r="H93" s="3"/>
      <c r="I93" s="3"/>
      <c r="J93" s="3"/>
      <c r="K93" s="3"/>
      <c r="L93" s="3"/>
    </row>
    <row r="94" spans="2:12" x14ac:dyDescent="0.3">
      <c r="B94" s="2" t="s">
        <v>94</v>
      </c>
      <c r="C94" s="3"/>
      <c r="D94" s="3"/>
      <c r="E94" s="3"/>
      <c r="F94" s="3"/>
      <c r="G94" s="3"/>
      <c r="H94" s="3"/>
      <c r="I94" s="3"/>
      <c r="J94" s="3"/>
      <c r="K94" s="3"/>
      <c r="L94" s="3"/>
    </row>
    <row r="95" spans="2:12" x14ac:dyDescent="0.3">
      <c r="B95" s="2" t="s">
        <v>95</v>
      </c>
      <c r="C95" s="4">
        <v>12654372352</v>
      </c>
      <c r="D95" s="4">
        <v>97420696216</v>
      </c>
      <c r="E95" s="4">
        <v>173887231001</v>
      </c>
      <c r="F95" s="4">
        <v>359576230965</v>
      </c>
      <c r="G95" s="4">
        <v>705273812593</v>
      </c>
      <c r="H95" s="4">
        <v>623732458607</v>
      </c>
      <c r="I95" s="4">
        <v>628143092985</v>
      </c>
      <c r="J95" s="4">
        <v>641522139408</v>
      </c>
      <c r="K95" s="4">
        <v>643796207161</v>
      </c>
      <c r="L95" s="4">
        <v>649911296775</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L28"/>
  <sheetViews>
    <sheetView topLeftCell="B1" workbookViewId="0">
      <selection activeCell="L18" sqref="L18"/>
    </sheetView>
  </sheetViews>
  <sheetFormatPr defaultColWidth="8.88671875" defaultRowHeight="14.4" x14ac:dyDescent="0.3"/>
  <cols>
    <col min="2" max="2" width="37.6640625" customWidth="1"/>
    <col min="3" max="4" width="13.44140625" bestFit="1" customWidth="1"/>
    <col min="5" max="5" width="14.44140625" bestFit="1" customWidth="1"/>
    <col min="6" max="9" width="15.44140625" bestFit="1" customWidth="1"/>
    <col min="10" max="10" width="16.44140625" bestFit="1" customWidth="1"/>
    <col min="11" max="12" width="15.44140625" bestFit="1" customWidth="1"/>
  </cols>
  <sheetData>
    <row r="3" spans="2:12" x14ac:dyDescent="0.3">
      <c r="B3" s="7"/>
      <c r="C3" s="8">
        <v>2007</v>
      </c>
      <c r="D3" s="8">
        <v>2008</v>
      </c>
      <c r="E3" s="8">
        <v>2009</v>
      </c>
      <c r="F3" s="8">
        <v>2010</v>
      </c>
      <c r="G3" s="8">
        <v>2011</v>
      </c>
      <c r="H3" s="8">
        <v>2012</v>
      </c>
      <c r="I3" s="8">
        <v>2013</v>
      </c>
      <c r="J3" s="8">
        <v>2014</v>
      </c>
      <c r="K3" s="8">
        <v>2015</v>
      </c>
      <c r="L3" s="8">
        <v>2016</v>
      </c>
    </row>
    <row r="4" spans="2:12" x14ac:dyDescent="0.3">
      <c r="B4" s="7"/>
      <c r="C4" s="9" t="s">
        <v>4</v>
      </c>
      <c r="D4" s="9" t="s">
        <v>4</v>
      </c>
      <c r="E4" s="9" t="s">
        <v>4</v>
      </c>
      <c r="F4" s="9" t="s">
        <v>4</v>
      </c>
      <c r="G4" s="9" t="s">
        <v>4</v>
      </c>
      <c r="H4" s="9" t="s">
        <v>4</v>
      </c>
      <c r="I4" s="9" t="s">
        <v>4</v>
      </c>
      <c r="J4" s="9" t="s">
        <v>4</v>
      </c>
      <c r="K4" s="9" t="s">
        <v>4</v>
      </c>
      <c r="L4" s="9" t="s">
        <v>4</v>
      </c>
    </row>
    <row r="5" spans="2:12" x14ac:dyDescent="0.3">
      <c r="B5" s="7" t="s">
        <v>97</v>
      </c>
      <c r="C5" s="8"/>
      <c r="D5" s="10">
        <v>7866382436</v>
      </c>
      <c r="E5" s="10">
        <v>75687354269</v>
      </c>
      <c r="F5" s="10">
        <v>285408426599</v>
      </c>
      <c r="G5" s="10">
        <v>731819397656</v>
      </c>
      <c r="H5" s="10">
        <v>801188394926</v>
      </c>
      <c r="I5" s="10">
        <v>949780557846</v>
      </c>
      <c r="J5" s="10">
        <v>1085581454172</v>
      </c>
      <c r="K5" s="10">
        <v>950207897486</v>
      </c>
      <c r="L5" s="10">
        <v>890566896229</v>
      </c>
    </row>
    <row r="6" spans="2:12" x14ac:dyDescent="0.3">
      <c r="B6" s="11" t="s">
        <v>98</v>
      </c>
      <c r="C6" s="9"/>
      <c r="D6" s="9"/>
      <c r="E6" s="9"/>
      <c r="F6" s="9"/>
      <c r="G6" s="9"/>
      <c r="H6" s="9"/>
      <c r="I6" s="9"/>
      <c r="J6" s="9"/>
      <c r="K6" s="9"/>
      <c r="L6" s="9"/>
    </row>
    <row r="7" spans="2:12" s="13" customFormat="1" x14ac:dyDescent="0.3">
      <c r="B7" s="7" t="s">
        <v>99</v>
      </c>
      <c r="C7" s="8"/>
      <c r="D7" s="10">
        <v>7866382436</v>
      </c>
      <c r="E7" s="10">
        <v>75687354269</v>
      </c>
      <c r="F7" s="10">
        <v>285408426599</v>
      </c>
      <c r="G7" s="10">
        <v>731819397656</v>
      </c>
      <c r="H7" s="10">
        <v>801188394926</v>
      </c>
      <c r="I7" s="10">
        <v>949780557846</v>
      </c>
      <c r="J7" s="10">
        <v>1085581454172</v>
      </c>
      <c r="K7" s="10">
        <v>950207897486</v>
      </c>
      <c r="L7" s="10">
        <v>890566896229</v>
      </c>
    </row>
    <row r="8" spans="2:12" x14ac:dyDescent="0.3">
      <c r="B8" s="11" t="s">
        <v>100</v>
      </c>
      <c r="C8" s="9"/>
      <c r="D8" s="12">
        <v>-7102101957</v>
      </c>
      <c r="E8" s="12">
        <v>-50606568004</v>
      </c>
      <c r="F8" s="12">
        <v>-153935070048</v>
      </c>
      <c r="G8" s="12">
        <v>-455538486651</v>
      </c>
      <c r="H8" s="12">
        <v>-616167464005</v>
      </c>
      <c r="I8" s="12">
        <v>-744290815621</v>
      </c>
      <c r="J8" s="12">
        <v>-856053296010</v>
      </c>
      <c r="K8" s="12">
        <v>-717534764477</v>
      </c>
      <c r="L8" s="12">
        <v>-652063007671</v>
      </c>
    </row>
    <row r="9" spans="2:12" x14ac:dyDescent="0.3">
      <c r="B9" s="7" t="s">
        <v>101</v>
      </c>
      <c r="C9" s="8"/>
      <c r="D9" s="10">
        <v>764280479</v>
      </c>
      <c r="E9" s="10">
        <v>25080786265</v>
      </c>
      <c r="F9" s="10">
        <v>131473356551</v>
      </c>
      <c r="G9" s="10">
        <v>276280911005</v>
      </c>
      <c r="H9" s="10">
        <v>185020930921</v>
      </c>
      <c r="I9" s="10">
        <v>205489742225</v>
      </c>
      <c r="J9" s="10">
        <v>229528158162</v>
      </c>
      <c r="K9" s="10">
        <v>232673133009</v>
      </c>
      <c r="L9" s="10">
        <v>238503888558</v>
      </c>
    </row>
    <row r="10" spans="2:12" x14ac:dyDescent="0.3">
      <c r="B10" s="11" t="s">
        <v>102</v>
      </c>
      <c r="C10" s="12">
        <v>66762109</v>
      </c>
      <c r="D10" s="12">
        <v>1504989426</v>
      </c>
      <c r="E10" s="12">
        <v>2092605022</v>
      </c>
      <c r="F10" s="12">
        <v>4019579089</v>
      </c>
      <c r="G10" s="12">
        <v>15955936860</v>
      </c>
      <c r="H10" s="12">
        <v>20837969316</v>
      </c>
      <c r="I10" s="12">
        <v>19446432219</v>
      </c>
      <c r="J10" s="12">
        <v>14308121402</v>
      </c>
      <c r="K10" s="12">
        <v>8699779960</v>
      </c>
      <c r="L10" s="12">
        <v>7448617947</v>
      </c>
    </row>
    <row r="11" spans="2:12" x14ac:dyDescent="0.3">
      <c r="B11" s="11" t="s">
        <v>103</v>
      </c>
      <c r="C11" s="12">
        <v>-4434917</v>
      </c>
      <c r="D11" s="12">
        <v>-1260335881</v>
      </c>
      <c r="E11" s="12">
        <v>-4087516484</v>
      </c>
      <c r="F11" s="12">
        <v>-8450376465</v>
      </c>
      <c r="G11" s="12">
        <v>-28514866146</v>
      </c>
      <c r="H11" s="12">
        <v>-23484318937</v>
      </c>
      <c r="I11" s="12">
        <v>-14690521660</v>
      </c>
      <c r="J11" s="12">
        <v>-7574405723</v>
      </c>
      <c r="K11" s="12">
        <v>-6216468597</v>
      </c>
      <c r="L11" s="12">
        <v>-6155032345</v>
      </c>
    </row>
    <row r="12" spans="2:12" x14ac:dyDescent="0.3">
      <c r="B12" s="11" t="s">
        <v>104</v>
      </c>
      <c r="C12" s="9"/>
      <c r="D12" s="12">
        <v>-1148482417</v>
      </c>
      <c r="E12" s="12">
        <v>-3685748503</v>
      </c>
      <c r="F12" s="12">
        <v>-7216990838</v>
      </c>
      <c r="G12" s="12">
        <v>-26064097664</v>
      </c>
      <c r="H12" s="12">
        <v>-23422238239</v>
      </c>
      <c r="I12" s="12">
        <v>-14508051373</v>
      </c>
      <c r="J12" s="12">
        <v>-7483151958</v>
      </c>
      <c r="K12" s="12">
        <v>-6107955735</v>
      </c>
      <c r="L12" s="12">
        <v>-6154516119</v>
      </c>
    </row>
    <row r="13" spans="2:12" x14ac:dyDescent="0.3">
      <c r="B13" s="11" t="s">
        <v>105</v>
      </c>
      <c r="C13" s="9"/>
      <c r="D13" s="12">
        <v>-1757271060</v>
      </c>
      <c r="E13" s="12">
        <v>-1931392315</v>
      </c>
      <c r="F13" s="12">
        <v>-2782423761</v>
      </c>
      <c r="G13" s="12">
        <v>-6201241726</v>
      </c>
      <c r="H13" s="12">
        <v>-7287168528</v>
      </c>
      <c r="I13" s="12">
        <v>-11805904561</v>
      </c>
      <c r="J13" s="12">
        <v>-10767950065</v>
      </c>
      <c r="K13" s="12">
        <v>-18784468100</v>
      </c>
      <c r="L13" s="12">
        <v>-26332102520</v>
      </c>
    </row>
    <row r="14" spans="2:12" x14ac:dyDescent="0.3">
      <c r="B14" s="11" t="s">
        <v>106</v>
      </c>
      <c r="C14" s="12">
        <v>-1756015525</v>
      </c>
      <c r="D14" s="12">
        <v>-4101476384</v>
      </c>
      <c r="E14" s="12">
        <v>-7603527162</v>
      </c>
      <c r="F14" s="12">
        <v>-18044154634</v>
      </c>
      <c r="G14" s="12">
        <v>-26500198908</v>
      </c>
      <c r="H14" s="12">
        <v>-39545940025</v>
      </c>
      <c r="I14" s="12">
        <v>-59443953767</v>
      </c>
      <c r="J14" s="12">
        <v>-89408732158</v>
      </c>
      <c r="K14" s="12">
        <v>-70220675819</v>
      </c>
      <c r="L14" s="12">
        <v>-62971342081</v>
      </c>
    </row>
    <row r="15" spans="2:12" x14ac:dyDescent="0.3">
      <c r="B15" s="7" t="s">
        <v>107</v>
      </c>
      <c r="C15" s="10">
        <v>-1693688333</v>
      </c>
      <c r="D15" s="10">
        <v>-4849813420</v>
      </c>
      <c r="E15" s="10">
        <v>13550955326</v>
      </c>
      <c r="F15" s="10">
        <v>106215980780</v>
      </c>
      <c r="G15" s="10">
        <v>231020541085</v>
      </c>
      <c r="H15" s="10">
        <v>135541472747</v>
      </c>
      <c r="I15" s="10">
        <f>I9+I10+I11+I13+I14</f>
        <v>138995794456</v>
      </c>
      <c r="J15" s="10">
        <v>136085191618</v>
      </c>
      <c r="K15" s="10">
        <v>146151300453</v>
      </c>
      <c r="L15" s="10">
        <v>150494029559</v>
      </c>
    </row>
    <row r="16" spans="2:12" x14ac:dyDescent="0.3">
      <c r="B16" s="11" t="s">
        <v>108</v>
      </c>
      <c r="C16" s="12">
        <v>5000000</v>
      </c>
      <c r="D16" s="12">
        <v>128895369</v>
      </c>
      <c r="E16" s="9"/>
      <c r="F16" s="12">
        <v>516437873</v>
      </c>
      <c r="G16" s="12">
        <v>163116154</v>
      </c>
      <c r="H16" s="12">
        <v>333048708</v>
      </c>
      <c r="I16" s="12">
        <v>666571988</v>
      </c>
      <c r="J16" s="12">
        <v>1200300428</v>
      </c>
      <c r="K16" s="12">
        <v>32563637</v>
      </c>
      <c r="L16" s="12">
        <v>133808180</v>
      </c>
    </row>
    <row r="17" spans="2:12" x14ac:dyDescent="0.3">
      <c r="B17" s="11" t="s">
        <v>109</v>
      </c>
      <c r="C17" s="9"/>
      <c r="D17" s="12">
        <v>-350663413</v>
      </c>
      <c r="E17" s="12">
        <v>-1111967562</v>
      </c>
      <c r="F17" s="12">
        <v>-1030331299</v>
      </c>
      <c r="G17" s="12">
        <v>-4278499434</v>
      </c>
      <c r="H17" s="12">
        <v>-3640016316</v>
      </c>
      <c r="I17" s="12">
        <v>-1418896862</v>
      </c>
      <c r="J17" s="12">
        <v>-7245260685</v>
      </c>
      <c r="K17" s="12">
        <v>-1105498429</v>
      </c>
      <c r="L17" s="12">
        <v>-2886264717</v>
      </c>
    </row>
    <row r="18" spans="2:12" x14ac:dyDescent="0.3">
      <c r="B18" s="11" t="s">
        <v>110</v>
      </c>
      <c r="C18" s="12">
        <v>5000000</v>
      </c>
      <c r="D18" s="12">
        <v>-221768044</v>
      </c>
      <c r="E18" s="12">
        <v>-1111967562</v>
      </c>
      <c r="F18" s="12">
        <v>-513893426</v>
      </c>
      <c r="G18" s="12">
        <v>-4115383280</v>
      </c>
      <c r="H18" s="12">
        <v>-3306967608</v>
      </c>
      <c r="I18" s="12">
        <v>-752324874</v>
      </c>
      <c r="J18" s="12">
        <v>-6044960257</v>
      </c>
      <c r="K18" s="12">
        <v>-1072934792</v>
      </c>
      <c r="L18" s="12">
        <v>-2752456537</v>
      </c>
    </row>
    <row r="19" spans="2:12" x14ac:dyDescent="0.3">
      <c r="B19" s="11" t="s">
        <v>111</v>
      </c>
      <c r="C19" s="9"/>
      <c r="D19" s="9"/>
      <c r="E19" s="9"/>
      <c r="F19" s="9"/>
      <c r="G19" s="9"/>
      <c r="H19" s="9"/>
      <c r="I19" s="9"/>
      <c r="J19" s="9"/>
      <c r="K19" s="9"/>
      <c r="L19" s="9"/>
    </row>
    <row r="20" spans="2:12" x14ac:dyDescent="0.3">
      <c r="B20" s="7" t="s">
        <v>112</v>
      </c>
      <c r="C20" s="10">
        <v>-1688688333</v>
      </c>
      <c r="D20" s="10">
        <v>-5071581464</v>
      </c>
      <c r="E20" s="10">
        <v>12438987764</v>
      </c>
      <c r="F20" s="10">
        <v>105702087354</v>
      </c>
      <c r="G20" s="10">
        <v>226905157805</v>
      </c>
      <c r="H20" s="10">
        <v>132234505139</v>
      </c>
      <c r="I20" s="10">
        <f>I15+I18</f>
        <v>138243469582</v>
      </c>
      <c r="J20" s="10">
        <v>130040231361</v>
      </c>
      <c r="K20" s="10">
        <v>145078365661</v>
      </c>
      <c r="L20" s="10">
        <v>147741573022</v>
      </c>
    </row>
    <row r="21" spans="2:12" x14ac:dyDescent="0.3">
      <c r="B21" s="11" t="s">
        <v>113</v>
      </c>
      <c r="C21" s="9"/>
      <c r="D21" s="9"/>
      <c r="E21" s="12">
        <v>-207222012</v>
      </c>
      <c r="F21" s="12">
        <v>-391955238</v>
      </c>
      <c r="G21" s="12">
        <v>-23456470472</v>
      </c>
      <c r="H21" s="12">
        <v>-14308265974</v>
      </c>
      <c r="I21" s="12">
        <v>-23740503784</v>
      </c>
      <c r="J21" s="12">
        <v>-25196579027</v>
      </c>
      <c r="K21" s="12">
        <v>-25115396372</v>
      </c>
      <c r="L21" s="12">
        <v>-25810853372</v>
      </c>
    </row>
    <row r="22" spans="2:12" x14ac:dyDescent="0.3">
      <c r="B22" s="11" t="s">
        <v>114</v>
      </c>
      <c r="C22" s="9"/>
      <c r="D22" s="12">
        <v>599177250</v>
      </c>
      <c r="E22" s="9"/>
      <c r="F22" s="9"/>
      <c r="G22" s="9"/>
      <c r="H22" s="9"/>
      <c r="I22" s="9"/>
      <c r="J22" s="12">
        <v>7645625743</v>
      </c>
      <c r="K22" s="12">
        <v>-1235875260</v>
      </c>
      <c r="L22" s="12">
        <v>-1642112908</v>
      </c>
    </row>
    <row r="23" spans="2:12" x14ac:dyDescent="0.3">
      <c r="B23" s="11" t="s">
        <v>115</v>
      </c>
      <c r="C23" s="9"/>
      <c r="D23" s="12">
        <v>599177250</v>
      </c>
      <c r="E23" s="12">
        <v>-207222012</v>
      </c>
      <c r="F23" s="12">
        <v>-391955238</v>
      </c>
      <c r="G23" s="12">
        <v>-23456470472</v>
      </c>
      <c r="H23" s="12">
        <v>-14308265974</v>
      </c>
      <c r="I23" s="12">
        <f>I21</f>
        <v>-23740503784</v>
      </c>
      <c r="J23" s="12">
        <v>-17550953284</v>
      </c>
      <c r="K23" s="12">
        <v>-26351271632</v>
      </c>
      <c r="L23" s="12">
        <v>-27452966280</v>
      </c>
    </row>
    <row r="24" spans="2:12" x14ac:dyDescent="0.3">
      <c r="B24" s="7" t="s">
        <v>116</v>
      </c>
      <c r="C24" s="10">
        <v>-1688688333</v>
      </c>
      <c r="D24" s="10">
        <v>-4472404214</v>
      </c>
      <c r="E24" s="10">
        <v>12231765752</v>
      </c>
      <c r="F24" s="10">
        <v>105310132116</v>
      </c>
      <c r="G24" s="10">
        <v>203448687333</v>
      </c>
      <c r="H24" s="10">
        <v>117926239165</v>
      </c>
      <c r="I24" s="10">
        <f>I20+I23</f>
        <v>114502965798</v>
      </c>
      <c r="J24" s="10">
        <v>112489278077</v>
      </c>
      <c r="K24" s="10">
        <v>118727094029</v>
      </c>
      <c r="L24" s="10">
        <v>120288606742</v>
      </c>
    </row>
    <row r="25" spans="2:12" x14ac:dyDescent="0.3">
      <c r="B25" s="11" t="s">
        <v>117</v>
      </c>
      <c r="C25" s="9"/>
      <c r="D25" s="9"/>
      <c r="E25" s="9"/>
      <c r="F25" s="9"/>
      <c r="G25" s="9"/>
      <c r="H25" s="9"/>
      <c r="I25" s="9"/>
      <c r="J25" s="9"/>
      <c r="K25" s="9"/>
      <c r="L25" s="9"/>
    </row>
    <row r="26" spans="2:12" x14ac:dyDescent="0.3">
      <c r="B26" s="11" t="s">
        <v>118</v>
      </c>
      <c r="C26" s="12">
        <v>-1688688333</v>
      </c>
      <c r="D26" s="12">
        <v>-4472404214</v>
      </c>
      <c r="E26" s="12">
        <v>12231765752</v>
      </c>
      <c r="F26" s="12">
        <v>105310132116</v>
      </c>
      <c r="G26" s="12">
        <v>203448687333</v>
      </c>
      <c r="H26" s="12">
        <v>117926239165</v>
      </c>
      <c r="I26" s="12">
        <f>I24</f>
        <v>114502965798</v>
      </c>
      <c r="J26" s="12">
        <v>112489278077</v>
      </c>
      <c r="K26" s="12">
        <v>118727094029</v>
      </c>
      <c r="L26" s="12">
        <v>120288606742</v>
      </c>
    </row>
    <row r="27" spans="2:12" x14ac:dyDescent="0.3">
      <c r="B27" s="11" t="s">
        <v>119</v>
      </c>
      <c r="C27" s="9"/>
      <c r="D27" s="9">
        <v>-666</v>
      </c>
      <c r="E27" s="12">
        <v>1820</v>
      </c>
      <c r="F27" s="12">
        <v>13742</v>
      </c>
      <c r="G27" s="12">
        <v>10016</v>
      </c>
      <c r="H27" s="12">
        <v>5339</v>
      </c>
      <c r="I27" s="12">
        <v>4736</v>
      </c>
      <c r="J27" s="12">
        <v>4166</v>
      </c>
      <c r="K27" s="12">
        <v>3993</v>
      </c>
      <c r="L27" s="12">
        <v>3900</v>
      </c>
    </row>
    <row r="28" spans="2:12" x14ac:dyDescent="0.3">
      <c r="B28" s="11" t="s">
        <v>120</v>
      </c>
      <c r="C28" s="9"/>
      <c r="D28" s="9"/>
      <c r="E28" s="9"/>
      <c r="F28" s="9"/>
      <c r="G28" s="9"/>
      <c r="H28" s="9"/>
      <c r="I28" s="9"/>
      <c r="J28" s="9"/>
      <c r="K28" s="9"/>
      <c r="L28" s="9"/>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L45"/>
  <sheetViews>
    <sheetView workbookViewId="0">
      <selection activeCell="D22" sqref="D22"/>
    </sheetView>
  </sheetViews>
  <sheetFormatPr defaultColWidth="8.88671875" defaultRowHeight="14.4" x14ac:dyDescent="0.3"/>
  <cols>
    <col min="2" max="2" width="52.44140625" customWidth="1"/>
    <col min="3" max="3" width="13.88671875" bestFit="1" customWidth="1"/>
    <col min="4" max="5" width="14.44140625" bestFit="1" customWidth="1"/>
    <col min="6" max="6" width="14.88671875" bestFit="1" customWidth="1"/>
    <col min="7" max="12" width="15.44140625" bestFit="1" customWidth="1"/>
  </cols>
  <sheetData>
    <row r="3" spans="2:12" x14ac:dyDescent="0.3">
      <c r="B3" s="14"/>
      <c r="C3" s="15">
        <v>2007</v>
      </c>
      <c r="D3" s="15">
        <v>2008</v>
      </c>
      <c r="E3" s="15">
        <v>2009</v>
      </c>
      <c r="F3" s="15">
        <v>2010</v>
      </c>
      <c r="G3" s="15">
        <v>2011</v>
      </c>
      <c r="H3" s="15">
        <v>2012</v>
      </c>
      <c r="I3" s="15">
        <v>2013</v>
      </c>
      <c r="J3" s="15">
        <v>2014</v>
      </c>
      <c r="K3" s="15">
        <v>2015</v>
      </c>
      <c r="L3" s="15">
        <v>2016</v>
      </c>
    </row>
    <row r="4" spans="2:12" x14ac:dyDescent="0.3">
      <c r="B4" s="14"/>
      <c r="C4" s="16" t="s">
        <v>4</v>
      </c>
      <c r="D4" s="16" t="s">
        <v>4</v>
      </c>
      <c r="E4" s="16" t="s">
        <v>4</v>
      </c>
      <c r="F4" s="16" t="s">
        <v>4</v>
      </c>
      <c r="G4" s="16" t="s">
        <v>4</v>
      </c>
      <c r="H4" s="16" t="s">
        <v>4</v>
      </c>
      <c r="I4" s="16" t="s">
        <v>4</v>
      </c>
      <c r="J4" s="16" t="s">
        <v>4</v>
      </c>
      <c r="K4" s="16" t="s">
        <v>4</v>
      </c>
      <c r="L4" s="16" t="s">
        <v>4</v>
      </c>
    </row>
    <row r="5" spans="2:12" x14ac:dyDescent="0.3">
      <c r="B5" s="14" t="s">
        <v>129</v>
      </c>
      <c r="C5" s="16"/>
      <c r="D5" s="16"/>
      <c r="E5" s="16"/>
      <c r="F5" s="16"/>
      <c r="G5" s="16"/>
      <c r="H5" s="16"/>
      <c r="I5" s="16"/>
      <c r="J5" s="16"/>
      <c r="K5" s="16"/>
      <c r="L5" s="16"/>
    </row>
    <row r="6" spans="2:12" x14ac:dyDescent="0.3">
      <c r="B6" s="14" t="s">
        <v>130</v>
      </c>
      <c r="C6" s="17">
        <v>-1688688333</v>
      </c>
      <c r="D6" s="17">
        <v>-5071581464</v>
      </c>
      <c r="E6" s="17">
        <v>12438987764</v>
      </c>
      <c r="F6" s="17">
        <v>105702087354</v>
      </c>
      <c r="G6" s="17">
        <v>226905157805</v>
      </c>
      <c r="H6" s="17">
        <v>132234505139</v>
      </c>
      <c r="I6" s="17">
        <v>139035229313</v>
      </c>
      <c r="J6" s="17">
        <v>130040231361</v>
      </c>
      <c r="K6" s="17">
        <v>145078365661</v>
      </c>
      <c r="L6" s="17">
        <v>147741573022</v>
      </c>
    </row>
    <row r="7" spans="2:12" x14ac:dyDescent="0.3">
      <c r="B7" s="14" t="s">
        <v>131</v>
      </c>
      <c r="C7" s="18">
        <v>47576490</v>
      </c>
      <c r="D7" s="18">
        <v>2272007131</v>
      </c>
      <c r="E7" s="18">
        <v>7959823136</v>
      </c>
      <c r="F7" s="18">
        <v>20385813119</v>
      </c>
      <c r="G7" s="18">
        <v>82458634855</v>
      </c>
      <c r="H7" s="18">
        <v>120275509006</v>
      </c>
      <c r="I7" s="18">
        <v>133035047501</v>
      </c>
      <c r="J7" s="18">
        <v>80028708037</v>
      </c>
      <c r="K7" s="18">
        <v>64229387506</v>
      </c>
      <c r="L7" s="18">
        <v>60815179999</v>
      </c>
    </row>
    <row r="8" spans="2:12" x14ac:dyDescent="0.3">
      <c r="B8" s="14" t="s">
        <v>132</v>
      </c>
      <c r="C8" s="18">
        <v>3641931</v>
      </c>
      <c r="D8" s="16"/>
      <c r="E8" s="16"/>
      <c r="F8" s="18">
        <v>2000000000</v>
      </c>
      <c r="G8" s="18">
        <v>550000000</v>
      </c>
      <c r="H8" s="18">
        <v>-550000000</v>
      </c>
      <c r="I8" s="18">
        <v>-995582676</v>
      </c>
      <c r="J8" s="18">
        <v>7029591508</v>
      </c>
      <c r="K8" s="18">
        <v>-3777406913</v>
      </c>
      <c r="L8" s="18">
        <v>4183471606</v>
      </c>
    </row>
    <row r="9" spans="2:12" x14ac:dyDescent="0.3">
      <c r="B9" s="14" t="s">
        <v>133</v>
      </c>
      <c r="C9" s="16"/>
      <c r="D9" s="18">
        <v>45000563</v>
      </c>
      <c r="E9" s="18">
        <v>370664168</v>
      </c>
      <c r="F9" s="18">
        <v>1104022934</v>
      </c>
      <c r="G9" s="18">
        <v>1119558176</v>
      </c>
      <c r="H9" s="18">
        <v>-15665852</v>
      </c>
      <c r="I9" s="18">
        <v>-3694504</v>
      </c>
      <c r="J9" s="18">
        <v>47000265</v>
      </c>
      <c r="K9" s="18">
        <v>4936474</v>
      </c>
      <c r="L9" s="18">
        <v>-7978031</v>
      </c>
    </row>
    <row r="10" spans="2:12" x14ac:dyDescent="0.3">
      <c r="B10" s="14" t="s">
        <v>134</v>
      </c>
      <c r="C10" s="16"/>
      <c r="D10" s="16"/>
      <c r="E10" s="16"/>
      <c r="F10" s="16"/>
      <c r="G10" s="16"/>
      <c r="H10" s="16"/>
      <c r="I10" s="16"/>
      <c r="J10" s="16"/>
      <c r="K10" s="16"/>
      <c r="L10" s="16"/>
    </row>
    <row r="11" spans="2:12" x14ac:dyDescent="0.3">
      <c r="B11" s="14" t="s">
        <v>135</v>
      </c>
      <c r="C11" s="17">
        <v>-66758458</v>
      </c>
      <c r="D11" s="17">
        <v>-1405063454</v>
      </c>
      <c r="E11" s="17">
        <v>-2075542326</v>
      </c>
      <c r="F11" s="17">
        <v>-4019579089</v>
      </c>
      <c r="G11" s="17">
        <v>-15718309266</v>
      </c>
      <c r="H11" s="17">
        <v>-20741999160</v>
      </c>
      <c r="I11" s="17">
        <v>-19410971420</v>
      </c>
      <c r="J11" s="17">
        <v>-14269835346</v>
      </c>
      <c r="K11" s="17">
        <v>-8556879660</v>
      </c>
      <c r="L11" s="15"/>
    </row>
    <row r="12" spans="2:12" x14ac:dyDescent="0.3">
      <c r="B12" s="14" t="s">
        <v>136</v>
      </c>
      <c r="C12" s="16"/>
      <c r="D12" s="18">
        <v>1148482417</v>
      </c>
      <c r="E12" s="18">
        <v>3685748503</v>
      </c>
      <c r="F12" s="18">
        <v>7413336866</v>
      </c>
      <c r="G12" s="18">
        <v>26064097664</v>
      </c>
      <c r="H12" s="18">
        <v>23422238239</v>
      </c>
      <c r="I12" s="16"/>
      <c r="J12" s="18">
        <v>7483151958</v>
      </c>
      <c r="K12" s="18">
        <v>6107955735</v>
      </c>
      <c r="L12" s="18">
        <v>-7499786890</v>
      </c>
    </row>
    <row r="13" spans="2:12" x14ac:dyDescent="0.3">
      <c r="B13" s="14" t="s">
        <v>137</v>
      </c>
      <c r="C13" s="16"/>
      <c r="D13" s="16"/>
      <c r="E13" s="16"/>
      <c r="F13" s="16"/>
      <c r="G13" s="16"/>
      <c r="H13" s="16"/>
      <c r="I13" s="18">
        <v>14508051373</v>
      </c>
      <c r="J13" s="16"/>
      <c r="K13" s="16"/>
      <c r="L13" s="18">
        <v>6154516119</v>
      </c>
    </row>
    <row r="14" spans="2:12" x14ac:dyDescent="0.3">
      <c r="B14" s="14" t="s">
        <v>138</v>
      </c>
      <c r="C14" s="18">
        <v>-1704228370</v>
      </c>
      <c r="D14" s="18">
        <v>-3011154807</v>
      </c>
      <c r="E14" s="18">
        <v>22379681245</v>
      </c>
      <c r="F14" s="18">
        <v>132585681184</v>
      </c>
      <c r="G14" s="18">
        <v>321379139234</v>
      </c>
      <c r="H14" s="18">
        <v>254624587372</v>
      </c>
      <c r="I14" s="18">
        <v>266168079587</v>
      </c>
      <c r="J14" s="18">
        <v>210358847783</v>
      </c>
      <c r="K14" s="18">
        <v>203086358803</v>
      </c>
      <c r="L14" s="18">
        <v>211386975825</v>
      </c>
    </row>
    <row r="15" spans="2:12" x14ac:dyDescent="0.3">
      <c r="B15" s="14" t="s">
        <v>139</v>
      </c>
      <c r="C15" s="18">
        <v>-136572105</v>
      </c>
      <c r="D15" s="18">
        <v>-14312560701</v>
      </c>
      <c r="E15" s="18">
        <v>-17201739485</v>
      </c>
      <c r="F15" s="18">
        <v>-53746987075</v>
      </c>
      <c r="G15" s="18">
        <v>-61062680336</v>
      </c>
      <c r="H15" s="18">
        <v>-14951137253</v>
      </c>
      <c r="I15" s="18">
        <v>-25825183085</v>
      </c>
      <c r="J15" s="18">
        <v>-2440150836</v>
      </c>
      <c r="K15" s="18">
        <v>16583228874</v>
      </c>
      <c r="L15" s="18">
        <v>22361056002</v>
      </c>
    </row>
    <row r="16" spans="2:12" x14ac:dyDescent="0.3">
      <c r="B16" s="14" t="s">
        <v>140</v>
      </c>
      <c r="C16" s="18">
        <v>-5441000</v>
      </c>
      <c r="D16" s="18">
        <v>-163466978</v>
      </c>
      <c r="E16" s="18">
        <v>-203358966</v>
      </c>
      <c r="F16" s="18">
        <v>-4430161586</v>
      </c>
      <c r="G16" s="18">
        <v>-5203232861</v>
      </c>
      <c r="H16" s="18">
        <v>-11495251050</v>
      </c>
      <c r="I16" s="18">
        <v>-1671748465</v>
      </c>
      <c r="J16" s="18">
        <v>1241087821</v>
      </c>
      <c r="K16" s="18">
        <v>-4515290815</v>
      </c>
      <c r="L16" s="18">
        <v>-15591448946</v>
      </c>
    </row>
    <row r="17" spans="2:12" x14ac:dyDescent="0.3">
      <c r="B17" s="14" t="s">
        <v>141</v>
      </c>
      <c r="C17" s="18">
        <v>769098754</v>
      </c>
      <c r="D17" s="18">
        <v>21072825212</v>
      </c>
      <c r="E17" s="18">
        <v>2763479671</v>
      </c>
      <c r="F17" s="18">
        <v>14193894810</v>
      </c>
      <c r="G17" s="18">
        <v>63896028095</v>
      </c>
      <c r="H17" s="18">
        <v>-6897317507</v>
      </c>
      <c r="I17" s="18">
        <v>1681953779</v>
      </c>
      <c r="J17" s="18">
        <v>29746371549</v>
      </c>
      <c r="K17" s="18">
        <v>-21399757774</v>
      </c>
      <c r="L17" s="18">
        <v>-8510636870</v>
      </c>
    </row>
    <row r="18" spans="2:12" x14ac:dyDescent="0.3">
      <c r="B18" s="14" t="s">
        <v>142</v>
      </c>
      <c r="C18" s="18">
        <v>-127911090</v>
      </c>
      <c r="D18" s="18">
        <v>-970588829</v>
      </c>
      <c r="E18" s="18">
        <v>702556704</v>
      </c>
      <c r="F18" s="18">
        <v>289860554</v>
      </c>
      <c r="G18" s="18">
        <v>-16307091726</v>
      </c>
      <c r="H18" s="18">
        <v>-2586239070</v>
      </c>
      <c r="I18" s="18">
        <v>360654759</v>
      </c>
      <c r="J18" s="18">
        <v>-650610230</v>
      </c>
      <c r="K18" s="18">
        <v>-831269068</v>
      </c>
      <c r="L18" s="18">
        <v>851605248</v>
      </c>
    </row>
    <row r="19" spans="2:12" x14ac:dyDescent="0.3">
      <c r="B19" s="14" t="s">
        <v>143</v>
      </c>
      <c r="C19" s="16"/>
      <c r="D19" s="18">
        <v>-1095538372</v>
      </c>
      <c r="E19" s="18">
        <v>-4299545118</v>
      </c>
      <c r="F19" s="18">
        <v>-6626371888</v>
      </c>
      <c r="G19" s="18">
        <v>-25187620717</v>
      </c>
      <c r="H19" s="18">
        <v>-23923603901</v>
      </c>
      <c r="I19" s="18">
        <v>-14713840945</v>
      </c>
      <c r="J19" s="18">
        <v>-7548709434</v>
      </c>
      <c r="K19" s="18">
        <v>-6099381339</v>
      </c>
      <c r="L19" s="18">
        <v>-6202556646</v>
      </c>
    </row>
    <row r="20" spans="2:12" x14ac:dyDescent="0.3">
      <c r="B20" s="14" t="s">
        <v>144</v>
      </c>
      <c r="C20" s="16"/>
      <c r="D20" s="16"/>
      <c r="E20" s="16"/>
      <c r="F20" s="16"/>
      <c r="G20" s="18">
        <v>-20406345495</v>
      </c>
      <c r="H20" s="18">
        <v>-14020253340</v>
      </c>
      <c r="I20" s="18">
        <v>-14682325980</v>
      </c>
      <c r="J20" s="18">
        <v>-44012243738</v>
      </c>
      <c r="K20" s="18">
        <v>-25059565033</v>
      </c>
      <c r="L20" s="18">
        <v>-22850189788</v>
      </c>
    </row>
    <row r="21" spans="2:12" x14ac:dyDescent="0.3">
      <c r="B21" s="14" t="s">
        <v>145</v>
      </c>
      <c r="C21" s="16"/>
      <c r="D21" s="16"/>
      <c r="E21" s="18">
        <v>675475615</v>
      </c>
      <c r="F21" s="18">
        <v>505828088</v>
      </c>
      <c r="G21" s="16"/>
      <c r="H21" s="16"/>
      <c r="I21" s="16"/>
      <c r="J21" s="18">
        <v>2881350147</v>
      </c>
      <c r="K21" s="16"/>
      <c r="L21" s="16"/>
    </row>
    <row r="22" spans="2:12" x14ac:dyDescent="0.3">
      <c r="B22" s="14" t="s">
        <v>146</v>
      </c>
      <c r="C22" s="18">
        <v>-30265000</v>
      </c>
      <c r="D22" s="18">
        <v>-265605931</v>
      </c>
      <c r="E22" s="16"/>
      <c r="F22" s="18">
        <v>-3788124356</v>
      </c>
      <c r="G22" s="18">
        <v>-6962814493</v>
      </c>
      <c r="H22" s="18">
        <v>-4366671871</v>
      </c>
      <c r="I22" s="18">
        <v>-950308060</v>
      </c>
      <c r="J22" s="16"/>
      <c r="K22" s="16"/>
      <c r="L22" s="16"/>
    </row>
    <row r="23" spans="2:12" ht="26.4" x14ac:dyDescent="0.3">
      <c r="B23" s="14" t="s">
        <v>147</v>
      </c>
      <c r="C23" s="17">
        <v>-1235318811</v>
      </c>
      <c r="D23" s="17">
        <v>1253909594</v>
      </c>
      <c r="E23" s="17">
        <v>4816549666</v>
      </c>
      <c r="F23" s="17">
        <v>78983619731</v>
      </c>
      <c r="G23" s="17">
        <v>250145381701</v>
      </c>
      <c r="H23" s="17">
        <v>176384113380</v>
      </c>
      <c r="I23" s="17">
        <v>210367281590</v>
      </c>
      <c r="J23" s="17">
        <v>189575943062</v>
      </c>
      <c r="K23" s="17">
        <v>161764323648</v>
      </c>
      <c r="L23" s="17">
        <v>181444804825</v>
      </c>
    </row>
    <row r="24" spans="2:12" x14ac:dyDescent="0.3">
      <c r="B24" s="14" t="s">
        <v>148</v>
      </c>
      <c r="C24" s="16"/>
      <c r="D24" s="16"/>
      <c r="E24" s="16"/>
      <c r="F24" s="16"/>
      <c r="G24" s="16"/>
      <c r="H24" s="16"/>
      <c r="I24" s="16"/>
      <c r="J24" s="16"/>
      <c r="K24" s="16"/>
      <c r="L24" s="16"/>
    </row>
    <row r="25" spans="2:12" x14ac:dyDescent="0.3">
      <c r="B25" s="14" t="s">
        <v>149</v>
      </c>
      <c r="C25" s="18">
        <v>-1384795044</v>
      </c>
      <c r="D25" s="18">
        <v>-74228031927</v>
      </c>
      <c r="E25" s="18">
        <v>-37392170219</v>
      </c>
      <c r="F25" s="18">
        <v>-76238155000</v>
      </c>
      <c r="G25" s="18">
        <v>-208815380496</v>
      </c>
      <c r="H25" s="18">
        <v>-48393234715</v>
      </c>
      <c r="I25" s="18">
        <v>-5865008205</v>
      </c>
      <c r="J25" s="18">
        <v>-89309139550</v>
      </c>
      <c r="K25" s="18">
        <v>-122591837307</v>
      </c>
      <c r="L25" s="18">
        <v>-32670468849</v>
      </c>
    </row>
    <row r="26" spans="2:12" x14ac:dyDescent="0.3">
      <c r="B26" s="14" t="s">
        <v>150</v>
      </c>
      <c r="C26" s="16"/>
      <c r="D26" s="16"/>
      <c r="E26" s="16"/>
      <c r="F26" s="16"/>
      <c r="G26" s="16"/>
      <c r="H26" s="16"/>
      <c r="I26" s="16"/>
      <c r="J26" s="16"/>
      <c r="K26" s="16"/>
      <c r="L26" s="18">
        <v>61500000</v>
      </c>
    </row>
    <row r="27" spans="2:12" x14ac:dyDescent="0.3">
      <c r="B27" s="14" t="s">
        <v>151</v>
      </c>
      <c r="C27" s="16"/>
      <c r="D27" s="16"/>
      <c r="E27" s="16"/>
      <c r="F27" s="16"/>
      <c r="G27" s="18">
        <v>-57000000000</v>
      </c>
      <c r="H27" s="18">
        <v>-52000000000</v>
      </c>
      <c r="I27" s="16"/>
      <c r="J27" s="16"/>
      <c r="K27" s="16"/>
      <c r="L27" s="16"/>
    </row>
    <row r="28" spans="2:12" x14ac:dyDescent="0.3">
      <c r="B28" s="14" t="s">
        <v>152</v>
      </c>
      <c r="C28" s="16"/>
      <c r="D28" s="16"/>
      <c r="E28" s="16"/>
      <c r="F28" s="16"/>
      <c r="G28" s="16"/>
      <c r="H28" s="16"/>
      <c r="I28" s="18">
        <v>50100000000</v>
      </c>
      <c r="J28" s="18">
        <v>25000000000</v>
      </c>
      <c r="K28" s="16"/>
      <c r="L28" s="16"/>
    </row>
    <row r="29" spans="2:12" x14ac:dyDescent="0.3">
      <c r="B29" s="14" t="s">
        <v>153</v>
      </c>
      <c r="C29" s="16"/>
      <c r="D29" s="16"/>
      <c r="E29" s="16"/>
      <c r="F29" s="18">
        <v>-3100000000</v>
      </c>
      <c r="G29" s="16"/>
      <c r="H29" s="16"/>
      <c r="I29" s="16"/>
      <c r="J29" s="16"/>
      <c r="K29" s="16"/>
      <c r="L29" s="16"/>
    </row>
    <row r="30" spans="2:12" ht="26.4" x14ac:dyDescent="0.3">
      <c r="B30" s="14" t="s">
        <v>154</v>
      </c>
      <c r="C30" s="16"/>
      <c r="D30" s="16"/>
      <c r="E30" s="16"/>
      <c r="F30" s="18">
        <v>4000000000</v>
      </c>
      <c r="G30" s="16"/>
      <c r="H30" s="16"/>
      <c r="I30" s="18">
        <v>5762000000</v>
      </c>
      <c r="J30" s="16"/>
      <c r="K30" s="18">
        <v>27000000000</v>
      </c>
      <c r="L30" s="18">
        <v>13000000000</v>
      </c>
    </row>
    <row r="31" spans="2:12" x14ac:dyDescent="0.3">
      <c r="B31" s="14" t="s">
        <v>155</v>
      </c>
      <c r="C31" s="18">
        <v>66758458</v>
      </c>
      <c r="D31" s="18">
        <v>1405063454</v>
      </c>
      <c r="E31" s="18">
        <v>1758293844</v>
      </c>
      <c r="F31" s="18">
        <v>3513751001</v>
      </c>
      <c r="G31" s="18">
        <v>12522118724</v>
      </c>
      <c r="H31" s="18">
        <v>21799973914</v>
      </c>
      <c r="I31" s="18">
        <v>17946649730</v>
      </c>
      <c r="J31" s="18">
        <v>15565704925</v>
      </c>
      <c r="K31" s="18">
        <v>8663011393</v>
      </c>
      <c r="L31" s="18">
        <v>7421707268</v>
      </c>
    </row>
    <row r="32" spans="2:12" x14ac:dyDescent="0.3">
      <c r="B32" s="14" t="s">
        <v>156</v>
      </c>
      <c r="C32" s="17">
        <v>-1318036586</v>
      </c>
      <c r="D32" s="17">
        <v>-72822968473</v>
      </c>
      <c r="E32" s="17">
        <v>-35633876375</v>
      </c>
      <c r="F32" s="17">
        <v>-71824403999</v>
      </c>
      <c r="G32" s="17">
        <v>-253293261772</v>
      </c>
      <c r="H32" s="17">
        <v>-78593260801</v>
      </c>
      <c r="I32" s="17">
        <v>67943641525</v>
      </c>
      <c r="J32" s="17">
        <v>-48743434625</v>
      </c>
      <c r="K32" s="17">
        <v>-86928825914</v>
      </c>
      <c r="L32" s="17">
        <v>-12187261581</v>
      </c>
    </row>
    <row r="33" spans="2:12" x14ac:dyDescent="0.3">
      <c r="B33" s="14" t="s">
        <v>157</v>
      </c>
      <c r="C33" s="16"/>
      <c r="D33" s="16"/>
      <c r="E33" s="16"/>
      <c r="F33" s="16"/>
      <c r="G33" s="16"/>
      <c r="H33" s="16"/>
      <c r="I33" s="16"/>
      <c r="J33" s="16"/>
      <c r="K33" s="16"/>
      <c r="L33" s="16"/>
    </row>
    <row r="34" spans="2:12" x14ac:dyDescent="0.3">
      <c r="B34" s="14" t="s">
        <v>158</v>
      </c>
      <c r="C34" s="18">
        <v>13570320000</v>
      </c>
      <c r="D34" s="18">
        <v>53629680000</v>
      </c>
      <c r="E34" s="16"/>
      <c r="F34" s="18">
        <v>59495680000</v>
      </c>
      <c r="G34" s="16"/>
      <c r="H34" s="18">
        <v>10156000000</v>
      </c>
      <c r="I34" s="18">
        <v>10652660000</v>
      </c>
      <c r="J34" s="16"/>
      <c r="K34" s="16"/>
      <c r="L34" s="16"/>
    </row>
    <row r="35" spans="2:12" x14ac:dyDescent="0.3">
      <c r="B35" s="14" t="s">
        <v>159</v>
      </c>
      <c r="C35" s="16"/>
      <c r="D35" s="16"/>
      <c r="E35" s="16"/>
      <c r="F35" s="16"/>
      <c r="G35" s="16"/>
      <c r="H35" s="16"/>
      <c r="I35" s="16"/>
      <c r="J35" s="16"/>
      <c r="K35" s="16"/>
      <c r="L35" s="16"/>
    </row>
    <row r="36" spans="2:12" x14ac:dyDescent="0.3">
      <c r="B36" s="14" t="s">
        <v>160</v>
      </c>
      <c r="C36" s="16"/>
      <c r="D36" s="18">
        <v>26495007169</v>
      </c>
      <c r="E36" s="18">
        <v>80073451193</v>
      </c>
      <c r="F36" s="18">
        <v>33309982412</v>
      </c>
      <c r="G36" s="18">
        <v>190630718299</v>
      </c>
      <c r="H36" s="18">
        <v>18600000000</v>
      </c>
      <c r="I36" s="16"/>
      <c r="J36" s="18">
        <v>37120608400</v>
      </c>
      <c r="K36" s="18">
        <v>92721764163</v>
      </c>
      <c r="L36" s="18">
        <v>14705181872</v>
      </c>
    </row>
    <row r="37" spans="2:12" x14ac:dyDescent="0.3">
      <c r="B37" s="14" t="s">
        <v>161</v>
      </c>
      <c r="C37" s="16"/>
      <c r="D37" s="18">
        <v>-4993741500</v>
      </c>
      <c r="E37" s="18">
        <v>-27793042430</v>
      </c>
      <c r="F37" s="18">
        <v>-40076345490</v>
      </c>
      <c r="G37" s="18">
        <v>-88403687767</v>
      </c>
      <c r="H37" s="18">
        <v>-62656923954</v>
      </c>
      <c r="I37" s="18">
        <v>-60221554800</v>
      </c>
      <c r="J37" s="18">
        <v>-44556226626</v>
      </c>
      <c r="K37" s="18">
        <v>-80230753820</v>
      </c>
      <c r="L37" s="18">
        <v>-42301689668</v>
      </c>
    </row>
    <row r="38" spans="2:12" x14ac:dyDescent="0.3">
      <c r="B38" s="14" t="s">
        <v>162</v>
      </c>
      <c r="C38" s="16"/>
      <c r="D38" s="16"/>
      <c r="E38" s="16"/>
      <c r="F38" s="16"/>
      <c r="G38" s="16"/>
      <c r="H38" s="16"/>
      <c r="I38" s="16"/>
      <c r="J38" s="16"/>
      <c r="K38" s="16"/>
      <c r="L38" s="16"/>
    </row>
    <row r="39" spans="2:12" x14ac:dyDescent="0.3">
      <c r="B39" s="14" t="s">
        <v>163</v>
      </c>
      <c r="C39" s="16"/>
      <c r="D39" s="16"/>
      <c r="E39" s="16"/>
      <c r="F39" s="18">
        <v>-3360000000</v>
      </c>
      <c r="G39" s="18">
        <v>-12500000000</v>
      </c>
      <c r="H39" s="18">
        <v>-157883028000</v>
      </c>
      <c r="I39" s="18">
        <v>-64204179000</v>
      </c>
      <c r="J39" s="18">
        <v>-94504331100</v>
      </c>
      <c r="K39" s="18">
        <v>-94508169900</v>
      </c>
      <c r="L39" s="18">
        <v>-80706354000</v>
      </c>
    </row>
    <row r="40" spans="2:12" x14ac:dyDescent="0.3">
      <c r="B40" s="14" t="s">
        <v>164</v>
      </c>
      <c r="C40" s="16"/>
      <c r="D40" s="16"/>
      <c r="E40" s="16"/>
      <c r="F40" s="16"/>
      <c r="G40" s="16"/>
      <c r="H40" s="16"/>
      <c r="I40" s="16"/>
      <c r="J40" s="16"/>
      <c r="K40" s="16"/>
      <c r="L40" s="16"/>
    </row>
    <row r="41" spans="2:12" x14ac:dyDescent="0.3">
      <c r="B41" s="14" t="s">
        <v>165</v>
      </c>
      <c r="C41" s="17">
        <v>13570320000</v>
      </c>
      <c r="D41" s="17">
        <v>75130945669</v>
      </c>
      <c r="E41" s="17">
        <v>52280408763</v>
      </c>
      <c r="F41" s="17">
        <v>49369316922</v>
      </c>
      <c r="G41" s="17">
        <v>89727030532</v>
      </c>
      <c r="H41" s="17">
        <v>-191783951954</v>
      </c>
      <c r="I41" s="17">
        <v>-113773073800</v>
      </c>
      <c r="J41" s="17">
        <v>-101939949326</v>
      </c>
      <c r="K41" s="17">
        <v>-82017159557</v>
      </c>
      <c r="L41" s="17">
        <v>-108302861796</v>
      </c>
    </row>
    <row r="42" spans="2:12" x14ac:dyDescent="0.3">
      <c r="B42" s="14" t="s">
        <v>166</v>
      </c>
      <c r="C42" s="17">
        <v>11016964603</v>
      </c>
      <c r="D42" s="17">
        <v>3561886790</v>
      </c>
      <c r="E42" s="17">
        <v>21463082054</v>
      </c>
      <c r="F42" s="17">
        <v>56528532654</v>
      </c>
      <c r="G42" s="17">
        <v>86579150461</v>
      </c>
      <c r="H42" s="17">
        <v>-93993099375</v>
      </c>
      <c r="I42" s="17">
        <v>164537849315</v>
      </c>
      <c r="J42" s="17">
        <v>38892559111</v>
      </c>
      <c r="K42" s="17">
        <v>-7181661823</v>
      </c>
      <c r="L42" s="17">
        <v>60954681448</v>
      </c>
    </row>
    <row r="43" spans="2:12" x14ac:dyDescent="0.3">
      <c r="B43" s="14" t="s">
        <v>167</v>
      </c>
      <c r="C43" s="16"/>
      <c r="D43" s="18">
        <v>11016964603</v>
      </c>
      <c r="E43" s="18">
        <v>14589526362</v>
      </c>
      <c r="F43" s="18">
        <v>36053940395</v>
      </c>
      <c r="G43" s="18">
        <v>92714464442</v>
      </c>
      <c r="H43" s="18">
        <v>179293614903</v>
      </c>
      <c r="I43" s="18">
        <v>85305119116</v>
      </c>
      <c r="J43" s="18">
        <v>249841848415</v>
      </c>
      <c r="K43" s="18">
        <v>288734892821</v>
      </c>
      <c r="L43" s="18">
        <v>281710813470</v>
      </c>
    </row>
    <row r="44" spans="2:12" x14ac:dyDescent="0.3">
      <c r="B44" s="14" t="s">
        <v>168</v>
      </c>
      <c r="C44" s="16"/>
      <c r="D44" s="18">
        <v>10674969</v>
      </c>
      <c r="E44" s="18">
        <v>1331979</v>
      </c>
      <c r="F44" s="18">
        <v>131991393</v>
      </c>
      <c r="G44" s="16"/>
      <c r="H44" s="18">
        <v>4603588</v>
      </c>
      <c r="I44" s="18">
        <v>-1120016</v>
      </c>
      <c r="J44" s="18">
        <v>485295</v>
      </c>
      <c r="K44" s="18">
        <v>157582472</v>
      </c>
      <c r="L44" s="18">
        <v>7978031</v>
      </c>
    </row>
    <row r="45" spans="2:12" x14ac:dyDescent="0.3">
      <c r="B45" s="14" t="s">
        <v>169</v>
      </c>
      <c r="C45" s="17">
        <v>11016964603</v>
      </c>
      <c r="D45" s="17">
        <v>14589526362</v>
      </c>
      <c r="E45" s="17">
        <v>36053940395</v>
      </c>
      <c r="F45" s="17">
        <v>92714464442</v>
      </c>
      <c r="G45" s="17">
        <v>179293614903</v>
      </c>
      <c r="H45" s="17">
        <v>85305119116</v>
      </c>
      <c r="I45" s="17">
        <v>249841848415</v>
      </c>
      <c r="J45" s="17">
        <v>288734892821</v>
      </c>
      <c r="K45" s="17">
        <v>281710813470</v>
      </c>
      <c r="L45" s="17">
        <v>342673472949</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AA95"/>
  <sheetViews>
    <sheetView topLeftCell="Q34" workbookViewId="0">
      <selection activeCell="A75" sqref="A75:XFD75"/>
    </sheetView>
  </sheetViews>
  <sheetFormatPr defaultColWidth="8.88671875" defaultRowHeight="14.4" x14ac:dyDescent="0.3"/>
  <cols>
    <col min="2" max="2" width="28.109375" customWidth="1"/>
    <col min="3" max="4" width="14.88671875" bestFit="1" customWidth="1"/>
    <col min="5" max="27" width="15.44140625" bestFit="1" customWidth="1"/>
  </cols>
  <sheetData>
    <row r="3" spans="2:27" x14ac:dyDescent="0.3">
      <c r="B3" s="2" t="s">
        <v>491</v>
      </c>
      <c r="C3" s="8" t="s">
        <v>463</v>
      </c>
      <c r="D3" s="7" t="s">
        <v>464</v>
      </c>
      <c r="E3" s="7" t="s">
        <v>465</v>
      </c>
      <c r="F3" s="7" t="s">
        <v>466</v>
      </c>
      <c r="G3" s="8" t="s">
        <v>467</v>
      </c>
      <c r="H3" s="7" t="s">
        <v>468</v>
      </c>
      <c r="I3" s="7" t="s">
        <v>469</v>
      </c>
      <c r="J3" s="7" t="s">
        <v>470</v>
      </c>
      <c r="K3" s="8" t="s">
        <v>471</v>
      </c>
      <c r="L3" s="7" t="s">
        <v>472</v>
      </c>
      <c r="M3" s="7" t="s">
        <v>473</v>
      </c>
      <c r="N3" s="7" t="s">
        <v>474</v>
      </c>
      <c r="O3" s="8" t="s">
        <v>475</v>
      </c>
      <c r="P3" s="7" t="s">
        <v>476</v>
      </c>
      <c r="Q3" s="7" t="s">
        <v>477</v>
      </c>
      <c r="R3" s="7" t="s">
        <v>478</v>
      </c>
      <c r="S3" s="8" t="s">
        <v>479</v>
      </c>
      <c r="T3" s="7" t="s">
        <v>480</v>
      </c>
      <c r="U3" s="7" t="s">
        <v>481</v>
      </c>
      <c r="V3" s="7" t="s">
        <v>482</v>
      </c>
      <c r="W3" s="8" t="s">
        <v>483</v>
      </c>
      <c r="X3" s="7" t="s">
        <v>484</v>
      </c>
      <c r="Y3" s="7" t="s">
        <v>485</v>
      </c>
      <c r="Z3" s="7" t="s">
        <v>486</v>
      </c>
      <c r="AA3" s="8" t="s">
        <v>487</v>
      </c>
    </row>
    <row r="4" spans="2:27" x14ac:dyDescent="0.3">
      <c r="B4" s="2"/>
      <c r="C4" s="9" t="s">
        <v>488</v>
      </c>
      <c r="D4" s="7"/>
      <c r="E4" s="7"/>
      <c r="F4" s="7"/>
      <c r="G4" s="9" t="s">
        <v>488</v>
      </c>
      <c r="H4" s="7"/>
      <c r="I4" s="7"/>
      <c r="J4" s="7"/>
      <c r="K4" s="9" t="s">
        <v>488</v>
      </c>
      <c r="L4" s="7"/>
      <c r="M4" s="7"/>
      <c r="N4" s="7"/>
      <c r="O4" s="9" t="s">
        <v>488</v>
      </c>
      <c r="P4" s="7"/>
      <c r="Q4" s="7"/>
      <c r="R4" s="7"/>
      <c r="S4" s="9" t="s">
        <v>488</v>
      </c>
      <c r="T4" s="7"/>
      <c r="U4" s="7"/>
      <c r="V4" s="7"/>
      <c r="W4" s="9" t="s">
        <v>488</v>
      </c>
      <c r="X4" s="7"/>
      <c r="Y4" s="7"/>
      <c r="Z4" s="7"/>
      <c r="AA4" s="9" t="s">
        <v>489</v>
      </c>
    </row>
    <row r="5" spans="2:27" x14ac:dyDescent="0.3">
      <c r="B5" s="2" t="s">
        <v>5</v>
      </c>
      <c r="C5" s="9"/>
      <c r="D5" s="9"/>
      <c r="E5" s="9"/>
      <c r="F5" s="9"/>
      <c r="G5" s="9"/>
      <c r="H5" s="9"/>
      <c r="I5" s="9"/>
      <c r="J5" s="9"/>
      <c r="K5" s="9"/>
      <c r="L5" s="9"/>
      <c r="M5" s="9"/>
      <c r="N5" s="9"/>
      <c r="O5" s="9"/>
      <c r="P5" s="9"/>
      <c r="Q5" s="9"/>
      <c r="R5" s="9"/>
      <c r="S5" s="9"/>
      <c r="T5" s="9"/>
      <c r="U5" s="9"/>
      <c r="V5" s="9"/>
      <c r="W5" s="9"/>
      <c r="X5" s="9"/>
      <c r="Y5" s="9"/>
      <c r="Z5" s="9"/>
      <c r="AA5" s="9"/>
    </row>
    <row r="6" spans="2:27" x14ac:dyDescent="0.3">
      <c r="B6" s="2" t="s">
        <v>6</v>
      </c>
      <c r="C6" s="12">
        <v>286512941096</v>
      </c>
      <c r="D6" s="12">
        <v>329790779866</v>
      </c>
      <c r="E6" s="12">
        <v>398943373276</v>
      </c>
      <c r="F6" s="12">
        <v>373404797672</v>
      </c>
      <c r="G6" s="12">
        <v>281726418229</v>
      </c>
      <c r="H6" s="12">
        <v>337557909475</v>
      </c>
      <c r="I6" s="12">
        <v>315890255598</v>
      </c>
      <c r="J6" s="12">
        <v>318745860636</v>
      </c>
      <c r="K6" s="12">
        <v>373482014646</v>
      </c>
      <c r="L6" s="12">
        <v>425483453806</v>
      </c>
      <c r="M6" s="12">
        <v>445269953793</v>
      </c>
      <c r="N6" s="12">
        <v>526519514884</v>
      </c>
      <c r="O6" s="12">
        <v>567044485027</v>
      </c>
      <c r="P6" s="12">
        <v>530915205427</v>
      </c>
      <c r="Q6" s="12">
        <v>518269507282</v>
      </c>
      <c r="R6" s="12">
        <v>431283711196</v>
      </c>
      <c r="S6" s="12">
        <v>482166191953</v>
      </c>
      <c r="T6" s="12">
        <v>444500151113</v>
      </c>
      <c r="U6" s="12">
        <v>465013175169</v>
      </c>
      <c r="V6" s="12">
        <v>373572397500</v>
      </c>
      <c r="W6" s="12">
        <v>422543528034</v>
      </c>
      <c r="X6" s="12">
        <v>471901360243</v>
      </c>
      <c r="Y6" s="12">
        <v>500527609089</v>
      </c>
      <c r="Z6" s="12">
        <v>517447831180</v>
      </c>
      <c r="AA6" s="12">
        <v>521554192053</v>
      </c>
    </row>
    <row r="7" spans="2:27" x14ac:dyDescent="0.3">
      <c r="B7" s="5" t="s">
        <v>7</v>
      </c>
      <c r="C7" s="12">
        <v>75312486151</v>
      </c>
      <c r="D7" s="12">
        <v>131577454935</v>
      </c>
      <c r="E7" s="12">
        <v>179293614903</v>
      </c>
      <c r="F7" s="12">
        <v>168889440097</v>
      </c>
      <c r="G7" s="12">
        <v>113204095865</v>
      </c>
      <c r="H7" s="12">
        <v>129717546756</v>
      </c>
      <c r="I7" s="12">
        <v>85305119116</v>
      </c>
      <c r="J7" s="12">
        <v>115055387722</v>
      </c>
      <c r="K7" s="12">
        <v>192588487112</v>
      </c>
      <c r="L7" s="12">
        <v>208297956738</v>
      </c>
      <c r="M7" s="12">
        <v>249841848415</v>
      </c>
      <c r="N7" s="12">
        <v>253684453885</v>
      </c>
      <c r="O7" s="12">
        <v>352763944080</v>
      </c>
      <c r="P7" s="12">
        <v>306781904822</v>
      </c>
      <c r="Q7" s="12">
        <v>288734892821</v>
      </c>
      <c r="R7" s="12">
        <v>212679147386</v>
      </c>
      <c r="S7" s="12">
        <v>283451823124</v>
      </c>
      <c r="T7" s="12">
        <v>248797364749</v>
      </c>
      <c r="U7" s="12">
        <v>281710813470</v>
      </c>
      <c r="V7" s="12">
        <v>211451295896</v>
      </c>
      <c r="W7" s="12">
        <v>265230120704</v>
      </c>
      <c r="X7" s="12">
        <v>299746234475</v>
      </c>
      <c r="Y7" s="12">
        <v>342673472949</v>
      </c>
      <c r="Z7" s="12">
        <v>276342865192</v>
      </c>
      <c r="AA7" s="12">
        <v>242786636889</v>
      </c>
    </row>
    <row r="8" spans="2:27" x14ac:dyDescent="0.3">
      <c r="B8" s="5" t="s">
        <v>8</v>
      </c>
      <c r="C8" s="12">
        <v>5312486151</v>
      </c>
      <c r="D8" s="12">
        <v>60869677227</v>
      </c>
      <c r="E8" s="12">
        <v>7844958923</v>
      </c>
      <c r="F8" s="12">
        <v>13889440097</v>
      </c>
      <c r="G8" s="12">
        <v>47204095865</v>
      </c>
      <c r="H8" s="12">
        <v>31717546756</v>
      </c>
      <c r="I8" s="12">
        <v>17305119116</v>
      </c>
      <c r="J8" s="12">
        <v>21940387722</v>
      </c>
      <c r="K8" s="12">
        <v>57410987112</v>
      </c>
      <c r="L8" s="12">
        <v>63182956738</v>
      </c>
      <c r="M8" s="12">
        <v>62192126193</v>
      </c>
      <c r="N8" s="12">
        <v>61392509441</v>
      </c>
      <c r="O8" s="12">
        <v>38568896488</v>
      </c>
      <c r="P8" s="12">
        <v>66666904822</v>
      </c>
      <c r="Q8" s="12">
        <v>126619892821</v>
      </c>
      <c r="R8" s="12">
        <v>100440286275</v>
      </c>
      <c r="S8" s="12">
        <v>80336823124</v>
      </c>
      <c r="T8" s="12">
        <v>38897364749</v>
      </c>
      <c r="U8" s="12">
        <v>32310813470</v>
      </c>
      <c r="V8" s="12">
        <v>47051295896</v>
      </c>
      <c r="W8" s="12">
        <v>25830120704</v>
      </c>
      <c r="X8" s="12">
        <v>26546234475</v>
      </c>
      <c r="Y8" s="12">
        <v>18773472949</v>
      </c>
      <c r="Z8" s="12">
        <v>29342865192</v>
      </c>
      <c r="AA8" s="12">
        <v>18786636889</v>
      </c>
    </row>
    <row r="9" spans="2:27" x14ac:dyDescent="0.3">
      <c r="B9" s="5" t="s">
        <v>9</v>
      </c>
      <c r="C9" s="12">
        <v>70000000000</v>
      </c>
      <c r="D9" s="12">
        <v>70707777708</v>
      </c>
      <c r="E9" s="12">
        <v>171448655980</v>
      </c>
      <c r="F9" s="12">
        <v>155000000000</v>
      </c>
      <c r="G9" s="12">
        <v>66000000000</v>
      </c>
      <c r="H9" s="12">
        <v>98000000000</v>
      </c>
      <c r="I9" s="12">
        <v>68000000000</v>
      </c>
      <c r="J9" s="12">
        <v>93115000000</v>
      </c>
      <c r="K9" s="12">
        <v>135177500000</v>
      </c>
      <c r="L9" s="12">
        <v>145115000000</v>
      </c>
      <c r="M9" s="12">
        <v>187649722222</v>
      </c>
      <c r="N9" s="12">
        <v>192291944444</v>
      </c>
      <c r="O9" s="12">
        <v>314195047592</v>
      </c>
      <c r="P9" s="12">
        <v>240115000000</v>
      </c>
      <c r="Q9" s="12">
        <v>162115000000</v>
      </c>
      <c r="R9" s="12">
        <v>112238861111</v>
      </c>
      <c r="S9" s="12">
        <v>203115000000</v>
      </c>
      <c r="T9" s="12">
        <v>209900000000</v>
      </c>
      <c r="U9" s="12">
        <v>249400000000</v>
      </c>
      <c r="V9" s="12">
        <v>164400000000</v>
      </c>
      <c r="W9" s="12">
        <v>239400000000</v>
      </c>
      <c r="X9" s="12">
        <v>273200000000</v>
      </c>
      <c r="Y9" s="12">
        <v>323900000000</v>
      </c>
      <c r="Z9" s="12">
        <v>247000000000</v>
      </c>
      <c r="AA9" s="12">
        <v>224000000000</v>
      </c>
    </row>
    <row r="10" spans="2:27" x14ac:dyDescent="0.3">
      <c r="B10" s="5" t="s">
        <v>10</v>
      </c>
      <c r="C10" s="12">
        <v>63100000000</v>
      </c>
      <c r="D10" s="12">
        <v>79600000000</v>
      </c>
      <c r="E10" s="12">
        <v>63100000000</v>
      </c>
      <c r="F10" s="12">
        <v>62550000000</v>
      </c>
      <c r="G10" s="12">
        <v>15100000000</v>
      </c>
      <c r="H10" s="12">
        <v>30100000000</v>
      </c>
      <c r="I10" s="12">
        <v>55100000000</v>
      </c>
      <c r="J10" s="12">
        <v>35100000000</v>
      </c>
      <c r="K10" s="12">
        <v>7000000000</v>
      </c>
      <c r="L10" s="12">
        <v>12000000000</v>
      </c>
      <c r="M10" s="12">
        <v>5000000000</v>
      </c>
      <c r="N10" s="12">
        <v>60000000000</v>
      </c>
      <c r="O10" s="9"/>
      <c r="P10" s="9"/>
      <c r="Q10" s="12">
        <v>40000000000</v>
      </c>
      <c r="R10" s="12">
        <v>53000000000</v>
      </c>
      <c r="S10" s="12">
        <v>13000000000</v>
      </c>
      <c r="T10" s="12">
        <v>13000000000</v>
      </c>
      <c r="U10" s="12">
        <v>13000000000</v>
      </c>
      <c r="V10" s="9"/>
      <c r="W10" s="9"/>
      <c r="X10" s="9"/>
      <c r="Y10" s="9"/>
      <c r="Z10" s="12">
        <v>33900000000</v>
      </c>
      <c r="AA10" s="12">
        <v>33900000000</v>
      </c>
    </row>
    <row r="11" spans="2:27" x14ac:dyDescent="0.3">
      <c r="B11" s="5" t="s">
        <v>11</v>
      </c>
      <c r="C11" s="12">
        <v>63100000000</v>
      </c>
      <c r="D11" s="12">
        <v>79600000000</v>
      </c>
      <c r="E11" s="12">
        <v>63100000000</v>
      </c>
      <c r="F11" s="12">
        <v>63100000000</v>
      </c>
      <c r="G11" s="12">
        <v>15100000000</v>
      </c>
      <c r="H11" s="12">
        <v>30100000000</v>
      </c>
      <c r="I11" s="12">
        <v>55100000000</v>
      </c>
      <c r="J11" s="12">
        <v>35100000000</v>
      </c>
      <c r="K11" s="12">
        <v>7000000000</v>
      </c>
      <c r="L11" s="12">
        <v>12000000000</v>
      </c>
      <c r="M11" s="12">
        <v>5000000000</v>
      </c>
      <c r="N11" s="12">
        <v>60000000000</v>
      </c>
      <c r="O11" s="9"/>
      <c r="P11" s="9"/>
      <c r="Q11" s="12">
        <v>40000000000</v>
      </c>
      <c r="R11" s="9"/>
      <c r="S11" s="12">
        <v>13000000000</v>
      </c>
      <c r="T11" s="9"/>
      <c r="U11" s="9"/>
      <c r="V11" s="9"/>
      <c r="W11" s="9"/>
      <c r="X11" s="9"/>
      <c r="Y11" s="9"/>
      <c r="Z11" s="9"/>
      <c r="AA11" s="9"/>
    </row>
    <row r="12" spans="2:27" x14ac:dyDescent="0.3">
      <c r="B12" s="5" t="s">
        <v>12</v>
      </c>
      <c r="C12" s="9"/>
      <c r="D12" s="9"/>
      <c r="E12" s="9"/>
      <c r="F12" s="12">
        <v>-550000000</v>
      </c>
      <c r="G12" s="9"/>
      <c r="H12" s="9"/>
      <c r="I12" s="9"/>
      <c r="J12" s="9"/>
      <c r="K12" s="9"/>
      <c r="L12" s="9"/>
      <c r="M12" s="9"/>
      <c r="N12" s="9"/>
      <c r="O12" s="9"/>
      <c r="P12" s="9"/>
      <c r="Q12" s="9"/>
      <c r="R12" s="9"/>
      <c r="S12" s="9"/>
      <c r="T12" s="9"/>
      <c r="U12" s="9"/>
      <c r="V12" s="9"/>
      <c r="W12" s="9"/>
      <c r="X12" s="9"/>
      <c r="Y12" s="9"/>
      <c r="Z12" s="9"/>
      <c r="AA12" s="9"/>
    </row>
    <row r="13" spans="2:27" x14ac:dyDescent="0.3">
      <c r="B13" s="5" t="s">
        <v>13</v>
      </c>
      <c r="C13" s="12">
        <v>135507832009</v>
      </c>
      <c r="D13" s="12">
        <v>109887995675</v>
      </c>
      <c r="E13" s="12">
        <v>138329685044</v>
      </c>
      <c r="F13" s="12">
        <v>120956972222</v>
      </c>
      <c r="G13" s="12">
        <v>134616722669</v>
      </c>
      <c r="H13" s="12">
        <v>153209790879</v>
      </c>
      <c r="I13" s="12">
        <v>152125223262</v>
      </c>
      <c r="J13" s="12">
        <v>141425296981</v>
      </c>
      <c r="K13" s="12">
        <v>147730123096</v>
      </c>
      <c r="L13" s="12">
        <v>178692539811</v>
      </c>
      <c r="M13" s="12">
        <v>162889639650</v>
      </c>
      <c r="N13" s="12">
        <v>182658772900</v>
      </c>
      <c r="O13" s="12">
        <v>185179390954</v>
      </c>
      <c r="P13" s="12">
        <v>201958972325</v>
      </c>
      <c r="Q13" s="12">
        <v>157487814355</v>
      </c>
      <c r="R13" s="12">
        <v>145353120959</v>
      </c>
      <c r="S13" s="12">
        <v>165331453349</v>
      </c>
      <c r="T13" s="12">
        <v>160072598666</v>
      </c>
      <c r="U13" s="12">
        <v>134982173591</v>
      </c>
      <c r="V13" s="12">
        <v>129891985600</v>
      </c>
      <c r="W13" s="12">
        <v>125630127113</v>
      </c>
      <c r="X13" s="12">
        <v>142265389250</v>
      </c>
      <c r="Y13" s="12">
        <v>106069742632</v>
      </c>
      <c r="Z13" s="12">
        <v>173313064482</v>
      </c>
      <c r="AA13" s="12">
        <v>204800736080</v>
      </c>
    </row>
    <row r="14" spans="2:27" x14ac:dyDescent="0.3">
      <c r="B14" s="5" t="s">
        <v>14</v>
      </c>
      <c r="C14" s="12">
        <v>126230473615</v>
      </c>
      <c r="D14" s="12">
        <v>98743896922</v>
      </c>
      <c r="E14" s="12">
        <v>124867219695</v>
      </c>
      <c r="F14" s="12">
        <v>103704268743</v>
      </c>
      <c r="G14" s="12">
        <v>121318816360</v>
      </c>
      <c r="H14" s="12">
        <v>134660855063</v>
      </c>
      <c r="I14" s="12">
        <v>136905574399</v>
      </c>
      <c r="J14" s="12">
        <v>120866124265</v>
      </c>
      <c r="K14" s="12">
        <v>134669471655</v>
      </c>
      <c r="L14" s="12">
        <v>168071620991</v>
      </c>
      <c r="M14" s="12">
        <v>152485916105</v>
      </c>
      <c r="N14" s="12">
        <v>159754147313</v>
      </c>
      <c r="O14" s="12">
        <v>168272599226</v>
      </c>
      <c r="P14" s="12">
        <v>189852454534</v>
      </c>
      <c r="Q14" s="12">
        <v>153510756890</v>
      </c>
      <c r="R14" s="12">
        <v>137985062523</v>
      </c>
      <c r="S14" s="12">
        <v>161004752653</v>
      </c>
      <c r="T14" s="12">
        <v>157693774366</v>
      </c>
      <c r="U14" s="12">
        <v>132158317364</v>
      </c>
      <c r="V14" s="12">
        <v>125166265776</v>
      </c>
      <c r="W14" s="12">
        <v>126494021253</v>
      </c>
      <c r="X14" s="12">
        <v>143321942954</v>
      </c>
      <c r="Y14" s="12">
        <v>106258851793</v>
      </c>
      <c r="Z14" s="12">
        <v>167765775025</v>
      </c>
      <c r="AA14" s="12">
        <v>202892728308</v>
      </c>
    </row>
    <row r="15" spans="2:27" x14ac:dyDescent="0.3">
      <c r="B15" s="5" t="s">
        <v>15</v>
      </c>
      <c r="C15" s="12">
        <v>1089314720</v>
      </c>
      <c r="D15" s="12">
        <v>3071487631</v>
      </c>
      <c r="E15" s="12">
        <v>244886750</v>
      </c>
      <c r="F15" s="12">
        <v>1498410793</v>
      </c>
      <c r="G15" s="12">
        <v>1577768895</v>
      </c>
      <c r="H15" s="12">
        <v>5795065915</v>
      </c>
      <c r="I15" s="12">
        <v>1497061113</v>
      </c>
      <c r="J15" s="12">
        <v>4413603800</v>
      </c>
      <c r="K15" s="12">
        <v>4010924578</v>
      </c>
      <c r="L15" s="12">
        <v>4237095855</v>
      </c>
      <c r="M15" s="12">
        <v>3998356370</v>
      </c>
      <c r="N15" s="12">
        <v>8279685987</v>
      </c>
      <c r="O15" s="12">
        <v>2003320619</v>
      </c>
      <c r="P15" s="12">
        <v>7210126692</v>
      </c>
      <c r="Q15" s="12">
        <v>4079617237</v>
      </c>
      <c r="R15" s="12">
        <v>4499371271</v>
      </c>
      <c r="S15" s="12">
        <v>3982723253</v>
      </c>
      <c r="T15" s="12">
        <v>3600535277</v>
      </c>
      <c r="U15" s="12">
        <v>4325821933</v>
      </c>
      <c r="V15" s="12">
        <v>704893150</v>
      </c>
      <c r="W15" s="12">
        <v>666567294</v>
      </c>
      <c r="X15" s="12">
        <v>885501209</v>
      </c>
      <c r="Y15" s="12">
        <v>1688852306</v>
      </c>
      <c r="Z15" s="12">
        <v>8536417582</v>
      </c>
      <c r="AA15" s="12">
        <v>7730901611</v>
      </c>
    </row>
    <row r="16" spans="2:27" x14ac:dyDescent="0.3">
      <c r="B16" s="5" t="s">
        <v>16</v>
      </c>
      <c r="C16" s="9"/>
      <c r="D16" s="9"/>
      <c r="E16" s="9"/>
      <c r="F16" s="9"/>
      <c r="G16" s="9"/>
      <c r="H16" s="9"/>
      <c r="I16" s="9"/>
      <c r="J16" s="9"/>
      <c r="K16" s="9"/>
      <c r="L16" s="9"/>
      <c r="M16" s="9"/>
      <c r="N16" s="9"/>
      <c r="O16" s="9"/>
      <c r="P16" s="9"/>
      <c r="Q16" s="9"/>
      <c r="R16" s="9"/>
      <c r="S16" s="9"/>
      <c r="T16" s="9"/>
      <c r="U16" s="9"/>
      <c r="V16" s="9"/>
      <c r="W16" s="9"/>
      <c r="X16" s="9"/>
      <c r="Y16" s="9"/>
      <c r="Z16" s="9"/>
      <c r="AA16" s="9"/>
    </row>
    <row r="17" spans="2:27" x14ac:dyDescent="0.3">
      <c r="B17" s="5" t="s">
        <v>17</v>
      </c>
      <c r="C17" s="9"/>
      <c r="D17" s="9"/>
      <c r="E17" s="9"/>
      <c r="F17" s="9"/>
      <c r="G17" s="9"/>
      <c r="H17" s="9"/>
      <c r="I17" s="9"/>
      <c r="J17" s="9"/>
      <c r="K17" s="9"/>
      <c r="L17" s="9"/>
      <c r="M17" s="9"/>
      <c r="N17" s="9"/>
      <c r="O17" s="9"/>
      <c r="P17" s="9"/>
      <c r="Q17" s="9"/>
      <c r="R17" s="9"/>
      <c r="S17" s="9"/>
      <c r="T17" s="9"/>
      <c r="U17" s="9"/>
      <c r="V17" s="9"/>
      <c r="W17" s="9"/>
      <c r="X17" s="9"/>
      <c r="Y17" s="9"/>
      <c r="Z17" s="9"/>
      <c r="AA17" s="9"/>
    </row>
    <row r="18" spans="2:27" x14ac:dyDescent="0.3">
      <c r="B18" s="5" t="s">
        <v>18</v>
      </c>
      <c r="C18" s="12">
        <v>8188043674</v>
      </c>
      <c r="D18" s="12">
        <v>8072611122</v>
      </c>
      <c r="E18" s="12">
        <v>13217578599</v>
      </c>
      <c r="F18" s="12">
        <v>15754292686</v>
      </c>
      <c r="G18" s="12">
        <v>11720137414</v>
      </c>
      <c r="H18" s="12">
        <v>12753869901</v>
      </c>
      <c r="I18" s="12">
        <v>14718170426</v>
      </c>
      <c r="J18" s="12">
        <v>17141151592</v>
      </c>
      <c r="K18" s="12">
        <v>9745309539</v>
      </c>
      <c r="L18" s="12">
        <v>7079405641</v>
      </c>
      <c r="M18" s="12">
        <v>6405367175</v>
      </c>
      <c r="N18" s="12">
        <v>14624939600</v>
      </c>
      <c r="O18" s="12">
        <v>14903471109</v>
      </c>
      <c r="P18" s="12">
        <v>4896391099</v>
      </c>
      <c r="Q18" s="12">
        <v>6927031736</v>
      </c>
      <c r="R18" s="12">
        <v>9898278673</v>
      </c>
      <c r="S18" s="12">
        <v>4038198160</v>
      </c>
      <c r="T18" s="12">
        <v>2472509740</v>
      </c>
      <c r="U18" s="12">
        <v>1750218889</v>
      </c>
      <c r="V18" s="12">
        <v>7273011269</v>
      </c>
      <c r="W18" s="12">
        <v>1714628459</v>
      </c>
      <c r="X18" s="12">
        <v>1775449946</v>
      </c>
      <c r="Y18" s="12">
        <v>1104860253</v>
      </c>
      <c r="Z18" s="12">
        <v>2010144579</v>
      </c>
      <c r="AA18" s="12">
        <v>1702178770</v>
      </c>
    </row>
    <row r="19" spans="2:27" x14ac:dyDescent="0.3">
      <c r="B19" s="5" t="s">
        <v>19</v>
      </c>
      <c r="C19" s="9"/>
      <c r="D19" s="9"/>
      <c r="E19" s="9"/>
      <c r="F19" s="9"/>
      <c r="G19" s="9"/>
      <c r="H19" s="9"/>
      <c r="I19" s="12">
        <v>-995582676</v>
      </c>
      <c r="J19" s="12">
        <v>-995582676</v>
      </c>
      <c r="K19" s="12">
        <v>-695582676</v>
      </c>
      <c r="L19" s="12">
        <v>-695582676</v>
      </c>
      <c r="M19" s="9"/>
      <c r="N19" s="9"/>
      <c r="O19" s="9"/>
      <c r="P19" s="9"/>
      <c r="Q19" s="12">
        <v>-7029591508</v>
      </c>
      <c r="R19" s="12">
        <v>-7029591508</v>
      </c>
      <c r="S19" s="12">
        <v>-3694220717</v>
      </c>
      <c r="T19" s="12">
        <v>-3694220717</v>
      </c>
      <c r="U19" s="12">
        <v>-3252184595</v>
      </c>
      <c r="V19" s="12">
        <v>-3252184595</v>
      </c>
      <c r="W19" s="12">
        <v>-3245089893</v>
      </c>
      <c r="X19" s="12">
        <v>-3717504859</v>
      </c>
      <c r="Y19" s="12">
        <v>-2982821720</v>
      </c>
      <c r="Z19" s="12">
        <v>-4999272704</v>
      </c>
      <c r="AA19" s="12">
        <v>-7525072609</v>
      </c>
    </row>
    <row r="20" spans="2:27" x14ac:dyDescent="0.3">
      <c r="B20" s="5" t="s">
        <v>20</v>
      </c>
      <c r="C20" s="12">
        <v>7867373579</v>
      </c>
      <c r="D20" s="12">
        <v>7310908042</v>
      </c>
      <c r="E20" s="12">
        <v>10005661391</v>
      </c>
      <c r="F20" s="12">
        <v>16344441718</v>
      </c>
      <c r="G20" s="12">
        <v>16353590898</v>
      </c>
      <c r="H20" s="12">
        <v>21933991349</v>
      </c>
      <c r="I20" s="12">
        <v>21500912441</v>
      </c>
      <c r="J20" s="12">
        <v>21462443283</v>
      </c>
      <c r="K20" s="12">
        <v>21274762375</v>
      </c>
      <c r="L20" s="12">
        <v>21962499315</v>
      </c>
      <c r="M20" s="12">
        <v>23172660906</v>
      </c>
      <c r="N20" s="12">
        <v>22329302556</v>
      </c>
      <c r="O20" s="12">
        <v>16739580279</v>
      </c>
      <c r="P20" s="12">
        <v>18566728283</v>
      </c>
      <c r="Q20" s="12">
        <v>21931573085</v>
      </c>
      <c r="R20" s="12">
        <v>13643190182</v>
      </c>
      <c r="S20" s="12">
        <v>14126328639</v>
      </c>
      <c r="T20" s="12">
        <v>17731645762</v>
      </c>
      <c r="U20" s="12">
        <v>26446863900</v>
      </c>
      <c r="V20" s="12">
        <v>24896407422</v>
      </c>
      <c r="W20" s="12">
        <v>25560585803</v>
      </c>
      <c r="X20" s="12">
        <v>25576199342</v>
      </c>
      <c r="Y20" s="12">
        <v>42038312846</v>
      </c>
      <c r="Z20" s="12">
        <v>25634522121</v>
      </c>
      <c r="AA20" s="12">
        <v>35438158933</v>
      </c>
    </row>
    <row r="21" spans="2:27" x14ac:dyDescent="0.3">
      <c r="B21" s="46" t="s">
        <v>21</v>
      </c>
      <c r="C21" s="47">
        <v>7867373579</v>
      </c>
      <c r="D21" s="47">
        <v>7310908042</v>
      </c>
      <c r="E21" s="47">
        <v>10005661391</v>
      </c>
      <c r="F21" s="47">
        <v>16344441718</v>
      </c>
      <c r="G21" s="47">
        <v>16353590898</v>
      </c>
      <c r="H21" s="47">
        <v>21933991349</v>
      </c>
      <c r="I21" s="47">
        <v>21500912441</v>
      </c>
      <c r="J21" s="47">
        <v>21462443283</v>
      </c>
      <c r="K21" s="47">
        <v>21274762375</v>
      </c>
      <c r="L21" s="47">
        <v>21962499315</v>
      </c>
      <c r="M21" s="47">
        <v>23172660906</v>
      </c>
      <c r="N21" s="47">
        <v>22329302556</v>
      </c>
      <c r="O21" s="47">
        <v>16739580279</v>
      </c>
      <c r="P21" s="47">
        <v>18566728283</v>
      </c>
      <c r="Q21" s="47">
        <v>21931573085</v>
      </c>
      <c r="R21" s="47">
        <v>13643190182</v>
      </c>
      <c r="S21" s="47">
        <v>14126328639</v>
      </c>
      <c r="T21" s="47">
        <v>17731645762</v>
      </c>
      <c r="U21" s="47">
        <v>26446863900</v>
      </c>
      <c r="V21" s="47">
        <v>24896407422</v>
      </c>
      <c r="W21" s="47">
        <v>25560585803</v>
      </c>
      <c r="X21" s="47">
        <v>25576199342</v>
      </c>
      <c r="Y21" s="47">
        <v>42038312846</v>
      </c>
      <c r="Z21" s="47">
        <v>25634522121</v>
      </c>
      <c r="AA21" s="47">
        <v>35438158933</v>
      </c>
    </row>
    <row r="22" spans="2:27" x14ac:dyDescent="0.3">
      <c r="B22" s="5" t="s">
        <v>22</v>
      </c>
      <c r="C22" s="9"/>
      <c r="D22" s="9"/>
      <c r="E22" s="9"/>
      <c r="F22" s="9"/>
      <c r="G22" s="9"/>
      <c r="H22" s="9"/>
      <c r="I22" s="9"/>
      <c r="J22" s="9"/>
      <c r="K22" s="9"/>
      <c r="L22" s="9"/>
      <c r="M22" s="9"/>
      <c r="N22" s="9"/>
      <c r="O22" s="9"/>
      <c r="P22" s="9"/>
      <c r="Q22" s="9"/>
      <c r="R22" s="9"/>
      <c r="S22" s="9"/>
      <c r="T22" s="9"/>
      <c r="U22" s="9"/>
      <c r="V22" s="48"/>
      <c r="W22" s="48"/>
      <c r="X22" s="48"/>
      <c r="Y22" s="48"/>
      <c r="Z22" s="48"/>
      <c r="AA22" s="48"/>
    </row>
    <row r="23" spans="2:27" x14ac:dyDescent="0.3">
      <c r="B23" s="5" t="s">
        <v>23</v>
      </c>
      <c r="C23" s="12">
        <v>4725249357</v>
      </c>
      <c r="D23" s="12">
        <v>1414421214</v>
      </c>
      <c r="E23" s="12">
        <v>8214411938</v>
      </c>
      <c r="F23" s="12">
        <v>4663943635</v>
      </c>
      <c r="G23" s="12">
        <v>2452008797</v>
      </c>
      <c r="H23" s="12">
        <v>2596580491</v>
      </c>
      <c r="I23" s="12">
        <v>1859000779</v>
      </c>
      <c r="J23" s="12">
        <v>5702732650</v>
      </c>
      <c r="K23" s="12">
        <v>4888642063</v>
      </c>
      <c r="L23" s="12">
        <v>4530457942</v>
      </c>
      <c r="M23" s="12">
        <v>4365804822</v>
      </c>
      <c r="N23" s="12">
        <v>7846985543</v>
      </c>
      <c r="O23" s="12">
        <v>12361569714</v>
      </c>
      <c r="P23" s="12">
        <v>3607599997</v>
      </c>
      <c r="Q23" s="12">
        <v>10115227021</v>
      </c>
      <c r="R23" s="12">
        <v>6608252669</v>
      </c>
      <c r="S23" s="12">
        <v>6256586841</v>
      </c>
      <c r="T23" s="12">
        <v>4898541936</v>
      </c>
      <c r="U23" s="12">
        <v>8873324208</v>
      </c>
      <c r="V23" s="12">
        <v>7332708582</v>
      </c>
      <c r="W23" s="12">
        <v>6122694414</v>
      </c>
      <c r="X23" s="12">
        <v>4313537176</v>
      </c>
      <c r="Y23" s="12">
        <v>9746080662</v>
      </c>
      <c r="Z23" s="12">
        <v>8257379385</v>
      </c>
      <c r="AA23" s="12">
        <v>4628660151</v>
      </c>
    </row>
    <row r="24" spans="2:27" x14ac:dyDescent="0.3">
      <c r="B24" s="5" t="s">
        <v>24</v>
      </c>
      <c r="C24" s="12">
        <v>974184300</v>
      </c>
      <c r="D24" s="12">
        <v>487092150</v>
      </c>
      <c r="E24" s="12">
        <v>2982681826</v>
      </c>
      <c r="F24" s="12">
        <v>2407555909</v>
      </c>
      <c r="G24" s="12">
        <v>1514652976</v>
      </c>
      <c r="H24" s="12">
        <v>626750043</v>
      </c>
      <c r="I24" s="9"/>
      <c r="J24" s="12">
        <v>5300003162</v>
      </c>
      <c r="K24" s="12">
        <v>3527552947</v>
      </c>
      <c r="L24" s="12">
        <v>1811102732</v>
      </c>
      <c r="M24" s="12">
        <v>2597369762</v>
      </c>
      <c r="N24" s="12">
        <v>7275744052</v>
      </c>
      <c r="O24" s="12">
        <v>4636318392</v>
      </c>
      <c r="P24" s="12">
        <v>2228335494</v>
      </c>
      <c r="Q24" s="12">
        <v>4817516724</v>
      </c>
      <c r="R24" s="12">
        <v>5504855136</v>
      </c>
      <c r="S24" s="12">
        <v>3493953271</v>
      </c>
      <c r="T24" s="12">
        <v>3612972206</v>
      </c>
      <c r="U24" s="12">
        <v>8347026069</v>
      </c>
      <c r="V24" s="12">
        <v>6442568831</v>
      </c>
      <c r="W24" s="12">
        <v>6120611593</v>
      </c>
      <c r="X24" s="12">
        <v>4311454355</v>
      </c>
      <c r="Y24" s="12">
        <v>7495420821</v>
      </c>
      <c r="Z24" s="12">
        <v>8257379385</v>
      </c>
      <c r="AA24" s="12">
        <v>4557061209</v>
      </c>
    </row>
    <row r="25" spans="2:27" x14ac:dyDescent="0.3">
      <c r="B25" s="5" t="s">
        <v>25</v>
      </c>
      <c r="C25" s="12">
        <v>2766739608</v>
      </c>
      <c r="D25" s="9"/>
      <c r="E25" s="9"/>
      <c r="F25" s="12">
        <v>1581057727</v>
      </c>
      <c r="G25" s="9"/>
      <c r="H25" s="12">
        <v>1477376123</v>
      </c>
      <c r="I25" s="12">
        <v>1768717958</v>
      </c>
      <c r="J25" s="9"/>
      <c r="K25" s="12">
        <v>1060086295</v>
      </c>
      <c r="L25" s="12">
        <v>1856790522</v>
      </c>
      <c r="M25" s="12">
        <v>1284060641</v>
      </c>
      <c r="N25" s="9"/>
      <c r="O25" s="12">
        <v>3525331626</v>
      </c>
      <c r="P25" s="12">
        <v>686108834</v>
      </c>
      <c r="Q25" s="12">
        <v>5023983908</v>
      </c>
      <c r="R25" s="12">
        <v>76395161</v>
      </c>
      <c r="S25" s="12">
        <v>2760550749</v>
      </c>
      <c r="T25" s="12">
        <v>1283486909</v>
      </c>
      <c r="U25" s="12">
        <v>524215318</v>
      </c>
      <c r="V25" s="12">
        <v>888056930</v>
      </c>
      <c r="W25" s="9"/>
      <c r="X25" s="9"/>
      <c r="Y25" s="12">
        <v>2250659841</v>
      </c>
      <c r="Z25" s="9"/>
      <c r="AA25" s="12">
        <v>71598942</v>
      </c>
    </row>
    <row r="26" spans="2:27" x14ac:dyDescent="0.3">
      <c r="B26" s="5" t="s">
        <v>26</v>
      </c>
      <c r="C26" s="9"/>
      <c r="D26" s="9"/>
      <c r="E26" s="12">
        <v>3242520356</v>
      </c>
      <c r="F26" s="9"/>
      <c r="G26" s="12">
        <v>2082821</v>
      </c>
      <c r="H26" s="12">
        <v>2082821</v>
      </c>
      <c r="I26" s="12">
        <v>2082821</v>
      </c>
      <c r="J26" s="12">
        <v>2082821</v>
      </c>
      <c r="K26" s="12">
        <v>2082821</v>
      </c>
      <c r="L26" s="12">
        <v>2082821</v>
      </c>
      <c r="M26" s="12">
        <v>2082821</v>
      </c>
      <c r="N26" s="12">
        <v>2082821</v>
      </c>
      <c r="O26" s="12">
        <v>2082821</v>
      </c>
      <c r="P26" s="12">
        <v>2082821</v>
      </c>
      <c r="Q26" s="12">
        <v>2082821</v>
      </c>
      <c r="R26" s="12">
        <v>37489401</v>
      </c>
      <c r="S26" s="12">
        <v>2082821</v>
      </c>
      <c r="T26" s="9"/>
      <c r="U26" s="12">
        <v>2082821</v>
      </c>
      <c r="V26" s="12">
        <v>2082821</v>
      </c>
      <c r="W26" s="12">
        <v>2082821</v>
      </c>
      <c r="X26" s="12">
        <v>2082821</v>
      </c>
      <c r="Y26" s="9"/>
      <c r="Z26" s="9"/>
      <c r="AA26" s="9"/>
    </row>
    <row r="27" spans="2:27" x14ac:dyDescent="0.3">
      <c r="B27" s="5" t="s">
        <v>27</v>
      </c>
      <c r="C27" s="12">
        <v>984325449</v>
      </c>
      <c r="D27" s="12">
        <v>927329064</v>
      </c>
      <c r="E27" s="12">
        <v>1989209756</v>
      </c>
      <c r="F27" s="12">
        <v>675329999</v>
      </c>
      <c r="G27" s="12">
        <v>935273000</v>
      </c>
      <c r="H27" s="12">
        <v>490371504</v>
      </c>
      <c r="I27" s="12">
        <v>88200000</v>
      </c>
      <c r="J27" s="12">
        <v>400646667</v>
      </c>
      <c r="K27" s="12">
        <v>298920000</v>
      </c>
      <c r="L27" s="12">
        <v>860481867</v>
      </c>
      <c r="M27" s="12">
        <v>482291598</v>
      </c>
      <c r="N27" s="12">
        <v>569158670</v>
      </c>
      <c r="O27" s="12">
        <v>4197836875</v>
      </c>
      <c r="P27" s="12">
        <v>691072848</v>
      </c>
      <c r="Q27" s="12">
        <v>271643568</v>
      </c>
      <c r="R27" s="12">
        <v>989512971</v>
      </c>
      <c r="S27" s="9"/>
      <c r="T27" s="12">
        <v>2082821</v>
      </c>
      <c r="U27" s="9"/>
      <c r="V27" s="9"/>
      <c r="W27" s="9"/>
      <c r="X27" s="9"/>
      <c r="Y27" s="9"/>
      <c r="Z27" s="9"/>
      <c r="AA27" s="9"/>
    </row>
    <row r="28" spans="2:27" x14ac:dyDescent="0.3">
      <c r="B28" s="2" t="s">
        <v>28</v>
      </c>
      <c r="C28" s="12">
        <v>312299873752</v>
      </c>
      <c r="D28" s="12">
        <v>303150646992</v>
      </c>
      <c r="E28" s="12">
        <v>308892183129</v>
      </c>
      <c r="F28" s="12">
        <v>281576847633</v>
      </c>
      <c r="G28" s="12">
        <v>310872789293</v>
      </c>
      <c r="H28" s="12">
        <v>284619293909</v>
      </c>
      <c r="I28" s="12">
        <v>307314203009</v>
      </c>
      <c r="J28" s="12">
        <v>272083801413</v>
      </c>
      <c r="K28" s="12">
        <v>237921714686</v>
      </c>
      <c r="L28" s="12">
        <v>212072552075</v>
      </c>
      <c r="M28" s="12">
        <v>199615304646</v>
      </c>
      <c r="N28" s="12">
        <v>102217272476</v>
      </c>
      <c r="O28" s="12">
        <v>105573634214</v>
      </c>
      <c r="P28" s="12">
        <v>135331238885</v>
      </c>
      <c r="Q28" s="12">
        <v>121502902188</v>
      </c>
      <c r="R28" s="12">
        <v>115874314606</v>
      </c>
      <c r="S28" s="12">
        <v>167674004320</v>
      </c>
      <c r="T28" s="12">
        <v>194416376932</v>
      </c>
      <c r="U28" s="12">
        <v>178658729861</v>
      </c>
      <c r="V28" s="12">
        <v>191280961912</v>
      </c>
      <c r="W28" s="12">
        <v>178894790815</v>
      </c>
      <c r="X28" s="12">
        <v>162201164918</v>
      </c>
      <c r="Y28" s="12">
        <v>147204723456</v>
      </c>
      <c r="Z28" s="12">
        <v>177344596581</v>
      </c>
      <c r="AA28" s="12">
        <v>164167290827</v>
      </c>
    </row>
    <row r="29" spans="2:27" x14ac:dyDescent="0.3">
      <c r="B29" s="5" t="s">
        <v>29</v>
      </c>
      <c r="C29" s="9"/>
      <c r="D29" s="9"/>
      <c r="E29" s="9"/>
      <c r="F29" s="9"/>
      <c r="G29" s="9"/>
      <c r="H29" s="9"/>
      <c r="I29" s="9"/>
      <c r="J29" s="9"/>
      <c r="K29" s="9"/>
      <c r="L29" s="9"/>
      <c r="M29" s="9"/>
      <c r="N29" s="9"/>
      <c r="O29" s="9"/>
      <c r="P29" s="9"/>
      <c r="Q29" s="9"/>
      <c r="R29" s="9"/>
      <c r="S29" s="12">
        <v>936000000</v>
      </c>
      <c r="T29" s="12">
        <v>936000000</v>
      </c>
      <c r="U29" s="12">
        <v>936000000</v>
      </c>
      <c r="V29" s="12">
        <v>936000000</v>
      </c>
      <c r="W29" s="12">
        <v>1927000000</v>
      </c>
      <c r="X29" s="12">
        <v>1927000000</v>
      </c>
      <c r="Y29" s="12">
        <v>1927000000</v>
      </c>
      <c r="Z29" s="12">
        <v>1927000000</v>
      </c>
      <c r="AA29" s="12">
        <v>1927000000</v>
      </c>
    </row>
    <row r="30" spans="2:27" x14ac:dyDescent="0.3">
      <c r="B30" s="5" t="s">
        <v>30</v>
      </c>
      <c r="C30" s="9"/>
      <c r="D30" s="9"/>
      <c r="E30" s="9"/>
      <c r="F30" s="9"/>
      <c r="G30" s="9"/>
      <c r="H30" s="9"/>
      <c r="I30" s="9"/>
      <c r="J30" s="9"/>
      <c r="K30" s="9"/>
      <c r="L30" s="9"/>
      <c r="M30" s="9"/>
      <c r="N30" s="9"/>
      <c r="O30" s="9"/>
      <c r="P30" s="9"/>
      <c r="Q30" s="9"/>
      <c r="R30" s="9"/>
      <c r="S30" s="9"/>
      <c r="T30" s="9"/>
      <c r="U30" s="9"/>
      <c r="V30" s="9"/>
      <c r="W30" s="9"/>
      <c r="X30" s="9"/>
      <c r="Y30" s="9"/>
      <c r="Z30" s="9"/>
      <c r="AA30" s="9"/>
    </row>
    <row r="31" spans="2:27" x14ac:dyDescent="0.3">
      <c r="B31" s="5" t="s">
        <v>31</v>
      </c>
      <c r="C31" s="9"/>
      <c r="D31" s="9"/>
      <c r="E31" s="9"/>
      <c r="F31" s="9"/>
      <c r="G31" s="9"/>
      <c r="H31" s="9"/>
      <c r="I31" s="9"/>
      <c r="J31" s="9"/>
      <c r="K31" s="9"/>
      <c r="L31" s="9"/>
      <c r="M31" s="9"/>
      <c r="N31" s="9"/>
      <c r="O31" s="9"/>
      <c r="P31" s="9"/>
      <c r="Q31" s="9"/>
      <c r="R31" s="9"/>
      <c r="S31" s="9"/>
      <c r="T31" s="9"/>
      <c r="U31" s="9"/>
      <c r="V31" s="9"/>
      <c r="W31" s="9"/>
      <c r="X31" s="9"/>
      <c r="Y31" s="9"/>
      <c r="Z31" s="9"/>
      <c r="AA31" s="9"/>
    </row>
    <row r="32" spans="2:27" x14ac:dyDescent="0.3">
      <c r="B32" s="5" t="s">
        <v>32</v>
      </c>
      <c r="C32" s="9"/>
      <c r="D32" s="9"/>
      <c r="E32" s="9"/>
      <c r="F32" s="9"/>
      <c r="G32" s="9"/>
      <c r="H32" s="9"/>
      <c r="I32" s="9"/>
      <c r="J32" s="9"/>
      <c r="K32" s="9"/>
      <c r="L32" s="9"/>
      <c r="M32" s="9"/>
      <c r="N32" s="9"/>
      <c r="O32" s="9"/>
      <c r="P32" s="9"/>
      <c r="Q32" s="9"/>
      <c r="R32" s="9"/>
      <c r="S32" s="12">
        <v>936000000</v>
      </c>
      <c r="T32" s="12">
        <v>936000000</v>
      </c>
      <c r="U32" s="12">
        <v>936000000</v>
      </c>
      <c r="V32" s="12">
        <v>936000000</v>
      </c>
      <c r="W32" s="12">
        <v>1927000000</v>
      </c>
      <c r="X32" s="12">
        <v>1927000000</v>
      </c>
      <c r="Y32" s="12">
        <v>1927000000</v>
      </c>
      <c r="Z32" s="12">
        <v>1927000000</v>
      </c>
      <c r="AA32" s="12">
        <v>1927000000</v>
      </c>
    </row>
    <row r="33" spans="2:27" x14ac:dyDescent="0.3">
      <c r="B33" s="5" t="s">
        <v>33</v>
      </c>
      <c r="C33" s="9"/>
      <c r="D33" s="9"/>
      <c r="E33" s="9"/>
      <c r="F33" s="9"/>
      <c r="G33" s="9"/>
      <c r="H33" s="9"/>
      <c r="I33" s="9"/>
      <c r="J33" s="9"/>
      <c r="K33" s="9"/>
      <c r="L33" s="9"/>
      <c r="M33" s="9"/>
      <c r="N33" s="9"/>
      <c r="O33" s="9"/>
      <c r="P33" s="9"/>
      <c r="Q33" s="9"/>
      <c r="R33" s="9"/>
      <c r="S33" s="9"/>
      <c r="T33" s="9"/>
      <c r="U33" s="9"/>
      <c r="V33" s="9"/>
      <c r="W33" s="9"/>
      <c r="X33" s="9"/>
      <c r="Y33" s="9"/>
      <c r="Z33" s="9"/>
      <c r="AA33" s="9"/>
    </row>
    <row r="34" spans="2:27" x14ac:dyDescent="0.3">
      <c r="B34" s="5" t="s">
        <v>34</v>
      </c>
      <c r="C34" s="12">
        <v>298739331191</v>
      </c>
      <c r="D34" s="12">
        <v>284895904931</v>
      </c>
      <c r="E34" s="12">
        <v>292344422568</v>
      </c>
      <c r="F34" s="12">
        <v>265510166165</v>
      </c>
      <c r="G34" s="12">
        <v>234806107825</v>
      </c>
      <c r="H34" s="12">
        <v>208552612441</v>
      </c>
      <c r="I34" s="12">
        <v>225197521552</v>
      </c>
      <c r="J34" s="12">
        <v>192384896968</v>
      </c>
      <c r="K34" s="12">
        <v>158222810241</v>
      </c>
      <c r="L34" s="12">
        <v>132373647630</v>
      </c>
      <c r="M34" s="12">
        <v>119916400201</v>
      </c>
      <c r="N34" s="12">
        <v>84936145043</v>
      </c>
      <c r="O34" s="12">
        <v>95410200979</v>
      </c>
      <c r="P34" s="12">
        <v>125167805650</v>
      </c>
      <c r="Q34" s="12">
        <v>111557425780</v>
      </c>
      <c r="R34" s="12">
        <v>103818025172</v>
      </c>
      <c r="S34" s="12">
        <v>148259949500</v>
      </c>
      <c r="T34" s="12">
        <v>177420496073</v>
      </c>
      <c r="U34" s="12">
        <v>170817116061</v>
      </c>
      <c r="V34" s="12">
        <v>183935211429</v>
      </c>
      <c r="W34" s="12">
        <v>171788575611</v>
      </c>
      <c r="X34" s="12">
        <v>155991291622</v>
      </c>
      <c r="Y34" s="12">
        <v>142672404911</v>
      </c>
      <c r="Z34" s="12">
        <v>171439240905</v>
      </c>
      <c r="AA34" s="12">
        <v>160447589782</v>
      </c>
    </row>
    <row r="35" spans="2:27" x14ac:dyDescent="0.3">
      <c r="B35" s="5" t="s">
        <v>35</v>
      </c>
      <c r="C35" s="12">
        <v>274109306422</v>
      </c>
      <c r="D35" s="12">
        <v>284665621792</v>
      </c>
      <c r="E35" s="12">
        <v>248982639215</v>
      </c>
      <c r="F35" s="12">
        <v>225525178249</v>
      </c>
      <c r="G35" s="12">
        <v>198736388932</v>
      </c>
      <c r="H35" s="12">
        <v>173259131406</v>
      </c>
      <c r="I35" s="12">
        <v>191757562055</v>
      </c>
      <c r="J35" s="12">
        <v>167824583401</v>
      </c>
      <c r="K35" s="12">
        <v>137181068724</v>
      </c>
      <c r="L35" s="12">
        <v>107002398163</v>
      </c>
      <c r="M35" s="12">
        <v>82057702882</v>
      </c>
      <c r="N35" s="12">
        <v>61388568141</v>
      </c>
      <c r="O35" s="12">
        <v>88171858774</v>
      </c>
      <c r="P35" s="12">
        <v>116157468269</v>
      </c>
      <c r="Q35" s="12">
        <v>109110332709</v>
      </c>
      <c r="R35" s="12">
        <v>103181453415</v>
      </c>
      <c r="S35" s="12">
        <v>147693356910</v>
      </c>
      <c r="T35" s="12">
        <v>176923882650</v>
      </c>
      <c r="U35" s="12">
        <v>170390481805</v>
      </c>
      <c r="V35" s="12">
        <v>183578556340</v>
      </c>
      <c r="W35" s="12">
        <v>171501899689</v>
      </c>
      <c r="X35" s="12">
        <v>155774594867</v>
      </c>
      <c r="Y35" s="12">
        <v>142525687323</v>
      </c>
      <c r="Z35" s="12">
        <v>131798707930</v>
      </c>
      <c r="AA35" s="12">
        <v>121094310872</v>
      </c>
    </row>
    <row r="36" spans="2:27" x14ac:dyDescent="0.3">
      <c r="B36" s="5" t="s">
        <v>36</v>
      </c>
      <c r="C36" s="12">
        <v>326929505897</v>
      </c>
      <c r="D36" s="12">
        <v>360964321057</v>
      </c>
      <c r="E36" s="12">
        <v>361997055835</v>
      </c>
      <c r="F36" s="12">
        <v>362013685835</v>
      </c>
      <c r="G36" s="12">
        <v>363407992639</v>
      </c>
      <c r="H36" s="12">
        <v>363808872128</v>
      </c>
      <c r="I36" s="12">
        <v>410978933094</v>
      </c>
      <c r="J36" s="12">
        <v>416967752648</v>
      </c>
      <c r="K36" s="12">
        <v>415572009326</v>
      </c>
      <c r="L36" s="12">
        <v>415647129326</v>
      </c>
      <c r="M36" s="12">
        <v>419192144781</v>
      </c>
      <c r="N36" s="12">
        <v>419268444781</v>
      </c>
      <c r="O36" s="12">
        <v>460254085579</v>
      </c>
      <c r="P36" s="12">
        <v>503139106771</v>
      </c>
      <c r="Q36" s="12">
        <v>554228241388</v>
      </c>
      <c r="R36" s="12">
        <v>562575086815</v>
      </c>
      <c r="S36" s="12">
        <v>619992179047</v>
      </c>
      <c r="T36" s="12">
        <v>667069252655</v>
      </c>
      <c r="U36" s="12">
        <v>679452127701</v>
      </c>
      <c r="V36" s="12">
        <v>706186972200</v>
      </c>
      <c r="W36" s="12">
        <v>709606391655</v>
      </c>
      <c r="X36" s="12">
        <v>709650959837</v>
      </c>
      <c r="Y36" s="12">
        <v>711625098491</v>
      </c>
      <c r="Z36" s="12">
        <v>711625098491</v>
      </c>
      <c r="AA36" s="12">
        <v>711625098491</v>
      </c>
    </row>
    <row r="37" spans="2:27" x14ac:dyDescent="0.3">
      <c r="B37" s="5" t="s">
        <v>37</v>
      </c>
      <c r="C37" s="12">
        <v>-52820199475</v>
      </c>
      <c r="D37" s="12">
        <v>-76298699265</v>
      </c>
      <c r="E37" s="12">
        <v>-113014416620</v>
      </c>
      <c r="F37" s="12">
        <v>-136488507586</v>
      </c>
      <c r="G37" s="12">
        <v>-164671603707</v>
      </c>
      <c r="H37" s="12">
        <v>-190549740722</v>
      </c>
      <c r="I37" s="12">
        <v>-219221371039</v>
      </c>
      <c r="J37" s="12">
        <v>-249143169247</v>
      </c>
      <c r="K37" s="12">
        <v>-278390940602</v>
      </c>
      <c r="L37" s="12">
        <v>-308644731163</v>
      </c>
      <c r="M37" s="12">
        <v>-337134441899</v>
      </c>
      <c r="N37" s="12">
        <v>-357879876640</v>
      </c>
      <c r="O37" s="12">
        <v>-372082226805</v>
      </c>
      <c r="P37" s="12">
        <v>-386981638502</v>
      </c>
      <c r="Q37" s="12">
        <v>-445117908679</v>
      </c>
      <c r="R37" s="12">
        <v>-459393633400</v>
      </c>
      <c r="S37" s="12">
        <v>-472298822137</v>
      </c>
      <c r="T37" s="12">
        <v>-490145370005</v>
      </c>
      <c r="U37" s="12">
        <v>-509061645896</v>
      </c>
      <c r="V37" s="12">
        <v>-522608415860</v>
      </c>
      <c r="W37" s="12">
        <v>-538104491966</v>
      </c>
      <c r="X37" s="12">
        <v>-553876364970</v>
      </c>
      <c r="Y37" s="12">
        <v>-569099411168</v>
      </c>
      <c r="Z37" s="12">
        <v>-579826390561</v>
      </c>
      <c r="AA37" s="12">
        <v>-590530787619</v>
      </c>
    </row>
    <row r="38" spans="2:27" x14ac:dyDescent="0.3">
      <c r="B38" s="5" t="s">
        <v>38</v>
      </c>
      <c r="C38" s="9"/>
      <c r="D38" s="9"/>
      <c r="E38" s="12">
        <v>42011397204</v>
      </c>
      <c r="F38" s="12">
        <v>38504162070</v>
      </c>
      <c r="G38" s="12">
        <v>34996926936</v>
      </c>
      <c r="H38" s="12">
        <v>31489691802</v>
      </c>
      <c r="I38" s="12">
        <v>27982456668</v>
      </c>
      <c r="J38" s="12">
        <v>24475221534</v>
      </c>
      <c r="K38" s="12">
        <v>20967986400</v>
      </c>
      <c r="L38" s="12">
        <v>17460751266</v>
      </c>
      <c r="M38" s="12">
        <v>13953516132</v>
      </c>
      <c r="N38" s="12">
        <v>10446280998</v>
      </c>
      <c r="O38" s="12">
        <v>6939045864</v>
      </c>
      <c r="P38" s="12">
        <v>3431810730</v>
      </c>
      <c r="Q38" s="9"/>
      <c r="R38" s="9"/>
      <c r="S38" s="9"/>
      <c r="T38" s="9"/>
      <c r="U38" s="9"/>
      <c r="V38" s="9"/>
      <c r="W38" s="9"/>
      <c r="X38" s="9"/>
      <c r="Y38" s="9"/>
      <c r="Z38" s="9"/>
      <c r="AA38" s="9"/>
    </row>
    <row r="39" spans="2:27" x14ac:dyDescent="0.3">
      <c r="B39" s="5" t="s">
        <v>39</v>
      </c>
      <c r="C39" s="9"/>
      <c r="D39" s="9"/>
      <c r="E39" s="12">
        <v>42086821615</v>
      </c>
      <c r="F39" s="12">
        <v>42086821615</v>
      </c>
      <c r="G39" s="12">
        <v>42086821615</v>
      </c>
      <c r="H39" s="12">
        <v>42086821615</v>
      </c>
      <c r="I39" s="12">
        <v>42086821615</v>
      </c>
      <c r="J39" s="12">
        <v>42086821615</v>
      </c>
      <c r="K39" s="12">
        <v>42086821615</v>
      </c>
      <c r="L39" s="12">
        <v>42086821615</v>
      </c>
      <c r="M39" s="12">
        <v>42086821615</v>
      </c>
      <c r="N39" s="12">
        <v>42086821615</v>
      </c>
      <c r="O39" s="12">
        <v>42086821615</v>
      </c>
      <c r="P39" s="12">
        <v>42086821615</v>
      </c>
      <c r="Q39" s="9"/>
      <c r="R39" s="9"/>
      <c r="S39" s="9"/>
      <c r="T39" s="9"/>
      <c r="U39" s="9"/>
      <c r="V39" s="9"/>
      <c r="W39" s="9"/>
      <c r="X39" s="9"/>
      <c r="Y39" s="9"/>
      <c r="Z39" s="9"/>
      <c r="AA39" s="9"/>
    </row>
    <row r="40" spans="2:27" ht="26.4" x14ac:dyDescent="0.3">
      <c r="B40" s="5" t="s">
        <v>40</v>
      </c>
      <c r="C40" s="9"/>
      <c r="D40" s="9"/>
      <c r="E40" s="12">
        <v>-75424411</v>
      </c>
      <c r="F40" s="12">
        <v>-3582659545</v>
      </c>
      <c r="G40" s="12">
        <v>-7089894679</v>
      </c>
      <c r="H40" s="12">
        <v>-10597129813</v>
      </c>
      <c r="I40" s="12">
        <v>-14104364947</v>
      </c>
      <c r="J40" s="12">
        <v>-17611600081</v>
      </c>
      <c r="K40" s="12">
        <v>-21118835215</v>
      </c>
      <c r="L40" s="12">
        <v>-24626070349</v>
      </c>
      <c r="M40" s="12">
        <v>-28133305483</v>
      </c>
      <c r="N40" s="12">
        <v>-31640540617</v>
      </c>
      <c r="O40" s="12">
        <v>-35147775751</v>
      </c>
      <c r="P40" s="12">
        <v>-38655010885</v>
      </c>
      <c r="Q40" s="9"/>
      <c r="R40" s="9"/>
      <c r="S40" s="9"/>
      <c r="T40" s="9"/>
      <c r="U40" s="9"/>
      <c r="V40" s="9"/>
      <c r="W40" s="9"/>
      <c r="X40" s="9"/>
      <c r="Y40" s="9"/>
      <c r="Z40" s="9"/>
      <c r="AA40" s="9"/>
    </row>
    <row r="41" spans="2:27" x14ac:dyDescent="0.3">
      <c r="B41" s="5" t="s">
        <v>41</v>
      </c>
      <c r="C41" s="9"/>
      <c r="D41" s="9"/>
      <c r="E41" s="9"/>
      <c r="F41" s="12">
        <v>130439697</v>
      </c>
      <c r="G41" s="12">
        <v>119102781</v>
      </c>
      <c r="H41" s="12">
        <v>107765865</v>
      </c>
      <c r="I41" s="12">
        <v>96428949</v>
      </c>
      <c r="J41" s="12">
        <v>85092033</v>
      </c>
      <c r="K41" s="12">
        <v>73755117</v>
      </c>
      <c r="L41" s="12">
        <v>62418201</v>
      </c>
      <c r="M41" s="12">
        <v>51081285</v>
      </c>
      <c r="N41" s="12">
        <v>336029091</v>
      </c>
      <c r="O41" s="12">
        <v>299296341</v>
      </c>
      <c r="P41" s="12">
        <v>793600628</v>
      </c>
      <c r="Q41" s="12">
        <v>712284545</v>
      </c>
      <c r="R41" s="12">
        <v>636571757</v>
      </c>
      <c r="S41" s="12">
        <v>566592590</v>
      </c>
      <c r="T41" s="12">
        <v>496613423</v>
      </c>
      <c r="U41" s="12">
        <v>426634256</v>
      </c>
      <c r="V41" s="12">
        <v>356655089</v>
      </c>
      <c r="W41" s="12">
        <v>286675922</v>
      </c>
      <c r="X41" s="12">
        <v>216696755</v>
      </c>
      <c r="Y41" s="12">
        <v>146717588</v>
      </c>
      <c r="Z41" s="12">
        <v>39640532975</v>
      </c>
      <c r="AA41" s="12">
        <v>39353278910</v>
      </c>
    </row>
    <row r="42" spans="2:27" x14ac:dyDescent="0.3">
      <c r="B42" s="5" t="s">
        <v>42</v>
      </c>
      <c r="C42" s="12">
        <v>34013700</v>
      </c>
      <c r="D42" s="12">
        <v>34013700</v>
      </c>
      <c r="E42" s="12">
        <v>34013700</v>
      </c>
      <c r="F42" s="12">
        <v>170056700</v>
      </c>
      <c r="G42" s="12">
        <v>170056700</v>
      </c>
      <c r="H42" s="12">
        <v>170056700</v>
      </c>
      <c r="I42" s="12">
        <v>170056700</v>
      </c>
      <c r="J42" s="12">
        <v>170056700</v>
      </c>
      <c r="K42" s="12">
        <v>170056700</v>
      </c>
      <c r="L42" s="12">
        <v>170056700</v>
      </c>
      <c r="M42" s="12">
        <v>170056700</v>
      </c>
      <c r="N42" s="12">
        <v>474806700</v>
      </c>
      <c r="O42" s="12">
        <v>474806700</v>
      </c>
      <c r="P42" s="12">
        <v>1009806700</v>
      </c>
      <c r="Q42" s="12">
        <v>1009806700</v>
      </c>
      <c r="R42" s="12">
        <v>1009806700</v>
      </c>
      <c r="S42" s="12">
        <v>1009806700</v>
      </c>
      <c r="T42" s="12">
        <v>1009806700</v>
      </c>
      <c r="U42" s="12">
        <v>1009806700</v>
      </c>
      <c r="V42" s="12">
        <v>1009806700</v>
      </c>
      <c r="W42" s="12">
        <v>1009806700</v>
      </c>
      <c r="X42" s="12">
        <v>1009806700</v>
      </c>
      <c r="Y42" s="12">
        <v>1009806700</v>
      </c>
      <c r="Z42" s="12">
        <v>40807806700</v>
      </c>
      <c r="AA42" s="12">
        <v>40807806700</v>
      </c>
    </row>
    <row r="43" spans="2:27" x14ac:dyDescent="0.3">
      <c r="B43" s="5" t="s">
        <v>43</v>
      </c>
      <c r="C43" s="12">
        <v>-34013700</v>
      </c>
      <c r="D43" s="12">
        <v>-34013700</v>
      </c>
      <c r="E43" s="12">
        <v>-34013700</v>
      </c>
      <c r="F43" s="12">
        <v>-39617003</v>
      </c>
      <c r="G43" s="12">
        <v>-50953919</v>
      </c>
      <c r="H43" s="12">
        <v>-62290835</v>
      </c>
      <c r="I43" s="12">
        <v>-73627751</v>
      </c>
      <c r="J43" s="12">
        <v>-84964667</v>
      </c>
      <c r="K43" s="12">
        <v>-96301583</v>
      </c>
      <c r="L43" s="12">
        <v>-107638499</v>
      </c>
      <c r="M43" s="12">
        <v>-118975415</v>
      </c>
      <c r="N43" s="12">
        <v>-138777609</v>
      </c>
      <c r="O43" s="12">
        <v>-175510359</v>
      </c>
      <c r="P43" s="12">
        <v>-216206072</v>
      </c>
      <c r="Q43" s="12">
        <v>-297522155</v>
      </c>
      <c r="R43" s="12">
        <v>-373234943</v>
      </c>
      <c r="S43" s="12">
        <v>-443214110</v>
      </c>
      <c r="T43" s="12">
        <v>-513193277</v>
      </c>
      <c r="U43" s="12">
        <v>-583172444</v>
      </c>
      <c r="V43" s="12">
        <v>-653151611</v>
      </c>
      <c r="W43" s="12">
        <v>-723130778</v>
      </c>
      <c r="X43" s="12">
        <v>-793109945</v>
      </c>
      <c r="Y43" s="12">
        <v>-863089112</v>
      </c>
      <c r="Z43" s="12">
        <v>-1167273725</v>
      </c>
      <c r="AA43" s="12">
        <v>-1454527790</v>
      </c>
    </row>
    <row r="44" spans="2:27" x14ac:dyDescent="0.3">
      <c r="B44" s="5" t="s">
        <v>44</v>
      </c>
      <c r="C44" s="12">
        <v>24630024769</v>
      </c>
      <c r="D44" s="12">
        <v>230283139</v>
      </c>
      <c r="E44" s="12">
        <v>1350386149</v>
      </c>
      <c r="F44" s="12">
        <v>1350386149</v>
      </c>
      <c r="G44" s="12">
        <v>953689176</v>
      </c>
      <c r="H44" s="12">
        <v>3696023368</v>
      </c>
      <c r="I44" s="12">
        <v>5361073880</v>
      </c>
      <c r="J44" s="9"/>
      <c r="K44" s="9"/>
      <c r="L44" s="12">
        <v>7848080000</v>
      </c>
      <c r="M44" s="12">
        <v>23854099902</v>
      </c>
      <c r="N44" s="12">
        <v>12765266813</v>
      </c>
      <c r="O44" s="9"/>
      <c r="P44" s="12">
        <v>4784926023</v>
      </c>
      <c r="Q44" s="12">
        <v>1734808526</v>
      </c>
      <c r="R44" s="9"/>
      <c r="S44" s="9"/>
      <c r="T44" s="9"/>
      <c r="U44" s="9"/>
      <c r="V44" s="9"/>
      <c r="W44" s="9"/>
      <c r="X44" s="9"/>
      <c r="Y44" s="9"/>
      <c r="Z44" s="9"/>
      <c r="AA44" s="9"/>
    </row>
    <row r="45" spans="2:27" x14ac:dyDescent="0.3">
      <c r="B45" s="5" t="s">
        <v>45</v>
      </c>
      <c r="C45" s="9"/>
      <c r="D45" s="9"/>
      <c r="E45" s="9"/>
      <c r="F45" s="9"/>
      <c r="G45" s="9"/>
      <c r="H45" s="9"/>
      <c r="I45" s="9"/>
      <c r="J45" s="9"/>
      <c r="K45" s="9"/>
      <c r="L45" s="9"/>
      <c r="M45" s="9"/>
      <c r="N45" s="9"/>
      <c r="O45" s="9"/>
      <c r="P45" s="9"/>
      <c r="Q45" s="9"/>
      <c r="R45" s="9"/>
      <c r="S45" s="9"/>
      <c r="T45" s="9"/>
      <c r="U45" s="9"/>
      <c r="V45" s="9"/>
      <c r="W45" s="9"/>
      <c r="X45" s="9"/>
      <c r="Y45" s="9"/>
      <c r="Z45" s="9"/>
      <c r="AA45" s="9"/>
    </row>
    <row r="46" spans="2:27" x14ac:dyDescent="0.3">
      <c r="B46" s="5" t="s">
        <v>46</v>
      </c>
      <c r="C46" s="9"/>
      <c r="D46" s="9"/>
      <c r="E46" s="9"/>
      <c r="F46" s="9"/>
      <c r="G46" s="9"/>
      <c r="H46" s="9"/>
      <c r="I46" s="9"/>
      <c r="J46" s="9"/>
      <c r="K46" s="9"/>
      <c r="L46" s="9"/>
      <c r="M46" s="9"/>
      <c r="N46" s="9"/>
      <c r="O46" s="9"/>
      <c r="P46" s="9"/>
      <c r="Q46" s="9"/>
      <c r="R46" s="9"/>
      <c r="S46" s="9"/>
      <c r="T46" s="9"/>
      <c r="U46" s="9"/>
      <c r="V46" s="9"/>
      <c r="W46" s="9"/>
      <c r="X46" s="9"/>
      <c r="Y46" s="9"/>
      <c r="Z46" s="9"/>
      <c r="AA46" s="9"/>
    </row>
    <row r="47" spans="2:27" ht="26.4" x14ac:dyDescent="0.3">
      <c r="B47" s="5" t="s">
        <v>47</v>
      </c>
      <c r="C47" s="9"/>
      <c r="D47" s="9"/>
      <c r="E47" s="9"/>
      <c r="F47" s="9"/>
      <c r="G47" s="9"/>
      <c r="H47" s="9"/>
      <c r="I47" s="9"/>
      <c r="J47" s="9"/>
      <c r="K47" s="9"/>
      <c r="L47" s="9"/>
      <c r="M47" s="9"/>
      <c r="N47" s="9"/>
      <c r="O47" s="9"/>
      <c r="P47" s="9"/>
      <c r="Q47" s="9"/>
      <c r="R47" s="9"/>
      <c r="S47" s="9"/>
      <c r="T47" s="9"/>
      <c r="U47" s="9"/>
      <c r="V47" s="9"/>
      <c r="W47" s="9"/>
      <c r="X47" s="9"/>
      <c r="Y47" s="9"/>
      <c r="Z47" s="9"/>
      <c r="AA47" s="9"/>
    </row>
    <row r="48" spans="2:27" x14ac:dyDescent="0.3">
      <c r="B48" s="5" t="s">
        <v>48</v>
      </c>
      <c r="C48" s="9"/>
      <c r="D48" s="9"/>
      <c r="E48" s="9"/>
      <c r="F48" s="9"/>
      <c r="G48" s="12">
        <v>60000000000</v>
      </c>
      <c r="H48" s="12">
        <v>60000000000</v>
      </c>
      <c r="I48" s="12">
        <v>60000000000</v>
      </c>
      <c r="J48" s="12">
        <v>60000000000</v>
      </c>
      <c r="K48" s="12">
        <v>60000000000</v>
      </c>
      <c r="L48" s="12">
        <v>60000000000</v>
      </c>
      <c r="M48" s="12">
        <v>60000000000</v>
      </c>
      <c r="N48" s="9"/>
      <c r="O48" s="9"/>
      <c r="P48" s="9"/>
      <c r="Q48" s="9"/>
      <c r="R48" s="9"/>
      <c r="S48" s="9"/>
      <c r="T48" s="9"/>
      <c r="U48" s="9"/>
      <c r="V48" s="9"/>
      <c r="W48" s="9"/>
      <c r="X48" s="9"/>
      <c r="Y48" s="9"/>
      <c r="Z48" s="9"/>
      <c r="AA48" s="9"/>
    </row>
    <row r="49" spans="2:27" x14ac:dyDescent="0.3">
      <c r="B49" s="5" t="s">
        <v>49</v>
      </c>
      <c r="C49" s="9"/>
      <c r="D49" s="9"/>
      <c r="E49" s="9"/>
      <c r="F49" s="9"/>
      <c r="G49" s="9"/>
      <c r="H49" s="9"/>
      <c r="I49" s="9"/>
      <c r="J49" s="9"/>
      <c r="K49" s="9"/>
      <c r="L49" s="9"/>
      <c r="M49" s="9"/>
      <c r="N49" s="9"/>
      <c r="O49" s="9"/>
      <c r="P49" s="9"/>
      <c r="Q49" s="9"/>
      <c r="R49" s="9"/>
      <c r="S49" s="9"/>
      <c r="T49" s="9"/>
      <c r="U49" s="9"/>
      <c r="V49" s="9"/>
      <c r="W49" s="9"/>
      <c r="X49" s="9"/>
      <c r="Y49" s="9"/>
      <c r="Z49" s="9"/>
      <c r="AA49" s="9"/>
    </row>
    <row r="50" spans="2:27" ht="26.4" x14ac:dyDescent="0.3">
      <c r="B50" s="5" t="s">
        <v>50</v>
      </c>
      <c r="C50" s="9"/>
      <c r="D50" s="9"/>
      <c r="E50" s="9"/>
      <c r="F50" s="9"/>
      <c r="G50" s="9"/>
      <c r="H50" s="9"/>
      <c r="I50" s="9"/>
      <c r="J50" s="9"/>
      <c r="K50" s="9"/>
      <c r="L50" s="9"/>
      <c r="M50" s="9"/>
      <c r="N50" s="9"/>
      <c r="O50" s="9"/>
      <c r="P50" s="9"/>
      <c r="Q50" s="9"/>
      <c r="R50" s="9"/>
      <c r="S50" s="9"/>
      <c r="T50" s="9"/>
      <c r="U50" s="9"/>
      <c r="V50" s="9"/>
      <c r="W50" s="9"/>
      <c r="X50" s="9"/>
      <c r="Y50" s="9"/>
      <c r="Z50" s="9"/>
      <c r="AA50" s="9"/>
    </row>
    <row r="51" spans="2:27" x14ac:dyDescent="0.3">
      <c r="B51" s="5" t="s">
        <v>51</v>
      </c>
      <c r="C51" s="9"/>
      <c r="D51" s="9"/>
      <c r="E51" s="9"/>
      <c r="F51" s="9"/>
      <c r="G51" s="12">
        <v>60000000000</v>
      </c>
      <c r="H51" s="12">
        <v>60000000000</v>
      </c>
      <c r="I51" s="12">
        <v>60000000000</v>
      </c>
      <c r="J51" s="12">
        <v>60000000000</v>
      </c>
      <c r="K51" s="12">
        <v>60000000000</v>
      </c>
      <c r="L51" s="12">
        <v>60000000000</v>
      </c>
      <c r="M51" s="12">
        <v>60000000000</v>
      </c>
      <c r="N51" s="9"/>
      <c r="O51" s="9"/>
      <c r="P51" s="9"/>
      <c r="Q51" s="9"/>
      <c r="R51" s="9"/>
      <c r="S51" s="9"/>
      <c r="T51" s="9"/>
      <c r="U51" s="9"/>
      <c r="V51" s="9"/>
      <c r="W51" s="9"/>
      <c r="X51" s="9"/>
      <c r="Y51" s="9"/>
      <c r="Z51" s="9"/>
      <c r="AA51" s="9"/>
    </row>
    <row r="52" spans="2:27" ht="26.4" x14ac:dyDescent="0.3">
      <c r="B52" s="5" t="s">
        <v>52</v>
      </c>
      <c r="C52" s="9"/>
      <c r="D52" s="9"/>
      <c r="E52" s="9"/>
      <c r="F52" s="9"/>
      <c r="G52" s="9"/>
      <c r="H52" s="9"/>
      <c r="I52" s="9"/>
      <c r="J52" s="9"/>
      <c r="K52" s="9"/>
      <c r="L52" s="9"/>
      <c r="M52" s="9"/>
      <c r="N52" s="9"/>
      <c r="O52" s="9"/>
      <c r="P52" s="9"/>
      <c r="Q52" s="9"/>
      <c r="R52" s="9"/>
      <c r="S52" s="9"/>
      <c r="T52" s="9"/>
      <c r="U52" s="9"/>
      <c r="V52" s="9"/>
      <c r="W52" s="9"/>
      <c r="X52" s="9"/>
      <c r="Y52" s="9"/>
      <c r="Z52" s="9"/>
      <c r="AA52" s="9"/>
    </row>
    <row r="53" spans="2:27" x14ac:dyDescent="0.3">
      <c r="B53" s="5" t="s">
        <v>53</v>
      </c>
      <c r="C53" s="12">
        <v>13560542561</v>
      </c>
      <c r="D53" s="12">
        <v>18254742061</v>
      </c>
      <c r="E53" s="12">
        <v>16547760561</v>
      </c>
      <c r="F53" s="12">
        <v>16066681468</v>
      </c>
      <c r="G53" s="12">
        <v>16066681468</v>
      </c>
      <c r="H53" s="12">
        <v>16066681468</v>
      </c>
      <c r="I53" s="12">
        <v>22116681457</v>
      </c>
      <c r="J53" s="12">
        <v>19698904445</v>
      </c>
      <c r="K53" s="12">
        <v>19698904445</v>
      </c>
      <c r="L53" s="12">
        <v>19698904445</v>
      </c>
      <c r="M53" s="12">
        <v>19698904445</v>
      </c>
      <c r="N53" s="12">
        <v>17281127433</v>
      </c>
      <c r="O53" s="12">
        <v>10163433235</v>
      </c>
      <c r="P53" s="12">
        <v>10163433235</v>
      </c>
      <c r="Q53" s="12">
        <v>9945476408</v>
      </c>
      <c r="R53" s="12">
        <v>8681625743</v>
      </c>
      <c r="S53" s="12">
        <v>8250042464</v>
      </c>
      <c r="T53" s="12">
        <v>8250042464</v>
      </c>
      <c r="U53" s="12">
        <v>6905613800</v>
      </c>
      <c r="V53" s="12">
        <v>6409750483</v>
      </c>
      <c r="W53" s="12">
        <v>5179215204</v>
      </c>
      <c r="X53" s="12">
        <v>4191873296</v>
      </c>
      <c r="Y53" s="12">
        <v>2605318545</v>
      </c>
      <c r="Z53" s="12">
        <v>3978355676</v>
      </c>
      <c r="AA53" s="12">
        <v>1543028317</v>
      </c>
    </row>
    <row r="54" spans="2:27" x14ac:dyDescent="0.3">
      <c r="B54" s="5" t="s">
        <v>54</v>
      </c>
      <c r="C54" s="12">
        <v>13430492561</v>
      </c>
      <c r="D54" s="12">
        <v>13430492561</v>
      </c>
      <c r="E54" s="12">
        <v>13430492561</v>
      </c>
      <c r="F54" s="12">
        <v>12949413468</v>
      </c>
      <c r="G54" s="12">
        <v>12949413468</v>
      </c>
      <c r="H54" s="12">
        <v>12949413468</v>
      </c>
      <c r="I54" s="12">
        <v>18999413457</v>
      </c>
      <c r="J54" s="12">
        <v>16581636445</v>
      </c>
      <c r="K54" s="12">
        <v>16581636445</v>
      </c>
      <c r="L54" s="12">
        <v>16581636445</v>
      </c>
      <c r="M54" s="12">
        <v>16581636445</v>
      </c>
      <c r="N54" s="12">
        <v>14163859433</v>
      </c>
      <c r="O54" s="12">
        <v>1849999997</v>
      </c>
      <c r="P54" s="12">
        <v>1849999997</v>
      </c>
      <c r="Q54" s="12">
        <v>1849999997</v>
      </c>
      <c r="R54" s="9"/>
      <c r="S54" s="9"/>
      <c r="T54" s="9"/>
      <c r="U54" s="9"/>
      <c r="V54" s="9"/>
      <c r="W54" s="9"/>
      <c r="X54" s="9"/>
      <c r="Y54" s="9"/>
      <c r="Z54" s="9"/>
      <c r="AA54" s="9"/>
    </row>
    <row r="55" spans="2:27" ht="26.4" x14ac:dyDescent="0.3">
      <c r="B55" s="5" t="s">
        <v>55</v>
      </c>
      <c r="C55" s="9"/>
      <c r="D55" s="9"/>
      <c r="E55" s="9"/>
      <c r="F55" s="12">
        <v>3117268000</v>
      </c>
      <c r="G55" s="9"/>
      <c r="H55" s="9"/>
      <c r="I55" s="9"/>
      <c r="J55" s="9"/>
      <c r="K55" s="9"/>
      <c r="L55" s="9"/>
      <c r="M55" s="9"/>
      <c r="N55" s="9"/>
      <c r="O55" s="12">
        <v>5223215238</v>
      </c>
      <c r="P55" s="12">
        <v>5223215238</v>
      </c>
      <c r="Q55" s="12">
        <v>7761476411</v>
      </c>
      <c r="R55" s="12">
        <v>7645625743</v>
      </c>
      <c r="S55" s="12">
        <v>8250042464</v>
      </c>
      <c r="T55" s="12">
        <v>8250042464</v>
      </c>
      <c r="U55" s="12">
        <v>6905613800</v>
      </c>
      <c r="V55" s="12">
        <v>6409750483</v>
      </c>
      <c r="W55" s="12">
        <v>5179215204</v>
      </c>
      <c r="X55" s="12">
        <v>4191873296</v>
      </c>
      <c r="Y55" s="12">
        <v>2605318545</v>
      </c>
      <c r="Z55" s="12">
        <v>3978355676</v>
      </c>
      <c r="AA55" s="12">
        <v>1543028317</v>
      </c>
    </row>
    <row r="56" spans="2:27" x14ac:dyDescent="0.3">
      <c r="B56" s="5" t="s">
        <v>56</v>
      </c>
      <c r="C56" s="12">
        <v>130050000</v>
      </c>
      <c r="D56" s="12">
        <v>4824249500</v>
      </c>
      <c r="E56" s="12">
        <v>3117268000</v>
      </c>
      <c r="F56" s="9"/>
      <c r="G56" s="12">
        <v>3117268000</v>
      </c>
      <c r="H56" s="12">
        <v>3117268000</v>
      </c>
      <c r="I56" s="12">
        <v>3117268000</v>
      </c>
      <c r="J56" s="12">
        <v>3117268000</v>
      </c>
      <c r="K56" s="12">
        <v>3117268000</v>
      </c>
      <c r="L56" s="12">
        <v>3117268000</v>
      </c>
      <c r="M56" s="12">
        <v>3117268000</v>
      </c>
      <c r="N56" s="12">
        <v>3117268000</v>
      </c>
      <c r="O56" s="12">
        <v>3090218000</v>
      </c>
      <c r="P56" s="12">
        <v>3090218000</v>
      </c>
      <c r="Q56" s="12">
        <v>334000000</v>
      </c>
      <c r="R56" s="12">
        <v>1036000000</v>
      </c>
      <c r="S56" s="9"/>
      <c r="T56" s="9"/>
      <c r="U56" s="9"/>
      <c r="V56" s="9"/>
      <c r="W56" s="9"/>
      <c r="X56" s="9"/>
      <c r="Y56" s="9"/>
      <c r="Z56" s="9"/>
      <c r="AA56" s="9"/>
    </row>
    <row r="57" spans="2:27" x14ac:dyDescent="0.3">
      <c r="B57" s="2" t="s">
        <v>57</v>
      </c>
      <c r="C57" s="12">
        <v>598812814848</v>
      </c>
      <c r="D57" s="12">
        <v>632941426858</v>
      </c>
      <c r="E57" s="12">
        <v>707835556405</v>
      </c>
      <c r="F57" s="12">
        <v>654981645305</v>
      </c>
      <c r="G57" s="12">
        <v>592599207522</v>
      </c>
      <c r="H57" s="12">
        <v>622177203384</v>
      </c>
      <c r="I57" s="12">
        <v>623204458607</v>
      </c>
      <c r="J57" s="12">
        <v>590829662049</v>
      </c>
      <c r="K57" s="12">
        <v>611403729332</v>
      </c>
      <c r="L57" s="12">
        <v>637556005881</v>
      </c>
      <c r="M57" s="12">
        <v>644885258439</v>
      </c>
      <c r="N57" s="12">
        <v>628736787360</v>
      </c>
      <c r="O57" s="12">
        <v>672618119241</v>
      </c>
      <c r="P57" s="12">
        <v>666246444312</v>
      </c>
      <c r="Q57" s="12">
        <v>639772409470</v>
      </c>
      <c r="R57" s="12">
        <v>547158025802</v>
      </c>
      <c r="S57" s="12">
        <v>649840196273</v>
      </c>
      <c r="T57" s="12">
        <v>638916528045</v>
      </c>
      <c r="U57" s="12">
        <v>643671905030</v>
      </c>
      <c r="V57" s="12">
        <v>564853359412</v>
      </c>
      <c r="W57" s="10">
        <v>601438318849</v>
      </c>
      <c r="X57" s="10">
        <v>634102525161</v>
      </c>
      <c r="Y57" s="10">
        <v>647732332545</v>
      </c>
      <c r="Z57" s="10">
        <v>694792427761</v>
      </c>
      <c r="AA57" s="10">
        <v>685721482880</v>
      </c>
    </row>
    <row r="58" spans="2:27" x14ac:dyDescent="0.3">
      <c r="B58" s="2" t="s">
        <v>58</v>
      </c>
      <c r="C58" s="9"/>
      <c r="D58" s="9"/>
      <c r="E58" s="9"/>
      <c r="F58" s="9"/>
      <c r="G58" s="9"/>
      <c r="H58" s="9"/>
      <c r="I58" s="9"/>
      <c r="J58" s="9"/>
      <c r="K58" s="9"/>
      <c r="L58" s="9"/>
      <c r="M58" s="9"/>
      <c r="N58" s="9"/>
      <c r="O58" s="9"/>
      <c r="P58" s="9"/>
      <c r="Q58" s="9"/>
      <c r="R58" s="9"/>
      <c r="S58" s="9"/>
      <c r="T58" s="9"/>
      <c r="U58" s="9"/>
      <c r="V58" s="9"/>
      <c r="W58" s="9"/>
      <c r="X58" s="9"/>
      <c r="Y58" s="9"/>
      <c r="Z58" s="9"/>
      <c r="AA58" s="9"/>
    </row>
    <row r="59" spans="2:27" x14ac:dyDescent="0.3">
      <c r="B59" s="2" t="s">
        <v>59</v>
      </c>
      <c r="C59" s="12">
        <v>265981154887</v>
      </c>
      <c r="D59" s="12">
        <v>243746618757</v>
      </c>
      <c r="E59" s="12">
        <v>319441859251</v>
      </c>
      <c r="F59" s="12">
        <v>229993649383</v>
      </c>
      <c r="G59" s="12">
        <v>232476610986</v>
      </c>
      <c r="H59" s="12">
        <v>235996663801</v>
      </c>
      <c r="I59" s="12">
        <v>242234656971</v>
      </c>
      <c r="J59" s="12">
        <v>213703541562</v>
      </c>
      <c r="K59" s="12">
        <v>236034997233</v>
      </c>
      <c r="L59" s="12">
        <v>233977234341</v>
      </c>
      <c r="M59" s="12">
        <v>201376036664</v>
      </c>
      <c r="N59" s="12">
        <v>200820660024</v>
      </c>
      <c r="O59" s="12">
        <v>298842486832</v>
      </c>
      <c r="P59" s="12">
        <v>255267926159</v>
      </c>
      <c r="Q59" s="12">
        <v>207255827515</v>
      </c>
      <c r="R59" s="12">
        <v>146290606594</v>
      </c>
      <c r="S59" s="12">
        <v>264059296906</v>
      </c>
      <c r="T59" s="12">
        <v>229923721026</v>
      </c>
      <c r="U59" s="12">
        <v>245162128157</v>
      </c>
      <c r="V59" s="12">
        <v>185845761944</v>
      </c>
      <c r="W59" s="12">
        <v>195325407579</v>
      </c>
      <c r="X59" s="12">
        <v>204885337207</v>
      </c>
      <c r="Y59" s="12">
        <v>191212939210</v>
      </c>
      <c r="Z59" s="12">
        <v>207851103251</v>
      </c>
      <c r="AA59" s="12">
        <v>262299315125</v>
      </c>
    </row>
    <row r="60" spans="2:27" x14ac:dyDescent="0.3">
      <c r="B60" s="5" t="s">
        <v>60</v>
      </c>
      <c r="C60" s="12">
        <v>162643398955</v>
      </c>
      <c r="D60" s="12">
        <v>129992852825</v>
      </c>
      <c r="E60" s="12">
        <v>204904059903</v>
      </c>
      <c r="F60" s="12">
        <v>128934045157</v>
      </c>
      <c r="G60" s="12">
        <v>141813915460</v>
      </c>
      <c r="H60" s="12">
        <v>155730876975</v>
      </c>
      <c r="I60" s="12">
        <v>165494820470</v>
      </c>
      <c r="J60" s="12">
        <v>147311929201</v>
      </c>
      <c r="K60" s="12">
        <v>179984726732</v>
      </c>
      <c r="L60" s="12">
        <v>188356029980</v>
      </c>
      <c r="M60" s="12">
        <v>164190509795</v>
      </c>
      <c r="N60" s="12">
        <v>164590515075</v>
      </c>
      <c r="O60" s="12">
        <v>270264478171</v>
      </c>
      <c r="P60" s="12">
        <v>219747552245</v>
      </c>
      <c r="Q60" s="12">
        <v>181832262738</v>
      </c>
      <c r="R60" s="12">
        <v>139336158955</v>
      </c>
      <c r="S60" s="12">
        <v>224430849267</v>
      </c>
      <c r="T60" s="12">
        <v>181312244608</v>
      </c>
      <c r="U60" s="12">
        <v>201126868065</v>
      </c>
      <c r="V60" s="12">
        <v>145329042456</v>
      </c>
      <c r="W60" s="12">
        <v>159845484410</v>
      </c>
      <c r="X60" s="12">
        <v>171831310454</v>
      </c>
      <c r="Y60" s="12">
        <v>157677078275</v>
      </c>
      <c r="Z60" s="12">
        <v>186514032797</v>
      </c>
      <c r="AA60" s="12">
        <v>247647147113</v>
      </c>
    </row>
    <row r="61" spans="2:27" x14ac:dyDescent="0.3">
      <c r="B61" s="5" t="s">
        <v>61</v>
      </c>
      <c r="C61" s="12">
        <v>54721562890</v>
      </c>
      <c r="D61" s="12">
        <v>40963811853</v>
      </c>
      <c r="E61" s="12">
        <v>59650887154</v>
      </c>
      <c r="F61" s="12">
        <v>55633827611</v>
      </c>
      <c r="G61" s="12">
        <v>48610731185</v>
      </c>
      <c r="H61" s="12">
        <v>41587634800</v>
      </c>
      <c r="I61" s="12">
        <v>60183954800</v>
      </c>
      <c r="J61" s="12">
        <v>60211154800</v>
      </c>
      <c r="K61" s="12">
        <v>60251954800</v>
      </c>
      <c r="L61" s="12">
        <v>60239154800</v>
      </c>
      <c r="M61" s="12">
        <v>39660229072</v>
      </c>
      <c r="N61" s="12">
        <v>36697040372</v>
      </c>
      <c r="O61" s="12">
        <v>37345545380</v>
      </c>
      <c r="P61" s="12">
        <v>44559156680</v>
      </c>
      <c r="Q61" s="12">
        <v>44051458498</v>
      </c>
      <c r="R61" s="12">
        <v>22842929350</v>
      </c>
      <c r="S61" s="12">
        <v>41950391668</v>
      </c>
      <c r="T61" s="12">
        <v>42948605341</v>
      </c>
      <c r="U61" s="12">
        <v>38121860356</v>
      </c>
      <c r="V61" s="12">
        <v>41643523912</v>
      </c>
      <c r="W61" s="12">
        <v>38392913688</v>
      </c>
      <c r="X61" s="12">
        <v>34939581688</v>
      </c>
      <c r="Y61" s="12">
        <v>30839581662</v>
      </c>
      <c r="Z61" s="12">
        <v>26739581636</v>
      </c>
      <c r="AA61" s="12">
        <v>26739588662</v>
      </c>
    </row>
    <row r="62" spans="2:27" ht="26.4" x14ac:dyDescent="0.3">
      <c r="B62" s="5" t="s">
        <v>62</v>
      </c>
      <c r="C62" s="12">
        <v>78073854574</v>
      </c>
      <c r="D62" s="12">
        <v>56807818114</v>
      </c>
      <c r="E62" s="12">
        <v>103071909159</v>
      </c>
      <c r="F62" s="12">
        <v>64457557499</v>
      </c>
      <c r="G62" s="12">
        <v>80599829523</v>
      </c>
      <c r="H62" s="12">
        <v>92353380336</v>
      </c>
      <c r="I62" s="12">
        <v>90867735677</v>
      </c>
      <c r="J62" s="12">
        <v>70154866371</v>
      </c>
      <c r="K62" s="12">
        <v>95509575631</v>
      </c>
      <c r="L62" s="12">
        <v>93243720737</v>
      </c>
      <c r="M62" s="12">
        <v>90994504556</v>
      </c>
      <c r="N62" s="12">
        <v>91265027863</v>
      </c>
      <c r="O62" s="12">
        <v>164161982298</v>
      </c>
      <c r="P62" s="12">
        <v>119657649239</v>
      </c>
      <c r="Q62" s="12">
        <v>121411878920</v>
      </c>
      <c r="R62" s="12">
        <v>71835968853</v>
      </c>
      <c r="S62" s="12">
        <v>91316471288</v>
      </c>
      <c r="T62" s="12">
        <v>87213090681</v>
      </c>
      <c r="U62" s="12">
        <v>100003964075</v>
      </c>
      <c r="V62" s="12">
        <v>60552829059</v>
      </c>
      <c r="W62" s="12">
        <v>62454318181</v>
      </c>
      <c r="X62" s="12">
        <v>73332892622</v>
      </c>
      <c r="Y62" s="12">
        <v>96459096136</v>
      </c>
      <c r="Z62" s="12">
        <v>105934122795</v>
      </c>
      <c r="AA62" s="12">
        <v>135908210042</v>
      </c>
    </row>
    <row r="63" spans="2:27" x14ac:dyDescent="0.3">
      <c r="B63" s="5" t="s">
        <v>63</v>
      </c>
      <c r="C63" s="9"/>
      <c r="D63" s="9"/>
      <c r="E63" s="9"/>
      <c r="F63" s="9"/>
      <c r="G63" s="9"/>
      <c r="H63" s="9"/>
      <c r="I63" s="9"/>
      <c r="J63" s="12">
        <v>4302568807</v>
      </c>
      <c r="K63" s="9"/>
      <c r="L63" s="9"/>
      <c r="M63" s="9"/>
      <c r="N63" s="9"/>
      <c r="O63" s="9"/>
      <c r="P63" s="9"/>
      <c r="Q63" s="9"/>
      <c r="R63" s="9"/>
      <c r="S63" s="9"/>
      <c r="T63" s="9"/>
      <c r="U63" s="9"/>
      <c r="V63" s="12">
        <v>572298911</v>
      </c>
      <c r="W63" s="12">
        <v>90497288</v>
      </c>
      <c r="X63" s="9"/>
      <c r="Y63" s="9"/>
      <c r="Z63" s="9"/>
      <c r="AA63" s="9"/>
    </row>
    <row r="64" spans="2:27" x14ac:dyDescent="0.3">
      <c r="B64" s="5" t="s">
        <v>64</v>
      </c>
      <c r="C64" s="12">
        <v>9294518002</v>
      </c>
      <c r="D64" s="12">
        <v>8849617448</v>
      </c>
      <c r="E64" s="12">
        <v>2960490715</v>
      </c>
      <c r="F64" s="12">
        <v>3270583614</v>
      </c>
      <c r="G64" s="12">
        <v>5551098718</v>
      </c>
      <c r="H64" s="12">
        <v>2769633234</v>
      </c>
      <c r="I64" s="12">
        <v>3928856174</v>
      </c>
      <c r="J64" s="12">
        <v>6865713602</v>
      </c>
      <c r="K64" s="12">
        <v>5441266015</v>
      </c>
      <c r="L64" s="12">
        <v>3438298753</v>
      </c>
      <c r="M64" s="12">
        <v>4065833760</v>
      </c>
      <c r="N64" s="12">
        <v>3250200513</v>
      </c>
      <c r="O64" s="12">
        <v>30364243744</v>
      </c>
      <c r="P64" s="12">
        <v>8917400029</v>
      </c>
      <c r="Q64" s="12">
        <v>4941701289</v>
      </c>
      <c r="R64" s="12">
        <v>6156893815</v>
      </c>
      <c r="S64" s="12">
        <v>6913657835</v>
      </c>
      <c r="T64" s="12">
        <v>7332024172</v>
      </c>
      <c r="U64" s="12">
        <v>7935788424</v>
      </c>
      <c r="V64" s="12">
        <v>7289739152</v>
      </c>
      <c r="W64" s="12">
        <v>10043891297</v>
      </c>
      <c r="X64" s="12">
        <v>6434836682</v>
      </c>
      <c r="Y64" s="12">
        <v>11040100572</v>
      </c>
      <c r="Z64" s="12">
        <v>6419998381</v>
      </c>
      <c r="AA64" s="12">
        <v>8532093486</v>
      </c>
    </row>
    <row r="65" spans="2:27" x14ac:dyDescent="0.3">
      <c r="B65" s="5" t="s">
        <v>65</v>
      </c>
      <c r="C65" s="12">
        <v>8423850960</v>
      </c>
      <c r="D65" s="12">
        <v>9715650498</v>
      </c>
      <c r="E65" s="12">
        <v>6465152451</v>
      </c>
      <c r="F65" s="12">
        <v>4287189064</v>
      </c>
      <c r="G65" s="12">
        <v>4685811501</v>
      </c>
      <c r="H65" s="12">
        <v>10215860252</v>
      </c>
      <c r="I65" s="12">
        <v>6949658337</v>
      </c>
      <c r="J65" s="12">
        <v>4949564923</v>
      </c>
      <c r="K65" s="12">
        <v>8584715176</v>
      </c>
      <c r="L65" s="12">
        <v>13972341049</v>
      </c>
      <c r="M65" s="12">
        <v>4535910887</v>
      </c>
      <c r="N65" s="12">
        <v>15988435899</v>
      </c>
      <c r="O65" s="12">
        <v>14513579954</v>
      </c>
      <c r="P65" s="12">
        <v>25145265278</v>
      </c>
      <c r="Q65" s="12">
        <v>3353545179</v>
      </c>
      <c r="R65" s="12">
        <v>23689968404</v>
      </c>
      <c r="S65" s="12">
        <v>23551986970</v>
      </c>
      <c r="T65" s="12">
        <v>23724750221</v>
      </c>
      <c r="U65" s="12">
        <v>9890753381</v>
      </c>
      <c r="V65" s="12">
        <v>12989870324</v>
      </c>
      <c r="W65" s="12">
        <v>26752278924</v>
      </c>
      <c r="X65" s="12">
        <v>32696603505</v>
      </c>
      <c r="Y65" s="12">
        <v>6224744849</v>
      </c>
      <c r="Z65" s="12">
        <v>25867108221</v>
      </c>
      <c r="AA65" s="12">
        <v>35401746083</v>
      </c>
    </row>
    <row r="66" spans="2:27" x14ac:dyDescent="0.3">
      <c r="B66" s="5" t="s">
        <v>66</v>
      </c>
      <c r="C66" s="12">
        <v>10187394123</v>
      </c>
      <c r="D66" s="12">
        <v>8168546484</v>
      </c>
      <c r="E66" s="12">
        <v>1884881853</v>
      </c>
      <c r="F66" s="12">
        <v>627220495</v>
      </c>
      <c r="G66" s="12">
        <v>1327279632</v>
      </c>
      <c r="H66" s="12">
        <v>7947838632</v>
      </c>
      <c r="I66" s="12">
        <v>2682591974</v>
      </c>
      <c r="J66" s="9"/>
      <c r="K66" s="12">
        <v>5897530642</v>
      </c>
      <c r="L66" s="12">
        <v>10829813069</v>
      </c>
      <c r="M66" s="12">
        <v>23159832150</v>
      </c>
      <c r="N66" s="12">
        <v>13086424494</v>
      </c>
      <c r="O66" s="12">
        <v>10966609687</v>
      </c>
      <c r="P66" s="12">
        <v>20724628622</v>
      </c>
      <c r="Q66" s="12">
        <v>5199471738</v>
      </c>
      <c r="R66" s="12">
        <v>11633066555</v>
      </c>
      <c r="S66" s="12">
        <v>16027998829</v>
      </c>
      <c r="T66" s="12">
        <v>15622987172</v>
      </c>
      <c r="U66" s="12">
        <v>2323265315</v>
      </c>
      <c r="V66" s="12">
        <v>19636639107</v>
      </c>
      <c r="W66" s="12">
        <v>20821816757</v>
      </c>
      <c r="X66" s="12">
        <v>22361068066</v>
      </c>
      <c r="Y66" s="12">
        <v>9566189146</v>
      </c>
      <c r="Z66" s="12">
        <v>20990065038</v>
      </c>
      <c r="AA66" s="12">
        <v>38242970352</v>
      </c>
    </row>
    <row r="67" spans="2:27" x14ac:dyDescent="0.3">
      <c r="B67" s="5" t="s">
        <v>67</v>
      </c>
      <c r="C67" s="9"/>
      <c r="D67" s="9"/>
      <c r="E67" s="9"/>
      <c r="F67" s="9"/>
      <c r="G67" s="9"/>
      <c r="H67" s="9"/>
      <c r="I67" s="9"/>
      <c r="J67" s="9"/>
      <c r="K67" s="9"/>
      <c r="L67" s="9"/>
      <c r="M67" s="9"/>
      <c r="N67" s="9"/>
      <c r="O67" s="9"/>
      <c r="P67" s="9"/>
      <c r="Q67" s="9"/>
      <c r="R67" s="9"/>
      <c r="S67" s="9"/>
      <c r="T67" s="9"/>
      <c r="U67" s="9"/>
      <c r="V67" s="9"/>
      <c r="W67" s="9"/>
      <c r="X67" s="9"/>
      <c r="Y67" s="9"/>
      <c r="Z67" s="9"/>
      <c r="AA67" s="9"/>
    </row>
    <row r="68" spans="2:27" x14ac:dyDescent="0.3">
      <c r="B68" s="5" t="s">
        <v>68</v>
      </c>
      <c r="C68" s="9"/>
      <c r="D68" s="9"/>
      <c r="E68" s="9"/>
      <c r="F68" s="9"/>
      <c r="G68" s="9"/>
      <c r="H68" s="9"/>
      <c r="I68" s="9"/>
      <c r="J68" s="9"/>
      <c r="K68" s="9"/>
      <c r="L68" s="9"/>
      <c r="M68" s="9"/>
      <c r="N68" s="9"/>
      <c r="O68" s="9"/>
      <c r="P68" s="9"/>
      <c r="Q68" s="9"/>
      <c r="R68" s="9"/>
      <c r="S68" s="9"/>
      <c r="T68" s="9"/>
      <c r="U68" s="9"/>
      <c r="V68" s="9"/>
      <c r="W68" s="9"/>
      <c r="X68" s="9"/>
      <c r="Y68" s="9"/>
      <c r="Z68" s="9"/>
      <c r="AA68" s="9"/>
    </row>
    <row r="69" spans="2:27" x14ac:dyDescent="0.3">
      <c r="B69" s="5" t="s">
        <v>69</v>
      </c>
      <c r="C69" s="12">
        <v>561239879</v>
      </c>
      <c r="D69" s="12">
        <v>703659020</v>
      </c>
      <c r="E69" s="12">
        <v>30870233571</v>
      </c>
      <c r="F69" s="12">
        <v>657161874</v>
      </c>
      <c r="G69" s="12">
        <v>1012244912</v>
      </c>
      <c r="H69" s="12">
        <v>853509732</v>
      </c>
      <c r="I69" s="12">
        <v>877574297</v>
      </c>
      <c r="J69" s="12">
        <v>825411487</v>
      </c>
      <c r="K69" s="12">
        <v>4296957247</v>
      </c>
      <c r="L69" s="12">
        <v>6629974351</v>
      </c>
      <c r="M69" s="12">
        <v>1771472149</v>
      </c>
      <c r="N69" s="12">
        <v>4300658713</v>
      </c>
      <c r="O69" s="12">
        <v>12912489887</v>
      </c>
      <c r="P69" s="12">
        <v>743425176</v>
      </c>
      <c r="Q69" s="12">
        <v>2874179893</v>
      </c>
      <c r="R69" s="12">
        <v>3177304757</v>
      </c>
      <c r="S69" s="12">
        <v>44670342677</v>
      </c>
      <c r="T69" s="12">
        <v>864060272</v>
      </c>
      <c r="U69" s="12">
        <v>41302472337</v>
      </c>
      <c r="V69" s="12">
        <v>2644141991</v>
      </c>
      <c r="W69" s="12">
        <v>800030042</v>
      </c>
      <c r="X69" s="12">
        <v>773993458</v>
      </c>
      <c r="Y69" s="12">
        <v>626627677</v>
      </c>
      <c r="Z69" s="12">
        <v>563156726</v>
      </c>
      <c r="AA69" s="12">
        <v>677421255</v>
      </c>
    </row>
    <row r="70" spans="2:27" ht="26.4" x14ac:dyDescent="0.3">
      <c r="B70" s="5" t="s">
        <v>70</v>
      </c>
      <c r="C70" s="9"/>
      <c r="D70" s="9"/>
      <c r="E70" s="9"/>
      <c r="F70" s="9"/>
      <c r="G70" s="9"/>
      <c r="H70" s="9"/>
      <c r="I70" s="9"/>
      <c r="J70" s="9"/>
      <c r="K70" s="9"/>
      <c r="L70" s="9"/>
      <c r="M70" s="9"/>
      <c r="N70" s="9"/>
      <c r="O70" s="9"/>
      <c r="P70" s="9"/>
      <c r="Q70" s="9"/>
      <c r="R70" s="9"/>
      <c r="S70" s="9"/>
      <c r="T70" s="9"/>
      <c r="U70" s="9"/>
      <c r="V70" s="9"/>
      <c r="W70" s="9"/>
      <c r="X70" s="9"/>
      <c r="Y70" s="9"/>
      <c r="Z70" s="9"/>
      <c r="AA70" s="9"/>
    </row>
    <row r="71" spans="2:27" x14ac:dyDescent="0.3">
      <c r="B71" s="5" t="s">
        <v>71</v>
      </c>
      <c r="C71" s="12">
        <v>103337755932</v>
      </c>
      <c r="D71" s="12">
        <v>113753765932</v>
      </c>
      <c r="E71" s="12">
        <v>114537799348</v>
      </c>
      <c r="F71" s="12">
        <v>101059604226</v>
      </c>
      <c r="G71" s="12">
        <v>90662695526</v>
      </c>
      <c r="H71" s="12">
        <v>80265786826</v>
      </c>
      <c r="I71" s="12">
        <v>76739836501</v>
      </c>
      <c r="J71" s="12">
        <v>66391612361</v>
      </c>
      <c r="K71" s="12">
        <v>56050270501</v>
      </c>
      <c r="L71" s="12">
        <v>45621204361</v>
      </c>
      <c r="M71" s="12">
        <v>37185526869</v>
      </c>
      <c r="N71" s="12">
        <v>36230144949</v>
      </c>
      <c r="O71" s="12">
        <v>28578008661</v>
      </c>
      <c r="P71" s="12">
        <v>35520373914</v>
      </c>
      <c r="Q71" s="12">
        <v>25423564777</v>
      </c>
      <c r="R71" s="12">
        <v>6954447639</v>
      </c>
      <c r="S71" s="12">
        <v>39628447639</v>
      </c>
      <c r="T71" s="12">
        <v>48611476418</v>
      </c>
      <c r="U71" s="12">
        <v>44035260092</v>
      </c>
      <c r="V71" s="12">
        <v>40516719488</v>
      </c>
      <c r="W71" s="12">
        <v>35479923169</v>
      </c>
      <c r="X71" s="12">
        <v>33054026753</v>
      </c>
      <c r="Y71" s="12">
        <v>33535860935</v>
      </c>
      <c r="Z71" s="12">
        <v>21337070454</v>
      </c>
      <c r="AA71" s="12">
        <v>14652168012</v>
      </c>
    </row>
    <row r="72" spans="2:27" x14ac:dyDescent="0.3">
      <c r="B72" s="5" t="s">
        <v>72</v>
      </c>
      <c r="C72" s="9"/>
      <c r="D72" s="9"/>
      <c r="E72" s="9"/>
      <c r="F72" s="9"/>
      <c r="G72" s="9"/>
      <c r="H72" s="9"/>
      <c r="I72" s="9"/>
      <c r="J72" s="9"/>
      <c r="K72" s="9"/>
      <c r="L72" s="9"/>
      <c r="M72" s="9"/>
      <c r="N72" s="9"/>
      <c r="O72" s="9"/>
      <c r="P72" s="9"/>
      <c r="Q72" s="9"/>
      <c r="R72" s="9"/>
      <c r="S72" s="9"/>
      <c r="T72" s="9"/>
      <c r="U72" s="9"/>
      <c r="V72" s="9"/>
      <c r="W72" s="9"/>
      <c r="X72" s="9"/>
      <c r="Y72" s="9"/>
      <c r="Z72" s="9"/>
      <c r="AA72" s="9"/>
    </row>
    <row r="73" spans="2:27" x14ac:dyDescent="0.3">
      <c r="B73" s="5" t="s">
        <v>73</v>
      </c>
      <c r="C73" s="9"/>
      <c r="D73" s="9"/>
      <c r="E73" s="9"/>
      <c r="F73" s="9"/>
      <c r="G73" s="9"/>
      <c r="H73" s="9"/>
      <c r="I73" s="9"/>
      <c r="J73" s="9"/>
      <c r="K73" s="9"/>
      <c r="L73" s="9"/>
      <c r="M73" s="9"/>
      <c r="N73" s="9"/>
      <c r="O73" s="9"/>
      <c r="P73" s="9"/>
      <c r="Q73" s="9"/>
      <c r="R73" s="9"/>
      <c r="S73" s="9"/>
      <c r="T73" s="9"/>
      <c r="U73" s="9"/>
      <c r="V73" s="9"/>
      <c r="W73" s="9"/>
      <c r="X73" s="9"/>
      <c r="Y73" s="9"/>
      <c r="Z73" s="9"/>
      <c r="AA73" s="9"/>
    </row>
    <row r="74" spans="2:27" x14ac:dyDescent="0.3">
      <c r="B74" s="5" t="s">
        <v>74</v>
      </c>
      <c r="C74" s="9"/>
      <c r="D74" s="9"/>
      <c r="E74" s="9"/>
      <c r="F74" s="9"/>
      <c r="G74" s="9"/>
      <c r="H74" s="9"/>
      <c r="I74" s="9"/>
      <c r="J74" s="9"/>
      <c r="K74" s="9"/>
      <c r="L74" s="9"/>
      <c r="M74" s="9"/>
      <c r="N74" s="9"/>
      <c r="O74" s="9"/>
      <c r="P74" s="9"/>
      <c r="Q74" s="9"/>
      <c r="R74" s="9"/>
      <c r="S74" s="9"/>
      <c r="T74" s="12">
        <v>868085460</v>
      </c>
      <c r="U74" s="12">
        <v>1633156075</v>
      </c>
      <c r="V74" s="9"/>
      <c r="W74" s="9"/>
      <c r="X74" s="9"/>
      <c r="Y74" s="9"/>
      <c r="Z74" s="9"/>
      <c r="AA74" s="9"/>
    </row>
    <row r="75" spans="2:27" x14ac:dyDescent="0.3">
      <c r="B75" s="5" t="s">
        <v>75</v>
      </c>
      <c r="C75" s="12">
        <v>103264156310</v>
      </c>
      <c r="D75" s="12">
        <v>113680166310</v>
      </c>
      <c r="E75" s="12">
        <v>114386442726</v>
      </c>
      <c r="F75" s="12">
        <v>100983497226</v>
      </c>
      <c r="G75" s="12">
        <v>90586588526</v>
      </c>
      <c r="H75" s="12">
        <v>80189679826</v>
      </c>
      <c r="I75" s="12">
        <v>69785388862</v>
      </c>
      <c r="J75" s="12">
        <v>59437164722</v>
      </c>
      <c r="K75" s="12">
        <v>49095822862</v>
      </c>
      <c r="L75" s="12">
        <v>38666756722</v>
      </c>
      <c r="M75" s="12">
        <v>30231079230</v>
      </c>
      <c r="N75" s="12">
        <v>29275697310</v>
      </c>
      <c r="O75" s="12">
        <v>21623561022</v>
      </c>
      <c r="P75" s="12">
        <v>28565926275</v>
      </c>
      <c r="Q75" s="12">
        <v>18469117138</v>
      </c>
      <c r="R75" s="9"/>
      <c r="S75" s="12">
        <v>32674000000</v>
      </c>
      <c r="T75" s="12">
        <v>40788943319</v>
      </c>
      <c r="U75" s="12">
        <v>35447656378</v>
      </c>
      <c r="V75" s="12">
        <v>33562271849</v>
      </c>
      <c r="W75" s="12">
        <v>28525475530</v>
      </c>
      <c r="X75" s="12">
        <v>23299579114</v>
      </c>
      <c r="Y75" s="12">
        <v>16614683724</v>
      </c>
      <c r="Z75" s="12">
        <v>9929788334</v>
      </c>
      <c r="AA75" s="12">
        <v>3244885892</v>
      </c>
    </row>
    <row r="76" spans="2:27" ht="26.4" x14ac:dyDescent="0.3">
      <c r="B76" s="5" t="s">
        <v>76</v>
      </c>
      <c r="C76" s="9"/>
      <c r="D76" s="9"/>
      <c r="E76" s="9"/>
      <c r="F76" s="9"/>
      <c r="G76" s="9"/>
      <c r="H76" s="9"/>
      <c r="I76" s="9"/>
      <c r="J76" s="9"/>
      <c r="K76" s="9"/>
      <c r="L76" s="9"/>
      <c r="M76" s="9"/>
      <c r="N76" s="9"/>
      <c r="O76" s="9"/>
      <c r="P76" s="9"/>
      <c r="Q76" s="9"/>
      <c r="R76" s="9"/>
      <c r="S76" s="9"/>
      <c r="T76" s="9"/>
      <c r="U76" s="9"/>
      <c r="V76" s="9"/>
      <c r="W76" s="9"/>
      <c r="X76" s="9"/>
      <c r="Y76" s="9"/>
      <c r="Z76" s="9"/>
      <c r="AA76" s="9"/>
    </row>
    <row r="77" spans="2:27" x14ac:dyDescent="0.3">
      <c r="B77" s="5" t="s">
        <v>77</v>
      </c>
      <c r="C77" s="12">
        <v>73599622</v>
      </c>
      <c r="D77" s="12">
        <v>73599622</v>
      </c>
      <c r="E77" s="12">
        <v>151356622</v>
      </c>
      <c r="F77" s="12">
        <v>76107000</v>
      </c>
      <c r="G77" s="12">
        <v>76107000</v>
      </c>
      <c r="H77" s="12">
        <v>76107000</v>
      </c>
      <c r="I77" s="9"/>
      <c r="J77" s="9"/>
      <c r="K77" s="9"/>
      <c r="L77" s="9"/>
      <c r="M77" s="9"/>
      <c r="N77" s="9"/>
      <c r="O77" s="9"/>
      <c r="P77" s="9"/>
      <c r="Q77" s="9"/>
      <c r="R77" s="9"/>
      <c r="S77" s="9"/>
      <c r="T77" s="9"/>
      <c r="U77" s="9"/>
      <c r="V77" s="9"/>
      <c r="W77" s="9"/>
      <c r="X77" s="9"/>
      <c r="Y77" s="9"/>
      <c r="Z77" s="9"/>
      <c r="AA77" s="9"/>
    </row>
    <row r="78" spans="2:27" ht="26.4" x14ac:dyDescent="0.3">
      <c r="B78" s="5" t="s">
        <v>78</v>
      </c>
      <c r="C78" s="9"/>
      <c r="D78" s="9"/>
      <c r="E78" s="9"/>
      <c r="F78" s="9"/>
      <c r="G78" s="9"/>
      <c r="H78" s="9"/>
      <c r="I78" s="9"/>
      <c r="J78" s="9"/>
      <c r="K78" s="9"/>
      <c r="L78" s="9"/>
      <c r="M78" s="9"/>
      <c r="N78" s="9"/>
      <c r="O78" s="9"/>
      <c r="P78" s="9"/>
      <c r="Q78" s="9"/>
      <c r="R78" s="9"/>
      <c r="S78" s="9"/>
      <c r="T78" s="9"/>
      <c r="U78" s="9"/>
      <c r="V78" s="9"/>
      <c r="W78" s="9"/>
      <c r="X78" s="12">
        <v>2800000000</v>
      </c>
      <c r="Y78" s="12">
        <v>9966729572</v>
      </c>
      <c r="Z78" s="12">
        <v>4452834481</v>
      </c>
      <c r="AA78" s="12">
        <v>4452834481</v>
      </c>
    </row>
    <row r="79" spans="2:27" x14ac:dyDescent="0.3">
      <c r="B79" s="2" t="s">
        <v>79</v>
      </c>
      <c r="C79" s="10">
        <v>332831659961</v>
      </c>
      <c r="D79" s="10">
        <v>389194808101</v>
      </c>
      <c r="E79" s="10">
        <v>388393697154</v>
      </c>
      <c r="F79" s="10">
        <v>424987995922</v>
      </c>
      <c r="G79" s="10">
        <v>360122596536</v>
      </c>
      <c r="H79" s="10">
        <v>386180539583</v>
      </c>
      <c r="I79" s="10">
        <v>380969801636</v>
      </c>
      <c r="J79" s="10">
        <v>377126120487</v>
      </c>
      <c r="K79" s="10">
        <v>375368732099</v>
      </c>
      <c r="L79" s="10">
        <v>403578771540</v>
      </c>
      <c r="M79" s="10">
        <v>443509221775</v>
      </c>
      <c r="N79" s="10">
        <v>427916127336</v>
      </c>
      <c r="O79" s="10">
        <v>373775632409</v>
      </c>
      <c r="P79" s="10">
        <v>410978518153</v>
      </c>
      <c r="Q79" s="10">
        <v>432516581955</v>
      </c>
      <c r="R79" s="10">
        <v>400867419208</v>
      </c>
      <c r="S79" s="10">
        <v>385780899367</v>
      </c>
      <c r="T79" s="10">
        <v>408992807019</v>
      </c>
      <c r="U79" s="10">
        <v>398509776873</v>
      </c>
      <c r="V79" s="10">
        <v>379007597468</v>
      </c>
      <c r="W79" s="10">
        <v>406112911270</v>
      </c>
      <c r="X79" s="10">
        <v>429217187954</v>
      </c>
      <c r="Y79" s="10">
        <v>456519393335</v>
      </c>
      <c r="Z79" s="10">
        <v>486941324510</v>
      </c>
      <c r="AA79" s="10">
        <v>423422167755</v>
      </c>
    </row>
    <row r="80" spans="2:27" x14ac:dyDescent="0.3">
      <c r="B80" s="5" t="s">
        <v>80</v>
      </c>
      <c r="C80" s="12">
        <v>332831659961</v>
      </c>
      <c r="D80" s="12">
        <v>389194808101</v>
      </c>
      <c r="E80" s="12">
        <v>388393697154</v>
      </c>
      <c r="F80" s="12">
        <v>424987995922</v>
      </c>
      <c r="G80" s="12">
        <v>360122596536</v>
      </c>
      <c r="H80" s="12">
        <v>386180539583</v>
      </c>
      <c r="I80" s="12">
        <v>380969801636</v>
      </c>
      <c r="J80" s="12">
        <v>377126120487</v>
      </c>
      <c r="K80" s="12">
        <v>375368732099</v>
      </c>
      <c r="L80" s="12">
        <v>403578771540</v>
      </c>
      <c r="M80" s="12">
        <v>443509221775</v>
      </c>
      <c r="N80" s="12">
        <v>427916127336</v>
      </c>
      <c r="O80" s="12">
        <v>373775632409</v>
      </c>
      <c r="P80" s="12">
        <v>410978518153</v>
      </c>
      <c r="Q80" s="12">
        <v>432516581955</v>
      </c>
      <c r="R80" s="12">
        <v>400867419208</v>
      </c>
      <c r="S80" s="12">
        <v>385780899367</v>
      </c>
      <c r="T80" s="12">
        <v>408992807019</v>
      </c>
      <c r="U80" s="12">
        <v>398509776873</v>
      </c>
      <c r="V80" s="12">
        <v>379007597468</v>
      </c>
      <c r="W80" s="12">
        <v>406112911270</v>
      </c>
      <c r="X80" s="12">
        <v>429217187954</v>
      </c>
      <c r="Y80" s="12">
        <v>456519393335</v>
      </c>
      <c r="Z80" s="12">
        <v>486941324510</v>
      </c>
      <c r="AA80" s="12">
        <v>423422167755</v>
      </c>
    </row>
    <row r="81" spans="2:27" x14ac:dyDescent="0.3">
      <c r="B81" s="5" t="s">
        <v>81</v>
      </c>
      <c r="C81" s="12">
        <v>162499430000</v>
      </c>
      <c r="D81" s="12">
        <v>162499430000</v>
      </c>
      <c r="E81" s="12">
        <v>203120380000</v>
      </c>
      <c r="F81" s="12">
        <v>213276380000</v>
      </c>
      <c r="G81" s="12">
        <v>213276380000</v>
      </c>
      <c r="H81" s="12">
        <v>213276380000</v>
      </c>
      <c r="I81" s="12">
        <v>213276380000</v>
      </c>
      <c r="J81" s="12">
        <v>213276380000</v>
      </c>
      <c r="K81" s="12">
        <v>213276380000</v>
      </c>
      <c r="L81" s="12">
        <v>213276380000</v>
      </c>
      <c r="M81" s="12">
        <v>270000000000</v>
      </c>
      <c r="N81" s="12">
        <v>270000000000</v>
      </c>
      <c r="O81" s="12">
        <v>270000000000</v>
      </c>
      <c r="P81" s="12">
        <v>270000000000</v>
      </c>
      <c r="Q81" s="12">
        <v>270000000000</v>
      </c>
      <c r="R81" s="12">
        <v>270000000000</v>
      </c>
      <c r="S81" s="12">
        <v>270000000000</v>
      </c>
      <c r="T81" s="12">
        <v>270000000000</v>
      </c>
      <c r="U81" s="12">
        <v>270000000000</v>
      </c>
      <c r="V81" s="12">
        <v>270000000000</v>
      </c>
      <c r="W81" s="12">
        <v>270000000000</v>
      </c>
      <c r="X81" s="12">
        <v>270000000000</v>
      </c>
      <c r="Y81" s="12">
        <v>270000000000</v>
      </c>
      <c r="Z81" s="12">
        <v>270000000000</v>
      </c>
      <c r="AA81" s="12">
        <v>270000000000</v>
      </c>
    </row>
    <row r="82" spans="2:27" x14ac:dyDescent="0.3">
      <c r="B82" s="5" t="s">
        <v>82</v>
      </c>
      <c r="C82" s="12">
        <v>1695680000</v>
      </c>
      <c r="D82" s="12">
        <v>1695680000</v>
      </c>
      <c r="E82" s="12">
        <v>1695680000</v>
      </c>
      <c r="F82" s="12">
        <v>1695680000</v>
      </c>
      <c r="G82" s="12">
        <v>1695680000</v>
      </c>
      <c r="H82" s="12">
        <v>1695680000</v>
      </c>
      <c r="I82" s="12">
        <v>1695680000</v>
      </c>
      <c r="J82" s="12">
        <v>1695680000</v>
      </c>
      <c r="K82" s="12">
        <v>1695680000</v>
      </c>
      <c r="L82" s="12">
        <v>1695680000</v>
      </c>
      <c r="M82" s="12">
        <v>1695680000</v>
      </c>
      <c r="N82" s="12">
        <v>1695680000</v>
      </c>
      <c r="O82" s="12">
        <v>1695680000</v>
      </c>
      <c r="P82" s="12">
        <v>1695680000</v>
      </c>
      <c r="Q82" s="12">
        <v>1695680000</v>
      </c>
      <c r="R82" s="12">
        <v>1695680000</v>
      </c>
      <c r="S82" s="12">
        <v>1695680000</v>
      </c>
      <c r="T82" s="12">
        <v>1695680000</v>
      </c>
      <c r="U82" s="12">
        <v>1695680000</v>
      </c>
      <c r="V82" s="12">
        <v>1695680000</v>
      </c>
      <c r="W82" s="12">
        <v>1695680000</v>
      </c>
      <c r="X82" s="12">
        <v>1695680000</v>
      </c>
      <c r="Y82" s="12">
        <v>1695680000</v>
      </c>
      <c r="Z82" s="12">
        <v>1695680000</v>
      </c>
      <c r="AA82" s="12">
        <v>1695680000</v>
      </c>
    </row>
    <row r="83" spans="2:27" x14ac:dyDescent="0.3">
      <c r="B83" s="5" t="s">
        <v>83</v>
      </c>
      <c r="C83" s="9"/>
      <c r="D83" s="9"/>
      <c r="E83" s="9"/>
      <c r="F83" s="9"/>
      <c r="G83" s="12">
        <v>10172434367</v>
      </c>
      <c r="H83" s="9"/>
      <c r="I83" s="12">
        <v>10172434367</v>
      </c>
      <c r="J83" s="12">
        <v>10172434367</v>
      </c>
      <c r="K83" s="9"/>
      <c r="L83" s="9"/>
      <c r="M83" s="9"/>
      <c r="N83" s="9"/>
      <c r="O83" s="12">
        <v>3554581745</v>
      </c>
      <c r="P83" s="9"/>
      <c r="Q83" s="9"/>
      <c r="R83" s="9"/>
      <c r="S83" s="12">
        <v>9179045649</v>
      </c>
      <c r="T83" s="9"/>
      <c r="U83" s="12">
        <v>9179045649</v>
      </c>
      <c r="V83" s="12">
        <v>9179045649</v>
      </c>
      <c r="W83" s="12">
        <v>9179045649</v>
      </c>
      <c r="X83" s="12">
        <v>9179045649</v>
      </c>
      <c r="Y83" s="12">
        <v>9179045649</v>
      </c>
      <c r="Z83" s="9"/>
      <c r="AA83" s="12">
        <v>9179045649</v>
      </c>
    </row>
    <row r="84" spans="2:27" x14ac:dyDescent="0.3">
      <c r="B84" s="5" t="s">
        <v>84</v>
      </c>
      <c r="C84" s="9"/>
      <c r="D84" s="9"/>
      <c r="E84" s="9"/>
      <c r="F84" s="9"/>
      <c r="G84" s="9"/>
      <c r="H84" s="9"/>
      <c r="I84" s="9"/>
      <c r="J84" s="9"/>
      <c r="K84" s="12">
        <v>10172434367</v>
      </c>
      <c r="L84" s="9"/>
      <c r="M84" s="12">
        <v>-3270000</v>
      </c>
      <c r="N84" s="12">
        <v>-3270000</v>
      </c>
      <c r="O84" s="12">
        <v>-3270000</v>
      </c>
      <c r="P84" s="12">
        <v>-3270000</v>
      </c>
      <c r="Q84" s="12">
        <v>-3270000</v>
      </c>
      <c r="R84" s="12">
        <v>-3270000</v>
      </c>
      <c r="S84" s="12">
        <v>-3270000</v>
      </c>
      <c r="T84" s="12">
        <v>-3270000</v>
      </c>
      <c r="U84" s="12">
        <v>-3270000</v>
      </c>
      <c r="V84" s="12">
        <v>-3270000</v>
      </c>
      <c r="W84" s="12">
        <v>-3270000</v>
      </c>
      <c r="X84" s="12">
        <v>-3270000</v>
      </c>
      <c r="Y84" s="12">
        <v>-3270000</v>
      </c>
      <c r="Z84" s="12">
        <v>-3270000</v>
      </c>
      <c r="AA84" s="12">
        <v>-3270000</v>
      </c>
    </row>
    <row r="85" spans="2:27" ht="26.4" x14ac:dyDescent="0.3">
      <c r="B85" s="5" t="s">
        <v>85</v>
      </c>
      <c r="C85" s="9"/>
      <c r="D85" s="9"/>
      <c r="E85" s="9"/>
      <c r="F85" s="9"/>
      <c r="G85" s="9"/>
      <c r="H85" s="9"/>
      <c r="I85" s="9"/>
      <c r="J85" s="9"/>
      <c r="K85" s="9"/>
      <c r="L85" s="9"/>
      <c r="M85" s="9"/>
      <c r="N85" s="9"/>
      <c r="O85" s="9"/>
      <c r="P85" s="9"/>
      <c r="Q85" s="9"/>
      <c r="R85" s="9"/>
      <c r="S85" s="9"/>
      <c r="T85" s="9"/>
      <c r="U85" s="9"/>
      <c r="V85" s="9"/>
      <c r="W85" s="9"/>
      <c r="X85" s="9"/>
      <c r="Y85" s="9"/>
      <c r="Z85" s="9"/>
      <c r="AA85" s="9"/>
    </row>
    <row r="86" spans="2:27" x14ac:dyDescent="0.3">
      <c r="B86" s="5" t="s">
        <v>86</v>
      </c>
      <c r="C86" s="9"/>
      <c r="D86" s="12">
        <v>-4895720</v>
      </c>
      <c r="E86" s="9"/>
      <c r="F86" s="9"/>
      <c r="G86" s="9"/>
      <c r="H86" s="9"/>
      <c r="I86" s="9"/>
      <c r="J86" s="9"/>
      <c r="K86" s="9"/>
      <c r="L86" s="9"/>
      <c r="M86" s="9"/>
      <c r="N86" s="9"/>
      <c r="O86" s="9"/>
      <c r="P86" s="9"/>
      <c r="Q86" s="9"/>
      <c r="R86" s="9"/>
      <c r="S86" s="9"/>
      <c r="T86" s="9"/>
      <c r="U86" s="9"/>
      <c r="V86" s="9"/>
      <c r="W86" s="9"/>
      <c r="X86" s="9"/>
      <c r="Y86" s="9"/>
      <c r="Z86" s="9"/>
      <c r="AA86" s="9"/>
    </row>
    <row r="87" spans="2:27" x14ac:dyDescent="0.3">
      <c r="B87" s="5" t="s">
        <v>87</v>
      </c>
      <c r="C87" s="12">
        <v>36858546241</v>
      </c>
      <c r="D87" s="12">
        <v>36858546241</v>
      </c>
      <c r="E87" s="12">
        <v>12485556241</v>
      </c>
      <c r="F87" s="12">
        <v>12485556241</v>
      </c>
      <c r="G87" s="12">
        <v>43002859341</v>
      </c>
      <c r="H87" s="12">
        <v>43002859341</v>
      </c>
      <c r="I87" s="12">
        <v>43002859341</v>
      </c>
      <c r="J87" s="12">
        <v>43002859341</v>
      </c>
      <c r="K87" s="12">
        <v>54795483258</v>
      </c>
      <c r="L87" s="12">
        <v>54795483258</v>
      </c>
      <c r="M87" s="12">
        <v>8727793258</v>
      </c>
      <c r="N87" s="12">
        <v>8727793258</v>
      </c>
      <c r="O87" s="12">
        <v>17915375316</v>
      </c>
      <c r="P87" s="12">
        <v>17915375316</v>
      </c>
      <c r="Q87" s="12">
        <v>17915375316</v>
      </c>
      <c r="R87" s="12">
        <v>40602364821</v>
      </c>
      <c r="S87" s="12">
        <v>46226828725</v>
      </c>
      <c r="T87" s="12">
        <v>46226828725</v>
      </c>
      <c r="U87" s="12">
        <v>46226828725</v>
      </c>
      <c r="V87" s="12">
        <v>46226828725</v>
      </c>
      <c r="W87" s="12">
        <v>69972247531</v>
      </c>
      <c r="X87" s="12">
        <v>69972247531</v>
      </c>
      <c r="Y87" s="12">
        <v>69972247531</v>
      </c>
      <c r="Z87" s="12">
        <v>69972247531</v>
      </c>
      <c r="AA87" s="12">
        <v>69972247531</v>
      </c>
    </row>
    <row r="88" spans="2:27" x14ac:dyDescent="0.3">
      <c r="B88" s="5" t="s">
        <v>88</v>
      </c>
      <c r="C88" s="12">
        <v>11141013212</v>
      </c>
      <c r="D88" s="12">
        <v>11141013212</v>
      </c>
      <c r="E88" s="12">
        <v>11141013212</v>
      </c>
      <c r="F88" s="12">
        <v>11141013212</v>
      </c>
      <c r="G88" s="12">
        <v>21313447579</v>
      </c>
      <c r="H88" s="12">
        <v>21313447579</v>
      </c>
      <c r="I88" s="12">
        <v>21313447579</v>
      </c>
      <c r="J88" s="12">
        <v>21313447579</v>
      </c>
      <c r="K88" s="12">
        <v>27209759537</v>
      </c>
      <c r="L88" s="12">
        <v>27209759537</v>
      </c>
      <c r="M88" s="12">
        <v>27209759537</v>
      </c>
      <c r="N88" s="12">
        <v>27209759537</v>
      </c>
      <c r="O88" s="12">
        <v>22686989505</v>
      </c>
      <c r="P88" s="12">
        <v>22686989505</v>
      </c>
      <c r="Q88" s="12">
        <v>22686989505</v>
      </c>
      <c r="R88" s="9"/>
      <c r="S88" s="9"/>
      <c r="T88" s="9"/>
      <c r="U88" s="9"/>
      <c r="V88" s="9"/>
      <c r="W88" s="9"/>
      <c r="X88" s="9"/>
      <c r="Y88" s="9"/>
      <c r="Z88" s="9"/>
      <c r="AA88" s="9"/>
    </row>
    <row r="89" spans="2:27" x14ac:dyDescent="0.3">
      <c r="B89" s="5" t="s">
        <v>89</v>
      </c>
      <c r="C89" s="9"/>
      <c r="D89" s="9"/>
      <c r="E89" s="9"/>
      <c r="F89" s="9"/>
      <c r="G89" s="9"/>
      <c r="H89" s="12">
        <v>10172434367</v>
      </c>
      <c r="I89" s="9"/>
      <c r="J89" s="9"/>
      <c r="K89" s="9"/>
      <c r="L89" s="12">
        <v>10172434367</v>
      </c>
      <c r="M89" s="12">
        <v>10172434367</v>
      </c>
      <c r="N89" s="12">
        <v>10172434367</v>
      </c>
      <c r="O89" s="9"/>
      <c r="P89" s="12">
        <v>3554581745</v>
      </c>
      <c r="Q89" s="12">
        <v>3554581745</v>
      </c>
      <c r="R89" s="12">
        <v>3554581745</v>
      </c>
      <c r="S89" s="9"/>
      <c r="T89" s="12">
        <v>9179045649</v>
      </c>
      <c r="U89" s="9"/>
      <c r="V89" s="9"/>
      <c r="W89" s="9"/>
      <c r="X89" s="9"/>
      <c r="Y89" s="9"/>
      <c r="Z89" s="12">
        <v>9179045649</v>
      </c>
      <c r="AA89" s="9"/>
    </row>
    <row r="90" spans="2:27" x14ac:dyDescent="0.3">
      <c r="B90" s="5" t="s">
        <v>90</v>
      </c>
      <c r="C90" s="12">
        <v>120636990508</v>
      </c>
      <c r="D90" s="12">
        <v>177005034368</v>
      </c>
      <c r="E90" s="12">
        <v>159951067701</v>
      </c>
      <c r="F90" s="12">
        <v>186389366469</v>
      </c>
      <c r="G90" s="12">
        <v>70661795249</v>
      </c>
      <c r="H90" s="12">
        <v>96719738296</v>
      </c>
      <c r="I90" s="12">
        <v>91509000349</v>
      </c>
      <c r="J90" s="12">
        <v>87665319200</v>
      </c>
      <c r="K90" s="12">
        <v>68218994937</v>
      </c>
      <c r="L90" s="12">
        <v>96429034378</v>
      </c>
      <c r="M90" s="12">
        <v>125706824613</v>
      </c>
      <c r="N90" s="12">
        <v>110113730174</v>
      </c>
      <c r="O90" s="12">
        <v>57926275843</v>
      </c>
      <c r="P90" s="12">
        <v>95129161587</v>
      </c>
      <c r="Q90" s="12">
        <v>116667225389</v>
      </c>
      <c r="R90" s="12">
        <v>85018062642</v>
      </c>
      <c r="S90" s="12">
        <v>58682614993</v>
      </c>
      <c r="T90" s="12">
        <v>81894522645</v>
      </c>
      <c r="U90" s="12">
        <v>71411492499</v>
      </c>
      <c r="V90" s="12">
        <v>51909313094</v>
      </c>
      <c r="W90" s="12">
        <v>55269208090</v>
      </c>
      <c r="X90" s="12">
        <v>78373484774</v>
      </c>
      <c r="Y90" s="12">
        <v>105675690155</v>
      </c>
      <c r="Z90" s="12">
        <v>136097621330</v>
      </c>
      <c r="AA90" s="12">
        <v>72578464575</v>
      </c>
    </row>
    <row r="91" spans="2:27" ht="26.4" x14ac:dyDescent="0.3">
      <c r="B91" s="5" t="s">
        <v>91</v>
      </c>
      <c r="C91" s="9"/>
      <c r="D91" s="9"/>
      <c r="E91" s="9"/>
      <c r="F91" s="9"/>
      <c r="G91" s="9"/>
      <c r="H91" s="9"/>
      <c r="I91" s="9"/>
      <c r="J91" s="9"/>
      <c r="K91" s="9"/>
      <c r="L91" s="9"/>
      <c r="M91" s="9"/>
      <c r="N91" s="9"/>
      <c r="O91" s="9"/>
      <c r="P91" s="9"/>
      <c r="Q91" s="9"/>
      <c r="R91" s="9"/>
      <c r="S91" s="9"/>
      <c r="T91" s="9"/>
      <c r="U91" s="9"/>
      <c r="V91" s="9"/>
      <c r="W91" s="9"/>
      <c r="X91" s="9"/>
      <c r="Y91" s="9"/>
      <c r="Z91" s="9"/>
      <c r="AA91" s="9"/>
    </row>
    <row r="92" spans="2:27" x14ac:dyDescent="0.3">
      <c r="B92" s="5" t="s">
        <v>92</v>
      </c>
      <c r="C92" s="9"/>
      <c r="D92" s="9"/>
      <c r="E92" s="9"/>
      <c r="F92" s="9"/>
      <c r="G92" s="9"/>
      <c r="H92" s="9"/>
      <c r="I92" s="9"/>
      <c r="J92" s="9"/>
      <c r="K92" s="9"/>
      <c r="L92" s="9"/>
      <c r="M92" s="9"/>
      <c r="N92" s="9"/>
      <c r="O92" s="9"/>
      <c r="P92" s="9"/>
      <c r="Q92" s="9"/>
      <c r="R92" s="9"/>
      <c r="S92" s="9"/>
      <c r="T92" s="9"/>
      <c r="U92" s="9"/>
      <c r="V92" s="9"/>
      <c r="W92" s="9"/>
      <c r="X92" s="9"/>
      <c r="Y92" s="9"/>
      <c r="Z92" s="9"/>
      <c r="AA92" s="9"/>
    </row>
    <row r="93" spans="2:27" x14ac:dyDescent="0.3">
      <c r="B93" s="5" t="s">
        <v>93</v>
      </c>
      <c r="C93" s="9"/>
      <c r="D93" s="9"/>
      <c r="E93" s="9"/>
      <c r="F93" s="9"/>
      <c r="G93" s="9"/>
      <c r="H93" s="9"/>
      <c r="I93" s="9"/>
      <c r="J93" s="9"/>
      <c r="K93" s="9"/>
      <c r="L93" s="9"/>
      <c r="M93" s="9"/>
      <c r="N93" s="9"/>
      <c r="O93" s="9"/>
      <c r="P93" s="9"/>
      <c r="Q93" s="9"/>
      <c r="R93" s="9"/>
      <c r="S93" s="9"/>
      <c r="T93" s="9"/>
      <c r="U93" s="9"/>
      <c r="V93" s="9"/>
      <c r="W93" s="9"/>
      <c r="X93" s="9"/>
      <c r="Y93" s="9"/>
      <c r="Z93" s="9"/>
      <c r="AA93" s="9"/>
    </row>
    <row r="94" spans="2:27" x14ac:dyDescent="0.3">
      <c r="B94" s="2" t="s">
        <v>94</v>
      </c>
      <c r="C94" s="9"/>
      <c r="D94" s="9"/>
      <c r="E94" s="9"/>
      <c r="F94" s="9"/>
      <c r="G94" s="9"/>
      <c r="H94" s="9"/>
      <c r="I94" s="9"/>
      <c r="J94" s="9"/>
      <c r="K94" s="9"/>
      <c r="L94" s="9"/>
      <c r="M94" s="9"/>
      <c r="N94" s="9"/>
      <c r="O94" s="9"/>
      <c r="P94" s="9"/>
      <c r="Q94" s="9"/>
      <c r="R94" s="9"/>
      <c r="S94" s="9"/>
      <c r="T94" s="9"/>
      <c r="U94" s="9"/>
      <c r="V94" s="9"/>
      <c r="W94" s="9"/>
      <c r="X94" s="9"/>
      <c r="Y94" s="9"/>
      <c r="Z94" s="9"/>
      <c r="AA94" s="9"/>
    </row>
    <row r="95" spans="2:27" x14ac:dyDescent="0.3">
      <c r="B95" s="2" t="s">
        <v>95</v>
      </c>
      <c r="C95" s="12">
        <v>598812814848</v>
      </c>
      <c r="D95" s="12">
        <v>632941426858</v>
      </c>
      <c r="E95" s="12">
        <v>707835556405</v>
      </c>
      <c r="F95" s="12">
        <v>654981645305</v>
      </c>
      <c r="G95" s="12">
        <v>592599207522</v>
      </c>
      <c r="H95" s="12">
        <v>622177203384</v>
      </c>
      <c r="I95" s="12">
        <v>623204458607</v>
      </c>
      <c r="J95" s="12">
        <v>590829662049</v>
      </c>
      <c r="K95" s="12">
        <v>611403729332</v>
      </c>
      <c r="L95" s="12">
        <v>637556005881</v>
      </c>
      <c r="M95" s="12">
        <v>644885258439</v>
      </c>
      <c r="N95" s="12">
        <v>628736787360</v>
      </c>
      <c r="O95" s="12">
        <v>672618119241</v>
      </c>
      <c r="P95" s="12">
        <v>666246444312</v>
      </c>
      <c r="Q95" s="12">
        <v>639772409470</v>
      </c>
      <c r="R95" s="12">
        <v>547158025802</v>
      </c>
      <c r="S95" s="12">
        <v>649840196273</v>
      </c>
      <c r="T95" s="12">
        <v>638916528045</v>
      </c>
      <c r="U95" s="12">
        <v>643671905030</v>
      </c>
      <c r="V95" s="12">
        <v>564853359412</v>
      </c>
      <c r="W95" s="10">
        <v>601438318849</v>
      </c>
      <c r="X95" s="10">
        <v>634102525161</v>
      </c>
      <c r="Y95" s="10">
        <v>647732332545</v>
      </c>
      <c r="Z95" s="10">
        <v>694792427761</v>
      </c>
      <c r="AA95" s="10">
        <v>685721482880</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3:AC28"/>
  <sheetViews>
    <sheetView topLeftCell="S1" workbookViewId="0">
      <selection activeCell="B3" sqref="B3:AC28"/>
    </sheetView>
  </sheetViews>
  <sheetFormatPr defaultColWidth="8.88671875" defaultRowHeight="14.4" x14ac:dyDescent="0.3"/>
  <cols>
    <col min="2" max="2" width="27.33203125" customWidth="1"/>
    <col min="3" max="3" width="14.44140625" bestFit="1" customWidth="1"/>
    <col min="4" max="5" width="14.88671875" bestFit="1" customWidth="1"/>
    <col min="6" max="29" width="15.44140625" bestFit="1" customWidth="1"/>
  </cols>
  <sheetData>
    <row r="3" spans="2:29" x14ac:dyDescent="0.3">
      <c r="B3" s="7"/>
      <c r="C3" s="7" t="s">
        <v>461</v>
      </c>
      <c r="D3" s="7" t="s">
        <v>462</v>
      </c>
      <c r="E3" s="8" t="s">
        <v>463</v>
      </c>
      <c r="F3" s="7" t="s">
        <v>464</v>
      </c>
      <c r="G3" s="7" t="s">
        <v>465</v>
      </c>
      <c r="H3" s="7" t="s">
        <v>466</v>
      </c>
      <c r="I3" s="8" t="s">
        <v>467</v>
      </c>
      <c r="J3" s="7" t="s">
        <v>468</v>
      </c>
      <c r="K3" s="7" t="s">
        <v>469</v>
      </c>
      <c r="L3" s="7" t="s">
        <v>470</v>
      </c>
      <c r="M3" s="8" t="s">
        <v>471</v>
      </c>
      <c r="N3" s="7" t="s">
        <v>472</v>
      </c>
      <c r="O3" s="7" t="s">
        <v>473</v>
      </c>
      <c r="P3" s="7" t="s">
        <v>474</v>
      </c>
      <c r="Q3" s="8" t="s">
        <v>475</v>
      </c>
      <c r="R3" s="7" t="s">
        <v>476</v>
      </c>
      <c r="S3" s="7" t="s">
        <v>477</v>
      </c>
      <c r="T3" s="7" t="s">
        <v>478</v>
      </c>
      <c r="U3" s="8" t="s">
        <v>479</v>
      </c>
      <c r="V3" s="7" t="s">
        <v>480</v>
      </c>
      <c r="W3" s="7" t="s">
        <v>481</v>
      </c>
      <c r="X3" s="7" t="s">
        <v>482</v>
      </c>
      <c r="Y3" s="8" t="s">
        <v>483</v>
      </c>
      <c r="Z3" s="7" t="s">
        <v>484</v>
      </c>
      <c r="AA3" s="7" t="s">
        <v>485</v>
      </c>
      <c r="AB3" s="7" t="s">
        <v>486</v>
      </c>
      <c r="AC3" s="8" t="s">
        <v>487</v>
      </c>
    </row>
    <row r="4" spans="2:29" x14ac:dyDescent="0.3">
      <c r="B4" s="7"/>
      <c r="C4" s="7"/>
      <c r="D4" s="7"/>
      <c r="E4" s="9" t="s">
        <v>488</v>
      </c>
      <c r="F4" s="7"/>
      <c r="G4" s="7"/>
      <c r="H4" s="7"/>
      <c r="I4" s="9" t="s">
        <v>488</v>
      </c>
      <c r="J4" s="7"/>
      <c r="K4" s="7"/>
      <c r="L4" s="7"/>
      <c r="M4" s="9" t="s">
        <v>488</v>
      </c>
      <c r="N4" s="7"/>
      <c r="O4" s="7"/>
      <c r="P4" s="7"/>
      <c r="Q4" s="9" t="s">
        <v>488</v>
      </c>
      <c r="R4" s="7"/>
      <c r="S4" s="7"/>
      <c r="T4" s="7"/>
      <c r="U4" s="9" t="s">
        <v>488</v>
      </c>
      <c r="V4" s="7"/>
      <c r="W4" s="7"/>
      <c r="X4" s="7"/>
      <c r="Y4" s="9" t="s">
        <v>488</v>
      </c>
      <c r="Z4" s="7"/>
      <c r="AA4" s="7"/>
      <c r="AB4" s="7"/>
      <c r="AC4" s="9" t="s">
        <v>489</v>
      </c>
    </row>
    <row r="5" spans="2:29" x14ac:dyDescent="0.3">
      <c r="B5" s="11" t="s">
        <v>97</v>
      </c>
      <c r="C5" s="12">
        <v>75939526213</v>
      </c>
      <c r="D5" s="12">
        <v>132203635298</v>
      </c>
      <c r="E5" s="12">
        <v>191843979895</v>
      </c>
      <c r="F5" s="12">
        <v>192722249824</v>
      </c>
      <c r="G5" s="12">
        <v>215049532639</v>
      </c>
      <c r="H5" s="12">
        <v>150599678573</v>
      </c>
      <c r="I5" s="12">
        <v>206362526892</v>
      </c>
      <c r="J5" s="12">
        <v>211250875317</v>
      </c>
      <c r="K5" s="12">
        <v>232975314144</v>
      </c>
      <c r="L5" s="12">
        <v>197807377921</v>
      </c>
      <c r="M5" s="12">
        <v>249980458624</v>
      </c>
      <c r="N5" s="12">
        <v>261153608583</v>
      </c>
      <c r="O5" s="12">
        <v>240839112718</v>
      </c>
      <c r="P5" s="12">
        <v>232171944368</v>
      </c>
      <c r="Q5" s="12">
        <v>278557999734</v>
      </c>
      <c r="R5" s="12">
        <v>299749076765</v>
      </c>
      <c r="S5" s="12">
        <v>275102433305</v>
      </c>
      <c r="T5" s="12">
        <v>210565199826</v>
      </c>
      <c r="U5" s="12">
        <v>245410037944</v>
      </c>
      <c r="V5" s="12">
        <v>235678180932</v>
      </c>
      <c r="W5" s="12">
        <v>258554478784</v>
      </c>
      <c r="X5" s="12">
        <v>206661964924</v>
      </c>
      <c r="Y5" s="12">
        <v>231803868763</v>
      </c>
      <c r="Z5" s="12">
        <v>227700826249</v>
      </c>
      <c r="AA5" s="12">
        <v>224400236293</v>
      </c>
      <c r="AB5" s="12">
        <v>291118579717</v>
      </c>
      <c r="AC5" s="12">
        <v>341324467659</v>
      </c>
    </row>
    <row r="6" spans="2:29" x14ac:dyDescent="0.3">
      <c r="B6" s="11" t="s">
        <v>98</v>
      </c>
      <c r="C6" s="9"/>
      <c r="D6" s="9"/>
      <c r="E6" s="9"/>
      <c r="F6" s="9"/>
      <c r="G6" s="9"/>
      <c r="H6" s="9"/>
      <c r="I6" s="9"/>
      <c r="J6" s="9"/>
      <c r="K6" s="9"/>
      <c r="L6" s="9"/>
      <c r="M6" s="9"/>
      <c r="N6" s="9"/>
      <c r="O6" s="9"/>
      <c r="P6" s="9"/>
      <c r="Q6" s="9"/>
      <c r="R6" s="9"/>
      <c r="S6" s="9"/>
      <c r="T6" s="9"/>
      <c r="U6" s="9"/>
      <c r="V6" s="9"/>
      <c r="W6" s="9"/>
      <c r="X6" s="9"/>
      <c r="Y6" s="9"/>
      <c r="Z6" s="9"/>
      <c r="AA6" s="9"/>
      <c r="AB6" s="9"/>
      <c r="AC6" s="9"/>
    </row>
    <row r="7" spans="2:29" x14ac:dyDescent="0.3">
      <c r="B7" s="11" t="s">
        <v>99</v>
      </c>
      <c r="C7" s="12">
        <v>75939526213</v>
      </c>
      <c r="D7" s="12">
        <v>132203635298</v>
      </c>
      <c r="E7" s="12">
        <v>191843979895</v>
      </c>
      <c r="F7" s="12">
        <v>192722249824</v>
      </c>
      <c r="G7" s="12">
        <v>215049532639</v>
      </c>
      <c r="H7" s="12">
        <v>150599678573</v>
      </c>
      <c r="I7" s="12">
        <v>206362526892</v>
      </c>
      <c r="J7" s="12">
        <v>211250875317</v>
      </c>
      <c r="K7" s="12">
        <v>232975314144</v>
      </c>
      <c r="L7" s="12">
        <v>197807377921</v>
      </c>
      <c r="M7" s="12">
        <v>249980458624</v>
      </c>
      <c r="N7" s="12">
        <v>261153608583</v>
      </c>
      <c r="O7" s="12">
        <v>240839112718</v>
      </c>
      <c r="P7" s="12">
        <v>232171944368</v>
      </c>
      <c r="Q7" s="12">
        <v>278557999734</v>
      </c>
      <c r="R7" s="12">
        <v>299749076765</v>
      </c>
      <c r="S7" s="12">
        <v>275102433305</v>
      </c>
      <c r="T7" s="12">
        <v>210565199826</v>
      </c>
      <c r="U7" s="12">
        <v>245410037944</v>
      </c>
      <c r="V7" s="12">
        <v>235678180932</v>
      </c>
      <c r="W7" s="12">
        <v>258554478784</v>
      </c>
      <c r="X7" s="12">
        <v>206661964924</v>
      </c>
      <c r="Y7" s="12">
        <v>231803868763</v>
      </c>
      <c r="Z7" s="12">
        <v>227700826249</v>
      </c>
      <c r="AA7" s="12">
        <v>224400236293</v>
      </c>
      <c r="AB7" s="12">
        <v>291118579717</v>
      </c>
      <c r="AC7" s="12">
        <v>341324467659</v>
      </c>
    </row>
    <row r="8" spans="2:29" x14ac:dyDescent="0.3">
      <c r="B8" s="11" t="s">
        <v>100</v>
      </c>
      <c r="C8" s="12">
        <v>-42954618753</v>
      </c>
      <c r="D8" s="12">
        <v>-76025303963</v>
      </c>
      <c r="E8" s="12">
        <v>-93889556379</v>
      </c>
      <c r="F8" s="12">
        <v>-113297075850</v>
      </c>
      <c r="G8" s="12">
        <v>-172326550459</v>
      </c>
      <c r="H8" s="12">
        <v>-113855561097</v>
      </c>
      <c r="I8" s="12">
        <v>-153113665640</v>
      </c>
      <c r="J8" s="12">
        <v>-171624236012</v>
      </c>
      <c r="K8" s="12">
        <v>-177574001256</v>
      </c>
      <c r="L8" s="12">
        <v>-153189467226</v>
      </c>
      <c r="M8" s="12">
        <v>-193897145302</v>
      </c>
      <c r="N8" s="12">
        <v>-207374158783</v>
      </c>
      <c r="O8" s="12">
        <v>-189830044310</v>
      </c>
      <c r="P8" s="12">
        <v>-179269634653</v>
      </c>
      <c r="Q8" s="12">
        <v>-217101385876</v>
      </c>
      <c r="R8" s="12">
        <v>-236336939929</v>
      </c>
      <c r="S8" s="12">
        <v>-223072818182</v>
      </c>
      <c r="T8" s="12">
        <v>-163985144343</v>
      </c>
      <c r="U8" s="12">
        <v>-178012802083</v>
      </c>
      <c r="V8" s="12">
        <v>-178949163839</v>
      </c>
      <c r="W8" s="12">
        <v>-196587654212</v>
      </c>
      <c r="X8" s="12">
        <v>-161627312977</v>
      </c>
      <c r="Y8" s="12">
        <v>-157960841383</v>
      </c>
      <c r="Z8" s="12">
        <v>-172422110816</v>
      </c>
      <c r="AA8" s="12">
        <v>-165400185586</v>
      </c>
      <c r="AB8" s="12">
        <v>-234718238029</v>
      </c>
      <c r="AC8" s="12">
        <v>-286974361492</v>
      </c>
    </row>
    <row r="9" spans="2:29" x14ac:dyDescent="0.3">
      <c r="B9" s="11" t="s">
        <v>101</v>
      </c>
      <c r="C9" s="12">
        <v>32984907460</v>
      </c>
      <c r="D9" s="12">
        <v>56178331335</v>
      </c>
      <c r="E9" s="12">
        <v>97954423516</v>
      </c>
      <c r="F9" s="12">
        <v>79425173974</v>
      </c>
      <c r="G9" s="12">
        <v>42722982180</v>
      </c>
      <c r="H9" s="12">
        <v>36744117476</v>
      </c>
      <c r="I9" s="12">
        <v>53248861252</v>
      </c>
      <c r="J9" s="12">
        <v>39626639305</v>
      </c>
      <c r="K9" s="12">
        <v>55401312888</v>
      </c>
      <c r="L9" s="12">
        <v>44617910695</v>
      </c>
      <c r="M9" s="12">
        <v>56083313322</v>
      </c>
      <c r="N9" s="12">
        <v>53779449800</v>
      </c>
      <c r="O9" s="12">
        <v>51009068408</v>
      </c>
      <c r="P9" s="12">
        <v>52902309715</v>
      </c>
      <c r="Q9" s="12">
        <v>61456613858</v>
      </c>
      <c r="R9" s="12">
        <v>63412136836</v>
      </c>
      <c r="S9" s="12">
        <v>52029615123</v>
      </c>
      <c r="T9" s="12">
        <v>46580055483</v>
      </c>
      <c r="U9" s="12">
        <v>67397235861</v>
      </c>
      <c r="V9" s="12">
        <v>56729017093</v>
      </c>
      <c r="W9" s="12">
        <v>61966824572</v>
      </c>
      <c r="X9" s="12">
        <v>45034651947</v>
      </c>
      <c r="Y9" s="12">
        <v>73843027380</v>
      </c>
      <c r="Z9" s="12">
        <v>55278715433</v>
      </c>
      <c r="AA9" s="12">
        <v>59000050707</v>
      </c>
      <c r="AB9" s="12">
        <v>56400341688</v>
      </c>
      <c r="AC9" s="12">
        <v>54350106167</v>
      </c>
    </row>
    <row r="10" spans="2:29" x14ac:dyDescent="0.3">
      <c r="B10" s="11" t="s">
        <v>102</v>
      </c>
      <c r="C10" s="12">
        <v>1311810268</v>
      </c>
      <c r="D10" s="12">
        <v>1742559696</v>
      </c>
      <c r="E10" s="12">
        <v>3417008454</v>
      </c>
      <c r="F10" s="12">
        <v>4866689171</v>
      </c>
      <c r="G10" s="12">
        <v>5929679539</v>
      </c>
      <c r="H10" s="12">
        <v>6994206563</v>
      </c>
      <c r="I10" s="12">
        <v>5225193968</v>
      </c>
      <c r="J10" s="12">
        <v>4234328593</v>
      </c>
      <c r="K10" s="12">
        <v>4384279701</v>
      </c>
      <c r="L10" s="12">
        <v>3572765529</v>
      </c>
      <c r="M10" s="12">
        <v>7250706954</v>
      </c>
      <c r="N10" s="12">
        <v>4372301803</v>
      </c>
      <c r="O10" s="12">
        <v>4252909210</v>
      </c>
      <c r="P10" s="12">
        <v>3204530808</v>
      </c>
      <c r="Q10" s="12">
        <v>4851567770</v>
      </c>
      <c r="R10" s="12">
        <v>3892824155</v>
      </c>
      <c r="S10" s="12">
        <v>2359729235</v>
      </c>
      <c r="T10" s="12">
        <v>1849173690</v>
      </c>
      <c r="U10" s="12">
        <v>2572729345</v>
      </c>
      <c r="V10" s="12">
        <v>2224213957</v>
      </c>
      <c r="W10" s="12">
        <v>2211245440</v>
      </c>
      <c r="X10" s="12">
        <v>1903246369</v>
      </c>
      <c r="Y10" s="12">
        <v>1662590539</v>
      </c>
      <c r="Z10" s="12">
        <v>1822387915</v>
      </c>
      <c r="AA10" s="12">
        <v>2060393124</v>
      </c>
      <c r="AB10" s="12">
        <v>2093774539</v>
      </c>
      <c r="AC10" s="12">
        <v>2062899724</v>
      </c>
    </row>
    <row r="11" spans="2:29" x14ac:dyDescent="0.3">
      <c r="B11" s="11" t="s">
        <v>103</v>
      </c>
      <c r="C11" s="12">
        <v>-1923030723</v>
      </c>
      <c r="D11" s="12">
        <v>-4469996464</v>
      </c>
      <c r="E11" s="12">
        <v>-8633081746</v>
      </c>
      <c r="F11" s="12">
        <v>-6835969218</v>
      </c>
      <c r="G11" s="12">
        <v>-8575818718</v>
      </c>
      <c r="H11" s="12">
        <v>-7038040227</v>
      </c>
      <c r="I11" s="12">
        <v>-6905971364</v>
      </c>
      <c r="J11" s="12">
        <v>-5153321060</v>
      </c>
      <c r="K11" s="12">
        <v>-4387025795</v>
      </c>
      <c r="L11" s="12">
        <v>-4532548925</v>
      </c>
      <c r="M11" s="12">
        <v>-4163411330</v>
      </c>
      <c r="N11" s="12">
        <v>-3185750219</v>
      </c>
      <c r="O11" s="12">
        <v>-2811062463</v>
      </c>
      <c r="P11" s="12">
        <v>-2029303626</v>
      </c>
      <c r="Q11" s="12">
        <v>-1831455973</v>
      </c>
      <c r="R11" s="12">
        <v>-1931876146</v>
      </c>
      <c r="S11" s="12">
        <v>-1782300544</v>
      </c>
      <c r="T11" s="12">
        <v>-1423280570</v>
      </c>
      <c r="U11" s="12">
        <v>-1063801960</v>
      </c>
      <c r="V11" s="12">
        <v>-1743708204</v>
      </c>
      <c r="W11" s="12">
        <v>-1980741389</v>
      </c>
      <c r="X11" s="12">
        <v>-1680779530</v>
      </c>
      <c r="Y11" s="12">
        <v>-1757789159</v>
      </c>
      <c r="Z11" s="12">
        <v>-1433115221</v>
      </c>
      <c r="AA11" s="12">
        <v>-1283348435</v>
      </c>
      <c r="AB11" s="12">
        <v>-1041516744</v>
      </c>
      <c r="AC11" s="12">
        <v>-800311218</v>
      </c>
    </row>
    <row r="12" spans="2:29" x14ac:dyDescent="0.3">
      <c r="B12" s="11" t="s">
        <v>104</v>
      </c>
      <c r="C12" s="12">
        <v>-1656919009</v>
      </c>
      <c r="D12" s="12">
        <v>-3325426586</v>
      </c>
      <c r="E12" s="12">
        <v>-7603778312</v>
      </c>
      <c r="F12" s="12">
        <v>-6835969218</v>
      </c>
      <c r="G12" s="12">
        <v>-8298923548</v>
      </c>
      <c r="H12" s="12">
        <v>-7011347684</v>
      </c>
      <c r="I12" s="12">
        <v>-6892000213</v>
      </c>
      <c r="J12" s="12">
        <v>-5133984054</v>
      </c>
      <c r="K12" s="12">
        <v>-4384906286</v>
      </c>
      <c r="L12" s="12">
        <v>-4452584365</v>
      </c>
      <c r="M12" s="12">
        <v>-4060925603</v>
      </c>
      <c r="N12" s="12">
        <v>-3185750219</v>
      </c>
      <c r="O12" s="12">
        <v>-2808811186</v>
      </c>
      <c r="P12" s="12">
        <v>-2026493946</v>
      </c>
      <c r="Q12" s="12">
        <v>-1778835484</v>
      </c>
      <c r="R12" s="12">
        <v>-1931546335</v>
      </c>
      <c r="S12" s="12">
        <v>-1746276193</v>
      </c>
      <c r="T12" s="12">
        <v>-1402716010</v>
      </c>
      <c r="U12" s="12">
        <v>-1039483812</v>
      </c>
      <c r="V12" s="12">
        <v>-1715108204</v>
      </c>
      <c r="W12" s="12">
        <v>-1959847709</v>
      </c>
      <c r="X12" s="12">
        <v>-1680779530</v>
      </c>
      <c r="Y12" s="12">
        <v>-1757272933</v>
      </c>
      <c r="Z12" s="12">
        <v>-1433115221</v>
      </c>
      <c r="AA12" s="12">
        <v>-1283348435</v>
      </c>
      <c r="AB12" s="12">
        <v>-1041516744</v>
      </c>
      <c r="AC12" s="12">
        <v>-800251581</v>
      </c>
    </row>
    <row r="13" spans="2:29" x14ac:dyDescent="0.3">
      <c r="B13" s="11" t="s">
        <v>105</v>
      </c>
      <c r="C13" s="12">
        <v>-590394929</v>
      </c>
      <c r="D13" s="12">
        <v>-2389056252</v>
      </c>
      <c r="E13" s="12">
        <v>-1765829477</v>
      </c>
      <c r="F13" s="12">
        <v>-1103645139</v>
      </c>
      <c r="G13" s="12">
        <v>-942710858</v>
      </c>
      <c r="H13" s="12">
        <v>-2200651705</v>
      </c>
      <c r="I13" s="12">
        <v>-1226031902</v>
      </c>
      <c r="J13" s="12">
        <v>-889945653</v>
      </c>
      <c r="K13" s="12">
        <v>-2970539268</v>
      </c>
      <c r="L13" s="12">
        <v>-4816828176</v>
      </c>
      <c r="M13" s="12">
        <v>-2461858734</v>
      </c>
      <c r="N13" s="12">
        <v>-2566243647</v>
      </c>
      <c r="O13" s="12">
        <v>-1960974004</v>
      </c>
      <c r="P13" s="12">
        <v>-2336726269</v>
      </c>
      <c r="Q13" s="12">
        <v>-2043250612</v>
      </c>
      <c r="R13" s="12">
        <v>-4532384060</v>
      </c>
      <c r="S13" s="12">
        <v>-2703829404</v>
      </c>
      <c r="T13" s="12">
        <v>-4923320729</v>
      </c>
      <c r="U13" s="12">
        <v>-5860248554</v>
      </c>
      <c r="V13" s="12">
        <v>-1872561771</v>
      </c>
      <c r="W13" s="12">
        <v>-6128337046</v>
      </c>
      <c r="X13" s="12">
        <v>-4506764052</v>
      </c>
      <c r="Y13" s="12">
        <v>-4708498024</v>
      </c>
      <c r="Z13" s="12">
        <v>-7989153699</v>
      </c>
      <c r="AA13" s="12">
        <v>-9127686745</v>
      </c>
      <c r="AB13" s="12">
        <v>-9525795307</v>
      </c>
      <c r="AC13" s="12">
        <v>-1011863659</v>
      </c>
    </row>
    <row r="14" spans="2:29" ht="27" x14ac:dyDescent="0.3">
      <c r="B14" s="11" t="s">
        <v>106</v>
      </c>
      <c r="C14" s="12">
        <v>-3953185048</v>
      </c>
      <c r="D14" s="12">
        <v>-4299535092</v>
      </c>
      <c r="E14" s="12">
        <v>-5297585354</v>
      </c>
      <c r="F14" s="12">
        <v>-6991105089</v>
      </c>
      <c r="G14" s="12">
        <v>-9911973373</v>
      </c>
      <c r="H14" s="12">
        <v>-3602461513</v>
      </c>
      <c r="I14" s="12">
        <v>-6888608180</v>
      </c>
      <c r="J14" s="12">
        <v>-8220776925</v>
      </c>
      <c r="K14" s="12">
        <v>-20834093407</v>
      </c>
      <c r="L14" s="12">
        <v>-6802390221</v>
      </c>
      <c r="M14" s="12">
        <v>-13571753447</v>
      </c>
      <c r="N14" s="12">
        <v>-20600788501</v>
      </c>
      <c r="O14" s="12">
        <v>-17677261867</v>
      </c>
      <c r="P14" s="12">
        <v>-23981943098</v>
      </c>
      <c r="Q14" s="12">
        <v>-22050482321</v>
      </c>
      <c r="R14" s="12">
        <v>-17355613748</v>
      </c>
      <c r="S14" s="12">
        <v>-26020692991</v>
      </c>
      <c r="T14" s="12">
        <v>-14193588197</v>
      </c>
      <c r="U14" s="12">
        <v>-21424114389</v>
      </c>
      <c r="V14" s="12">
        <v>-16810043305</v>
      </c>
      <c r="W14" s="12">
        <v>-17792929928</v>
      </c>
      <c r="X14" s="12">
        <v>-14743341763</v>
      </c>
      <c r="Y14" s="12">
        <v>-22574345225</v>
      </c>
      <c r="Z14" s="12">
        <v>-15720772729</v>
      </c>
      <c r="AA14" s="12">
        <v>-9932882364</v>
      </c>
      <c r="AB14" s="12">
        <v>-19948665084</v>
      </c>
      <c r="AC14" s="12">
        <v>-20687420201</v>
      </c>
    </row>
    <row r="15" spans="2:29" ht="27" x14ac:dyDescent="0.3">
      <c r="B15" s="11" t="s">
        <v>107</v>
      </c>
      <c r="C15" s="12">
        <v>27830107028</v>
      </c>
      <c r="D15" s="12">
        <v>46762303223</v>
      </c>
      <c r="E15" s="12">
        <v>85674935393</v>
      </c>
      <c r="F15" s="12">
        <v>69361143699</v>
      </c>
      <c r="G15" s="12">
        <v>29222158770</v>
      </c>
      <c r="H15" s="12">
        <v>30897170594</v>
      </c>
      <c r="I15" s="12">
        <v>43453443774</v>
      </c>
      <c r="J15" s="12">
        <v>29596924260</v>
      </c>
      <c r="K15" s="12">
        <v>31593934119</v>
      </c>
      <c r="L15" s="12">
        <v>32038908902</v>
      </c>
      <c r="M15" s="12">
        <v>43136996765</v>
      </c>
      <c r="N15" s="12">
        <v>31798969236</v>
      </c>
      <c r="O15" s="12">
        <v>32812679284</v>
      </c>
      <c r="P15" s="12">
        <v>27758867530</v>
      </c>
      <c r="Q15" s="12">
        <v>40382992722</v>
      </c>
      <c r="R15" s="12">
        <v>43485087037</v>
      </c>
      <c r="S15" s="12">
        <v>23882521419</v>
      </c>
      <c r="T15" s="12">
        <v>27889039677</v>
      </c>
      <c r="U15" s="12">
        <v>41621800303</v>
      </c>
      <c r="V15" s="12">
        <v>38526917770</v>
      </c>
      <c r="W15" s="12">
        <v>38276061649</v>
      </c>
      <c r="X15" s="12">
        <v>26007012971</v>
      </c>
      <c r="Y15" s="12">
        <v>46464985511</v>
      </c>
      <c r="Z15" s="12">
        <v>31958061699</v>
      </c>
      <c r="AA15" s="12">
        <v>40716526287</v>
      </c>
      <c r="AB15" s="12">
        <v>27978139092</v>
      </c>
      <c r="AC15" s="12">
        <v>33913410813</v>
      </c>
    </row>
    <row r="16" spans="2:29" x14ac:dyDescent="0.3">
      <c r="B16" s="11" t="s">
        <v>108</v>
      </c>
      <c r="C16" s="12">
        <v>25661066</v>
      </c>
      <c r="D16" s="12">
        <v>3856750</v>
      </c>
      <c r="E16" s="12">
        <v>105000000</v>
      </c>
      <c r="F16" s="9"/>
      <c r="G16" s="12">
        <v>54259404</v>
      </c>
      <c r="H16" s="12">
        <v>73624236</v>
      </c>
      <c r="I16" s="12">
        <v>99568750</v>
      </c>
      <c r="J16" s="12">
        <v>77399082</v>
      </c>
      <c r="K16" s="12">
        <v>82456640</v>
      </c>
      <c r="L16" s="12">
        <v>15200000</v>
      </c>
      <c r="M16" s="12">
        <v>35831818</v>
      </c>
      <c r="N16" s="12">
        <v>13395455</v>
      </c>
      <c r="O16" s="12">
        <v>602144715</v>
      </c>
      <c r="P16" s="12">
        <v>22909091</v>
      </c>
      <c r="Q16" s="9"/>
      <c r="R16" s="12">
        <v>1155752248</v>
      </c>
      <c r="S16" s="12">
        <v>21639089</v>
      </c>
      <c r="T16" s="12">
        <v>8927271</v>
      </c>
      <c r="U16" s="12">
        <v>909090</v>
      </c>
      <c r="V16" s="12">
        <v>8727273</v>
      </c>
      <c r="W16" s="12">
        <v>14000003</v>
      </c>
      <c r="X16" s="12">
        <v>20899091</v>
      </c>
      <c r="Y16" s="12">
        <v>24818182</v>
      </c>
      <c r="Z16" s="12">
        <v>13136362</v>
      </c>
      <c r="AA16" s="12">
        <v>74954545</v>
      </c>
      <c r="AB16" s="12">
        <v>14363637</v>
      </c>
      <c r="AC16" s="12">
        <v>33363636</v>
      </c>
    </row>
    <row r="17" spans="2:29" x14ac:dyDescent="0.3">
      <c r="B17" s="11" t="s">
        <v>109</v>
      </c>
      <c r="C17" s="12">
        <v>-302118090</v>
      </c>
      <c r="D17" s="12">
        <v>-549385143</v>
      </c>
      <c r="E17" s="12">
        <v>-768190931</v>
      </c>
      <c r="F17" s="12">
        <v>-943317188</v>
      </c>
      <c r="G17" s="12">
        <v>-2017606172</v>
      </c>
      <c r="H17" s="12">
        <v>-790501123</v>
      </c>
      <c r="I17" s="12">
        <v>-636503174</v>
      </c>
      <c r="J17" s="12">
        <v>-621999046</v>
      </c>
      <c r="K17" s="12">
        <v>-1591012973</v>
      </c>
      <c r="L17" s="12">
        <v>-331253215</v>
      </c>
      <c r="M17" s="12">
        <v>-356503629</v>
      </c>
      <c r="N17" s="12">
        <v>-373856389</v>
      </c>
      <c r="O17" s="12">
        <v>-357283629</v>
      </c>
      <c r="P17" s="12">
        <v>-95937887</v>
      </c>
      <c r="Q17" s="12">
        <v>-7805793978</v>
      </c>
      <c r="R17" s="12">
        <v>656471180</v>
      </c>
      <c r="S17" s="9"/>
      <c r="T17" s="9"/>
      <c r="U17" s="9"/>
      <c r="V17" s="12">
        <v>-630195397</v>
      </c>
      <c r="W17" s="12">
        <v>-475303032</v>
      </c>
      <c r="X17" s="12">
        <v>-383323092</v>
      </c>
      <c r="Y17" s="12">
        <v>-398323092</v>
      </c>
      <c r="Z17" s="12">
        <v>-255986728</v>
      </c>
      <c r="AA17" s="12">
        <v>-2810966174</v>
      </c>
      <c r="AB17" s="12">
        <v>-44059642</v>
      </c>
      <c r="AC17" s="9"/>
    </row>
    <row r="18" spans="2:29" x14ac:dyDescent="0.3">
      <c r="B18" s="11" t="s">
        <v>110</v>
      </c>
      <c r="C18" s="12">
        <v>-276457024</v>
      </c>
      <c r="D18" s="12">
        <v>-545528393</v>
      </c>
      <c r="E18" s="12">
        <v>-663190931</v>
      </c>
      <c r="F18" s="12">
        <v>-943317188</v>
      </c>
      <c r="G18" s="12">
        <v>-1963346768</v>
      </c>
      <c r="H18" s="12">
        <v>-716876887</v>
      </c>
      <c r="I18" s="12">
        <v>-536934424</v>
      </c>
      <c r="J18" s="12">
        <v>-544599964</v>
      </c>
      <c r="K18" s="12">
        <v>-1508556333</v>
      </c>
      <c r="L18" s="12">
        <v>-316053215</v>
      </c>
      <c r="M18" s="12">
        <v>-320671811</v>
      </c>
      <c r="N18" s="12">
        <v>-360460934</v>
      </c>
      <c r="O18" s="12">
        <v>244861086</v>
      </c>
      <c r="P18" s="12">
        <v>-73028796</v>
      </c>
      <c r="Q18" s="12">
        <v>-7805793978</v>
      </c>
      <c r="R18" s="12">
        <v>1812223428</v>
      </c>
      <c r="S18" s="12">
        <v>21639089</v>
      </c>
      <c r="T18" s="12">
        <v>8927271</v>
      </c>
      <c r="U18" s="12">
        <v>909090</v>
      </c>
      <c r="V18" s="12">
        <v>-621468124</v>
      </c>
      <c r="W18" s="12">
        <v>-461303029</v>
      </c>
      <c r="X18" s="12">
        <v>-362424001</v>
      </c>
      <c r="Y18" s="12">
        <v>-373504910</v>
      </c>
      <c r="Z18" s="12">
        <v>-242850366</v>
      </c>
      <c r="AA18" s="12">
        <v>-2736011629</v>
      </c>
      <c r="AB18" s="12">
        <v>-29696005</v>
      </c>
      <c r="AC18" s="12">
        <v>33363636</v>
      </c>
    </row>
    <row r="19" spans="2:29" ht="27" x14ac:dyDescent="0.3">
      <c r="B19" s="11" t="s">
        <v>111</v>
      </c>
      <c r="C19" s="9"/>
      <c r="D19" s="9"/>
      <c r="E19" s="9"/>
      <c r="F19" s="9"/>
      <c r="G19" s="9"/>
      <c r="H19" s="9"/>
      <c r="I19" s="9"/>
      <c r="J19" s="9"/>
      <c r="K19" s="9"/>
      <c r="L19" s="9"/>
      <c r="M19" s="9"/>
      <c r="N19" s="9"/>
      <c r="O19" s="9"/>
      <c r="P19" s="9"/>
      <c r="Q19" s="9"/>
      <c r="R19" s="9"/>
      <c r="S19" s="9"/>
      <c r="T19" s="9"/>
      <c r="U19" s="9"/>
      <c r="V19" s="9"/>
      <c r="W19" s="9"/>
      <c r="X19" s="9"/>
      <c r="Y19" s="9"/>
      <c r="Z19" s="9"/>
      <c r="AA19" s="9"/>
      <c r="AB19" s="9"/>
      <c r="AC19" s="9"/>
    </row>
    <row r="20" spans="2:29" x14ac:dyDescent="0.3">
      <c r="B20" s="11" t="s">
        <v>112</v>
      </c>
      <c r="C20" s="12">
        <v>27553650004</v>
      </c>
      <c r="D20" s="12">
        <v>46216774830</v>
      </c>
      <c r="E20" s="12">
        <v>85011744462</v>
      </c>
      <c r="F20" s="12">
        <v>68417826511</v>
      </c>
      <c r="G20" s="12">
        <v>27258812002</v>
      </c>
      <c r="H20" s="12">
        <v>30180293707</v>
      </c>
      <c r="I20" s="12">
        <v>42916509350</v>
      </c>
      <c r="J20" s="12">
        <v>29052324296</v>
      </c>
      <c r="K20" s="12">
        <v>30085377786</v>
      </c>
      <c r="L20" s="12">
        <v>31722855687</v>
      </c>
      <c r="M20" s="12">
        <v>42816324954</v>
      </c>
      <c r="N20" s="12">
        <v>31438508302</v>
      </c>
      <c r="O20" s="12">
        <v>33057540370</v>
      </c>
      <c r="P20" s="12">
        <v>27685838734</v>
      </c>
      <c r="Q20" s="12">
        <v>32577198744</v>
      </c>
      <c r="R20" s="12">
        <v>45297310465</v>
      </c>
      <c r="S20" s="12">
        <v>23904160508</v>
      </c>
      <c r="T20" s="12">
        <v>27897966948</v>
      </c>
      <c r="U20" s="12">
        <v>41622709393</v>
      </c>
      <c r="V20" s="12">
        <v>37905449646</v>
      </c>
      <c r="W20" s="12">
        <v>37814758620</v>
      </c>
      <c r="X20" s="12">
        <v>25644588970</v>
      </c>
      <c r="Y20" s="12">
        <v>46091480601</v>
      </c>
      <c r="Z20" s="12">
        <v>31715211333</v>
      </c>
      <c r="AA20" s="12">
        <v>37980514658</v>
      </c>
      <c r="AB20" s="12">
        <v>27948443087</v>
      </c>
      <c r="AC20" s="12">
        <v>33946774449</v>
      </c>
    </row>
    <row r="21" spans="2:29" ht="27" x14ac:dyDescent="0.3">
      <c r="B21" s="11" t="s">
        <v>113</v>
      </c>
      <c r="C21" s="9"/>
      <c r="D21" s="12">
        <v>-4767179300</v>
      </c>
      <c r="E21" s="12">
        <v>-9044729852</v>
      </c>
      <c r="F21" s="12">
        <v>-6841782651</v>
      </c>
      <c r="G21" s="12">
        <v>-2802778669</v>
      </c>
      <c r="H21" s="12">
        <v>-3111837664</v>
      </c>
      <c r="I21" s="12">
        <v>-4494594060</v>
      </c>
      <c r="J21" s="12">
        <v>-2994381249</v>
      </c>
      <c r="K21" s="12">
        <v>-3304658733</v>
      </c>
      <c r="L21" s="12">
        <v>-3172285568</v>
      </c>
      <c r="M21" s="12">
        <v>-4943433490</v>
      </c>
      <c r="N21" s="12">
        <v>-3228468861</v>
      </c>
      <c r="O21" s="12">
        <v>-3779750135</v>
      </c>
      <c r="P21" s="12">
        <v>-2768583873</v>
      </c>
      <c r="Q21" s="12">
        <v>-8820537344</v>
      </c>
      <c r="R21" s="12">
        <v>-8094424721</v>
      </c>
      <c r="S21" s="12">
        <v>-4904357879</v>
      </c>
      <c r="T21" s="12">
        <v>-5398980720</v>
      </c>
      <c r="U21" s="12">
        <v>-6854009230</v>
      </c>
      <c r="V21" s="12">
        <v>-7293541994</v>
      </c>
      <c r="W21" s="12">
        <v>-6453850602</v>
      </c>
      <c r="X21" s="12">
        <v>-4873862786</v>
      </c>
      <c r="Y21" s="12">
        <v>-6821535464</v>
      </c>
      <c r="Z21" s="12">
        <v>-4623592741</v>
      </c>
      <c r="AA21" s="12">
        <v>-9091754526</v>
      </c>
      <c r="AB21" s="12">
        <v>-4809218648</v>
      </c>
      <c r="AC21" s="12">
        <v>-6805834845</v>
      </c>
    </row>
    <row r="22" spans="2:29" ht="27" x14ac:dyDescent="0.3">
      <c r="B22" s="11" t="s">
        <v>114</v>
      </c>
      <c r="C22" s="9"/>
      <c r="D22" s="9"/>
      <c r="E22" s="9"/>
      <c r="F22" s="9"/>
      <c r="G22" s="9"/>
      <c r="H22" s="9"/>
      <c r="I22" s="9"/>
      <c r="J22" s="9"/>
      <c r="K22" s="9"/>
      <c r="L22" s="9"/>
      <c r="M22" s="9"/>
      <c r="N22" s="9"/>
      <c r="O22" s="9"/>
      <c r="P22" s="9"/>
      <c r="Q22" s="12">
        <v>5223215238</v>
      </c>
      <c r="R22" s="9"/>
      <c r="S22" s="12">
        <v>2538261173</v>
      </c>
      <c r="T22" s="9"/>
      <c r="U22" s="12">
        <v>604416721</v>
      </c>
      <c r="V22" s="9"/>
      <c r="W22" s="12">
        <v>-1344428664</v>
      </c>
      <c r="X22" s="9"/>
      <c r="Y22" s="12">
        <v>-1230535279</v>
      </c>
      <c r="Z22" s="12">
        <v>-987341908</v>
      </c>
      <c r="AA22" s="12">
        <v>-1586554751</v>
      </c>
      <c r="AB22" s="12">
        <v>-789281899</v>
      </c>
      <c r="AC22" s="12">
        <v>-2435327359</v>
      </c>
    </row>
    <row r="23" spans="2:29" ht="27" x14ac:dyDescent="0.3">
      <c r="B23" s="11" t="s">
        <v>115</v>
      </c>
      <c r="C23" s="9"/>
      <c r="D23" s="12">
        <v>-4767179300</v>
      </c>
      <c r="E23" s="12">
        <v>-9044729852</v>
      </c>
      <c r="F23" s="12">
        <v>-6841782651</v>
      </c>
      <c r="G23" s="12">
        <v>-2802778669</v>
      </c>
      <c r="H23" s="12">
        <v>-3111837664</v>
      </c>
      <c r="I23" s="12">
        <v>-4494594060</v>
      </c>
      <c r="J23" s="12">
        <v>-2994381249</v>
      </c>
      <c r="K23" s="12">
        <v>-3304658733</v>
      </c>
      <c r="L23" s="12">
        <v>-3172285568</v>
      </c>
      <c r="M23" s="12">
        <v>-4943433490</v>
      </c>
      <c r="N23" s="12">
        <v>-3228468861</v>
      </c>
      <c r="O23" s="12">
        <v>-3779750135</v>
      </c>
      <c r="P23" s="12">
        <v>-2768583873</v>
      </c>
      <c r="Q23" s="12">
        <v>-3597322106</v>
      </c>
      <c r="R23" s="12">
        <v>-8094424721</v>
      </c>
      <c r="S23" s="12">
        <v>-2366096706</v>
      </c>
      <c r="T23" s="12">
        <v>-5398980720</v>
      </c>
      <c r="U23" s="12">
        <v>-6249592509</v>
      </c>
      <c r="V23" s="12">
        <v>-7293541994</v>
      </c>
      <c r="W23" s="12">
        <v>-7798279266</v>
      </c>
      <c r="X23" s="12">
        <v>-4873862786</v>
      </c>
      <c r="Y23" s="12">
        <v>-8052070743</v>
      </c>
      <c r="Z23" s="12">
        <v>-5610934649</v>
      </c>
      <c r="AA23" s="12">
        <v>-10678309277</v>
      </c>
      <c r="AB23" s="12">
        <v>-5598500547</v>
      </c>
      <c r="AC23" s="12">
        <v>-9241162204</v>
      </c>
    </row>
    <row r="24" spans="2:29" x14ac:dyDescent="0.3">
      <c r="B24" s="11" t="s">
        <v>116</v>
      </c>
      <c r="C24" s="12">
        <v>27553650004</v>
      </c>
      <c r="D24" s="12">
        <v>41449595530</v>
      </c>
      <c r="E24" s="12">
        <v>75967014610</v>
      </c>
      <c r="F24" s="12">
        <v>61576043860</v>
      </c>
      <c r="G24" s="12">
        <v>24456033333</v>
      </c>
      <c r="H24" s="12">
        <v>27068456043</v>
      </c>
      <c r="I24" s="12">
        <v>38421915290</v>
      </c>
      <c r="J24" s="12">
        <v>26057943047</v>
      </c>
      <c r="K24" s="12">
        <v>26780719053</v>
      </c>
      <c r="L24" s="12">
        <v>28550570119</v>
      </c>
      <c r="M24" s="12">
        <v>37872891464</v>
      </c>
      <c r="N24" s="12">
        <v>28210039441</v>
      </c>
      <c r="O24" s="12">
        <v>29277790235</v>
      </c>
      <c r="P24" s="12">
        <v>24917254861</v>
      </c>
      <c r="Q24" s="12">
        <v>28979876638</v>
      </c>
      <c r="R24" s="12">
        <v>37202885744</v>
      </c>
      <c r="S24" s="12">
        <v>21538063802</v>
      </c>
      <c r="T24" s="12">
        <v>22498986228</v>
      </c>
      <c r="U24" s="12">
        <v>35373116884</v>
      </c>
      <c r="V24" s="12">
        <v>30611907652</v>
      </c>
      <c r="W24" s="12">
        <v>30016479354</v>
      </c>
      <c r="X24" s="12">
        <v>20770726184</v>
      </c>
      <c r="Y24" s="12">
        <v>38039409858</v>
      </c>
      <c r="Z24" s="12">
        <v>26104276684</v>
      </c>
      <c r="AA24" s="12">
        <v>27302205381</v>
      </c>
      <c r="AB24" s="12">
        <v>22349942540</v>
      </c>
      <c r="AC24" s="12">
        <v>24705612245</v>
      </c>
    </row>
    <row r="25" spans="2:29" x14ac:dyDescent="0.3">
      <c r="B25" s="11" t="s">
        <v>117</v>
      </c>
      <c r="C25" s="9"/>
      <c r="D25" s="9"/>
      <c r="E25" s="9"/>
      <c r="F25" s="9"/>
      <c r="G25" s="9"/>
      <c r="H25" s="9"/>
      <c r="I25" s="9"/>
      <c r="J25" s="9"/>
      <c r="K25" s="9"/>
      <c r="L25" s="9"/>
      <c r="M25" s="9"/>
      <c r="N25" s="9"/>
      <c r="O25" s="9"/>
      <c r="P25" s="9"/>
      <c r="Q25" s="9"/>
      <c r="R25" s="9"/>
      <c r="S25" s="9"/>
      <c r="T25" s="9"/>
      <c r="U25" s="9"/>
      <c r="V25" s="9"/>
      <c r="W25" s="9"/>
      <c r="X25" s="9"/>
      <c r="Y25" s="9"/>
      <c r="Z25" s="9"/>
      <c r="AA25" s="9"/>
      <c r="AB25" s="9"/>
      <c r="AC25" s="9"/>
    </row>
    <row r="26" spans="2:29" x14ac:dyDescent="0.3">
      <c r="B26" s="11" t="s">
        <v>118</v>
      </c>
      <c r="C26" s="12">
        <v>27553650004</v>
      </c>
      <c r="D26" s="12">
        <v>41449595530</v>
      </c>
      <c r="E26" s="12">
        <v>75967014610</v>
      </c>
      <c r="F26" s="12">
        <v>61576043860</v>
      </c>
      <c r="G26" s="12">
        <v>24456033333</v>
      </c>
      <c r="H26" s="12">
        <v>27068456043</v>
      </c>
      <c r="I26" s="12">
        <v>38421915290</v>
      </c>
      <c r="J26" s="12">
        <v>26057943047</v>
      </c>
      <c r="K26" s="12">
        <v>26780719053</v>
      </c>
      <c r="L26" s="12">
        <v>28550570119</v>
      </c>
      <c r="M26" s="12">
        <v>37872891464</v>
      </c>
      <c r="N26" s="12">
        <v>28210039441</v>
      </c>
      <c r="O26" s="12">
        <v>29277790235</v>
      </c>
      <c r="P26" s="12">
        <v>24917254861</v>
      </c>
      <c r="Q26" s="12">
        <v>28979876638</v>
      </c>
      <c r="R26" s="12">
        <v>37202885744</v>
      </c>
      <c r="S26" s="12">
        <v>21538063802</v>
      </c>
      <c r="T26" s="12">
        <v>22498986228</v>
      </c>
      <c r="U26" s="12">
        <v>35373116884</v>
      </c>
      <c r="V26" s="12">
        <v>30611907652</v>
      </c>
      <c r="W26" s="12">
        <v>30016479354</v>
      </c>
      <c r="X26" s="12">
        <v>20770726184</v>
      </c>
      <c r="Y26" s="12">
        <v>38039409858</v>
      </c>
      <c r="Z26" s="12">
        <v>26104276684</v>
      </c>
      <c r="AA26" s="12">
        <v>27302205381</v>
      </c>
      <c r="AB26" s="12">
        <v>22349942540</v>
      </c>
      <c r="AC26" s="12">
        <v>24705612245</v>
      </c>
    </row>
    <row r="27" spans="2:29" x14ac:dyDescent="0.3">
      <c r="B27" s="11" t="s">
        <v>119</v>
      </c>
      <c r="C27" s="9"/>
      <c r="D27" s="9"/>
      <c r="E27" s="9"/>
      <c r="F27" s="9"/>
      <c r="G27" s="12">
        <v>1204</v>
      </c>
      <c r="H27" s="9"/>
      <c r="I27" s="9"/>
      <c r="J27" s="9"/>
      <c r="K27" s="9"/>
      <c r="L27" s="9"/>
      <c r="M27" s="12">
        <v>3114</v>
      </c>
      <c r="N27" s="9"/>
      <c r="O27" s="9"/>
      <c r="P27" s="9"/>
      <c r="Q27" s="12">
        <v>1996</v>
      </c>
      <c r="R27" s="9"/>
      <c r="S27" s="9"/>
      <c r="T27" s="9"/>
      <c r="U27" s="12">
        <v>1960</v>
      </c>
      <c r="V27" s="9"/>
      <c r="W27" s="9"/>
      <c r="X27" s="9"/>
      <c r="Y27" s="9"/>
      <c r="Z27" s="9"/>
      <c r="AA27" s="9"/>
      <c r="AB27" s="9"/>
      <c r="AC27" s="9"/>
    </row>
    <row r="28" spans="2:29" x14ac:dyDescent="0.3">
      <c r="B28" s="11" t="s">
        <v>120</v>
      </c>
      <c r="C28" s="9"/>
      <c r="D28" s="9"/>
      <c r="E28" s="9"/>
      <c r="F28" s="9"/>
      <c r="G28" s="9"/>
      <c r="H28" s="9"/>
      <c r="I28" s="9"/>
      <c r="J28" s="9"/>
      <c r="K28" s="9"/>
      <c r="L28" s="9"/>
      <c r="M28" s="9"/>
      <c r="N28" s="9"/>
      <c r="O28" s="9"/>
      <c r="P28" s="9"/>
      <c r="Q28" s="9"/>
      <c r="R28" s="9"/>
      <c r="S28" s="9"/>
      <c r="T28" s="9"/>
      <c r="U28" s="9"/>
      <c r="V28" s="9"/>
      <c r="W28" s="9"/>
      <c r="X28" s="9"/>
      <c r="Y28" s="9"/>
      <c r="Z28" s="9"/>
      <c r="AA28" s="9"/>
      <c r="AB28" s="9"/>
      <c r="AC28" s="9"/>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3:Z45"/>
  <sheetViews>
    <sheetView workbookViewId="0">
      <selection activeCell="B3" sqref="B3:Z45"/>
    </sheetView>
  </sheetViews>
  <sheetFormatPr defaultColWidth="8.88671875" defaultRowHeight="14.4" x14ac:dyDescent="0.3"/>
  <cols>
    <col min="2" max="2" width="44.109375" bestFit="1" customWidth="1"/>
    <col min="3" max="3" width="14.88671875" bestFit="1" customWidth="1"/>
    <col min="4" max="4" width="15.44140625" bestFit="1" customWidth="1"/>
    <col min="5" max="6" width="14.88671875" bestFit="1" customWidth="1"/>
    <col min="7" max="7" width="15.44140625" bestFit="1" customWidth="1"/>
    <col min="8" max="10" width="14.88671875" bestFit="1" customWidth="1"/>
    <col min="11" max="11" width="8" bestFit="1" customWidth="1"/>
    <col min="12" max="19" width="14.88671875" bestFit="1" customWidth="1"/>
    <col min="20" max="21" width="16" bestFit="1" customWidth="1"/>
    <col min="22" max="26" width="14.88671875" bestFit="1" customWidth="1"/>
  </cols>
  <sheetData>
    <row r="3" spans="2:26" x14ac:dyDescent="0.3">
      <c r="B3" s="7"/>
      <c r="C3" s="8" t="s">
        <v>463</v>
      </c>
      <c r="D3" s="7" t="s">
        <v>464</v>
      </c>
      <c r="E3" s="7" t="s">
        <v>465</v>
      </c>
      <c r="F3" s="7" t="s">
        <v>466</v>
      </c>
      <c r="G3" s="8" t="s">
        <v>467</v>
      </c>
      <c r="H3" s="7" t="s">
        <v>468</v>
      </c>
      <c r="I3" s="7" t="s">
        <v>469</v>
      </c>
      <c r="J3" s="7" t="s">
        <v>470</v>
      </c>
      <c r="K3" s="7" t="s">
        <v>471</v>
      </c>
      <c r="L3" s="7" t="s">
        <v>472</v>
      </c>
      <c r="M3" s="7" t="s">
        <v>473</v>
      </c>
      <c r="N3" s="7" t="s">
        <v>474</v>
      </c>
      <c r="O3" s="7" t="s">
        <v>476</v>
      </c>
      <c r="P3" s="7" t="s">
        <v>477</v>
      </c>
      <c r="Q3" s="7" t="s">
        <v>478</v>
      </c>
      <c r="R3" s="8" t="s">
        <v>479</v>
      </c>
      <c r="S3" s="7" t="s">
        <v>480</v>
      </c>
      <c r="T3" s="49" t="s">
        <v>481</v>
      </c>
      <c r="U3" s="49" t="s">
        <v>482</v>
      </c>
      <c r="V3" s="8" t="s">
        <v>483</v>
      </c>
      <c r="W3" s="8" t="s">
        <v>484</v>
      </c>
      <c r="X3" s="8" t="s">
        <v>485</v>
      </c>
      <c r="Y3" s="8" t="s">
        <v>486</v>
      </c>
      <c r="Z3" s="8" t="s">
        <v>487</v>
      </c>
    </row>
    <row r="4" spans="2:26" x14ac:dyDescent="0.3">
      <c r="B4" s="7"/>
      <c r="C4" s="9" t="s">
        <v>488</v>
      </c>
      <c r="D4" s="9" t="s">
        <v>488</v>
      </c>
      <c r="E4" s="9" t="s">
        <v>488</v>
      </c>
      <c r="F4" s="9" t="s">
        <v>488</v>
      </c>
      <c r="G4" s="9" t="s">
        <v>488</v>
      </c>
      <c r="H4" s="9" t="s">
        <v>488</v>
      </c>
      <c r="I4" s="9" t="s">
        <v>488</v>
      </c>
      <c r="J4" s="9" t="s">
        <v>488</v>
      </c>
      <c r="K4" s="9"/>
      <c r="L4" s="9" t="s">
        <v>488</v>
      </c>
      <c r="M4" s="9" t="s">
        <v>488</v>
      </c>
      <c r="N4" s="9" t="s">
        <v>488</v>
      </c>
      <c r="O4" s="9" t="s">
        <v>488</v>
      </c>
      <c r="P4" s="9" t="s">
        <v>488</v>
      </c>
      <c r="Q4" s="9" t="s">
        <v>488</v>
      </c>
      <c r="R4" s="9" t="s">
        <v>488</v>
      </c>
      <c r="S4" s="9" t="s">
        <v>488</v>
      </c>
      <c r="T4" s="50" t="s">
        <v>488</v>
      </c>
      <c r="U4" s="50" t="s">
        <v>488</v>
      </c>
      <c r="V4" s="9" t="s">
        <v>488</v>
      </c>
      <c r="W4" s="9" t="s">
        <v>488</v>
      </c>
      <c r="X4" s="9" t="s">
        <v>488</v>
      </c>
      <c r="Y4" s="9" t="s">
        <v>488</v>
      </c>
      <c r="Z4" s="9" t="s">
        <v>489</v>
      </c>
    </row>
    <row r="5" spans="2:26" ht="27" x14ac:dyDescent="0.3">
      <c r="B5" s="7" t="s">
        <v>129</v>
      </c>
      <c r="C5" s="9"/>
      <c r="D5" s="9"/>
      <c r="E5" s="9"/>
      <c r="F5" s="9"/>
      <c r="G5" s="9"/>
      <c r="H5" s="9"/>
      <c r="I5" s="9"/>
      <c r="J5" s="9"/>
      <c r="K5" s="9"/>
      <c r="L5" s="9"/>
      <c r="M5" s="9"/>
      <c r="N5" s="9"/>
      <c r="O5" s="9"/>
      <c r="P5" s="9"/>
      <c r="Q5" s="9"/>
      <c r="R5" s="9"/>
      <c r="S5" s="9"/>
      <c r="T5" s="50"/>
      <c r="U5" s="50"/>
      <c r="V5" s="9"/>
      <c r="W5" s="9"/>
      <c r="X5" s="9"/>
      <c r="Y5" s="9"/>
      <c r="Z5" s="9"/>
    </row>
    <row r="6" spans="2:26" x14ac:dyDescent="0.3">
      <c r="B6" s="7" t="s">
        <v>130</v>
      </c>
      <c r="C6" s="12">
        <v>85394555429</v>
      </c>
      <c r="D6" s="12">
        <v>68417826511</v>
      </c>
      <c r="E6" s="12">
        <v>27258812002</v>
      </c>
      <c r="F6" s="12">
        <v>30180293707</v>
      </c>
      <c r="G6" s="12">
        <v>42916509350</v>
      </c>
      <c r="H6" s="12">
        <v>29052324296</v>
      </c>
      <c r="I6" s="12">
        <v>30085377786</v>
      </c>
      <c r="J6" s="12">
        <v>31722855687</v>
      </c>
      <c r="K6" s="12"/>
      <c r="L6" s="12">
        <v>31438508302</v>
      </c>
      <c r="M6" s="12">
        <v>33057540370</v>
      </c>
      <c r="N6" s="12">
        <v>27685838734</v>
      </c>
      <c r="O6" s="12">
        <v>45297310465</v>
      </c>
      <c r="P6" s="12">
        <v>23904160508</v>
      </c>
      <c r="Q6" s="12">
        <v>27897966941</v>
      </c>
      <c r="R6" s="12">
        <v>41622709400</v>
      </c>
      <c r="S6" s="12">
        <v>37905449646</v>
      </c>
      <c r="T6" s="50">
        <v>37814758620</v>
      </c>
      <c r="U6" s="50">
        <v>25644588970</v>
      </c>
      <c r="V6" s="12">
        <v>46091480601</v>
      </c>
      <c r="W6" s="12">
        <v>31715211333</v>
      </c>
      <c r="X6" s="12">
        <v>37980514658</v>
      </c>
      <c r="Y6" s="12">
        <v>27948443087</v>
      </c>
      <c r="Z6" s="12">
        <v>33946774449</v>
      </c>
    </row>
    <row r="7" spans="2:26" x14ac:dyDescent="0.3">
      <c r="B7" s="7" t="s">
        <v>131</v>
      </c>
      <c r="C7" s="12">
        <v>13466156648</v>
      </c>
      <c r="D7" s="12">
        <v>23491364230</v>
      </c>
      <c r="E7" s="12">
        <v>36778277326</v>
      </c>
      <c r="F7" s="12">
        <v>26986929403</v>
      </c>
      <c r="G7" s="12">
        <v>31701668171</v>
      </c>
      <c r="H7" s="12">
        <v>29396709065</v>
      </c>
      <c r="I7" s="12">
        <v>32190202367</v>
      </c>
      <c r="J7" s="12">
        <v>33440370258</v>
      </c>
      <c r="K7" s="12"/>
      <c r="L7" s="12">
        <v>32184426661</v>
      </c>
      <c r="M7" s="12">
        <v>32008282786</v>
      </c>
      <c r="N7" s="12">
        <v>24272472069</v>
      </c>
      <c r="O7" s="12">
        <v>18447342544</v>
      </c>
      <c r="P7" s="12">
        <v>19562575375</v>
      </c>
      <c r="Q7" s="12">
        <v>14351437509</v>
      </c>
      <c r="R7" s="12">
        <v>12975167904</v>
      </c>
      <c r="S7" s="12">
        <v>17916527035</v>
      </c>
      <c r="T7" s="50">
        <v>18986255058</v>
      </c>
      <c r="U7" s="50">
        <v>13616749131</v>
      </c>
      <c r="V7" s="12">
        <v>15566055273</v>
      </c>
      <c r="W7" s="12">
        <v>15841852171</v>
      </c>
      <c r="X7" s="12">
        <v>15790523424</v>
      </c>
      <c r="Y7" s="12">
        <v>11031164006</v>
      </c>
      <c r="Z7" s="12">
        <v>10991651123</v>
      </c>
    </row>
    <row r="8" spans="2:26" x14ac:dyDescent="0.3">
      <c r="B8" s="7" t="s">
        <v>132</v>
      </c>
      <c r="C8" s="9"/>
      <c r="D8" s="9"/>
      <c r="E8" s="9"/>
      <c r="F8" s="9"/>
      <c r="G8" s="12">
        <v>-550000000</v>
      </c>
      <c r="H8" s="9"/>
      <c r="I8" s="12">
        <v>995582676</v>
      </c>
      <c r="J8" s="9"/>
      <c r="K8" s="9"/>
      <c r="L8" s="9"/>
      <c r="M8" s="12">
        <v>-695582676</v>
      </c>
      <c r="N8" s="9"/>
      <c r="O8" s="9"/>
      <c r="P8" s="12">
        <v>7029591508</v>
      </c>
      <c r="Q8" s="9"/>
      <c r="R8" s="12">
        <v>-3335370791</v>
      </c>
      <c r="S8" s="9"/>
      <c r="T8" s="50">
        <v>-442036122</v>
      </c>
      <c r="U8" s="50"/>
      <c r="V8" s="12">
        <v>-7094702</v>
      </c>
      <c r="W8" s="12">
        <v>7094702</v>
      </c>
      <c r="X8" s="12">
        <v>-269362875</v>
      </c>
      <c r="Y8" s="12">
        <v>2016450984</v>
      </c>
      <c r="Z8" s="12">
        <v>2525799905</v>
      </c>
    </row>
    <row r="9" spans="2:26" x14ac:dyDescent="0.3">
      <c r="B9" s="7" t="s">
        <v>133</v>
      </c>
      <c r="C9" s="12">
        <v>-240242086</v>
      </c>
      <c r="D9" s="12">
        <v>-904327792</v>
      </c>
      <c r="E9" s="12">
        <v>220126104</v>
      </c>
      <c r="F9" s="9"/>
      <c r="G9" s="9"/>
      <c r="H9" s="9"/>
      <c r="I9" s="12">
        <v>-11062264</v>
      </c>
      <c r="J9" s="9"/>
      <c r="K9" s="9"/>
      <c r="L9" s="12">
        <v>-175010287</v>
      </c>
      <c r="M9" s="9"/>
      <c r="N9" s="9"/>
      <c r="O9" s="12">
        <v>-55430169</v>
      </c>
      <c r="P9" s="9"/>
      <c r="Q9" s="9"/>
      <c r="R9" s="12">
        <v>36853780</v>
      </c>
      <c r="S9" s="12">
        <v>-36853780</v>
      </c>
      <c r="T9" s="50">
        <v>-155660966</v>
      </c>
      <c r="U9" s="50"/>
      <c r="V9" s="12">
        <v>-6631235</v>
      </c>
      <c r="W9" s="12">
        <v>471951499</v>
      </c>
      <c r="X9" s="12">
        <v>-465320264</v>
      </c>
      <c r="Y9" s="9"/>
      <c r="Z9" s="9"/>
    </row>
    <row r="10" spans="2:26" x14ac:dyDescent="0.3">
      <c r="B10" s="7" t="s">
        <v>134</v>
      </c>
      <c r="C10" s="9"/>
      <c r="D10" s="9"/>
      <c r="E10" s="9"/>
      <c r="F10" s="9"/>
      <c r="G10" s="9"/>
      <c r="H10" s="9"/>
      <c r="I10" s="9"/>
      <c r="J10" s="9"/>
      <c r="K10" s="9"/>
      <c r="L10" s="9"/>
      <c r="M10" s="9"/>
      <c r="N10" s="9"/>
      <c r="O10" s="9"/>
      <c r="P10" s="9"/>
      <c r="Q10" s="9"/>
      <c r="R10" s="9"/>
      <c r="S10" s="9"/>
      <c r="T10" s="50"/>
      <c r="U10" s="50"/>
      <c r="V10" s="9"/>
      <c r="W10" s="9"/>
      <c r="X10" s="9"/>
      <c r="Y10" s="9"/>
      <c r="Z10" s="9"/>
    </row>
    <row r="11" spans="2:26" x14ac:dyDescent="0.3">
      <c r="B11" s="7" t="s">
        <v>135</v>
      </c>
      <c r="C11" s="9"/>
      <c r="D11" s="12">
        <v>-9788793820</v>
      </c>
      <c r="E11" s="12">
        <v>-5929515446</v>
      </c>
      <c r="F11" s="12">
        <v>26064097664</v>
      </c>
      <c r="G11" s="12">
        <v>-38139376695</v>
      </c>
      <c r="H11" s="12">
        <v>-4225914136</v>
      </c>
      <c r="I11" s="12">
        <v>-4343279036</v>
      </c>
      <c r="J11" s="9"/>
      <c r="K11" s="9"/>
      <c r="L11" s="12">
        <v>10823472483</v>
      </c>
      <c r="M11" s="9"/>
      <c r="N11" s="9"/>
      <c r="O11" s="12">
        <v>8054835744</v>
      </c>
      <c r="P11" s="9"/>
      <c r="Q11" s="9"/>
      <c r="R11" s="12">
        <v>-4420103035</v>
      </c>
      <c r="S11" s="12">
        <v>4420103035</v>
      </c>
      <c r="T11" s="50"/>
      <c r="U11" s="50"/>
      <c r="V11" s="9"/>
      <c r="W11" s="9"/>
      <c r="X11" s="12">
        <v>-4871167684</v>
      </c>
      <c r="Y11" s="9"/>
      <c r="Z11" s="9"/>
    </row>
    <row r="12" spans="2:26" x14ac:dyDescent="0.3">
      <c r="B12" s="7" t="s">
        <v>136</v>
      </c>
      <c r="C12" s="12">
        <v>7603778312</v>
      </c>
      <c r="D12" s="12">
        <v>7740444879</v>
      </c>
      <c r="E12" s="12">
        <v>9225485697</v>
      </c>
      <c r="F12" s="12">
        <v>-6702205033</v>
      </c>
      <c r="G12" s="12">
        <v>20605552930</v>
      </c>
      <c r="H12" s="12">
        <v>5179593731</v>
      </c>
      <c r="I12" s="12">
        <v>4339296609</v>
      </c>
      <c r="J12" s="12">
        <v>4457584365</v>
      </c>
      <c r="K12" s="12"/>
      <c r="L12" s="12">
        <v>3193170219</v>
      </c>
      <c r="M12" s="9"/>
      <c r="N12" s="12">
        <v>2026493946</v>
      </c>
      <c r="O12" s="12">
        <v>1987306315</v>
      </c>
      <c r="P12" s="12">
        <v>1782300544</v>
      </c>
      <c r="Q12" s="12">
        <v>1423280577</v>
      </c>
      <c r="R12" s="12">
        <v>1018919245</v>
      </c>
      <c r="S12" s="12">
        <v>1788590912</v>
      </c>
      <c r="T12" s="50">
        <v>1980741389</v>
      </c>
      <c r="U12" s="50">
        <v>1680779530</v>
      </c>
      <c r="V12" s="12">
        <v>-3556852647</v>
      </c>
      <c r="W12" s="12">
        <v>6747240801</v>
      </c>
      <c r="X12" s="12">
        <v>11533756681</v>
      </c>
      <c r="Y12" s="12">
        <v>1041516744</v>
      </c>
      <c r="Z12" s="12">
        <v>800251581</v>
      </c>
    </row>
    <row r="13" spans="2:26" x14ac:dyDescent="0.3">
      <c r="B13" s="7" t="s">
        <v>137</v>
      </c>
      <c r="C13" s="12">
        <v>-3223219118</v>
      </c>
      <c r="D13" s="12">
        <v>4923018897</v>
      </c>
      <c r="E13" s="9"/>
      <c r="F13" s="9"/>
      <c r="G13" s="9"/>
      <c r="H13" s="9"/>
      <c r="I13" s="9"/>
      <c r="J13" s="12">
        <v>-3572765529</v>
      </c>
      <c r="K13" s="12"/>
      <c r="L13" s="12">
        <v>-15166896846</v>
      </c>
      <c r="M13" s="9"/>
      <c r="N13" s="12">
        <v>-3204530808</v>
      </c>
      <c r="O13" s="12">
        <v>-11948922733</v>
      </c>
      <c r="P13" s="12">
        <v>-2359729235</v>
      </c>
      <c r="Q13" s="12">
        <v>-1849173690</v>
      </c>
      <c r="R13" s="12">
        <v>1849173690</v>
      </c>
      <c r="S13" s="12">
        <v>-6646116992</v>
      </c>
      <c r="T13" s="50">
        <v>-2055584474</v>
      </c>
      <c r="U13" s="50">
        <v>-1903246369</v>
      </c>
      <c r="V13" s="12">
        <v>1757272933</v>
      </c>
      <c r="W13" s="12">
        <v>-5233267126</v>
      </c>
      <c r="X13" s="12">
        <v>-7438286890</v>
      </c>
      <c r="Y13" s="12">
        <v>-2093774539</v>
      </c>
      <c r="Z13" s="12">
        <v>-2062899724</v>
      </c>
    </row>
    <row r="14" spans="2:26" x14ac:dyDescent="0.3">
      <c r="B14" s="7" t="s">
        <v>138</v>
      </c>
      <c r="C14" s="12">
        <v>103001029185</v>
      </c>
      <c r="D14" s="12">
        <v>93879532905</v>
      </c>
      <c r="E14" s="12">
        <v>67553185683</v>
      </c>
      <c r="F14" s="12">
        <v>76529115741</v>
      </c>
      <c r="G14" s="12">
        <v>56534353756</v>
      </c>
      <c r="H14" s="12">
        <v>59402712956</v>
      </c>
      <c r="I14" s="12">
        <v>63256118138</v>
      </c>
      <c r="J14" s="12">
        <v>66048044781</v>
      </c>
      <c r="K14" s="12"/>
      <c r="L14" s="12">
        <v>62297670532</v>
      </c>
      <c r="M14" s="12">
        <v>64370240480</v>
      </c>
      <c r="N14" s="12">
        <v>50780273941</v>
      </c>
      <c r="O14" s="12">
        <v>61782442166</v>
      </c>
      <c r="P14" s="12">
        <v>49918898700</v>
      </c>
      <c r="Q14" s="12">
        <v>41823511337</v>
      </c>
      <c r="R14" s="12">
        <v>49747350193</v>
      </c>
      <c r="S14" s="12">
        <v>55347699856</v>
      </c>
      <c r="T14" s="50">
        <v>56128473505</v>
      </c>
      <c r="U14" s="50">
        <v>39038871262</v>
      </c>
      <c r="V14" s="12">
        <v>61747476592</v>
      </c>
      <c r="W14" s="12">
        <v>47646837011</v>
      </c>
      <c r="X14" s="12">
        <v>52260657050</v>
      </c>
      <c r="Y14" s="12">
        <v>39943800282</v>
      </c>
      <c r="Z14" s="12">
        <v>46201577334</v>
      </c>
    </row>
    <row r="15" spans="2:26" x14ac:dyDescent="0.3">
      <c r="B15" s="7" t="s">
        <v>139</v>
      </c>
      <c r="C15" s="12">
        <v>-39469873963</v>
      </c>
      <c r="D15" s="12">
        <v>79061984463</v>
      </c>
      <c r="E15" s="12">
        <v>-85811998940</v>
      </c>
      <c r="F15" s="12">
        <v>31713105697</v>
      </c>
      <c r="G15" s="12">
        <v>-28340283898</v>
      </c>
      <c r="H15" s="12">
        <v>-15331327786</v>
      </c>
      <c r="I15" s="12">
        <v>-3048241702</v>
      </c>
      <c r="J15" s="12">
        <v>10495027243</v>
      </c>
      <c r="K15" s="12"/>
      <c r="L15" s="12">
        <v>-32642931732</v>
      </c>
      <c r="M15" s="12">
        <v>11774640811</v>
      </c>
      <c r="N15" s="12">
        <v>-13752068946</v>
      </c>
      <c r="O15" s="12">
        <v>9096017718</v>
      </c>
      <c r="P15" s="12">
        <v>36135787905</v>
      </c>
      <c r="Q15" s="12">
        <v>15982266818</v>
      </c>
      <c r="R15" s="12">
        <v>-27876491008</v>
      </c>
      <c r="S15" s="12">
        <v>3455258949</v>
      </c>
      <c r="T15" s="50">
        <v>26570572451</v>
      </c>
      <c r="U15" s="50">
        <v>10263605505</v>
      </c>
      <c r="V15" s="12">
        <v>-758334400</v>
      </c>
      <c r="W15" s="12">
        <v>-21260572885</v>
      </c>
      <c r="X15" s="12">
        <v>34107929103</v>
      </c>
      <c r="Y15" s="12">
        <v>-68112330072</v>
      </c>
      <c r="Z15" s="12">
        <v>-33824004053</v>
      </c>
    </row>
    <row r="16" spans="2:26" x14ac:dyDescent="0.3">
      <c r="B16" s="51" t="s">
        <v>140</v>
      </c>
      <c r="C16" s="52">
        <v>-1466387030</v>
      </c>
      <c r="D16" s="52">
        <v>427478804</v>
      </c>
      <c r="E16" s="52">
        <v>-2565766616</v>
      </c>
      <c r="F16" s="52">
        <v>-6338780327</v>
      </c>
      <c r="G16" s="52">
        <v>-9149180</v>
      </c>
      <c r="H16" s="52">
        <v>-5580400451</v>
      </c>
      <c r="I16" s="52">
        <v>433078908</v>
      </c>
      <c r="J16" s="52">
        <v>38469158</v>
      </c>
      <c r="K16" s="52"/>
      <c r="L16" s="52">
        <v>-687736940</v>
      </c>
      <c r="M16" s="52">
        <v>-1210161591</v>
      </c>
      <c r="N16" s="52">
        <v>843358350</v>
      </c>
      <c r="O16" s="52">
        <v>-1827148004</v>
      </c>
      <c r="P16" s="52">
        <v>-3364844802</v>
      </c>
      <c r="Q16" s="52">
        <v>8288382903</v>
      </c>
      <c r="R16" s="52">
        <v>-483138457</v>
      </c>
      <c r="S16" s="52">
        <v>-3605317123</v>
      </c>
      <c r="T16" s="53">
        <v>-8715417235</v>
      </c>
      <c r="U16" s="53">
        <v>1550456478</v>
      </c>
      <c r="V16" s="52">
        <v>-664178381</v>
      </c>
      <c r="W16" s="52">
        <v>-15613539</v>
      </c>
      <c r="X16" s="52">
        <v>-16462113504</v>
      </c>
      <c r="Y16" s="52">
        <v>16403790725</v>
      </c>
      <c r="Z16" s="52">
        <v>-9803636812</v>
      </c>
    </row>
    <row r="17" spans="2:26" x14ac:dyDescent="0.3">
      <c r="B17" s="7" t="s">
        <v>141</v>
      </c>
      <c r="C17" s="12">
        <v>30796658289</v>
      </c>
      <c r="D17" s="12">
        <v>-18976591672</v>
      </c>
      <c r="E17" s="12">
        <v>44975001245</v>
      </c>
      <c r="F17" s="12">
        <v>-86580746211</v>
      </c>
      <c r="G17" s="12">
        <v>67403996965</v>
      </c>
      <c r="H17" s="12">
        <v>24575047970</v>
      </c>
      <c r="I17" s="12">
        <v>-19872184044</v>
      </c>
      <c r="J17" s="12">
        <v>-14516453830</v>
      </c>
      <c r="K17" s="12"/>
      <c r="L17" s="12">
        <v>13002440205</v>
      </c>
      <c r="M17" s="12">
        <v>-20421471296</v>
      </c>
      <c r="N17" s="12">
        <v>4174868814</v>
      </c>
      <c r="O17" s="12">
        <v>-20510953799</v>
      </c>
      <c r="P17" s="12">
        <v>-35666088811</v>
      </c>
      <c r="Q17" s="12">
        <v>-23027534053</v>
      </c>
      <c r="R17" s="12">
        <v>9859822053</v>
      </c>
      <c r="S17" s="12">
        <v>-28848991893</v>
      </c>
      <c r="T17" s="50">
        <v>23915410015</v>
      </c>
      <c r="U17" s="50">
        <v>-15740224848</v>
      </c>
      <c r="V17" s="12">
        <v>11590704408</v>
      </c>
      <c r="W17" s="12">
        <v>22541097728</v>
      </c>
      <c r="X17" s="12">
        <v>-8139275050</v>
      </c>
      <c r="Y17" s="12">
        <v>41527895015</v>
      </c>
      <c r="Z17" s="12">
        <v>56457827809</v>
      </c>
    </row>
    <row r="18" spans="2:26" x14ac:dyDescent="0.3">
      <c r="B18" s="7" t="s">
        <v>142</v>
      </c>
      <c r="C18" s="12">
        <v>-819709361</v>
      </c>
      <c r="D18" s="12">
        <v>487092150</v>
      </c>
      <c r="E18" s="12">
        <v>-2495589676</v>
      </c>
      <c r="F18" s="12">
        <v>1056205010</v>
      </c>
      <c r="G18" s="12">
        <v>892902933</v>
      </c>
      <c r="H18" s="12">
        <v>887902933</v>
      </c>
      <c r="I18" s="12">
        <v>-5423249946</v>
      </c>
      <c r="J18" s="12">
        <v>-585508192</v>
      </c>
      <c r="K18" s="12"/>
      <c r="L18" s="12">
        <v>4013168173</v>
      </c>
      <c r="M18" s="12">
        <v>-786267030</v>
      </c>
      <c r="N18" s="12">
        <v>-2260597278</v>
      </c>
      <c r="O18" s="12">
        <v>2407982898</v>
      </c>
      <c r="P18" s="12">
        <v>-2589181230</v>
      </c>
      <c r="Q18" s="12">
        <v>2010901865</v>
      </c>
      <c r="R18" s="12">
        <v>2010901865</v>
      </c>
      <c r="S18" s="12">
        <v>-119018935</v>
      </c>
      <c r="T18" s="50">
        <v>-4734053863</v>
      </c>
      <c r="U18" s="50">
        <v>1904457238</v>
      </c>
      <c r="V18" s="12">
        <v>321957238</v>
      </c>
      <c r="W18" s="12">
        <v>1809157238</v>
      </c>
      <c r="X18" s="12">
        <v>-3183966466</v>
      </c>
      <c r="Y18" s="12">
        <v>-761958564</v>
      </c>
      <c r="Z18" s="12">
        <v>3700318176</v>
      </c>
    </row>
    <row r="19" spans="2:26" x14ac:dyDescent="0.3">
      <c r="B19" s="7" t="s">
        <v>143</v>
      </c>
      <c r="C19" s="12">
        <v>-7127090934</v>
      </c>
      <c r="D19" s="12">
        <v>-2285676170</v>
      </c>
      <c r="E19" s="12">
        <v>-15156756783</v>
      </c>
      <c r="F19" s="12">
        <v>-25187620717</v>
      </c>
      <c r="G19" s="12">
        <v>10780684983</v>
      </c>
      <c r="H19" s="12">
        <v>-5358646580</v>
      </c>
      <c r="I19" s="12">
        <v>6320855566</v>
      </c>
      <c r="J19" s="12">
        <v>-4144075204</v>
      </c>
      <c r="K19" s="12"/>
      <c r="L19" s="12">
        <v>-2647905855</v>
      </c>
      <c r="M19" s="12">
        <v>-3177313837</v>
      </c>
      <c r="N19" s="12">
        <v>-2062301495</v>
      </c>
      <c r="O19" s="12">
        <v>-1931758279</v>
      </c>
      <c r="P19" s="12">
        <v>-1790900955</v>
      </c>
      <c r="Q19" s="12">
        <v>-1467801696</v>
      </c>
      <c r="R19" s="12">
        <v>-1001312569</v>
      </c>
      <c r="S19" s="12">
        <v>-1881937309</v>
      </c>
      <c r="T19" s="50">
        <v>-1780109002</v>
      </c>
      <c r="U19" s="50">
        <v>-1681380201</v>
      </c>
      <c r="V19" s="12">
        <v>-1745482348</v>
      </c>
      <c r="W19" s="12">
        <v>-1497548282</v>
      </c>
      <c r="X19" s="12">
        <v>-1165807182</v>
      </c>
      <c r="Y19" s="12">
        <v>-977218638</v>
      </c>
      <c r="Z19" s="12">
        <v>-827069044</v>
      </c>
    </row>
    <row r="20" spans="2:26" x14ac:dyDescent="0.3">
      <c r="B20" s="7" t="s">
        <v>144</v>
      </c>
      <c r="C20" s="12">
        <v>-4449728702</v>
      </c>
      <c r="D20" s="12">
        <v>4449728702</v>
      </c>
      <c r="E20" s="12">
        <v>-20406345495</v>
      </c>
      <c r="F20" s="12">
        <v>-20406345495</v>
      </c>
      <c r="G20" s="12">
        <v>14244382854</v>
      </c>
      <c r="H20" s="12">
        <v>-4863909453</v>
      </c>
      <c r="I20" s="12">
        <v>-2994381249</v>
      </c>
      <c r="J20" s="12">
        <v>-3338137611</v>
      </c>
      <c r="K20" s="12"/>
      <c r="L20" s="12">
        <v>-4943433940</v>
      </c>
      <c r="M20" s="12">
        <v>-3228468861</v>
      </c>
      <c r="N20" s="12">
        <v>-3790589485</v>
      </c>
      <c r="O20" s="12">
        <v>-28571894223</v>
      </c>
      <c r="P20" s="12">
        <v>-8881176157</v>
      </c>
      <c r="Q20" s="12">
        <v>-5513033089</v>
      </c>
      <c r="R20" s="12">
        <v>-5398980720</v>
      </c>
      <c r="S20" s="12">
        <v>-6854009230</v>
      </c>
      <c r="T20" s="50">
        <v>-7293541994</v>
      </c>
      <c r="U20" s="50">
        <v>-6453850602</v>
      </c>
      <c r="V20" s="12">
        <v>-3988876612</v>
      </c>
      <c r="W20" s="12">
        <v>-6821535464</v>
      </c>
      <c r="X20" s="12">
        <v>-5585927110</v>
      </c>
      <c r="Y20" s="12">
        <v>-9091754526</v>
      </c>
      <c r="Z20" s="12">
        <v>-4246992134</v>
      </c>
    </row>
    <row r="21" spans="2:26" x14ac:dyDescent="0.3">
      <c r="B21" s="7" t="s">
        <v>145</v>
      </c>
      <c r="C21" s="9"/>
      <c r="D21" s="12">
        <v>505828088</v>
      </c>
      <c r="E21" s="12">
        <v>-505828088</v>
      </c>
      <c r="F21" s="9"/>
      <c r="G21" s="9"/>
      <c r="H21" s="9"/>
      <c r="I21" s="9"/>
      <c r="J21" s="9"/>
      <c r="K21" s="9"/>
      <c r="L21" s="9"/>
      <c r="M21" s="9"/>
      <c r="N21" s="9"/>
      <c r="O21" s="9"/>
      <c r="P21" s="9"/>
      <c r="Q21" s="9"/>
      <c r="R21" s="9"/>
      <c r="S21" s="9"/>
      <c r="T21" s="50"/>
      <c r="U21" s="50"/>
      <c r="V21" s="9"/>
      <c r="W21" s="9"/>
      <c r="X21" s="9"/>
      <c r="Y21" s="9"/>
      <c r="Z21" s="9"/>
    </row>
    <row r="22" spans="2:26" x14ac:dyDescent="0.3">
      <c r="B22" s="7" t="s">
        <v>146</v>
      </c>
      <c r="C22" s="12">
        <v>-2169742948</v>
      </c>
      <c r="D22" s="12">
        <v>-3207925330</v>
      </c>
      <c r="E22" s="12">
        <v>-2392875791</v>
      </c>
      <c r="F22" s="9"/>
      <c r="G22" s="12">
        <v>-4344201093</v>
      </c>
      <c r="H22" s="12">
        <v>-23900000</v>
      </c>
      <c r="I22" s="12">
        <v>1429222</v>
      </c>
      <c r="J22" s="12">
        <v>-1800000</v>
      </c>
      <c r="K22" s="12"/>
      <c r="L22" s="12">
        <v>210720000</v>
      </c>
      <c r="M22" s="9"/>
      <c r="N22" s="9"/>
      <c r="O22" s="12">
        <v>-13482739223</v>
      </c>
      <c r="P22" s="9"/>
      <c r="Q22" s="9"/>
      <c r="R22" s="9"/>
      <c r="S22" s="12">
        <v>-500027221</v>
      </c>
      <c r="T22" s="50">
        <v>-2048329429</v>
      </c>
      <c r="U22" s="50">
        <v>-6273646000</v>
      </c>
      <c r="V22" s="12">
        <v>-5453355900</v>
      </c>
      <c r="W22" s="12">
        <v>2261952100</v>
      </c>
      <c r="X22" s="12">
        <v>1628403800</v>
      </c>
      <c r="Y22" s="12">
        <v>-2920738233</v>
      </c>
      <c r="Z22" s="12">
        <v>-5080632767</v>
      </c>
    </row>
    <row r="23" spans="2:26" ht="27" x14ac:dyDescent="0.3">
      <c r="B23" s="7" t="s">
        <v>147</v>
      </c>
      <c r="C23" s="12">
        <v>78295154536</v>
      </c>
      <c r="D23" s="12">
        <v>154341451940</v>
      </c>
      <c r="E23" s="12">
        <v>-16806974461</v>
      </c>
      <c r="F23" s="12">
        <v>-29215066302</v>
      </c>
      <c r="G23" s="12">
        <v>117162687320</v>
      </c>
      <c r="H23" s="12">
        <v>53707479589</v>
      </c>
      <c r="I23" s="12">
        <v>38673424893</v>
      </c>
      <c r="J23" s="12">
        <v>53995566345</v>
      </c>
      <c r="K23" s="12"/>
      <c r="L23" s="12">
        <v>38601990443</v>
      </c>
      <c r="M23" s="12">
        <v>47321198676</v>
      </c>
      <c r="N23" s="12">
        <v>33932943901</v>
      </c>
      <c r="O23" s="12">
        <v>6961949254</v>
      </c>
      <c r="P23" s="12">
        <v>33762494650</v>
      </c>
      <c r="Q23" s="12">
        <v>38096694085</v>
      </c>
      <c r="R23" s="12">
        <v>26858151357</v>
      </c>
      <c r="S23" s="12">
        <v>16993657094</v>
      </c>
      <c r="T23" s="50">
        <v>82043004448</v>
      </c>
      <c r="U23" s="50">
        <v>22608288832</v>
      </c>
      <c r="V23" s="12">
        <v>61049910597</v>
      </c>
      <c r="W23" s="12">
        <v>44663773907</v>
      </c>
      <c r="X23" s="12">
        <v>53459900641</v>
      </c>
      <c r="Y23" s="12">
        <v>16011485989</v>
      </c>
      <c r="Z23" s="12">
        <v>52577388509</v>
      </c>
    </row>
    <row r="24" spans="2:26" x14ac:dyDescent="0.3">
      <c r="B24" s="7" t="s">
        <v>148</v>
      </c>
      <c r="C24" s="9"/>
      <c r="D24" s="9"/>
      <c r="E24" s="9"/>
      <c r="F24" s="9"/>
      <c r="G24" s="9"/>
      <c r="H24" s="9"/>
      <c r="I24" s="9"/>
      <c r="J24" s="9"/>
      <c r="K24" s="9"/>
      <c r="L24" s="9"/>
      <c r="M24" s="9"/>
      <c r="N24" s="9"/>
      <c r="O24" s="9"/>
      <c r="P24" s="9"/>
      <c r="Q24" s="9"/>
      <c r="R24" s="9"/>
      <c r="S24" s="9"/>
      <c r="T24" s="50"/>
      <c r="U24" s="50"/>
      <c r="V24" s="9"/>
      <c r="W24" s="9"/>
      <c r="X24" s="9"/>
      <c r="Y24" s="9"/>
      <c r="Z24" s="9"/>
    </row>
    <row r="25" spans="2:26" ht="27" x14ac:dyDescent="0.3">
      <c r="B25" s="7" t="s">
        <v>149</v>
      </c>
      <c r="C25" s="12">
        <v>-25259771753</v>
      </c>
      <c r="D25" s="12">
        <v>-172547621095</v>
      </c>
      <c r="E25" s="12">
        <v>111782950141</v>
      </c>
      <c r="F25" s="12">
        <v>474547495</v>
      </c>
      <c r="G25" s="12">
        <v>-5699432686</v>
      </c>
      <c r="H25" s="12">
        <v>-4705722698</v>
      </c>
      <c r="I25" s="12">
        <v>-41892962181</v>
      </c>
      <c r="J25" s="12">
        <v>-5255417499</v>
      </c>
      <c r="K25" s="12"/>
      <c r="L25" s="12">
        <v>-8872897792</v>
      </c>
      <c r="M25" s="12">
        <v>-32545455</v>
      </c>
      <c r="N25" s="12">
        <v>5259473795</v>
      </c>
      <c r="O25" s="12">
        <v>-70186909176</v>
      </c>
      <c r="P25" s="12">
        <v>-5952195505</v>
      </c>
      <c r="Q25" s="12">
        <v>-9089460112</v>
      </c>
      <c r="R25" s="12">
        <v>-53157347952</v>
      </c>
      <c r="S25" s="12">
        <v>-55771992592</v>
      </c>
      <c r="T25" s="50">
        <v>-4573036651</v>
      </c>
      <c r="U25" s="50">
        <v>-26734844499</v>
      </c>
      <c r="V25" s="12">
        <v>-1151419455</v>
      </c>
      <c r="W25" s="12">
        <v>-2403568182</v>
      </c>
      <c r="X25" s="12">
        <v>-2380636713</v>
      </c>
      <c r="Y25" s="12">
        <v>-39798000000</v>
      </c>
      <c r="Z25" s="12">
        <v>-249672728</v>
      </c>
    </row>
    <row r="26" spans="2:26" x14ac:dyDescent="0.3">
      <c r="B26" s="7" t="s">
        <v>150</v>
      </c>
      <c r="C26" s="9"/>
      <c r="D26" s="9"/>
      <c r="E26" s="9"/>
      <c r="F26" s="9"/>
      <c r="G26" s="9"/>
      <c r="H26" s="9"/>
      <c r="I26" s="9"/>
      <c r="J26" s="9"/>
      <c r="K26" s="9"/>
      <c r="L26" s="9"/>
      <c r="M26" s="9"/>
      <c r="N26" s="9"/>
      <c r="O26" s="9"/>
      <c r="P26" s="9"/>
      <c r="Q26" s="9"/>
      <c r="R26" s="9"/>
      <c r="S26" s="9"/>
      <c r="T26" s="50"/>
      <c r="U26" s="50"/>
      <c r="V26" s="9"/>
      <c r="W26" s="9"/>
      <c r="X26" s="9"/>
      <c r="Y26" s="9"/>
      <c r="Z26" s="9"/>
    </row>
    <row r="27" spans="2:26" x14ac:dyDescent="0.3">
      <c r="B27" s="7" t="s">
        <v>151</v>
      </c>
      <c r="C27" s="12">
        <v>-57000000000</v>
      </c>
      <c r="D27" s="12">
        <v>57000000000</v>
      </c>
      <c r="E27" s="12">
        <v>-57000000000</v>
      </c>
      <c r="F27" s="12">
        <v>2011740812</v>
      </c>
      <c r="G27" s="12">
        <v>-14011740812</v>
      </c>
      <c r="H27" s="12">
        <v>-15000000000</v>
      </c>
      <c r="I27" s="12">
        <v>-25000000000</v>
      </c>
      <c r="J27" s="12">
        <v>20000000000</v>
      </c>
      <c r="K27" s="12"/>
      <c r="L27" s="9"/>
      <c r="M27" s="9"/>
      <c r="N27" s="9"/>
      <c r="O27" s="9"/>
      <c r="P27" s="9"/>
      <c r="Q27" s="12">
        <v>-13000000000</v>
      </c>
      <c r="R27" s="12">
        <v>13000000000</v>
      </c>
      <c r="S27" s="9"/>
      <c r="T27" s="50"/>
      <c r="U27" s="50"/>
      <c r="V27" s="9"/>
      <c r="W27" s="9"/>
      <c r="X27" s="9"/>
      <c r="Y27" s="9"/>
      <c r="Z27" s="9"/>
    </row>
    <row r="28" spans="2:26" ht="27" x14ac:dyDescent="0.3">
      <c r="B28" s="7" t="s">
        <v>152</v>
      </c>
      <c r="C28" s="9"/>
      <c r="D28" s="9"/>
      <c r="E28" s="9"/>
      <c r="F28" s="9"/>
      <c r="G28" s="9"/>
      <c r="H28" s="9"/>
      <c r="I28" s="9"/>
      <c r="J28" s="9"/>
      <c r="K28" s="9"/>
      <c r="L28" s="12">
        <v>-5000000000</v>
      </c>
      <c r="M28" s="12">
        <v>-39070960000</v>
      </c>
      <c r="N28" s="9"/>
      <c r="O28" s="9"/>
      <c r="P28" s="12">
        <v>25000000000</v>
      </c>
      <c r="Q28" s="9"/>
      <c r="R28" s="9"/>
      <c r="S28" s="9"/>
      <c r="T28" s="50"/>
      <c r="U28" s="50"/>
      <c r="V28" s="9"/>
      <c r="W28" s="9"/>
      <c r="X28" s="9"/>
      <c r="Y28" s="9"/>
      <c r="Z28" s="9"/>
    </row>
    <row r="29" spans="2:26" x14ac:dyDescent="0.3">
      <c r="B29" s="7" t="s">
        <v>153</v>
      </c>
      <c r="C29" s="9"/>
      <c r="D29" s="9"/>
      <c r="E29" s="9"/>
      <c r="F29" s="9"/>
      <c r="G29" s="9"/>
      <c r="H29" s="9"/>
      <c r="I29" s="9"/>
      <c r="J29" s="9"/>
      <c r="K29" s="9"/>
      <c r="L29" s="9"/>
      <c r="M29" s="9"/>
      <c r="N29" s="9"/>
      <c r="O29" s="9"/>
      <c r="P29" s="9"/>
      <c r="Q29" s="9"/>
      <c r="R29" s="9"/>
      <c r="S29" s="9"/>
      <c r="T29" s="50"/>
      <c r="U29" s="50"/>
      <c r="V29" s="9"/>
      <c r="W29" s="9"/>
      <c r="X29" s="9"/>
      <c r="Y29" s="9"/>
      <c r="Z29" s="9"/>
    </row>
    <row r="30" spans="2:26" ht="27" x14ac:dyDescent="0.3">
      <c r="B30" s="7" t="s">
        <v>154</v>
      </c>
      <c r="C30" s="9"/>
      <c r="D30" s="9"/>
      <c r="E30" s="9"/>
      <c r="F30" s="9"/>
      <c r="G30" s="9"/>
      <c r="H30" s="9"/>
      <c r="I30" s="9"/>
      <c r="J30" s="9"/>
      <c r="K30" s="9"/>
      <c r="L30" s="9"/>
      <c r="M30" s="9"/>
      <c r="N30" s="12">
        <v>5000000000</v>
      </c>
      <c r="O30" s="9"/>
      <c r="P30" s="12">
        <v>-65000000000</v>
      </c>
      <c r="Q30" s="9"/>
      <c r="R30" s="12">
        <v>27000000000</v>
      </c>
      <c r="S30" s="9"/>
      <c r="T30" s="50"/>
      <c r="U30" s="50">
        <v>13000000000</v>
      </c>
      <c r="V30" s="9"/>
      <c r="W30" s="9"/>
      <c r="X30" s="9"/>
      <c r="Y30" s="12">
        <v>-33900000000</v>
      </c>
      <c r="Z30" s="9"/>
    </row>
    <row r="31" spans="2:26" x14ac:dyDescent="0.3">
      <c r="B31" s="7" t="s">
        <v>155</v>
      </c>
      <c r="C31" s="12">
        <v>1552924129</v>
      </c>
      <c r="D31" s="12">
        <v>7284616258</v>
      </c>
      <c r="E31" s="12">
        <v>2970952498</v>
      </c>
      <c r="F31" s="12">
        <v>-6674589268</v>
      </c>
      <c r="G31" s="12">
        <v>20442055572</v>
      </c>
      <c r="H31" s="12">
        <v>-68300915</v>
      </c>
      <c r="I31" s="12">
        <v>7591335348</v>
      </c>
      <c r="J31" s="12">
        <v>3465217900</v>
      </c>
      <c r="K31" s="12"/>
      <c r="L31" s="12">
        <v>2158235328</v>
      </c>
      <c r="M31" s="12">
        <v>5674762176</v>
      </c>
      <c r="N31" s="12">
        <v>4073742894</v>
      </c>
      <c r="O31" s="12">
        <v>3031513942</v>
      </c>
      <c r="P31" s="12">
        <v>2503279998</v>
      </c>
      <c r="Q31" s="12">
        <v>1614012878</v>
      </c>
      <c r="R31" s="12">
        <v>2785095485</v>
      </c>
      <c r="S31" s="12">
        <v>1713400280</v>
      </c>
      <c r="T31" s="50">
        <v>1767111668</v>
      </c>
      <c r="U31" s="50">
        <v>1711034514</v>
      </c>
      <c r="V31" s="12">
        <v>1853068974</v>
      </c>
      <c r="W31" s="12">
        <v>1249807697</v>
      </c>
      <c r="X31" s="12">
        <v>2632869962</v>
      </c>
      <c r="Y31" s="12">
        <v>2140801670</v>
      </c>
      <c r="Z31" s="12">
        <v>1801833332</v>
      </c>
    </row>
    <row r="32" spans="2:26" x14ac:dyDescent="0.3">
      <c r="B32" s="7" t="s">
        <v>156</v>
      </c>
      <c r="C32" s="12">
        <v>-80706847624</v>
      </c>
      <c r="D32" s="12">
        <v>-108263004837</v>
      </c>
      <c r="E32" s="12">
        <v>57753902639</v>
      </c>
      <c r="F32" s="12">
        <v>-4188300961</v>
      </c>
      <c r="G32" s="12">
        <v>730882074</v>
      </c>
      <c r="H32" s="12">
        <v>-19774023613</v>
      </c>
      <c r="I32" s="12">
        <v>-59301626833</v>
      </c>
      <c r="J32" s="12">
        <v>18209800401</v>
      </c>
      <c r="K32" s="12"/>
      <c r="L32" s="12">
        <v>-11714662464</v>
      </c>
      <c r="M32" s="12">
        <v>-33428743279</v>
      </c>
      <c r="N32" s="12">
        <v>14333216689</v>
      </c>
      <c r="O32" s="12">
        <v>-67155395234</v>
      </c>
      <c r="P32" s="12">
        <v>-43448915507</v>
      </c>
      <c r="Q32" s="12">
        <v>-20475447234</v>
      </c>
      <c r="R32" s="12">
        <v>-10372252467</v>
      </c>
      <c r="S32" s="12">
        <v>-54058592312</v>
      </c>
      <c r="T32" s="50">
        <v>-2805924983</v>
      </c>
      <c r="U32" s="50">
        <v>-12023809985</v>
      </c>
      <c r="V32" s="12">
        <v>701649519</v>
      </c>
      <c r="W32" s="12">
        <v>-1153760485</v>
      </c>
      <c r="X32" s="12">
        <v>252233249</v>
      </c>
      <c r="Y32" s="12">
        <v>-71557198330</v>
      </c>
      <c r="Z32" s="12">
        <v>1552160604</v>
      </c>
    </row>
    <row r="33" spans="2:26" ht="27" x14ac:dyDescent="0.3">
      <c r="B33" s="7" t="s">
        <v>157</v>
      </c>
      <c r="C33" s="9"/>
      <c r="D33" s="9"/>
      <c r="E33" s="9"/>
      <c r="F33" s="9"/>
      <c r="G33" s="9"/>
      <c r="H33" s="9"/>
      <c r="I33" s="9"/>
      <c r="J33" s="9"/>
      <c r="K33" s="9"/>
      <c r="L33" s="9"/>
      <c r="M33" s="9"/>
      <c r="N33" s="9"/>
      <c r="O33" s="9"/>
      <c r="P33" s="9"/>
      <c r="Q33" s="9"/>
      <c r="R33" s="9"/>
      <c r="S33" s="9"/>
      <c r="T33" s="50"/>
      <c r="U33" s="50"/>
      <c r="V33" s="9"/>
      <c r="W33" s="9"/>
      <c r="X33" s="9"/>
      <c r="Y33" s="9"/>
      <c r="Z33" s="9"/>
    </row>
    <row r="34" spans="2:26" x14ac:dyDescent="0.3">
      <c r="B34" s="7" t="s">
        <v>158</v>
      </c>
      <c r="C34" s="9"/>
      <c r="D34" s="9"/>
      <c r="E34" s="9"/>
      <c r="F34" s="12">
        <v>10156000000</v>
      </c>
      <c r="G34" s="9"/>
      <c r="H34" s="9"/>
      <c r="I34" s="9"/>
      <c r="J34" s="9"/>
      <c r="K34" s="9"/>
      <c r="L34" s="9"/>
      <c r="M34" s="12">
        <v>56723620000</v>
      </c>
      <c r="N34" s="9"/>
      <c r="O34" s="9"/>
      <c r="P34" s="9"/>
      <c r="Q34" s="9"/>
      <c r="R34" s="9"/>
      <c r="S34" s="9"/>
      <c r="T34" s="50"/>
      <c r="U34" s="50"/>
      <c r="V34" s="9"/>
      <c r="W34" s="9"/>
      <c r="X34" s="9"/>
      <c r="Y34" s="9"/>
      <c r="Z34" s="9"/>
    </row>
    <row r="35" spans="2:26" x14ac:dyDescent="0.3">
      <c r="B35" s="7" t="s">
        <v>159</v>
      </c>
      <c r="C35" s="9"/>
      <c r="D35" s="9"/>
      <c r="E35" s="9"/>
      <c r="F35" s="9"/>
      <c r="G35" s="9"/>
      <c r="H35" s="9"/>
      <c r="I35" s="9"/>
      <c r="J35" s="12">
        <v>-10395988700</v>
      </c>
      <c r="K35" s="12"/>
      <c r="L35" s="12">
        <v>20798777400</v>
      </c>
      <c r="M35" s="9"/>
      <c r="N35" s="9"/>
      <c r="O35" s="9"/>
      <c r="P35" s="9"/>
      <c r="Q35" s="9"/>
      <c r="R35" s="9"/>
      <c r="S35" s="9"/>
      <c r="T35" s="50"/>
      <c r="U35" s="50"/>
      <c r="V35" s="9"/>
      <c r="W35" s="9"/>
      <c r="X35" s="9"/>
      <c r="Y35" s="9"/>
      <c r="Z35" s="9"/>
    </row>
    <row r="36" spans="2:26" x14ac:dyDescent="0.3">
      <c r="B36" s="7" t="s">
        <v>160</v>
      </c>
      <c r="C36" s="12">
        <v>15401587598</v>
      </c>
      <c r="D36" s="12">
        <v>10608687719</v>
      </c>
      <c r="E36" s="12">
        <v>-91674442</v>
      </c>
      <c r="F36" s="9"/>
      <c r="G36" s="9"/>
      <c r="H36" s="12">
        <v>-17420005085</v>
      </c>
      <c r="I36" s="12">
        <v>36020005085</v>
      </c>
      <c r="J36" s="9"/>
      <c r="K36" s="9"/>
      <c r="L36" s="9"/>
      <c r="M36" s="9"/>
      <c r="N36" s="12">
        <v>6487808400</v>
      </c>
      <c r="O36" s="12">
        <v>24979162260</v>
      </c>
      <c r="P36" s="12">
        <v>1232093520</v>
      </c>
      <c r="Q36" s="12">
        <v>-39657081726</v>
      </c>
      <c r="R36" s="12">
        <v>98882921401</v>
      </c>
      <c r="S36" s="12">
        <v>20064899160</v>
      </c>
      <c r="T36" s="50">
        <v>13431025328</v>
      </c>
      <c r="U36" s="50">
        <v>10425360000</v>
      </c>
      <c r="V36" s="12">
        <v>2335821872</v>
      </c>
      <c r="W36" s="12">
        <v>1944000000</v>
      </c>
      <c r="X36" s="9"/>
      <c r="Y36" s="9"/>
      <c r="Z36" s="9"/>
    </row>
    <row r="37" spans="2:26" x14ac:dyDescent="0.3">
      <c r="B37" s="7" t="s">
        <v>161</v>
      </c>
      <c r="C37" s="12">
        <v>-25945848805</v>
      </c>
      <c r="D37" s="12">
        <v>-12922551037</v>
      </c>
      <c r="E37" s="12">
        <v>19361476232</v>
      </c>
      <c r="F37" s="12">
        <v>-17420005043</v>
      </c>
      <c r="G37" s="12">
        <v>-17420005126</v>
      </c>
      <c r="H37" s="9"/>
      <c r="I37" s="12">
        <v>-27816913785</v>
      </c>
      <c r="J37" s="9"/>
      <c r="K37" s="9"/>
      <c r="L37" s="12">
        <v>-31211766100</v>
      </c>
      <c r="M37" s="12">
        <v>-29062588700</v>
      </c>
      <c r="N37" s="12">
        <v>-10409188700</v>
      </c>
      <c r="O37" s="12">
        <v>-10737461427</v>
      </c>
      <c r="P37" s="12">
        <v>-11916486399</v>
      </c>
      <c r="Q37" s="12">
        <v>-53999346000</v>
      </c>
      <c r="R37" s="12">
        <v>6838135154</v>
      </c>
      <c r="S37" s="12">
        <v>25398903916</v>
      </c>
      <c r="T37" s="50">
        <v>-59910516135</v>
      </c>
      <c r="U37" s="50">
        <v>-10270337421</v>
      </c>
      <c r="V37" s="12">
        <v>-10623228415</v>
      </c>
      <c r="W37" s="12">
        <v>-10623228416</v>
      </c>
      <c r="X37" s="12">
        <v>-10784895416</v>
      </c>
      <c r="Y37" s="12">
        <v>-10784895416</v>
      </c>
      <c r="Z37" s="12">
        <v>-6684895416</v>
      </c>
    </row>
    <row r="38" spans="2:26" x14ac:dyDescent="0.3">
      <c r="B38" s="7" t="s">
        <v>162</v>
      </c>
      <c r="C38" s="9"/>
      <c r="D38" s="9"/>
      <c r="E38" s="9"/>
      <c r="F38" s="9"/>
      <c r="G38" s="9"/>
      <c r="H38" s="9"/>
      <c r="I38" s="9"/>
      <c r="J38" s="9"/>
      <c r="K38" s="9"/>
      <c r="L38" s="9"/>
      <c r="M38" s="9"/>
      <c r="N38" s="9"/>
      <c r="O38" s="9"/>
      <c r="P38" s="9"/>
      <c r="Q38" s="9"/>
      <c r="R38" s="9"/>
      <c r="S38" s="9"/>
      <c r="T38" s="50"/>
      <c r="U38" s="50"/>
      <c r="V38" s="9"/>
      <c r="W38" s="9"/>
      <c r="X38" s="9"/>
      <c r="Y38" s="9"/>
      <c r="Z38" s="9"/>
    </row>
    <row r="39" spans="2:26" x14ac:dyDescent="0.3">
      <c r="B39" s="7" t="s">
        <v>163</v>
      </c>
      <c r="C39" s="12">
        <v>-570000</v>
      </c>
      <c r="D39" s="12">
        <v>12500570000</v>
      </c>
      <c r="E39" s="12">
        <v>-12500570000</v>
      </c>
      <c r="F39" s="12">
        <v>30263197500</v>
      </c>
      <c r="G39" s="12">
        <v>-156158908500</v>
      </c>
      <c r="H39" s="9"/>
      <c r="I39" s="12">
        <v>-31987317000</v>
      </c>
      <c r="J39" s="12">
        <v>-32134074000</v>
      </c>
      <c r="K39" s="12"/>
      <c r="L39" s="12">
        <v>-911002500</v>
      </c>
      <c r="M39" s="12">
        <v>-57580500</v>
      </c>
      <c r="N39" s="12">
        <v>-40504984500</v>
      </c>
      <c r="O39" s="9"/>
      <c r="P39" s="12">
        <v>2243916175</v>
      </c>
      <c r="Q39" s="9"/>
      <c r="R39" s="12">
        <v>-51508194650</v>
      </c>
      <c r="S39" s="12">
        <v>-42999975850</v>
      </c>
      <c r="T39" s="50"/>
      <c r="U39" s="50">
        <v>-80999019000</v>
      </c>
      <c r="V39" s="12">
        <v>308040000</v>
      </c>
      <c r="W39" s="12">
        <v>-308040000</v>
      </c>
      <c r="X39" s="9"/>
      <c r="Y39" s="9"/>
      <c r="Z39" s="12">
        <v>-81000882000</v>
      </c>
    </row>
    <row r="40" spans="2:26" x14ac:dyDescent="0.3">
      <c r="B40" s="7" t="s">
        <v>164</v>
      </c>
      <c r="C40" s="9"/>
      <c r="D40" s="9"/>
      <c r="E40" s="9"/>
      <c r="F40" s="9"/>
      <c r="G40" s="9"/>
      <c r="H40" s="9"/>
      <c r="I40" s="9"/>
      <c r="J40" s="9"/>
      <c r="K40" s="9"/>
      <c r="L40" s="9"/>
      <c r="M40" s="9"/>
      <c r="N40" s="9"/>
      <c r="O40" s="9"/>
      <c r="P40" s="9"/>
      <c r="Q40" s="9"/>
      <c r="R40" s="9"/>
      <c r="S40" s="9"/>
      <c r="T40" s="50"/>
      <c r="U40" s="50"/>
      <c r="V40" s="9"/>
      <c r="W40" s="9"/>
      <c r="X40" s="9"/>
      <c r="Y40" s="9"/>
      <c r="Z40" s="9"/>
    </row>
    <row r="41" spans="2:26" x14ac:dyDescent="0.3">
      <c r="B41" s="7" t="s">
        <v>165</v>
      </c>
      <c r="C41" s="12">
        <v>-10544831207</v>
      </c>
      <c r="D41" s="12">
        <v>10186706682</v>
      </c>
      <c r="E41" s="12">
        <v>6769231790</v>
      </c>
      <c r="F41" s="12">
        <v>22999192457</v>
      </c>
      <c r="G41" s="12">
        <v>-173578913626</v>
      </c>
      <c r="H41" s="12">
        <v>-17420005085</v>
      </c>
      <c r="I41" s="12">
        <v>-23784225700</v>
      </c>
      <c r="J41" s="12">
        <v>-42530062700</v>
      </c>
      <c r="K41" s="12"/>
      <c r="L41" s="12">
        <v>-11323991200</v>
      </c>
      <c r="M41" s="12">
        <v>27603450800</v>
      </c>
      <c r="N41" s="12">
        <v>-44426364800</v>
      </c>
      <c r="O41" s="12">
        <v>14241700833</v>
      </c>
      <c r="P41" s="12">
        <v>-8440476704</v>
      </c>
      <c r="Q41" s="12">
        <v>-93656427726</v>
      </c>
      <c r="R41" s="12">
        <v>54212861905</v>
      </c>
      <c r="S41" s="12">
        <v>2463827226</v>
      </c>
      <c r="T41" s="50">
        <v>-46479490807</v>
      </c>
      <c r="U41" s="50">
        <v>-80843996421</v>
      </c>
      <c r="V41" s="12">
        <v>-7979366543</v>
      </c>
      <c r="W41" s="12">
        <v>-8987268416</v>
      </c>
      <c r="X41" s="12">
        <v>-10784895416</v>
      </c>
      <c r="Y41" s="12">
        <v>-10784895416</v>
      </c>
      <c r="Z41" s="12">
        <v>-87685777416</v>
      </c>
    </row>
    <row r="42" spans="2:26" x14ac:dyDescent="0.3">
      <c r="B42" s="7" t="s">
        <v>166</v>
      </c>
      <c r="C42" s="12">
        <v>-12956524295</v>
      </c>
      <c r="D42" s="12">
        <v>56265153785</v>
      </c>
      <c r="E42" s="12">
        <v>47716159968</v>
      </c>
      <c r="F42" s="12">
        <v>-10404174806</v>
      </c>
      <c r="G42" s="12">
        <v>-55685344232</v>
      </c>
      <c r="H42" s="12">
        <v>16513450891</v>
      </c>
      <c r="I42" s="12">
        <v>-44412427640</v>
      </c>
      <c r="J42" s="12">
        <v>29675304046</v>
      </c>
      <c r="K42" s="12"/>
      <c r="L42" s="12">
        <v>15563336779</v>
      </c>
      <c r="M42" s="12">
        <v>41495906197</v>
      </c>
      <c r="N42" s="12">
        <v>3839795790</v>
      </c>
      <c r="O42" s="12">
        <v>-45951745147</v>
      </c>
      <c r="P42" s="12">
        <v>-18126897561</v>
      </c>
      <c r="Q42" s="12">
        <v>-76035180875</v>
      </c>
      <c r="R42" s="12">
        <v>70698760795</v>
      </c>
      <c r="S42" s="12">
        <v>-34601107992</v>
      </c>
      <c r="T42" s="50">
        <v>32757588658</v>
      </c>
      <c r="U42" s="50">
        <v>-70259517574</v>
      </c>
      <c r="V42" s="12">
        <v>53772193573</v>
      </c>
      <c r="W42" s="12">
        <v>34522745006</v>
      </c>
      <c r="X42" s="12">
        <v>42927238474</v>
      </c>
      <c r="Y42" s="12">
        <v>-66330607757</v>
      </c>
      <c r="Z42" s="12">
        <v>-33556228303</v>
      </c>
    </row>
    <row r="43" spans="2:26" x14ac:dyDescent="0.3">
      <c r="B43" s="7" t="s">
        <v>167</v>
      </c>
      <c r="C43" s="12">
        <v>88269010446</v>
      </c>
      <c r="D43" s="12">
        <v>75312301150</v>
      </c>
      <c r="E43" s="12">
        <v>131577454935</v>
      </c>
      <c r="F43" s="12">
        <v>179293614903</v>
      </c>
      <c r="G43" s="12">
        <v>168889440097</v>
      </c>
      <c r="H43" s="12">
        <v>113204095865</v>
      </c>
      <c r="I43" s="12">
        <v>129717546756</v>
      </c>
      <c r="J43" s="12">
        <v>85305119116</v>
      </c>
      <c r="K43" s="12"/>
      <c r="L43" s="12">
        <v>192588487112</v>
      </c>
      <c r="M43" s="12">
        <v>208297956738</v>
      </c>
      <c r="N43" s="12">
        <v>249841848415</v>
      </c>
      <c r="O43" s="12">
        <v>352763944080</v>
      </c>
      <c r="P43" s="12">
        <v>306781904822</v>
      </c>
      <c r="Q43" s="12">
        <v>288734892821</v>
      </c>
      <c r="R43" s="12">
        <v>212679147386</v>
      </c>
      <c r="S43" s="12">
        <v>283451823124</v>
      </c>
      <c r="T43" s="50">
        <v>248797364749</v>
      </c>
      <c r="U43" s="50">
        <v>281710813470</v>
      </c>
      <c r="V43" s="12">
        <v>211451295896</v>
      </c>
      <c r="W43" s="12">
        <v>265230120704</v>
      </c>
      <c r="X43" s="12">
        <v>299746234475</v>
      </c>
      <c r="Y43" s="12">
        <v>342673472949</v>
      </c>
      <c r="Z43" s="12">
        <v>276342865192</v>
      </c>
    </row>
    <row r="44" spans="2:26" x14ac:dyDescent="0.3">
      <c r="B44" s="7" t="s">
        <v>168</v>
      </c>
      <c r="C44" s="9"/>
      <c r="D44" s="9"/>
      <c r="E44" s="9"/>
      <c r="F44" s="9"/>
      <c r="G44" s="9"/>
      <c r="H44" s="9"/>
      <c r="I44" s="9"/>
      <c r="J44" s="12">
        <v>74964560</v>
      </c>
      <c r="K44" s="12"/>
      <c r="L44" s="12">
        <v>146132847</v>
      </c>
      <c r="M44" s="12">
        <v>47985480</v>
      </c>
      <c r="N44" s="12">
        <v>2809680</v>
      </c>
      <c r="O44" s="12">
        <v>-30294111</v>
      </c>
      <c r="P44" s="12">
        <v>79885560</v>
      </c>
      <c r="Q44" s="12">
        <v>-20564560</v>
      </c>
      <c r="R44" s="12">
        <v>73914943</v>
      </c>
      <c r="S44" s="12">
        <v>-53350383</v>
      </c>
      <c r="T44" s="50">
        <v>155660966</v>
      </c>
      <c r="U44" s="50"/>
      <c r="V44" s="12">
        <v>6631235</v>
      </c>
      <c r="W44" s="12">
        <v>-6631235</v>
      </c>
      <c r="X44" s="9"/>
      <c r="Y44" s="9"/>
      <c r="Z44" s="9"/>
    </row>
    <row r="45" spans="2:26" x14ac:dyDescent="0.3">
      <c r="B45" s="7" t="s">
        <v>169</v>
      </c>
      <c r="C45" s="12">
        <v>75312486151</v>
      </c>
      <c r="D45" s="12">
        <v>131577454935</v>
      </c>
      <c r="E45" s="12">
        <v>179293614903</v>
      </c>
      <c r="F45" s="12">
        <v>168889440097</v>
      </c>
      <c r="G45" s="12">
        <v>113204095865</v>
      </c>
      <c r="H45" s="12">
        <v>129717546756</v>
      </c>
      <c r="I45" s="12">
        <v>85305119116</v>
      </c>
      <c r="J45" s="12">
        <v>115055387722</v>
      </c>
      <c r="K45" s="12"/>
      <c r="L45" s="12">
        <v>208297956738</v>
      </c>
      <c r="M45" s="12">
        <v>249841848415</v>
      </c>
      <c r="N45" s="12">
        <v>253684453885</v>
      </c>
      <c r="O45" s="12">
        <v>306781904822</v>
      </c>
      <c r="P45" s="12">
        <v>288734892821</v>
      </c>
      <c r="Q45" s="12">
        <v>212679147386</v>
      </c>
      <c r="R45" s="12">
        <v>283451823124</v>
      </c>
      <c r="S45" s="12">
        <v>248797364749</v>
      </c>
      <c r="T45" s="50">
        <v>281710614373</v>
      </c>
      <c r="U45" s="50">
        <v>211451295896</v>
      </c>
      <c r="V45" s="12">
        <v>265230120704</v>
      </c>
      <c r="W45" s="12">
        <v>299746234475</v>
      </c>
      <c r="X45" s="12">
        <v>342673472949</v>
      </c>
      <c r="Y45" s="12">
        <v>276342865192</v>
      </c>
      <c r="Z45" s="12">
        <v>242786636889</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7F7F7F"/>
  </sheetPr>
  <dimension ref="B2:AT165"/>
  <sheetViews>
    <sheetView workbookViewId="0">
      <pane xSplit="2" ySplit="3" topLeftCell="C4" activePane="bottomRight" state="frozen"/>
      <selection pane="topRight" activeCell="C1" sqref="C1"/>
      <selection pane="bottomLeft" activeCell="A4" sqref="A4"/>
      <selection pane="bottomRight" activeCell="M76" sqref="M76"/>
    </sheetView>
  </sheetViews>
  <sheetFormatPr defaultColWidth="8.88671875" defaultRowHeight="14.4" x14ac:dyDescent="0.3"/>
  <cols>
    <col min="1" max="1" width="5.44140625" style="79" customWidth="1"/>
    <col min="2" max="2" width="60.33203125" style="79" customWidth="1"/>
    <col min="3" max="4" width="7.88671875" style="79" bestFit="1" customWidth="1"/>
    <col min="5" max="6" width="8.88671875" style="79" bestFit="1" customWidth="1"/>
    <col min="7" max="12" width="8.44140625" style="79" bestFit="1" customWidth="1"/>
    <col min="13" max="13" width="8.88671875" style="79"/>
    <col min="14" max="40" width="8" style="79" bestFit="1" customWidth="1"/>
    <col min="41" max="16384" width="8.88671875" style="79"/>
  </cols>
  <sheetData>
    <row r="2" spans="2:46" ht="15.6" x14ac:dyDescent="0.3">
      <c r="B2" s="78" t="s">
        <v>493</v>
      </c>
    </row>
    <row r="3" spans="2:46" x14ac:dyDescent="0.3">
      <c r="B3" s="57" t="s">
        <v>490</v>
      </c>
      <c r="C3" s="64" t="s">
        <v>451</v>
      </c>
      <c r="D3" s="64" t="s">
        <v>452</v>
      </c>
      <c r="E3" s="64" t="s">
        <v>453</v>
      </c>
      <c r="F3" s="64" t="s">
        <v>454</v>
      </c>
      <c r="G3" s="64" t="s">
        <v>455</v>
      </c>
      <c r="H3" s="64" t="s">
        <v>456</v>
      </c>
      <c r="I3" s="64" t="s">
        <v>457</v>
      </c>
      <c r="J3" s="64" t="s">
        <v>458</v>
      </c>
      <c r="K3" s="64" t="s">
        <v>459</v>
      </c>
      <c r="L3" s="64" t="s">
        <v>460</v>
      </c>
      <c r="N3" s="57" t="s">
        <v>461</v>
      </c>
      <c r="O3" s="57" t="s">
        <v>462</v>
      </c>
      <c r="P3" s="64" t="s">
        <v>463</v>
      </c>
      <c r="Q3" s="57" t="s">
        <v>464</v>
      </c>
      <c r="R3" s="57" t="s">
        <v>465</v>
      </c>
      <c r="S3" s="57" t="s">
        <v>466</v>
      </c>
      <c r="T3" s="64" t="s">
        <v>467</v>
      </c>
      <c r="U3" s="57" t="s">
        <v>468</v>
      </c>
      <c r="V3" s="57" t="s">
        <v>469</v>
      </c>
      <c r="W3" s="57" t="s">
        <v>470</v>
      </c>
      <c r="X3" s="64" t="s">
        <v>471</v>
      </c>
      <c r="Y3" s="57" t="s">
        <v>472</v>
      </c>
      <c r="Z3" s="57" t="s">
        <v>473</v>
      </c>
      <c r="AA3" s="57" t="s">
        <v>474</v>
      </c>
      <c r="AB3" s="64" t="s">
        <v>475</v>
      </c>
      <c r="AC3" s="57" t="s">
        <v>476</v>
      </c>
      <c r="AD3" s="57" t="s">
        <v>477</v>
      </c>
      <c r="AE3" s="57" t="s">
        <v>478</v>
      </c>
      <c r="AF3" s="64" t="s">
        <v>479</v>
      </c>
      <c r="AG3" s="57" t="s">
        <v>480</v>
      </c>
      <c r="AH3" s="57" t="s">
        <v>481</v>
      </c>
      <c r="AI3" s="57" t="s">
        <v>482</v>
      </c>
      <c r="AJ3" s="64" t="s">
        <v>483</v>
      </c>
      <c r="AK3" s="57" t="s">
        <v>484</v>
      </c>
      <c r="AL3" s="57" t="s">
        <v>485</v>
      </c>
      <c r="AM3" s="57" t="s">
        <v>486</v>
      </c>
      <c r="AN3" s="64" t="s">
        <v>487</v>
      </c>
    </row>
    <row r="4" spans="2:46" s="81" customFormat="1" x14ac:dyDescent="0.3">
      <c r="B4" s="65" t="s">
        <v>97</v>
      </c>
      <c r="C4" s="80">
        <f>InIS!C5/10^9</f>
        <v>0</v>
      </c>
      <c r="D4" s="80">
        <f>InIS!D5/10^9</f>
        <v>7.8663824360000003</v>
      </c>
      <c r="E4" s="80">
        <f>InIS!E5/10^9</f>
        <v>75.687354268999997</v>
      </c>
      <c r="F4" s="80">
        <f>InIS!F5/10^9</f>
        <v>285.40842659899999</v>
      </c>
      <c r="G4" s="80">
        <f>InIS!G5/10^9</f>
        <v>731.81939765599998</v>
      </c>
      <c r="H4" s="80">
        <f>InIS!H5/10^9</f>
        <v>801.188394926</v>
      </c>
      <c r="I4" s="80">
        <f>InIS!I5/10^9</f>
        <v>949.78055784599997</v>
      </c>
      <c r="J4" s="80">
        <f>InIS!J5/10^9</f>
        <v>1085.5814541719999</v>
      </c>
      <c r="K4" s="80">
        <f>InIS!K5/10^9</f>
        <v>950.20789748599998</v>
      </c>
      <c r="L4" s="80">
        <f>InIS!L5/10^9</f>
        <v>890.56689622900001</v>
      </c>
      <c r="N4" s="82">
        <f>InIS_Q!C5/10^9</f>
        <v>75.939526212999994</v>
      </c>
      <c r="O4" s="82">
        <f>InIS_Q!D5/10^9</f>
        <v>132.20363529799999</v>
      </c>
      <c r="P4" s="82">
        <f>InIS_Q!E5/10^9</f>
        <v>191.84397989499999</v>
      </c>
      <c r="Q4" s="82">
        <f>InIS_Q!F5/10^9</f>
        <v>192.72224982399999</v>
      </c>
      <c r="R4" s="82">
        <f>InIS_Q!G5/10^9</f>
        <v>215.04953263900001</v>
      </c>
      <c r="S4" s="82">
        <f>InIS_Q!H5/10^9</f>
        <v>150.59967857300001</v>
      </c>
      <c r="T4" s="82">
        <f>InIS_Q!I5/10^9</f>
        <v>206.36252689200001</v>
      </c>
      <c r="U4" s="82">
        <f>InIS_Q!J5/10^9</f>
        <v>211.25087531700001</v>
      </c>
      <c r="V4" s="82">
        <f>InIS_Q!K5/10^9</f>
        <v>232.97531414400001</v>
      </c>
      <c r="W4" s="82">
        <f>InIS_Q!L5/10^9</f>
        <v>197.80737792100001</v>
      </c>
      <c r="X4" s="82">
        <f>InIS_Q!M5/10^9</f>
        <v>249.98045862399999</v>
      </c>
      <c r="Y4" s="82">
        <f>InIS_Q!N5/10^9</f>
        <v>261.15360858299999</v>
      </c>
      <c r="Z4" s="82">
        <f>InIS_Q!O5/10^9</f>
        <v>240.839112718</v>
      </c>
      <c r="AA4" s="82">
        <f>InIS_Q!P5/10^9</f>
        <v>232.171944368</v>
      </c>
      <c r="AB4" s="82">
        <f>InIS_Q!Q5/10^9</f>
        <v>278.55799973400002</v>
      </c>
      <c r="AC4" s="82">
        <f>InIS_Q!R5/10^9</f>
        <v>299.74907676499998</v>
      </c>
      <c r="AD4" s="82">
        <f>InIS_Q!S5/10^9</f>
        <v>275.10243330499998</v>
      </c>
      <c r="AE4" s="82">
        <f>InIS_Q!T5/10^9</f>
        <v>210.565199826</v>
      </c>
      <c r="AF4" s="82">
        <f>InIS_Q!U5/10^9</f>
        <v>245.41003794400001</v>
      </c>
      <c r="AG4" s="82">
        <f>InIS_Q!V5/10^9</f>
        <v>235.678180932</v>
      </c>
      <c r="AH4" s="82">
        <f>InIS_Q!W5/10^9</f>
        <v>258.55447878400003</v>
      </c>
      <c r="AI4" s="82">
        <f>InIS_Q!X5/10^9</f>
        <v>206.66196492399999</v>
      </c>
      <c r="AJ4" s="82">
        <f>InIS_Q!Y5/10^9</f>
        <v>231.803868763</v>
      </c>
      <c r="AK4" s="82">
        <f>InIS_Q!Z5/10^9</f>
        <v>227.70082624899999</v>
      </c>
      <c r="AL4" s="82">
        <f>InIS_Q!AA5/10^9</f>
        <v>224.40023629300001</v>
      </c>
      <c r="AM4" s="82">
        <f>InIS_Q!AB5/10^9</f>
        <v>291.11857971699999</v>
      </c>
      <c r="AN4" s="82">
        <f>InIS_Q!AC5/10^9</f>
        <v>341.32446765899999</v>
      </c>
    </row>
    <row r="5" spans="2:46" x14ac:dyDescent="0.3">
      <c r="B5" s="67" t="s">
        <v>98</v>
      </c>
      <c r="C5" s="83">
        <f>InIS!C6/10^9</f>
        <v>0</v>
      </c>
      <c r="D5" s="83">
        <f>InIS!D6/10^9</f>
        <v>0</v>
      </c>
      <c r="E5" s="83">
        <f>InIS!E6/10^9</f>
        <v>0</v>
      </c>
      <c r="F5" s="83">
        <f>InIS!F6/10^9</f>
        <v>0</v>
      </c>
      <c r="G5" s="83">
        <f>InIS!G6/10^9</f>
        <v>0</v>
      </c>
      <c r="H5" s="83">
        <f>InIS!H6/10^9</f>
        <v>0</v>
      </c>
      <c r="I5" s="83">
        <f>InIS!I6/10^9</f>
        <v>0</v>
      </c>
      <c r="J5" s="83">
        <f>InIS!J6/10^9</f>
        <v>0</v>
      </c>
      <c r="K5" s="83">
        <f>InIS!K6/10^9</f>
        <v>0</v>
      </c>
      <c r="L5" s="83">
        <f>InIS!L6/10^9</f>
        <v>0</v>
      </c>
      <c r="N5" s="84">
        <f>InIS_Q!C6/10^9</f>
        <v>0</v>
      </c>
      <c r="O5" s="84">
        <f>InIS_Q!D6/10^9</f>
        <v>0</v>
      </c>
      <c r="P5" s="84">
        <f>InIS_Q!E6/10^9</f>
        <v>0</v>
      </c>
      <c r="Q5" s="84">
        <f>InIS_Q!F6/10^9</f>
        <v>0</v>
      </c>
      <c r="R5" s="84">
        <f>InIS_Q!G6/10^9</f>
        <v>0</v>
      </c>
      <c r="S5" s="84">
        <f>InIS_Q!H6/10^9</f>
        <v>0</v>
      </c>
      <c r="T5" s="84">
        <f>InIS_Q!I6/10^9</f>
        <v>0</v>
      </c>
      <c r="U5" s="84">
        <f>InIS_Q!J6/10^9</f>
        <v>0</v>
      </c>
      <c r="V5" s="84">
        <f>InIS_Q!K6/10^9</f>
        <v>0</v>
      </c>
      <c r="W5" s="84">
        <f>InIS_Q!L6/10^9</f>
        <v>0</v>
      </c>
      <c r="X5" s="84">
        <f>InIS_Q!M6/10^9</f>
        <v>0</v>
      </c>
      <c r="Y5" s="84">
        <f>InIS_Q!N6/10^9</f>
        <v>0</v>
      </c>
      <c r="Z5" s="84">
        <f>InIS_Q!O6/10^9</f>
        <v>0</v>
      </c>
      <c r="AA5" s="84">
        <f>InIS_Q!P6/10^9</f>
        <v>0</v>
      </c>
      <c r="AB5" s="84">
        <f>InIS_Q!Q6/10^9</f>
        <v>0</v>
      </c>
      <c r="AC5" s="84">
        <f>InIS_Q!R6/10^9</f>
        <v>0</v>
      </c>
      <c r="AD5" s="84">
        <f>InIS_Q!S6/10^9</f>
        <v>0</v>
      </c>
      <c r="AE5" s="84">
        <f>InIS_Q!T6/10^9</f>
        <v>0</v>
      </c>
      <c r="AF5" s="84">
        <f>InIS_Q!U6/10^9</f>
        <v>0</v>
      </c>
      <c r="AG5" s="84">
        <f>InIS_Q!V6/10^9</f>
        <v>0</v>
      </c>
      <c r="AH5" s="84">
        <f>InIS_Q!W6/10^9</f>
        <v>0</v>
      </c>
      <c r="AI5" s="84">
        <f>InIS_Q!X6/10^9</f>
        <v>0</v>
      </c>
      <c r="AJ5" s="84">
        <f>InIS_Q!Y6/10^9</f>
        <v>0</v>
      </c>
      <c r="AK5" s="84">
        <f>InIS_Q!Z6/10^9</f>
        <v>0</v>
      </c>
      <c r="AL5" s="84">
        <f>InIS_Q!AA6/10^9</f>
        <v>0</v>
      </c>
      <c r="AM5" s="84">
        <f>InIS_Q!AB6/10^9</f>
        <v>0</v>
      </c>
      <c r="AN5" s="84">
        <f>InIS_Q!AC6/10^9</f>
        <v>0</v>
      </c>
    </row>
    <row r="6" spans="2:46" s="81" customFormat="1" x14ac:dyDescent="0.3">
      <c r="B6" s="85" t="s">
        <v>99</v>
      </c>
      <c r="C6" s="86">
        <f>InIS!C7/10^9</f>
        <v>0</v>
      </c>
      <c r="D6" s="86">
        <f>InIS!D7/10^9</f>
        <v>7.8663824360000003</v>
      </c>
      <c r="E6" s="86">
        <f>InIS!E7/10^9</f>
        <v>75.687354268999997</v>
      </c>
      <c r="F6" s="86">
        <f>InIS!F7/10^9</f>
        <v>285.40842659899999</v>
      </c>
      <c r="G6" s="86">
        <f>InIS!G7/10^9</f>
        <v>731.81939765599998</v>
      </c>
      <c r="H6" s="86">
        <f>InIS!H7/10^9</f>
        <v>801.188394926</v>
      </c>
      <c r="I6" s="86">
        <f>InIS!I7/10^9</f>
        <v>949.78055784599997</v>
      </c>
      <c r="J6" s="86">
        <f>InIS!J7/10^9</f>
        <v>1085.5814541719999</v>
      </c>
      <c r="K6" s="86">
        <f>InIS!K7/10^9</f>
        <v>950.20789748599998</v>
      </c>
      <c r="L6" s="86">
        <f>InIS!L7/10^9</f>
        <v>890.56689622900001</v>
      </c>
      <c r="N6" s="87">
        <f>InIS_Q!C7/10^9</f>
        <v>75.939526212999994</v>
      </c>
      <c r="O6" s="87">
        <f>InIS_Q!D7/10^9</f>
        <v>132.20363529799999</v>
      </c>
      <c r="P6" s="87">
        <f>InIS_Q!E7/10^9</f>
        <v>191.84397989499999</v>
      </c>
      <c r="Q6" s="87">
        <f>InIS_Q!F7/10^9</f>
        <v>192.72224982399999</v>
      </c>
      <c r="R6" s="87">
        <f>InIS_Q!G7/10^9</f>
        <v>215.04953263900001</v>
      </c>
      <c r="S6" s="87">
        <f>InIS_Q!H7/10^9</f>
        <v>150.59967857300001</v>
      </c>
      <c r="T6" s="87">
        <f>InIS_Q!I7/10^9</f>
        <v>206.36252689200001</v>
      </c>
      <c r="U6" s="87">
        <f>InIS_Q!J7/10^9</f>
        <v>211.25087531700001</v>
      </c>
      <c r="V6" s="87">
        <f>InIS_Q!K7/10^9</f>
        <v>232.97531414400001</v>
      </c>
      <c r="W6" s="87">
        <f>InIS_Q!L7/10^9</f>
        <v>197.80737792100001</v>
      </c>
      <c r="X6" s="87">
        <f>InIS_Q!M7/10^9</f>
        <v>249.98045862399999</v>
      </c>
      <c r="Y6" s="87">
        <f>InIS_Q!N7/10^9</f>
        <v>261.15360858299999</v>
      </c>
      <c r="Z6" s="87">
        <f>InIS_Q!O7/10^9</f>
        <v>240.839112718</v>
      </c>
      <c r="AA6" s="87">
        <f>InIS_Q!P7/10^9</f>
        <v>232.171944368</v>
      </c>
      <c r="AB6" s="87">
        <f>InIS_Q!Q7/10^9</f>
        <v>278.55799973400002</v>
      </c>
      <c r="AC6" s="87">
        <f>InIS_Q!R7/10^9</f>
        <v>299.74907676499998</v>
      </c>
      <c r="AD6" s="87">
        <f>InIS_Q!S7/10^9</f>
        <v>275.10243330499998</v>
      </c>
      <c r="AE6" s="87">
        <f>InIS_Q!T7/10^9</f>
        <v>210.565199826</v>
      </c>
      <c r="AF6" s="87">
        <f>InIS_Q!U7/10^9</f>
        <v>245.41003794400001</v>
      </c>
      <c r="AG6" s="87">
        <f>InIS_Q!V7/10^9</f>
        <v>235.678180932</v>
      </c>
      <c r="AH6" s="87">
        <f>InIS_Q!W7/10^9</f>
        <v>258.55447878400003</v>
      </c>
      <c r="AI6" s="87">
        <f>InIS_Q!X7/10^9</f>
        <v>206.66196492399999</v>
      </c>
      <c r="AJ6" s="87">
        <f>InIS_Q!Y7/10^9</f>
        <v>231.803868763</v>
      </c>
      <c r="AK6" s="87">
        <f>InIS_Q!Z7/10^9</f>
        <v>227.70082624899999</v>
      </c>
      <c r="AL6" s="87">
        <f>InIS_Q!AA7/10^9</f>
        <v>224.40023629300001</v>
      </c>
      <c r="AM6" s="87">
        <f>InIS_Q!AB7/10^9</f>
        <v>291.11857971699999</v>
      </c>
      <c r="AN6" s="87">
        <f>InIS_Q!AC7/10^9</f>
        <v>341.32446765899999</v>
      </c>
    </row>
    <row r="7" spans="2:46" x14ac:dyDescent="0.3">
      <c r="B7" s="67" t="s">
        <v>100</v>
      </c>
      <c r="C7" s="83">
        <f>InIS!C8/10^9</f>
        <v>0</v>
      </c>
      <c r="D7" s="83">
        <f>InIS!D8/10^9</f>
        <v>-7.1021019570000004</v>
      </c>
      <c r="E7" s="83">
        <f>InIS!E8/10^9</f>
        <v>-50.606568004000003</v>
      </c>
      <c r="F7" s="83">
        <f>InIS!F8/10^9</f>
        <v>-153.935070048</v>
      </c>
      <c r="G7" s="83">
        <f>InIS!G8/10^9</f>
        <v>-455.53848665100003</v>
      </c>
      <c r="H7" s="83">
        <f>InIS!H8/10^9</f>
        <v>-616.16746400500006</v>
      </c>
      <c r="I7" s="83">
        <f>InIS!I8/10^9</f>
        <v>-744.29081562099998</v>
      </c>
      <c r="J7" s="83">
        <f>InIS!J8/10^9</f>
        <v>-856.05329601000005</v>
      </c>
      <c r="K7" s="83">
        <f>InIS!K8/10^9</f>
        <v>-717.53476447699995</v>
      </c>
      <c r="L7" s="83">
        <f>InIS!L8/10^9</f>
        <v>-652.06300767100004</v>
      </c>
      <c r="N7" s="84">
        <f>InIS_Q!C8/10^9</f>
        <v>-42.954618752999998</v>
      </c>
      <c r="O7" s="84">
        <f>InIS_Q!D8/10^9</f>
        <v>-76.025303962999999</v>
      </c>
      <c r="P7" s="84">
        <f>InIS_Q!E8/10^9</f>
        <v>-93.889556378999998</v>
      </c>
      <c r="Q7" s="84">
        <f>InIS_Q!F8/10^9</f>
        <v>-113.29707585</v>
      </c>
      <c r="R7" s="84">
        <f>InIS_Q!G8/10^9</f>
        <v>-172.326550459</v>
      </c>
      <c r="S7" s="84">
        <f>InIS_Q!H8/10^9</f>
        <v>-113.85556109700001</v>
      </c>
      <c r="T7" s="84">
        <f>InIS_Q!I8/10^9</f>
        <v>-153.11366563999999</v>
      </c>
      <c r="U7" s="84">
        <f>InIS_Q!J8/10^9</f>
        <v>-171.62423601200001</v>
      </c>
      <c r="V7" s="84">
        <f>InIS_Q!K8/10^9</f>
        <v>-177.574001256</v>
      </c>
      <c r="W7" s="84">
        <f>InIS_Q!L8/10^9</f>
        <v>-153.189467226</v>
      </c>
      <c r="X7" s="84">
        <f>InIS_Q!M8/10^9</f>
        <v>-193.89714530200001</v>
      </c>
      <c r="Y7" s="84">
        <f>InIS_Q!N8/10^9</f>
        <v>-207.37415878300001</v>
      </c>
      <c r="Z7" s="84">
        <f>InIS_Q!O8/10^9</f>
        <v>-189.83004431000001</v>
      </c>
      <c r="AA7" s="84">
        <f>InIS_Q!P8/10^9</f>
        <v>-179.269634653</v>
      </c>
      <c r="AB7" s="84">
        <f>InIS_Q!Q8/10^9</f>
        <v>-217.10138587599999</v>
      </c>
      <c r="AC7" s="84">
        <f>InIS_Q!R8/10^9</f>
        <v>-236.33693992900001</v>
      </c>
      <c r="AD7" s="84">
        <f>InIS_Q!S8/10^9</f>
        <v>-223.07281818199999</v>
      </c>
      <c r="AE7" s="84">
        <f>InIS_Q!T8/10^9</f>
        <v>-163.985144343</v>
      </c>
      <c r="AF7" s="84">
        <f>InIS_Q!U8/10^9</f>
        <v>-178.012802083</v>
      </c>
      <c r="AG7" s="84">
        <f>InIS_Q!V8/10^9</f>
        <v>-178.94916383899999</v>
      </c>
      <c r="AH7" s="84">
        <f>InIS_Q!W8/10^9</f>
        <v>-196.58765421199999</v>
      </c>
      <c r="AI7" s="84">
        <f>InIS_Q!X8/10^9</f>
        <v>-161.627312977</v>
      </c>
      <c r="AJ7" s="84">
        <f>InIS_Q!Y8/10^9</f>
        <v>-157.960841383</v>
      </c>
      <c r="AK7" s="84">
        <f>InIS_Q!Z8/10^9</f>
        <v>-172.42211081599999</v>
      </c>
      <c r="AL7" s="84">
        <f>InIS_Q!AA8/10^9</f>
        <v>-165.40018558599999</v>
      </c>
      <c r="AM7" s="84">
        <f>InIS_Q!AB8/10^9</f>
        <v>-234.71823802899999</v>
      </c>
      <c r="AN7" s="84">
        <f>InIS_Q!AC8/10^9</f>
        <v>-286.97436149200001</v>
      </c>
      <c r="AO7" s="566"/>
      <c r="AP7" s="566"/>
      <c r="AQ7" s="566"/>
      <c r="AR7" s="566"/>
      <c r="AS7" s="566"/>
      <c r="AT7" s="566"/>
    </row>
    <row r="8" spans="2:46" s="81" customFormat="1" x14ac:dyDescent="0.3">
      <c r="B8" s="88" t="s">
        <v>101</v>
      </c>
      <c r="C8" s="89">
        <f>InIS!C9/10^9</f>
        <v>0</v>
      </c>
      <c r="D8" s="89">
        <f>InIS!D9/10^9</f>
        <v>0.76428047899999996</v>
      </c>
      <c r="E8" s="89">
        <f>InIS!E9/10^9</f>
        <v>25.080786265</v>
      </c>
      <c r="F8" s="89">
        <f>InIS!F9/10^9</f>
        <v>131.47335655099999</v>
      </c>
      <c r="G8" s="89">
        <f>InIS!G9/10^9</f>
        <v>276.28091100500001</v>
      </c>
      <c r="H8" s="89">
        <f>InIS!H9/10^9</f>
        <v>185.020930921</v>
      </c>
      <c r="I8" s="89">
        <f>InIS!I9/10^9</f>
        <v>205.48974222499999</v>
      </c>
      <c r="J8" s="89">
        <f>InIS!J9/10^9</f>
        <v>229.52815816200001</v>
      </c>
      <c r="K8" s="89">
        <f>InIS!K9/10^9</f>
        <v>232.673133009</v>
      </c>
      <c r="L8" s="89">
        <f>InIS!L9/10^9</f>
        <v>238.503888558</v>
      </c>
      <c r="N8" s="82">
        <f>InIS_Q!C9/10^9</f>
        <v>32.984907460000002</v>
      </c>
      <c r="O8" s="82">
        <f>InIS_Q!D9/10^9</f>
        <v>56.178331335000003</v>
      </c>
      <c r="P8" s="82">
        <f>InIS_Q!E9/10^9</f>
        <v>97.954423516000006</v>
      </c>
      <c r="Q8" s="82">
        <f>InIS_Q!F9/10^9</f>
        <v>79.425173974000003</v>
      </c>
      <c r="R8" s="82">
        <f>InIS_Q!G9/10^9</f>
        <v>42.722982180000002</v>
      </c>
      <c r="S8" s="82">
        <f>InIS_Q!H9/10^9</f>
        <v>36.744117476</v>
      </c>
      <c r="T8" s="82">
        <f>InIS_Q!I9/10^9</f>
        <v>53.248861251999998</v>
      </c>
      <c r="U8" s="82">
        <f>InIS_Q!J9/10^9</f>
        <v>39.626639304999998</v>
      </c>
      <c r="V8" s="82">
        <f>InIS_Q!K9/10^9</f>
        <v>55.401312888</v>
      </c>
      <c r="W8" s="82">
        <f>InIS_Q!L9/10^9</f>
        <v>44.617910694999999</v>
      </c>
      <c r="X8" s="82">
        <f>InIS_Q!M9/10^9</f>
        <v>56.083313322000002</v>
      </c>
      <c r="Y8" s="82">
        <f>InIS_Q!N9/10^9</f>
        <v>53.779449800000002</v>
      </c>
      <c r="Z8" s="82">
        <f>InIS_Q!O9/10^9</f>
        <v>51.009068407999997</v>
      </c>
      <c r="AA8" s="82">
        <f>InIS_Q!P9/10^9</f>
        <v>52.902309715000001</v>
      </c>
      <c r="AB8" s="82">
        <f>InIS_Q!Q9/10^9</f>
        <v>61.456613857999997</v>
      </c>
      <c r="AC8" s="82">
        <f>InIS_Q!R9/10^9</f>
        <v>63.412136836000002</v>
      </c>
      <c r="AD8" s="82">
        <f>InIS_Q!S9/10^9</f>
        <v>52.029615122999999</v>
      </c>
      <c r="AE8" s="82">
        <f>InIS_Q!T9/10^9</f>
        <v>46.580055483000002</v>
      </c>
      <c r="AF8" s="82">
        <f>InIS_Q!U9/10^9</f>
        <v>67.397235860999999</v>
      </c>
      <c r="AG8" s="82">
        <f>InIS_Q!V9/10^9</f>
        <v>56.729017093000003</v>
      </c>
      <c r="AH8" s="82">
        <f>InIS_Q!W9/10^9</f>
        <v>61.966824572</v>
      </c>
      <c r="AI8" s="82">
        <f>InIS_Q!X9/10^9</f>
        <v>45.034651947</v>
      </c>
      <c r="AJ8" s="82">
        <f>InIS_Q!Y9/10^9</f>
        <v>73.843027379999995</v>
      </c>
      <c r="AK8" s="82">
        <f>InIS_Q!Z9/10^9</f>
        <v>55.278715433000002</v>
      </c>
      <c r="AL8" s="82">
        <f>InIS_Q!AA9/10^9</f>
        <v>59.000050707</v>
      </c>
      <c r="AM8" s="82">
        <f>InIS_Q!AB9/10^9</f>
        <v>56.400341687999997</v>
      </c>
      <c r="AN8" s="82">
        <f>InIS_Q!AC9/10^9</f>
        <v>54.350106167</v>
      </c>
    </row>
    <row r="9" spans="2:46" x14ac:dyDescent="0.3">
      <c r="B9" s="67" t="s">
        <v>102</v>
      </c>
      <c r="C9" s="83">
        <f>InIS!C10/10^9</f>
        <v>6.6762109E-2</v>
      </c>
      <c r="D9" s="83">
        <f>InIS!D10/10^9</f>
        <v>1.5049894260000001</v>
      </c>
      <c r="E9" s="83">
        <f>InIS!E10/10^9</f>
        <v>2.0926050219999999</v>
      </c>
      <c r="F9" s="83">
        <f>InIS!F10/10^9</f>
        <v>4.0195790889999996</v>
      </c>
      <c r="G9" s="83">
        <f>InIS!G10/10^9</f>
        <v>15.95593686</v>
      </c>
      <c r="H9" s="83">
        <f>InIS!H10/10^9</f>
        <v>20.837969315999999</v>
      </c>
      <c r="I9" s="83">
        <f>InIS!I10/10^9</f>
        <v>19.446432218999998</v>
      </c>
      <c r="J9" s="83">
        <f>InIS!J10/10^9</f>
        <v>14.308121401999999</v>
      </c>
      <c r="K9" s="83">
        <f>InIS!K10/10^9</f>
        <v>8.6997799600000008</v>
      </c>
      <c r="L9" s="83">
        <f>InIS!L10/10^9</f>
        <v>7.4486179469999998</v>
      </c>
      <c r="N9" s="84">
        <f>InIS_Q!C10/10^9</f>
        <v>1.3118102679999999</v>
      </c>
      <c r="O9" s="84">
        <f>InIS_Q!D10/10^9</f>
        <v>1.742559696</v>
      </c>
      <c r="P9" s="84">
        <f>InIS_Q!E10/10^9</f>
        <v>3.4170084539999999</v>
      </c>
      <c r="Q9" s="84">
        <f>InIS_Q!F10/10^9</f>
        <v>4.866689171</v>
      </c>
      <c r="R9" s="84">
        <f>InIS_Q!G10/10^9</f>
        <v>5.9296795390000003</v>
      </c>
      <c r="S9" s="84">
        <f>InIS_Q!H10/10^9</f>
        <v>6.9942065629999997</v>
      </c>
      <c r="T9" s="84">
        <f>InIS_Q!I10/10^9</f>
        <v>5.2251939680000001</v>
      </c>
      <c r="U9" s="84">
        <f>InIS_Q!J10/10^9</f>
        <v>4.2343285929999999</v>
      </c>
      <c r="V9" s="84">
        <f>InIS_Q!K10/10^9</f>
        <v>4.3842797009999996</v>
      </c>
      <c r="W9" s="84">
        <f>InIS_Q!L10/10^9</f>
        <v>3.5727655290000002</v>
      </c>
      <c r="X9" s="84">
        <f>InIS_Q!M10/10^9</f>
        <v>7.250706954</v>
      </c>
      <c r="Y9" s="84">
        <f>InIS_Q!N10/10^9</f>
        <v>4.372301803</v>
      </c>
      <c r="Z9" s="84">
        <f>InIS_Q!O10/10^9</f>
        <v>4.2529092100000003</v>
      </c>
      <c r="AA9" s="84">
        <f>InIS_Q!P10/10^9</f>
        <v>3.2045308079999999</v>
      </c>
      <c r="AB9" s="84">
        <f>InIS_Q!Q10/10^9</f>
        <v>4.8515677699999999</v>
      </c>
      <c r="AC9" s="84">
        <f>InIS_Q!R10/10^9</f>
        <v>3.892824155</v>
      </c>
      <c r="AD9" s="84">
        <f>InIS_Q!S10/10^9</f>
        <v>2.3597292350000001</v>
      </c>
      <c r="AE9" s="84">
        <f>InIS_Q!T10/10^9</f>
        <v>1.84917369</v>
      </c>
      <c r="AF9" s="84">
        <f>InIS_Q!U10/10^9</f>
        <v>2.5727293449999999</v>
      </c>
      <c r="AG9" s="84">
        <f>InIS_Q!V10/10^9</f>
        <v>2.2242139569999999</v>
      </c>
      <c r="AH9" s="84">
        <f>InIS_Q!W10/10^9</f>
        <v>2.2112454399999999</v>
      </c>
      <c r="AI9" s="84">
        <f>InIS_Q!X10/10^9</f>
        <v>1.9032463690000001</v>
      </c>
      <c r="AJ9" s="84">
        <f>InIS_Q!Y10/10^9</f>
        <v>1.662590539</v>
      </c>
      <c r="AK9" s="84">
        <f>InIS_Q!Z10/10^9</f>
        <v>1.822387915</v>
      </c>
      <c r="AL9" s="84">
        <f>InIS_Q!AA10/10^9</f>
        <v>2.060393124</v>
      </c>
      <c r="AM9" s="84">
        <f>InIS_Q!AB10/10^9</f>
        <v>2.093774539</v>
      </c>
      <c r="AN9" s="84">
        <f>InIS_Q!AC10/10^9</f>
        <v>2.0628997240000002</v>
      </c>
    </row>
    <row r="10" spans="2:46" x14ac:dyDescent="0.3">
      <c r="B10" s="67" t="s">
        <v>103</v>
      </c>
      <c r="C10" s="83">
        <f>InIS!C11/10^9</f>
        <v>-4.434917E-3</v>
      </c>
      <c r="D10" s="83">
        <f>InIS!D11/10^9</f>
        <v>-1.260335881</v>
      </c>
      <c r="E10" s="83">
        <f>InIS!E11/10^9</f>
        <v>-4.087516484</v>
      </c>
      <c r="F10" s="83">
        <f>InIS!F11/10^9</f>
        <v>-8.4503764649999997</v>
      </c>
      <c r="G10" s="83">
        <f>InIS!G11/10^9</f>
        <v>-28.514866145999999</v>
      </c>
      <c r="H10" s="83">
        <f>InIS!H11/10^9</f>
        <v>-23.484318937000001</v>
      </c>
      <c r="I10" s="83">
        <f>InIS!I11/10^9</f>
        <v>-14.69052166</v>
      </c>
      <c r="J10" s="83">
        <f>InIS!J11/10^9</f>
        <v>-7.5744057229999999</v>
      </c>
      <c r="K10" s="83">
        <f>InIS!K11/10^9</f>
        <v>-6.2164685970000004</v>
      </c>
      <c r="L10" s="83">
        <f>InIS!L11/10^9</f>
        <v>-6.1550323450000004</v>
      </c>
      <c r="N10" s="84">
        <f>InIS_Q!C11/10^9</f>
        <v>-1.9230307230000001</v>
      </c>
      <c r="O10" s="84">
        <f>InIS_Q!D11/10^9</f>
        <v>-4.4699964640000003</v>
      </c>
      <c r="P10" s="84">
        <f>InIS_Q!E11/10^9</f>
        <v>-8.6330817460000002</v>
      </c>
      <c r="Q10" s="84">
        <f>InIS_Q!F11/10^9</f>
        <v>-6.8359692179999998</v>
      </c>
      <c r="R10" s="84">
        <f>InIS_Q!G11/10^9</f>
        <v>-8.5758187180000007</v>
      </c>
      <c r="S10" s="84">
        <f>InIS_Q!H11/10^9</f>
        <v>-7.0380402269999998</v>
      </c>
      <c r="T10" s="84">
        <f>InIS_Q!I11/10^9</f>
        <v>-6.905971364</v>
      </c>
      <c r="U10" s="84">
        <f>InIS_Q!J11/10^9</f>
        <v>-5.1533210599999997</v>
      </c>
      <c r="V10" s="84">
        <f>InIS_Q!K11/10^9</f>
        <v>-4.3870257949999996</v>
      </c>
      <c r="W10" s="84">
        <f>InIS_Q!L11/10^9</f>
        <v>-4.5325489250000004</v>
      </c>
      <c r="X10" s="84">
        <f>InIS_Q!M11/10^9</f>
        <v>-4.1634113299999997</v>
      </c>
      <c r="Y10" s="84">
        <f>InIS_Q!N11/10^9</f>
        <v>-3.185750219</v>
      </c>
      <c r="Z10" s="84">
        <f>InIS_Q!O11/10^9</f>
        <v>-2.8110624629999998</v>
      </c>
      <c r="AA10" s="84">
        <f>InIS_Q!P11/10^9</f>
        <v>-2.0293036259999999</v>
      </c>
      <c r="AB10" s="84">
        <f>InIS_Q!Q11/10^9</f>
        <v>-1.831455973</v>
      </c>
      <c r="AC10" s="84">
        <f>InIS_Q!R11/10^9</f>
        <v>-1.931876146</v>
      </c>
      <c r="AD10" s="84">
        <f>InIS_Q!S11/10^9</f>
        <v>-1.7823005439999999</v>
      </c>
      <c r="AE10" s="84">
        <f>InIS_Q!T11/10^9</f>
        <v>-1.42328057</v>
      </c>
      <c r="AF10" s="84">
        <f>InIS_Q!U11/10^9</f>
        <v>-1.0638019599999999</v>
      </c>
      <c r="AG10" s="84">
        <f>InIS_Q!V11/10^9</f>
        <v>-1.743708204</v>
      </c>
      <c r="AH10" s="84">
        <f>InIS_Q!W11/10^9</f>
        <v>-1.9807413890000001</v>
      </c>
      <c r="AI10" s="84">
        <f>InIS_Q!X11/10^9</f>
        <v>-1.6807795299999999</v>
      </c>
      <c r="AJ10" s="84">
        <f>InIS_Q!Y11/10^9</f>
        <v>-1.7577891590000001</v>
      </c>
      <c r="AK10" s="84">
        <f>InIS_Q!Z11/10^9</f>
        <v>-1.433115221</v>
      </c>
      <c r="AL10" s="84">
        <f>InIS_Q!AA11/10^9</f>
        <v>-1.283348435</v>
      </c>
      <c r="AM10" s="84">
        <f>InIS_Q!AB11/10^9</f>
        <v>-1.0415167439999999</v>
      </c>
      <c r="AN10" s="84">
        <f>InIS_Q!AC11/10^9</f>
        <v>-0.80031121800000005</v>
      </c>
    </row>
    <row r="11" spans="2:46" x14ac:dyDescent="0.3">
      <c r="B11" s="67" t="s">
        <v>104</v>
      </c>
      <c r="C11" s="83">
        <f>InIS!C12/10^9</f>
        <v>0</v>
      </c>
      <c r="D11" s="83">
        <f>InIS!D12/10^9</f>
        <v>-1.1484824170000001</v>
      </c>
      <c r="E11" s="83">
        <f>InIS!E12/10^9</f>
        <v>-3.6857485030000001</v>
      </c>
      <c r="F11" s="83">
        <f>InIS!F12/10^9</f>
        <v>-7.2169908380000001</v>
      </c>
      <c r="G11" s="83">
        <f>InIS!G12/10^9</f>
        <v>-26.064097663999998</v>
      </c>
      <c r="H11" s="83">
        <f>InIS!H12/10^9</f>
        <v>-23.422238238999999</v>
      </c>
      <c r="I11" s="83">
        <f>InIS!I12/10^9</f>
        <v>-14.508051373000001</v>
      </c>
      <c r="J11" s="83">
        <f>InIS!J12/10^9</f>
        <v>-7.4831519579999997</v>
      </c>
      <c r="K11" s="83">
        <f>InIS!K12/10^9</f>
        <v>-6.107955735</v>
      </c>
      <c r="L11" s="83">
        <f>InIS!L12/10^9</f>
        <v>-6.1545161190000002</v>
      </c>
      <c r="N11" s="84">
        <f>InIS_Q!C12/10^9</f>
        <v>-1.6569190090000001</v>
      </c>
      <c r="O11" s="84">
        <f>InIS_Q!D12/10^9</f>
        <v>-3.3254265859999999</v>
      </c>
      <c r="P11" s="84">
        <f>InIS_Q!E12/10^9</f>
        <v>-7.6037783120000002</v>
      </c>
      <c r="Q11" s="84">
        <f>InIS_Q!F12/10^9</f>
        <v>-6.8359692179999998</v>
      </c>
      <c r="R11" s="84">
        <f>InIS_Q!G12/10^9</f>
        <v>-8.2989235479999994</v>
      </c>
      <c r="S11" s="84">
        <f>InIS_Q!H12/10^9</f>
        <v>-7.0113476840000004</v>
      </c>
      <c r="T11" s="84">
        <f>InIS_Q!I12/10^9</f>
        <v>-6.8920002130000002</v>
      </c>
      <c r="U11" s="84">
        <f>InIS_Q!J12/10^9</f>
        <v>-5.1339840539999999</v>
      </c>
      <c r="V11" s="84">
        <f>InIS_Q!K12/10^9</f>
        <v>-4.3849062859999997</v>
      </c>
      <c r="W11" s="84">
        <f>InIS_Q!L12/10^9</f>
        <v>-4.4525843649999999</v>
      </c>
      <c r="X11" s="84">
        <f>InIS_Q!M12/10^9</f>
        <v>-4.0609256030000003</v>
      </c>
      <c r="Y11" s="84">
        <f>InIS_Q!N12/10^9</f>
        <v>-3.185750219</v>
      </c>
      <c r="Z11" s="84">
        <f>InIS_Q!O12/10^9</f>
        <v>-2.8088111859999998</v>
      </c>
      <c r="AA11" s="84">
        <f>InIS_Q!P12/10^9</f>
        <v>-2.026493946</v>
      </c>
      <c r="AB11" s="84">
        <f>InIS_Q!Q12/10^9</f>
        <v>-1.778835484</v>
      </c>
      <c r="AC11" s="84">
        <f>InIS_Q!R12/10^9</f>
        <v>-1.9315463349999999</v>
      </c>
      <c r="AD11" s="84">
        <f>InIS_Q!S12/10^9</f>
        <v>-1.7462761929999999</v>
      </c>
      <c r="AE11" s="84">
        <f>InIS_Q!T12/10^9</f>
        <v>-1.40271601</v>
      </c>
      <c r="AF11" s="84">
        <f>InIS_Q!U12/10^9</f>
        <v>-1.0394838120000001</v>
      </c>
      <c r="AG11" s="84">
        <f>InIS_Q!V12/10^9</f>
        <v>-1.7151082040000001</v>
      </c>
      <c r="AH11" s="84">
        <f>InIS_Q!W12/10^9</f>
        <v>-1.9598477089999999</v>
      </c>
      <c r="AI11" s="84">
        <f>InIS_Q!X12/10^9</f>
        <v>-1.6807795299999999</v>
      </c>
      <c r="AJ11" s="84">
        <f>InIS_Q!Y12/10^9</f>
        <v>-1.7572729330000001</v>
      </c>
      <c r="AK11" s="84">
        <f>InIS_Q!Z12/10^9</f>
        <v>-1.433115221</v>
      </c>
      <c r="AL11" s="84">
        <f>InIS_Q!AA12/10^9</f>
        <v>-1.283348435</v>
      </c>
      <c r="AM11" s="84">
        <f>InIS_Q!AB12/10^9</f>
        <v>-1.0415167439999999</v>
      </c>
      <c r="AN11" s="84">
        <f>InIS_Q!AC12/10^9</f>
        <v>-0.80025158100000005</v>
      </c>
    </row>
    <row r="12" spans="2:46" x14ac:dyDescent="0.3">
      <c r="B12" s="67" t="s">
        <v>105</v>
      </c>
      <c r="C12" s="83">
        <f>InIS!C13/10^9</f>
        <v>0</v>
      </c>
      <c r="D12" s="83">
        <f>InIS!D13/10^9</f>
        <v>-1.7572710600000001</v>
      </c>
      <c r="E12" s="83">
        <f>InIS!E13/10^9</f>
        <v>-1.9313923150000001</v>
      </c>
      <c r="F12" s="83">
        <f>InIS!F13/10^9</f>
        <v>-2.782423761</v>
      </c>
      <c r="G12" s="83">
        <f>InIS!G13/10^9</f>
        <v>-6.2012417260000001</v>
      </c>
      <c r="H12" s="83">
        <f>InIS!H13/10^9</f>
        <v>-7.2871685279999996</v>
      </c>
      <c r="I12" s="83">
        <f>InIS!I13/10^9</f>
        <v>-11.805904561</v>
      </c>
      <c r="J12" s="83">
        <f>InIS!J13/10^9</f>
        <v>-10.767950065000001</v>
      </c>
      <c r="K12" s="83">
        <f>InIS!K13/10^9</f>
        <v>-18.784468100000002</v>
      </c>
      <c r="L12" s="83">
        <f>InIS!L13/10^9</f>
        <v>-26.332102519999999</v>
      </c>
      <c r="N12" s="84">
        <f>InIS_Q!C13/10^9</f>
        <v>-0.59039492900000001</v>
      </c>
      <c r="O12" s="84">
        <f>InIS_Q!D13/10^9</f>
        <v>-2.389056252</v>
      </c>
      <c r="P12" s="84">
        <f>InIS_Q!E13/10^9</f>
        <v>-1.765829477</v>
      </c>
      <c r="Q12" s="84">
        <f>InIS_Q!F13/10^9</f>
        <v>-1.1036451389999999</v>
      </c>
      <c r="R12" s="84">
        <f>InIS_Q!G13/10^9</f>
        <v>-0.94271085799999998</v>
      </c>
      <c r="S12" s="84">
        <f>InIS_Q!H13/10^9</f>
        <v>-2.2006517049999998</v>
      </c>
      <c r="T12" s="84">
        <f>InIS_Q!I13/10^9</f>
        <v>-1.2260319019999999</v>
      </c>
      <c r="U12" s="84">
        <f>InIS_Q!J13/10^9</f>
        <v>-0.88994565299999995</v>
      </c>
      <c r="V12" s="84">
        <f>InIS_Q!K13/10^9</f>
        <v>-2.970539268</v>
      </c>
      <c r="W12" s="84">
        <f>InIS_Q!L13/10^9</f>
        <v>-4.8168281759999996</v>
      </c>
      <c r="X12" s="84">
        <f>InIS_Q!M13/10^9</f>
        <v>-2.4618587340000002</v>
      </c>
      <c r="Y12" s="84">
        <f>InIS_Q!N13/10^9</f>
        <v>-2.5662436469999999</v>
      </c>
      <c r="Z12" s="84">
        <f>InIS_Q!O13/10^9</f>
        <v>-1.9609740040000001</v>
      </c>
      <c r="AA12" s="84">
        <f>InIS_Q!P13/10^9</f>
        <v>-2.3367262690000001</v>
      </c>
      <c r="AB12" s="84">
        <f>InIS_Q!Q13/10^9</f>
        <v>-2.043250612</v>
      </c>
      <c r="AC12" s="84">
        <f>InIS_Q!R13/10^9</f>
        <v>-4.53238406</v>
      </c>
      <c r="AD12" s="84">
        <f>InIS_Q!S13/10^9</f>
        <v>-2.7038294039999999</v>
      </c>
      <c r="AE12" s="84">
        <f>InIS_Q!T13/10^9</f>
        <v>-4.9233207290000003</v>
      </c>
      <c r="AF12" s="84">
        <f>InIS_Q!U13/10^9</f>
        <v>-5.860248554</v>
      </c>
      <c r="AG12" s="84">
        <f>InIS_Q!V13/10^9</f>
        <v>-1.872561771</v>
      </c>
      <c r="AH12" s="84">
        <f>InIS_Q!W13/10^9</f>
        <v>-6.1283370460000004</v>
      </c>
      <c r="AI12" s="84">
        <f>InIS_Q!X13/10^9</f>
        <v>-4.5067640520000003</v>
      </c>
      <c r="AJ12" s="84">
        <f>InIS_Q!Y13/10^9</f>
        <v>-4.7084980239999998</v>
      </c>
      <c r="AK12" s="84">
        <f>InIS_Q!Z13/10^9</f>
        <v>-7.9891536990000001</v>
      </c>
      <c r="AL12" s="84">
        <f>InIS_Q!AA13/10^9</f>
        <v>-9.1276867450000001</v>
      </c>
      <c r="AM12" s="84">
        <f>InIS_Q!AB13/10^9</f>
        <v>-9.5257953069999992</v>
      </c>
      <c r="AN12" s="84">
        <f>InIS_Q!AC13/10^9</f>
        <v>-1.0118636590000001</v>
      </c>
    </row>
    <row r="13" spans="2:46" x14ac:dyDescent="0.3">
      <c r="B13" s="67" t="s">
        <v>106</v>
      </c>
      <c r="C13" s="83">
        <f>InIS!C14/10^9</f>
        <v>-1.756015525</v>
      </c>
      <c r="D13" s="83">
        <f>InIS!D14/10^9</f>
        <v>-4.1014763839999997</v>
      </c>
      <c r="E13" s="83">
        <f>InIS!E14/10^9</f>
        <v>-7.6035271619999998</v>
      </c>
      <c r="F13" s="83">
        <f>InIS!F14/10^9</f>
        <v>-18.044154634000002</v>
      </c>
      <c r="G13" s="83">
        <f>InIS!G14/10^9</f>
        <v>-26.500198908000002</v>
      </c>
      <c r="H13" s="83">
        <f>InIS!H14/10^9</f>
        <v>-39.545940025</v>
      </c>
      <c r="I13" s="83">
        <f>InIS!I14/10^9</f>
        <v>-59.443953766999996</v>
      </c>
      <c r="J13" s="83">
        <f>InIS!J14/10^9</f>
        <v>-89.408732158000007</v>
      </c>
      <c r="K13" s="83">
        <f>InIS!K14/10^9</f>
        <v>-70.220675818999993</v>
      </c>
      <c r="L13" s="83">
        <f>InIS!L14/10^9</f>
        <v>-62.971342081000003</v>
      </c>
      <c r="N13" s="84">
        <f>InIS_Q!C14/10^9</f>
        <v>-3.9531850479999999</v>
      </c>
      <c r="O13" s="84">
        <f>InIS_Q!D14/10^9</f>
        <v>-4.2995350920000002</v>
      </c>
      <c r="P13" s="84">
        <f>InIS_Q!E14/10^9</f>
        <v>-5.2975853539999997</v>
      </c>
      <c r="Q13" s="84">
        <f>InIS_Q!F14/10^9</f>
        <v>-6.9911050890000004</v>
      </c>
      <c r="R13" s="84">
        <f>InIS_Q!G14/10^9</f>
        <v>-9.9119733730000004</v>
      </c>
      <c r="S13" s="84">
        <f>InIS_Q!H14/10^9</f>
        <v>-3.6024615130000002</v>
      </c>
      <c r="T13" s="84">
        <f>InIS_Q!I14/10^9</f>
        <v>-6.8886081800000003</v>
      </c>
      <c r="U13" s="84">
        <f>InIS_Q!J14/10^9</f>
        <v>-8.2207769249999991</v>
      </c>
      <c r="V13" s="84">
        <f>InIS_Q!K14/10^9</f>
        <v>-20.834093407000001</v>
      </c>
      <c r="W13" s="84">
        <f>InIS_Q!L14/10^9</f>
        <v>-6.8023902209999996</v>
      </c>
      <c r="X13" s="84">
        <f>InIS_Q!M14/10^9</f>
        <v>-13.571753447000001</v>
      </c>
      <c r="Y13" s="84">
        <f>InIS_Q!N14/10^9</f>
        <v>-20.600788501</v>
      </c>
      <c r="Z13" s="84">
        <f>InIS_Q!O14/10^9</f>
        <v>-17.677261866999999</v>
      </c>
      <c r="AA13" s="84">
        <f>InIS_Q!P14/10^9</f>
        <v>-23.981943097999999</v>
      </c>
      <c r="AB13" s="84">
        <f>InIS_Q!Q14/10^9</f>
        <v>-22.050482321</v>
      </c>
      <c r="AC13" s="84">
        <f>InIS_Q!R14/10^9</f>
        <v>-17.355613748</v>
      </c>
      <c r="AD13" s="84">
        <f>InIS_Q!S14/10^9</f>
        <v>-26.020692991000001</v>
      </c>
      <c r="AE13" s="84">
        <f>InIS_Q!T14/10^9</f>
        <v>-14.193588197</v>
      </c>
      <c r="AF13" s="84">
        <f>InIS_Q!U14/10^9</f>
        <v>-21.424114389</v>
      </c>
      <c r="AG13" s="84">
        <f>InIS_Q!V14/10^9</f>
        <v>-16.810043305000001</v>
      </c>
      <c r="AH13" s="84">
        <f>InIS_Q!W14/10^9</f>
        <v>-17.792929928</v>
      </c>
      <c r="AI13" s="84">
        <f>InIS_Q!X14/10^9</f>
        <v>-14.743341763</v>
      </c>
      <c r="AJ13" s="84">
        <f>InIS_Q!Y14/10^9</f>
        <v>-22.574345224999998</v>
      </c>
      <c r="AK13" s="84">
        <f>InIS_Q!Z14/10^9</f>
        <v>-15.720772729</v>
      </c>
      <c r="AL13" s="84">
        <f>InIS_Q!AA14/10^9</f>
        <v>-9.9328823639999992</v>
      </c>
      <c r="AM13" s="84">
        <f>InIS_Q!AB14/10^9</f>
        <v>-19.948665084000002</v>
      </c>
      <c r="AN13" s="84">
        <f>InIS_Q!AC14/10^9</f>
        <v>-20.687420200999998</v>
      </c>
    </row>
    <row r="14" spans="2:46" s="81" customFormat="1" x14ac:dyDescent="0.3">
      <c r="B14" s="85" t="s">
        <v>107</v>
      </c>
      <c r="C14" s="86">
        <f>InIS!C15/10^9</f>
        <v>-1.6936883330000001</v>
      </c>
      <c r="D14" s="86">
        <f>InIS!D15/10^9</f>
        <v>-4.8498134200000003</v>
      </c>
      <c r="E14" s="86">
        <f>InIS!E15/10^9</f>
        <v>13.550955326</v>
      </c>
      <c r="F14" s="86">
        <f>InIS!F15/10^9</f>
        <v>106.21598078</v>
      </c>
      <c r="G14" s="86">
        <f>InIS!G15/10^9</f>
        <v>231.02054108499999</v>
      </c>
      <c r="H14" s="86">
        <f>InIS!H15/10^9</f>
        <v>135.541472747</v>
      </c>
      <c r="I14" s="86">
        <f>InIS!I15/10^9</f>
        <v>138.995794456</v>
      </c>
      <c r="J14" s="86">
        <f>InIS!J15/10^9</f>
        <v>136.08519161800001</v>
      </c>
      <c r="K14" s="86">
        <f>InIS!K15/10^9</f>
        <v>146.151300453</v>
      </c>
      <c r="L14" s="86">
        <f>InIS!L15/10^9</f>
        <v>150.49402955900001</v>
      </c>
      <c r="N14" s="87">
        <f>InIS_Q!C15/10^9</f>
        <v>27.830107028</v>
      </c>
      <c r="O14" s="87">
        <f>InIS_Q!D15/10^9</f>
        <v>46.762303223000004</v>
      </c>
      <c r="P14" s="87">
        <f>InIS_Q!E15/10^9</f>
        <v>85.674935392999998</v>
      </c>
      <c r="Q14" s="87">
        <f>InIS_Q!F15/10^9</f>
        <v>69.361143698999996</v>
      </c>
      <c r="R14" s="87">
        <f>InIS_Q!G15/10^9</f>
        <v>29.22215877</v>
      </c>
      <c r="S14" s="87">
        <f>InIS_Q!H15/10^9</f>
        <v>30.897170593999999</v>
      </c>
      <c r="T14" s="87">
        <f>InIS_Q!I15/10^9</f>
        <v>43.453443774</v>
      </c>
      <c r="U14" s="87">
        <f>InIS_Q!J15/10^9</f>
        <v>29.596924260000002</v>
      </c>
      <c r="V14" s="87">
        <f>InIS_Q!K15/10^9</f>
        <v>31.593934119</v>
      </c>
      <c r="W14" s="87">
        <f>InIS_Q!L15/10^9</f>
        <v>32.038908902000003</v>
      </c>
      <c r="X14" s="87">
        <f>InIS_Q!M15/10^9</f>
        <v>43.136996764999999</v>
      </c>
      <c r="Y14" s="87">
        <f>InIS_Q!N15/10^9</f>
        <v>31.798969236000001</v>
      </c>
      <c r="Z14" s="87">
        <f>InIS_Q!O15/10^9</f>
        <v>32.812679283999998</v>
      </c>
      <c r="AA14" s="87">
        <f>InIS_Q!P15/10^9</f>
        <v>27.75886753</v>
      </c>
      <c r="AB14" s="87">
        <f>InIS_Q!Q15/10^9</f>
        <v>40.382992721999997</v>
      </c>
      <c r="AC14" s="87">
        <f>InIS_Q!R15/10^9</f>
        <v>43.485087037</v>
      </c>
      <c r="AD14" s="87">
        <f>InIS_Q!S15/10^9</f>
        <v>23.882521419</v>
      </c>
      <c r="AE14" s="87">
        <f>InIS_Q!T15/10^9</f>
        <v>27.889039677</v>
      </c>
      <c r="AF14" s="87">
        <f>InIS_Q!U15/10^9</f>
        <v>41.621800303000001</v>
      </c>
      <c r="AG14" s="87">
        <f>InIS_Q!V15/10^9</f>
        <v>38.526917769999997</v>
      </c>
      <c r="AH14" s="87">
        <f>InIS_Q!W15/10^9</f>
        <v>38.276061648999999</v>
      </c>
      <c r="AI14" s="87">
        <f>InIS_Q!X15/10^9</f>
        <v>26.007012971000002</v>
      </c>
      <c r="AJ14" s="87">
        <f>InIS_Q!Y15/10^9</f>
        <v>46.464985511000002</v>
      </c>
      <c r="AK14" s="87">
        <f>InIS_Q!Z15/10^9</f>
        <v>31.958061699000002</v>
      </c>
      <c r="AL14" s="87">
        <f>InIS_Q!AA15/10^9</f>
        <v>40.716526287000001</v>
      </c>
      <c r="AM14" s="87">
        <f>InIS_Q!AB15/10^9</f>
        <v>27.978139091999999</v>
      </c>
      <c r="AN14" s="87">
        <f>InIS_Q!AC15/10^9</f>
        <v>33.913410812999999</v>
      </c>
    </row>
    <row r="15" spans="2:46" x14ac:dyDescent="0.3">
      <c r="B15" s="67" t="s">
        <v>108</v>
      </c>
      <c r="C15" s="83">
        <f>InIS!C16/10^9</f>
        <v>5.0000000000000001E-3</v>
      </c>
      <c r="D15" s="83">
        <f>InIS!D16/10^9</f>
        <v>0.12889536900000001</v>
      </c>
      <c r="E15" s="83">
        <f>InIS!E16/10^9</f>
        <v>0</v>
      </c>
      <c r="F15" s="83">
        <f>InIS!F16/10^9</f>
        <v>0.51643787299999999</v>
      </c>
      <c r="G15" s="83">
        <f>InIS!G16/10^9</f>
        <v>0.16311615400000001</v>
      </c>
      <c r="H15" s="83">
        <f>InIS!H16/10^9</f>
        <v>0.33304870800000003</v>
      </c>
      <c r="I15" s="83">
        <f>InIS!I16/10^9</f>
        <v>0.66657198799999995</v>
      </c>
      <c r="J15" s="83">
        <f>InIS!J16/10^9</f>
        <v>1.200300428</v>
      </c>
      <c r="K15" s="83">
        <f>InIS!K16/10^9</f>
        <v>3.2563636999999999E-2</v>
      </c>
      <c r="L15" s="83">
        <f>InIS!L16/10^9</f>
        <v>0.13380818</v>
      </c>
      <c r="N15" s="84">
        <f>InIS_Q!C16/10^9</f>
        <v>2.5661066E-2</v>
      </c>
      <c r="O15" s="84">
        <f>InIS_Q!D16/10^9</f>
        <v>3.8567499999999999E-3</v>
      </c>
      <c r="P15" s="84">
        <f>InIS_Q!E16/10^9</f>
        <v>0.105</v>
      </c>
      <c r="Q15" s="84">
        <f>InIS_Q!F16/10^9</f>
        <v>0</v>
      </c>
      <c r="R15" s="84">
        <f>InIS_Q!G16/10^9</f>
        <v>5.4259403999999997E-2</v>
      </c>
      <c r="S15" s="84">
        <f>InIS_Q!H16/10^9</f>
        <v>7.3624235999999996E-2</v>
      </c>
      <c r="T15" s="84">
        <f>InIS_Q!I16/10^9</f>
        <v>9.9568749999999998E-2</v>
      </c>
      <c r="U15" s="84">
        <f>InIS_Q!J16/10^9</f>
        <v>7.7399081999999994E-2</v>
      </c>
      <c r="V15" s="84">
        <f>InIS_Q!K16/10^9</f>
        <v>8.2456639999999998E-2</v>
      </c>
      <c r="W15" s="84">
        <f>InIS_Q!L16/10^9</f>
        <v>1.52E-2</v>
      </c>
      <c r="X15" s="84">
        <f>InIS_Q!M16/10^9</f>
        <v>3.5831818000000001E-2</v>
      </c>
      <c r="Y15" s="84">
        <f>InIS_Q!N16/10^9</f>
        <v>1.3395455000000001E-2</v>
      </c>
      <c r="Z15" s="84">
        <f>InIS_Q!O16/10^9</f>
        <v>0.602144715</v>
      </c>
      <c r="AA15" s="84">
        <f>InIS_Q!P16/10^9</f>
        <v>2.2909090999999999E-2</v>
      </c>
      <c r="AB15" s="84">
        <f>InIS_Q!Q16/10^9</f>
        <v>0</v>
      </c>
      <c r="AC15" s="84">
        <f>InIS_Q!R16/10^9</f>
        <v>1.155752248</v>
      </c>
      <c r="AD15" s="84">
        <f>InIS_Q!S16/10^9</f>
        <v>2.1639089E-2</v>
      </c>
      <c r="AE15" s="84">
        <f>InIS_Q!T16/10^9</f>
        <v>8.9272710000000005E-3</v>
      </c>
      <c r="AF15" s="84">
        <f>InIS_Q!U16/10^9</f>
        <v>9.0908999999999998E-4</v>
      </c>
      <c r="AG15" s="84">
        <f>InIS_Q!V16/10^9</f>
        <v>8.7272730000000007E-3</v>
      </c>
      <c r="AH15" s="84">
        <f>InIS_Q!W16/10^9</f>
        <v>1.4000003E-2</v>
      </c>
      <c r="AI15" s="84">
        <f>InIS_Q!X16/10^9</f>
        <v>2.0899091000000002E-2</v>
      </c>
      <c r="AJ15" s="84">
        <f>InIS_Q!Y16/10^9</f>
        <v>2.4818182000000001E-2</v>
      </c>
      <c r="AK15" s="84">
        <f>InIS_Q!Z16/10^9</f>
        <v>1.3136362E-2</v>
      </c>
      <c r="AL15" s="84">
        <f>InIS_Q!AA16/10^9</f>
        <v>7.4954544999999997E-2</v>
      </c>
      <c r="AM15" s="84">
        <f>InIS_Q!AB16/10^9</f>
        <v>1.4363637E-2</v>
      </c>
      <c r="AN15" s="84">
        <f>InIS_Q!AC16/10^9</f>
        <v>3.3363636000000002E-2</v>
      </c>
    </row>
    <row r="16" spans="2:46" x14ac:dyDescent="0.3">
      <c r="B16" s="67" t="s">
        <v>109</v>
      </c>
      <c r="C16" s="83">
        <f>InIS!C17/10^9</f>
        <v>0</v>
      </c>
      <c r="D16" s="83">
        <f>InIS!D17/10^9</f>
        <v>-0.35066341299999998</v>
      </c>
      <c r="E16" s="83">
        <f>InIS!E17/10^9</f>
        <v>-1.111967562</v>
      </c>
      <c r="F16" s="83">
        <f>InIS!F17/10^9</f>
        <v>-1.030331299</v>
      </c>
      <c r="G16" s="83">
        <f>InIS!G17/10^9</f>
        <v>-4.2784994340000004</v>
      </c>
      <c r="H16" s="83">
        <f>InIS!H17/10^9</f>
        <v>-3.6400163160000001</v>
      </c>
      <c r="I16" s="83">
        <f>InIS!I17/10^9</f>
        <v>-1.418896862</v>
      </c>
      <c r="J16" s="83">
        <f>InIS!J17/10^9</f>
        <v>-7.2452606849999999</v>
      </c>
      <c r="K16" s="83">
        <f>InIS!K17/10^9</f>
        <v>-1.1054984290000001</v>
      </c>
      <c r="L16" s="83">
        <f>InIS!L17/10^9</f>
        <v>-2.886264717</v>
      </c>
      <c r="N16" s="84">
        <f>InIS_Q!C17/10^9</f>
        <v>-0.30211809000000001</v>
      </c>
      <c r="O16" s="84">
        <f>InIS_Q!D17/10^9</f>
        <v>-0.54938514299999996</v>
      </c>
      <c r="P16" s="84">
        <f>InIS_Q!E17/10^9</f>
        <v>-0.76819093100000002</v>
      </c>
      <c r="Q16" s="84">
        <f>InIS_Q!F17/10^9</f>
        <v>-0.94331718799999997</v>
      </c>
      <c r="R16" s="84">
        <f>InIS_Q!G17/10^9</f>
        <v>-2.0176061719999998</v>
      </c>
      <c r="S16" s="84">
        <f>InIS_Q!H17/10^9</f>
        <v>-0.79050112299999997</v>
      </c>
      <c r="T16" s="84">
        <f>InIS_Q!I17/10^9</f>
        <v>-0.636503174</v>
      </c>
      <c r="U16" s="84">
        <f>InIS_Q!J17/10^9</f>
        <v>-0.621999046</v>
      </c>
      <c r="V16" s="84">
        <f>InIS_Q!K17/10^9</f>
        <v>-1.591012973</v>
      </c>
      <c r="W16" s="84">
        <f>InIS_Q!L17/10^9</f>
        <v>-0.33125321499999999</v>
      </c>
      <c r="X16" s="84">
        <f>InIS_Q!M17/10^9</f>
        <v>-0.35650362899999999</v>
      </c>
      <c r="Y16" s="84">
        <f>InIS_Q!N17/10^9</f>
        <v>-0.37385638900000001</v>
      </c>
      <c r="Z16" s="84">
        <f>InIS_Q!O17/10^9</f>
        <v>-0.35728362899999999</v>
      </c>
      <c r="AA16" s="84">
        <f>InIS_Q!P17/10^9</f>
        <v>-9.5937886999999999E-2</v>
      </c>
      <c r="AB16" s="84">
        <f>InIS_Q!Q17/10^9</f>
        <v>-7.8057939779999996</v>
      </c>
      <c r="AC16" s="84">
        <f>InIS_Q!R17/10^9</f>
        <v>0.65647118000000004</v>
      </c>
      <c r="AD16" s="84">
        <f>InIS_Q!S17/10^9</f>
        <v>0</v>
      </c>
      <c r="AE16" s="84">
        <f>InIS_Q!T17/10^9</f>
        <v>0</v>
      </c>
      <c r="AF16" s="84">
        <f>InIS_Q!U17/10^9</f>
        <v>0</v>
      </c>
      <c r="AG16" s="84">
        <f>InIS_Q!V17/10^9</f>
        <v>-0.63019539700000005</v>
      </c>
      <c r="AH16" s="84">
        <f>InIS_Q!W17/10^9</f>
        <v>-0.47530303200000001</v>
      </c>
      <c r="AI16" s="84">
        <f>InIS_Q!X17/10^9</f>
        <v>-0.38332309199999998</v>
      </c>
      <c r="AJ16" s="84">
        <f>InIS_Q!Y17/10^9</f>
        <v>-0.39832309199999999</v>
      </c>
      <c r="AK16" s="84">
        <f>InIS_Q!Z17/10^9</f>
        <v>-0.255986728</v>
      </c>
      <c r="AL16" s="84">
        <f>InIS_Q!AA17/10^9</f>
        <v>-2.8109661739999998</v>
      </c>
      <c r="AM16" s="84">
        <f>InIS_Q!AB17/10^9</f>
        <v>-4.4059642000000003E-2</v>
      </c>
      <c r="AN16" s="84">
        <f>InIS_Q!AC17/10^9</f>
        <v>0</v>
      </c>
    </row>
    <row r="17" spans="2:40" x14ac:dyDescent="0.3">
      <c r="B17" s="67" t="s">
        <v>110</v>
      </c>
      <c r="C17" s="83">
        <f>InIS!C18/10^9</f>
        <v>5.0000000000000001E-3</v>
      </c>
      <c r="D17" s="83">
        <f>InIS!D18/10^9</f>
        <v>-0.221768044</v>
      </c>
      <c r="E17" s="83">
        <f>InIS!E18/10^9</f>
        <v>-1.111967562</v>
      </c>
      <c r="F17" s="83">
        <f>InIS!F18/10^9</f>
        <v>-0.51389342599999999</v>
      </c>
      <c r="G17" s="83">
        <f>InIS!G18/10^9</f>
        <v>-4.1153832799999996</v>
      </c>
      <c r="H17" s="83">
        <f>InIS!H18/10^9</f>
        <v>-3.3069676079999999</v>
      </c>
      <c r="I17" s="83">
        <f>InIS!I18/10^9</f>
        <v>-0.75232487400000003</v>
      </c>
      <c r="J17" s="83">
        <f>InIS!J18/10^9</f>
        <v>-6.0449602569999996</v>
      </c>
      <c r="K17" s="83">
        <f>InIS!K18/10^9</f>
        <v>-1.0729347920000001</v>
      </c>
      <c r="L17" s="83">
        <f>InIS!L18/10^9</f>
        <v>-2.752456537</v>
      </c>
      <c r="N17" s="84">
        <f>InIS_Q!C18/10^9</f>
        <v>-0.276457024</v>
      </c>
      <c r="O17" s="84">
        <f>InIS_Q!D18/10^9</f>
        <v>-0.545528393</v>
      </c>
      <c r="P17" s="84">
        <f>InIS_Q!E18/10^9</f>
        <v>-0.66319093100000004</v>
      </c>
      <c r="Q17" s="84">
        <f>InIS_Q!F18/10^9</f>
        <v>-0.94331718799999997</v>
      </c>
      <c r="R17" s="84">
        <f>InIS_Q!G18/10^9</f>
        <v>-1.9633467680000001</v>
      </c>
      <c r="S17" s="84">
        <f>InIS_Q!H18/10^9</f>
        <v>-0.71687688699999996</v>
      </c>
      <c r="T17" s="84">
        <f>InIS_Q!I18/10^9</f>
        <v>-0.53693442400000002</v>
      </c>
      <c r="U17" s="84">
        <f>InIS_Q!J18/10^9</f>
        <v>-0.54459996399999999</v>
      </c>
      <c r="V17" s="84">
        <f>InIS_Q!K18/10^9</f>
        <v>-1.508556333</v>
      </c>
      <c r="W17" s="84">
        <f>InIS_Q!L18/10^9</f>
        <v>-0.316053215</v>
      </c>
      <c r="X17" s="84">
        <f>InIS_Q!M18/10^9</f>
        <v>-0.32067181099999997</v>
      </c>
      <c r="Y17" s="84">
        <f>InIS_Q!N18/10^9</f>
        <v>-0.36046093400000001</v>
      </c>
      <c r="Z17" s="84">
        <f>InIS_Q!O18/10^9</f>
        <v>0.24486108600000001</v>
      </c>
      <c r="AA17" s="84">
        <f>InIS_Q!P18/10^9</f>
        <v>-7.3028796000000007E-2</v>
      </c>
      <c r="AB17" s="84">
        <f>InIS_Q!Q18/10^9</f>
        <v>-7.8057939779999996</v>
      </c>
      <c r="AC17" s="84">
        <f>InIS_Q!R18/10^9</f>
        <v>1.812223428</v>
      </c>
      <c r="AD17" s="84">
        <f>InIS_Q!S18/10^9</f>
        <v>2.1639089E-2</v>
      </c>
      <c r="AE17" s="84">
        <f>InIS_Q!T18/10^9</f>
        <v>8.9272710000000005E-3</v>
      </c>
      <c r="AF17" s="84">
        <f>InIS_Q!U18/10^9</f>
        <v>9.0908999999999998E-4</v>
      </c>
      <c r="AG17" s="84">
        <f>InIS_Q!V18/10^9</f>
        <v>-0.62146812399999996</v>
      </c>
      <c r="AH17" s="84">
        <f>InIS_Q!W18/10^9</f>
        <v>-0.46130302899999998</v>
      </c>
      <c r="AI17" s="84">
        <f>InIS_Q!X18/10^9</f>
        <v>-0.362424001</v>
      </c>
      <c r="AJ17" s="84">
        <f>InIS_Q!Y18/10^9</f>
        <v>-0.37350491000000002</v>
      </c>
      <c r="AK17" s="84">
        <f>InIS_Q!Z18/10^9</f>
        <v>-0.24285036600000001</v>
      </c>
      <c r="AL17" s="84">
        <f>InIS_Q!AA18/10^9</f>
        <v>-2.7360116290000001</v>
      </c>
      <c r="AM17" s="84">
        <f>InIS_Q!AB18/10^9</f>
        <v>-2.9696005000000001E-2</v>
      </c>
      <c r="AN17" s="84">
        <f>InIS_Q!AC18/10^9</f>
        <v>3.3363636000000002E-2</v>
      </c>
    </row>
    <row r="18" spans="2:40" x14ac:dyDescent="0.3">
      <c r="B18" s="67" t="s">
        <v>111</v>
      </c>
      <c r="C18" s="83">
        <f>InIS!C19/10^9</f>
        <v>0</v>
      </c>
      <c r="D18" s="83">
        <f>InIS!D19/10^9</f>
        <v>0</v>
      </c>
      <c r="E18" s="83">
        <f>InIS!E19/10^9</f>
        <v>0</v>
      </c>
      <c r="F18" s="83">
        <f>InIS!F19/10^9</f>
        <v>0</v>
      </c>
      <c r="G18" s="83">
        <f>InIS!G19/10^9</f>
        <v>0</v>
      </c>
      <c r="H18" s="83">
        <f>InIS!H19/10^9</f>
        <v>0</v>
      </c>
      <c r="I18" s="83">
        <f>InIS!I19/10^9</f>
        <v>0</v>
      </c>
      <c r="J18" s="83">
        <f>InIS!J19/10^9</f>
        <v>0</v>
      </c>
      <c r="K18" s="83">
        <f>InIS!K19/10^9</f>
        <v>0</v>
      </c>
      <c r="L18" s="83">
        <f>InIS!L19/10^9</f>
        <v>0</v>
      </c>
      <c r="N18" s="84">
        <f>InIS_Q!C19/10^9</f>
        <v>0</v>
      </c>
      <c r="O18" s="84">
        <f>InIS_Q!D19/10^9</f>
        <v>0</v>
      </c>
      <c r="P18" s="84">
        <f>InIS_Q!E19/10^9</f>
        <v>0</v>
      </c>
      <c r="Q18" s="84">
        <f>InIS_Q!F19/10^9</f>
        <v>0</v>
      </c>
      <c r="R18" s="84">
        <f>InIS_Q!G19/10^9</f>
        <v>0</v>
      </c>
      <c r="S18" s="84">
        <f>InIS_Q!H19/10^9</f>
        <v>0</v>
      </c>
      <c r="T18" s="84">
        <f>InIS_Q!I19/10^9</f>
        <v>0</v>
      </c>
      <c r="U18" s="84">
        <f>InIS_Q!J19/10^9</f>
        <v>0</v>
      </c>
      <c r="V18" s="84">
        <f>InIS_Q!K19/10^9</f>
        <v>0</v>
      </c>
      <c r="W18" s="84">
        <f>InIS_Q!L19/10^9</f>
        <v>0</v>
      </c>
      <c r="X18" s="84">
        <f>InIS_Q!M19/10^9</f>
        <v>0</v>
      </c>
      <c r="Y18" s="84">
        <f>InIS_Q!N19/10^9</f>
        <v>0</v>
      </c>
      <c r="Z18" s="84">
        <f>InIS_Q!O19/10^9</f>
        <v>0</v>
      </c>
      <c r="AA18" s="84">
        <f>InIS_Q!P19/10^9</f>
        <v>0</v>
      </c>
      <c r="AB18" s="84">
        <f>InIS_Q!Q19/10^9</f>
        <v>0</v>
      </c>
      <c r="AC18" s="84">
        <f>InIS_Q!R19/10^9</f>
        <v>0</v>
      </c>
      <c r="AD18" s="84">
        <f>InIS_Q!S19/10^9</f>
        <v>0</v>
      </c>
      <c r="AE18" s="84">
        <f>InIS_Q!T19/10^9</f>
        <v>0</v>
      </c>
      <c r="AF18" s="84">
        <f>InIS_Q!U19/10^9</f>
        <v>0</v>
      </c>
      <c r="AG18" s="84">
        <f>InIS_Q!V19/10^9</f>
        <v>0</v>
      </c>
      <c r="AH18" s="84">
        <f>InIS_Q!W19/10^9</f>
        <v>0</v>
      </c>
      <c r="AI18" s="84">
        <f>InIS_Q!X19/10^9</f>
        <v>0</v>
      </c>
      <c r="AJ18" s="84">
        <f>InIS_Q!Y19/10^9</f>
        <v>0</v>
      </c>
      <c r="AK18" s="84">
        <f>InIS_Q!Z19/10^9</f>
        <v>0</v>
      </c>
      <c r="AL18" s="84">
        <f>InIS_Q!AA19/10^9</f>
        <v>0</v>
      </c>
      <c r="AM18" s="84">
        <f>InIS_Q!AB19/10^9</f>
        <v>0</v>
      </c>
      <c r="AN18" s="84">
        <f>InIS_Q!AC19/10^9</f>
        <v>0</v>
      </c>
    </row>
    <row r="19" spans="2:40" s="81" customFormat="1" x14ac:dyDescent="0.3">
      <c r="B19" s="85" t="s">
        <v>112</v>
      </c>
      <c r="C19" s="86">
        <f>InIS!C20/10^9</f>
        <v>-1.688688333</v>
      </c>
      <c r="D19" s="86">
        <f>InIS!D20/10^9</f>
        <v>-5.0715814640000003</v>
      </c>
      <c r="E19" s="86">
        <f>InIS!E20/10^9</f>
        <v>12.438987764</v>
      </c>
      <c r="F19" s="86">
        <f>InIS!F20/10^9</f>
        <v>105.702087354</v>
      </c>
      <c r="G19" s="86">
        <f>InIS!G20/10^9</f>
        <v>226.90515780499999</v>
      </c>
      <c r="H19" s="86">
        <f>InIS!H20/10^9</f>
        <v>132.23450513899999</v>
      </c>
      <c r="I19" s="86">
        <f>InIS!I20/10^9</f>
        <v>138.24346958199999</v>
      </c>
      <c r="J19" s="86">
        <f>InIS!J20/10^9</f>
        <v>130.040231361</v>
      </c>
      <c r="K19" s="86">
        <f>InIS!K20/10^9</f>
        <v>145.07836566099999</v>
      </c>
      <c r="L19" s="86">
        <f>InIS!L20/10^9</f>
        <v>147.74157302200001</v>
      </c>
      <c r="N19" s="87">
        <f>InIS_Q!C20/10^9</f>
        <v>27.553650004000001</v>
      </c>
      <c r="O19" s="87">
        <f>InIS_Q!D20/10^9</f>
        <v>46.216774829999999</v>
      </c>
      <c r="P19" s="87">
        <f>InIS_Q!E20/10^9</f>
        <v>85.011744461999996</v>
      </c>
      <c r="Q19" s="87">
        <f>InIS_Q!F20/10^9</f>
        <v>68.417826511000001</v>
      </c>
      <c r="R19" s="87">
        <f>InIS_Q!G20/10^9</f>
        <v>27.258812001999999</v>
      </c>
      <c r="S19" s="87">
        <f>InIS_Q!H20/10^9</f>
        <v>30.180293707000001</v>
      </c>
      <c r="T19" s="87">
        <f>InIS_Q!I20/10^9</f>
        <v>42.916509349999998</v>
      </c>
      <c r="U19" s="87">
        <f>InIS_Q!J20/10^9</f>
        <v>29.052324295999998</v>
      </c>
      <c r="V19" s="87">
        <f>InIS_Q!K20/10^9</f>
        <v>30.085377785999999</v>
      </c>
      <c r="W19" s="87">
        <f>InIS_Q!L20/10^9</f>
        <v>31.722855686999999</v>
      </c>
      <c r="X19" s="87">
        <f>InIS_Q!M20/10^9</f>
        <v>42.816324954000002</v>
      </c>
      <c r="Y19" s="87">
        <f>InIS_Q!N20/10^9</f>
        <v>31.438508301999999</v>
      </c>
      <c r="Z19" s="87">
        <f>InIS_Q!O20/10^9</f>
        <v>33.057540369999998</v>
      </c>
      <c r="AA19" s="87">
        <f>InIS_Q!P20/10^9</f>
        <v>27.685838734000001</v>
      </c>
      <c r="AB19" s="87">
        <f>InIS_Q!Q20/10^9</f>
        <v>32.577198744</v>
      </c>
      <c r="AC19" s="87">
        <f>InIS_Q!R20/10^9</f>
        <v>45.297310465000002</v>
      </c>
      <c r="AD19" s="87">
        <f>InIS_Q!S20/10^9</f>
        <v>23.904160508</v>
      </c>
      <c r="AE19" s="87">
        <f>InIS_Q!T20/10^9</f>
        <v>27.897966948000001</v>
      </c>
      <c r="AF19" s="87">
        <f>InIS_Q!U20/10^9</f>
        <v>41.622709393000001</v>
      </c>
      <c r="AG19" s="87">
        <f>InIS_Q!V20/10^9</f>
        <v>37.905449646000001</v>
      </c>
      <c r="AH19" s="87">
        <f>InIS_Q!W20/10^9</f>
        <v>37.814758619999999</v>
      </c>
      <c r="AI19" s="87">
        <f>InIS_Q!X20/10^9</f>
        <v>25.644588970000001</v>
      </c>
      <c r="AJ19" s="87">
        <f>InIS_Q!Y20/10^9</f>
        <v>46.091480601000001</v>
      </c>
      <c r="AK19" s="87">
        <f>InIS_Q!Z20/10^9</f>
        <v>31.715211332999999</v>
      </c>
      <c r="AL19" s="87">
        <f>InIS_Q!AA20/10^9</f>
        <v>37.980514657999997</v>
      </c>
      <c r="AM19" s="87">
        <f>InIS_Q!AB20/10^9</f>
        <v>27.948443087000001</v>
      </c>
      <c r="AN19" s="87">
        <f>InIS_Q!AC20/10^9</f>
        <v>33.946774449000003</v>
      </c>
    </row>
    <row r="20" spans="2:40" x14ac:dyDescent="0.3">
      <c r="B20" s="67" t="s">
        <v>113</v>
      </c>
      <c r="C20" s="83">
        <f>InIS!C21/10^9</f>
        <v>0</v>
      </c>
      <c r="D20" s="83">
        <f>InIS!D21/10^9</f>
        <v>0</v>
      </c>
      <c r="E20" s="83">
        <f>InIS!E21/10^9</f>
        <v>-0.20722201200000001</v>
      </c>
      <c r="F20" s="83">
        <f>InIS!F21/10^9</f>
        <v>-0.39195523799999998</v>
      </c>
      <c r="G20" s="83">
        <f>InIS!G21/10^9</f>
        <v>-23.456470471999999</v>
      </c>
      <c r="H20" s="83">
        <f>InIS!H21/10^9</f>
        <v>-14.308265973999999</v>
      </c>
      <c r="I20" s="83">
        <f>InIS!I21/10^9</f>
        <v>-23.740503784000001</v>
      </c>
      <c r="J20" s="83">
        <f>InIS!J21/10^9</f>
        <v>-25.196579026999999</v>
      </c>
      <c r="K20" s="83">
        <f>InIS!K21/10^9</f>
        <v>-25.115396371999999</v>
      </c>
      <c r="L20" s="83">
        <f>InIS!L21/10^9</f>
        <v>-25.810853372</v>
      </c>
      <c r="N20" s="84">
        <f>InIS_Q!C21/10^9</f>
        <v>0</v>
      </c>
      <c r="O20" s="84">
        <f>InIS_Q!D21/10^9</f>
        <v>-4.7671792999999996</v>
      </c>
      <c r="P20" s="84">
        <f>InIS_Q!E21/10^9</f>
        <v>-9.0447298519999997</v>
      </c>
      <c r="Q20" s="84">
        <f>InIS_Q!F21/10^9</f>
        <v>-6.8417826509999999</v>
      </c>
      <c r="R20" s="84">
        <f>InIS_Q!G21/10^9</f>
        <v>-2.8027786689999998</v>
      </c>
      <c r="S20" s="84">
        <f>InIS_Q!H21/10^9</f>
        <v>-3.1118376639999998</v>
      </c>
      <c r="T20" s="84">
        <f>InIS_Q!I21/10^9</f>
        <v>-4.4945940599999998</v>
      </c>
      <c r="U20" s="84">
        <f>InIS_Q!J21/10^9</f>
        <v>-2.9943812489999999</v>
      </c>
      <c r="V20" s="84">
        <f>InIS_Q!K21/10^9</f>
        <v>-3.3046587330000001</v>
      </c>
      <c r="W20" s="84">
        <f>InIS_Q!L21/10^9</f>
        <v>-3.1722855679999999</v>
      </c>
      <c r="X20" s="84">
        <f>InIS_Q!M21/10^9</f>
        <v>-4.9434334900000003</v>
      </c>
      <c r="Y20" s="84">
        <f>InIS_Q!N21/10^9</f>
        <v>-3.2284688610000001</v>
      </c>
      <c r="Z20" s="84">
        <f>InIS_Q!O21/10^9</f>
        <v>-3.779750135</v>
      </c>
      <c r="AA20" s="84">
        <f>InIS_Q!P21/10^9</f>
        <v>-2.7685838729999999</v>
      </c>
      <c r="AB20" s="84">
        <f>InIS_Q!Q21/10^9</f>
        <v>-8.8205373439999999</v>
      </c>
      <c r="AC20" s="84">
        <f>InIS_Q!R21/10^9</f>
        <v>-8.0944247209999993</v>
      </c>
      <c r="AD20" s="84">
        <f>InIS_Q!S21/10^9</f>
        <v>-4.904357879</v>
      </c>
      <c r="AE20" s="84">
        <f>InIS_Q!T21/10^9</f>
        <v>-5.39898072</v>
      </c>
      <c r="AF20" s="84">
        <f>InIS_Q!U21/10^9</f>
        <v>-6.85400923</v>
      </c>
      <c r="AG20" s="84">
        <f>InIS_Q!V21/10^9</f>
        <v>-7.2935419939999999</v>
      </c>
      <c r="AH20" s="84">
        <f>InIS_Q!W21/10^9</f>
        <v>-6.4538506020000002</v>
      </c>
      <c r="AI20" s="84">
        <f>InIS_Q!X21/10^9</f>
        <v>-4.8738627860000001</v>
      </c>
      <c r="AJ20" s="84">
        <f>InIS_Q!Y21/10^9</f>
        <v>-6.8215354640000001</v>
      </c>
      <c r="AK20" s="84">
        <f>InIS_Q!Z21/10^9</f>
        <v>-4.6235927410000004</v>
      </c>
      <c r="AL20" s="84">
        <f>InIS_Q!AA21/10^9</f>
        <v>-9.0917545260000008</v>
      </c>
      <c r="AM20" s="84">
        <f>InIS_Q!AB21/10^9</f>
        <v>-4.8092186479999999</v>
      </c>
      <c r="AN20" s="84">
        <f>InIS_Q!AC21/10^9</f>
        <v>-6.8058348449999997</v>
      </c>
    </row>
    <row r="21" spans="2:40" x14ac:dyDescent="0.3">
      <c r="B21" s="67" t="s">
        <v>114</v>
      </c>
      <c r="C21" s="83">
        <f>InIS!C22/10^9</f>
        <v>0</v>
      </c>
      <c r="D21" s="83">
        <f>InIS!D22/10^9</f>
        <v>0.59917724999999999</v>
      </c>
      <c r="E21" s="83">
        <f>InIS!E22/10^9</f>
        <v>0</v>
      </c>
      <c r="F21" s="83">
        <f>InIS!F22/10^9</f>
        <v>0</v>
      </c>
      <c r="G21" s="83">
        <f>InIS!G22/10^9</f>
        <v>0</v>
      </c>
      <c r="H21" s="83">
        <f>InIS!H22/10^9</f>
        <v>0</v>
      </c>
      <c r="I21" s="83">
        <f>InIS!I22/10^9</f>
        <v>0</v>
      </c>
      <c r="J21" s="83">
        <f>InIS!J22/10^9</f>
        <v>7.6456257430000001</v>
      </c>
      <c r="K21" s="83">
        <f>InIS!K22/10^9</f>
        <v>-1.23587526</v>
      </c>
      <c r="L21" s="83">
        <f>InIS!L22/10^9</f>
        <v>-1.6421129080000001</v>
      </c>
      <c r="N21" s="84">
        <f>InIS_Q!C22/10^9</f>
        <v>0</v>
      </c>
      <c r="O21" s="84">
        <f>InIS_Q!D22/10^9</f>
        <v>0</v>
      </c>
      <c r="P21" s="84">
        <f>InIS_Q!E22/10^9</f>
        <v>0</v>
      </c>
      <c r="Q21" s="84">
        <f>InIS_Q!F22/10^9</f>
        <v>0</v>
      </c>
      <c r="R21" s="84">
        <f>InIS_Q!G22/10^9</f>
        <v>0</v>
      </c>
      <c r="S21" s="84">
        <f>InIS_Q!H22/10^9</f>
        <v>0</v>
      </c>
      <c r="T21" s="84">
        <f>InIS_Q!I22/10^9</f>
        <v>0</v>
      </c>
      <c r="U21" s="84">
        <f>InIS_Q!J22/10^9</f>
        <v>0</v>
      </c>
      <c r="V21" s="84">
        <f>InIS_Q!K22/10^9</f>
        <v>0</v>
      </c>
      <c r="W21" s="84">
        <f>InIS_Q!L22/10^9</f>
        <v>0</v>
      </c>
      <c r="X21" s="84">
        <f>InIS_Q!M22/10^9</f>
        <v>0</v>
      </c>
      <c r="Y21" s="84">
        <f>InIS_Q!N22/10^9</f>
        <v>0</v>
      </c>
      <c r="Z21" s="84">
        <f>InIS_Q!O22/10^9</f>
        <v>0</v>
      </c>
      <c r="AA21" s="84">
        <f>InIS_Q!P22/10^9</f>
        <v>0</v>
      </c>
      <c r="AB21" s="84">
        <f>InIS_Q!Q22/10^9</f>
        <v>5.2232152379999999</v>
      </c>
      <c r="AC21" s="84">
        <f>InIS_Q!R22/10^9</f>
        <v>0</v>
      </c>
      <c r="AD21" s="84">
        <f>InIS_Q!S22/10^9</f>
        <v>2.538261173</v>
      </c>
      <c r="AE21" s="84">
        <f>InIS_Q!T22/10^9</f>
        <v>0</v>
      </c>
      <c r="AF21" s="84">
        <f>InIS_Q!U22/10^9</f>
        <v>0.60441672099999999</v>
      </c>
      <c r="AG21" s="84">
        <f>InIS_Q!V22/10^9</f>
        <v>0</v>
      </c>
      <c r="AH21" s="84">
        <f>InIS_Q!W22/10^9</f>
        <v>-1.3444286640000001</v>
      </c>
      <c r="AI21" s="84">
        <f>InIS_Q!X22/10^9</f>
        <v>0</v>
      </c>
      <c r="AJ21" s="84">
        <f>InIS_Q!Y22/10^9</f>
        <v>-1.2305352789999999</v>
      </c>
      <c r="AK21" s="84">
        <f>InIS_Q!Z22/10^9</f>
        <v>-0.98734190799999999</v>
      </c>
      <c r="AL21" s="84">
        <f>InIS_Q!AA22/10^9</f>
        <v>-1.586554751</v>
      </c>
      <c r="AM21" s="84">
        <f>InIS_Q!AB22/10^9</f>
        <v>-0.78928189900000001</v>
      </c>
      <c r="AN21" s="84">
        <f>InIS_Q!AC22/10^9</f>
        <v>-2.435327359</v>
      </c>
    </row>
    <row r="22" spans="2:40" x14ac:dyDescent="0.3">
      <c r="B22" s="67" t="s">
        <v>115</v>
      </c>
      <c r="C22" s="83">
        <f>InIS!C23/10^9</f>
        <v>0</v>
      </c>
      <c r="D22" s="83">
        <f>InIS!D23/10^9</f>
        <v>0.59917724999999999</v>
      </c>
      <c r="E22" s="83">
        <f>InIS!E23/10^9</f>
        <v>-0.20722201200000001</v>
      </c>
      <c r="F22" s="83">
        <f>InIS!F23/10^9</f>
        <v>-0.39195523799999998</v>
      </c>
      <c r="G22" s="83">
        <f>InIS!G23/10^9</f>
        <v>-23.456470471999999</v>
      </c>
      <c r="H22" s="83">
        <f>InIS!H23/10^9</f>
        <v>-14.308265973999999</v>
      </c>
      <c r="I22" s="83">
        <f>InIS!I23/10^9</f>
        <v>-23.740503784000001</v>
      </c>
      <c r="J22" s="83">
        <f>InIS!J23/10^9</f>
        <v>-17.550953283999998</v>
      </c>
      <c r="K22" s="83">
        <f>InIS!K23/10^9</f>
        <v>-26.351271632</v>
      </c>
      <c r="L22" s="83">
        <f>InIS!L23/10^9</f>
        <v>-27.452966279999998</v>
      </c>
      <c r="N22" s="84">
        <f>InIS_Q!C23/10^9</f>
        <v>0</v>
      </c>
      <c r="O22" s="84">
        <f>InIS_Q!D23/10^9</f>
        <v>-4.7671792999999996</v>
      </c>
      <c r="P22" s="84">
        <f>InIS_Q!E23/10^9</f>
        <v>-9.0447298519999997</v>
      </c>
      <c r="Q22" s="84">
        <f>InIS_Q!F23/10^9</f>
        <v>-6.8417826509999999</v>
      </c>
      <c r="R22" s="84">
        <f>InIS_Q!G23/10^9</f>
        <v>-2.8027786689999998</v>
      </c>
      <c r="S22" s="84">
        <f>InIS_Q!H23/10^9</f>
        <v>-3.1118376639999998</v>
      </c>
      <c r="T22" s="84">
        <f>InIS_Q!I23/10^9</f>
        <v>-4.4945940599999998</v>
      </c>
      <c r="U22" s="84">
        <f>InIS_Q!J23/10^9</f>
        <v>-2.9943812489999999</v>
      </c>
      <c r="V22" s="84">
        <f>InIS_Q!K23/10^9</f>
        <v>-3.3046587330000001</v>
      </c>
      <c r="W22" s="84">
        <f>InIS_Q!L23/10^9</f>
        <v>-3.1722855679999999</v>
      </c>
      <c r="X22" s="84">
        <f>InIS_Q!M23/10^9</f>
        <v>-4.9434334900000003</v>
      </c>
      <c r="Y22" s="84">
        <f>InIS_Q!N23/10^9</f>
        <v>-3.2284688610000001</v>
      </c>
      <c r="Z22" s="84">
        <f>InIS_Q!O23/10^9</f>
        <v>-3.779750135</v>
      </c>
      <c r="AA22" s="84">
        <f>InIS_Q!P23/10^9</f>
        <v>-2.7685838729999999</v>
      </c>
      <c r="AB22" s="84">
        <f>InIS_Q!Q23/10^9</f>
        <v>-3.597322106</v>
      </c>
      <c r="AC22" s="84">
        <f>InIS_Q!R23/10^9</f>
        <v>-8.0944247209999993</v>
      </c>
      <c r="AD22" s="84">
        <f>InIS_Q!S23/10^9</f>
        <v>-2.366096706</v>
      </c>
      <c r="AE22" s="84">
        <f>InIS_Q!T23/10^9</f>
        <v>-5.39898072</v>
      </c>
      <c r="AF22" s="84">
        <f>InIS_Q!U23/10^9</f>
        <v>-6.2495925090000002</v>
      </c>
      <c r="AG22" s="84">
        <f>InIS_Q!V23/10^9</f>
        <v>-7.2935419939999999</v>
      </c>
      <c r="AH22" s="84">
        <f>InIS_Q!W23/10^9</f>
        <v>-7.7982792659999998</v>
      </c>
      <c r="AI22" s="84">
        <f>InIS_Q!X23/10^9</f>
        <v>-4.8738627860000001</v>
      </c>
      <c r="AJ22" s="84">
        <f>InIS_Q!Y23/10^9</f>
        <v>-8.0520707429999998</v>
      </c>
      <c r="AK22" s="84">
        <f>InIS_Q!Z23/10^9</f>
        <v>-5.6109346489999998</v>
      </c>
      <c r="AL22" s="84">
        <f>InIS_Q!AA23/10^9</f>
        <v>-10.678309277</v>
      </c>
      <c r="AM22" s="84">
        <f>InIS_Q!AB23/10^9</f>
        <v>-5.5985005470000004</v>
      </c>
      <c r="AN22" s="84">
        <f>InIS_Q!AC23/10^9</f>
        <v>-9.2411622040000001</v>
      </c>
    </row>
    <row r="23" spans="2:40" s="81" customFormat="1" x14ac:dyDescent="0.3">
      <c r="B23" s="85" t="s">
        <v>116</v>
      </c>
      <c r="C23" s="86">
        <f>InIS!C24/10^9</f>
        <v>-1.688688333</v>
      </c>
      <c r="D23" s="86">
        <f>InIS!D24/10^9</f>
        <v>-4.472404214</v>
      </c>
      <c r="E23" s="86">
        <f>InIS!E24/10^9</f>
        <v>12.231765751999999</v>
      </c>
      <c r="F23" s="86">
        <f>InIS!F24/10^9</f>
        <v>105.31013211600001</v>
      </c>
      <c r="G23" s="86">
        <f>InIS!G24/10^9</f>
        <v>203.44868733300001</v>
      </c>
      <c r="H23" s="86">
        <f>InIS!H24/10^9</f>
        <v>117.926239165</v>
      </c>
      <c r="I23" s="86">
        <f>InIS!I24/10^9</f>
        <v>114.50296579800001</v>
      </c>
      <c r="J23" s="86">
        <f>InIS!J24/10^9</f>
        <v>112.48927807699999</v>
      </c>
      <c r="K23" s="86">
        <f>InIS!K24/10^9</f>
        <v>118.727094029</v>
      </c>
      <c r="L23" s="86">
        <f>InIS!L24/10^9</f>
        <v>120.288606742</v>
      </c>
      <c r="N23" s="87">
        <f>InIS_Q!C24/10^9</f>
        <v>27.553650004000001</v>
      </c>
      <c r="O23" s="87">
        <f>InIS_Q!D24/10^9</f>
        <v>41.449595530000003</v>
      </c>
      <c r="P23" s="87">
        <f>InIS_Q!E24/10^9</f>
        <v>75.967014610000007</v>
      </c>
      <c r="Q23" s="87">
        <f>InIS_Q!F24/10^9</f>
        <v>61.576043859999999</v>
      </c>
      <c r="R23" s="87">
        <f>InIS_Q!G24/10^9</f>
        <v>24.456033333000001</v>
      </c>
      <c r="S23" s="87">
        <f>InIS_Q!H24/10^9</f>
        <v>27.068456043000001</v>
      </c>
      <c r="T23" s="87">
        <f>InIS_Q!I24/10^9</f>
        <v>38.421915290000001</v>
      </c>
      <c r="U23" s="87">
        <f>InIS_Q!J24/10^9</f>
        <v>26.057943046999998</v>
      </c>
      <c r="V23" s="87">
        <f>InIS_Q!K24/10^9</f>
        <v>26.780719052999999</v>
      </c>
      <c r="W23" s="87">
        <f>InIS_Q!L24/10^9</f>
        <v>28.550570119</v>
      </c>
      <c r="X23" s="87">
        <f>InIS_Q!M24/10^9</f>
        <v>37.872891463999999</v>
      </c>
      <c r="Y23" s="87">
        <f>InIS_Q!N24/10^9</f>
        <v>28.210039440999999</v>
      </c>
      <c r="Z23" s="87">
        <f>InIS_Q!O24/10^9</f>
        <v>29.277790235000001</v>
      </c>
      <c r="AA23" s="87">
        <f>InIS_Q!P24/10^9</f>
        <v>24.917254861</v>
      </c>
      <c r="AB23" s="87">
        <f>InIS_Q!Q24/10^9</f>
        <v>28.979876638</v>
      </c>
      <c r="AC23" s="87">
        <f>InIS_Q!R24/10^9</f>
        <v>37.202885744</v>
      </c>
      <c r="AD23" s="87">
        <f>InIS_Q!S24/10^9</f>
        <v>21.538063802</v>
      </c>
      <c r="AE23" s="87">
        <f>InIS_Q!T24/10^9</f>
        <v>22.498986228</v>
      </c>
      <c r="AF23" s="87">
        <f>InIS_Q!U24/10^9</f>
        <v>35.373116883999998</v>
      </c>
      <c r="AG23" s="87">
        <f>InIS_Q!V24/10^9</f>
        <v>30.611907651999999</v>
      </c>
      <c r="AH23" s="87">
        <f>InIS_Q!W24/10^9</f>
        <v>30.016479354000001</v>
      </c>
      <c r="AI23" s="87">
        <f>InIS_Q!X24/10^9</f>
        <v>20.770726184000001</v>
      </c>
      <c r="AJ23" s="87">
        <f>InIS_Q!Y24/10^9</f>
        <v>38.039409857999999</v>
      </c>
      <c r="AK23" s="87">
        <f>InIS_Q!Z24/10^9</f>
        <v>26.104276683999998</v>
      </c>
      <c r="AL23" s="87">
        <f>InIS_Q!AA24/10^9</f>
        <v>27.302205381</v>
      </c>
      <c r="AM23" s="87">
        <f>InIS_Q!AB24/10^9</f>
        <v>22.349942540000001</v>
      </c>
      <c r="AN23" s="87">
        <f>InIS_Q!AC24/10^9</f>
        <v>24.705612245000001</v>
      </c>
    </row>
    <row r="24" spans="2:40" x14ac:dyDescent="0.3">
      <c r="B24" s="67" t="s">
        <v>117</v>
      </c>
      <c r="C24" s="83">
        <f>InIS!C25/10^9</f>
        <v>0</v>
      </c>
      <c r="D24" s="83">
        <f>InIS!D25/10^9</f>
        <v>0</v>
      </c>
      <c r="E24" s="83">
        <f>InIS!E25/10^9</f>
        <v>0</v>
      </c>
      <c r="F24" s="83">
        <f>InIS!F25/10^9</f>
        <v>0</v>
      </c>
      <c r="G24" s="83">
        <f>InIS!G25/10^9</f>
        <v>0</v>
      </c>
      <c r="H24" s="83">
        <f>InIS!H25/10^9</f>
        <v>0</v>
      </c>
      <c r="I24" s="83">
        <f>InIS!I25/10^9</f>
        <v>0</v>
      </c>
      <c r="J24" s="83">
        <f>InIS!J25/10^9</f>
        <v>0</v>
      </c>
      <c r="K24" s="83">
        <f>InIS!K25/10^9</f>
        <v>0</v>
      </c>
      <c r="L24" s="83">
        <f>InIS!L25/10^9</f>
        <v>0</v>
      </c>
      <c r="N24" s="84">
        <f>InIS_Q!C25/10^9</f>
        <v>0</v>
      </c>
      <c r="O24" s="84">
        <f>InIS_Q!D25/10^9</f>
        <v>0</v>
      </c>
      <c r="P24" s="84">
        <f>InIS_Q!E25/10^9</f>
        <v>0</v>
      </c>
      <c r="Q24" s="84">
        <f>InIS_Q!F25/10^9</f>
        <v>0</v>
      </c>
      <c r="R24" s="84">
        <f>InIS_Q!G25/10^9</f>
        <v>0</v>
      </c>
      <c r="S24" s="84">
        <f>InIS_Q!H25/10^9</f>
        <v>0</v>
      </c>
      <c r="T24" s="84">
        <f>InIS_Q!I25/10^9</f>
        <v>0</v>
      </c>
      <c r="U24" s="84">
        <f>InIS_Q!J25/10^9</f>
        <v>0</v>
      </c>
      <c r="V24" s="84">
        <f>InIS_Q!K25/10^9</f>
        <v>0</v>
      </c>
      <c r="W24" s="84">
        <f>InIS_Q!L25/10^9</f>
        <v>0</v>
      </c>
      <c r="X24" s="84">
        <f>InIS_Q!M25/10^9</f>
        <v>0</v>
      </c>
      <c r="Y24" s="84">
        <f>InIS_Q!N25/10^9</f>
        <v>0</v>
      </c>
      <c r="Z24" s="84">
        <f>InIS_Q!O25/10^9</f>
        <v>0</v>
      </c>
      <c r="AA24" s="84">
        <f>InIS_Q!P25/10^9</f>
        <v>0</v>
      </c>
      <c r="AB24" s="84">
        <f>InIS_Q!Q25/10^9</f>
        <v>0</v>
      </c>
      <c r="AC24" s="84">
        <f>InIS_Q!R25/10^9</f>
        <v>0</v>
      </c>
      <c r="AD24" s="84">
        <f>InIS_Q!S25/10^9</f>
        <v>0</v>
      </c>
      <c r="AE24" s="84">
        <f>InIS_Q!T25/10^9</f>
        <v>0</v>
      </c>
      <c r="AF24" s="84">
        <f>InIS_Q!U25/10^9</f>
        <v>0</v>
      </c>
      <c r="AG24" s="84">
        <f>InIS_Q!V25/10^9</f>
        <v>0</v>
      </c>
      <c r="AH24" s="84">
        <f>InIS_Q!W25/10^9</f>
        <v>0</v>
      </c>
      <c r="AI24" s="84">
        <f>InIS_Q!X25/10^9</f>
        <v>0</v>
      </c>
      <c r="AJ24" s="84">
        <f>InIS_Q!Y25/10^9</f>
        <v>0</v>
      </c>
      <c r="AK24" s="84">
        <f>InIS_Q!Z25/10^9</f>
        <v>0</v>
      </c>
      <c r="AL24" s="84">
        <f>InIS_Q!AA25/10^9</f>
        <v>0</v>
      </c>
      <c r="AM24" s="84">
        <f>InIS_Q!AB25/10^9</f>
        <v>0</v>
      </c>
      <c r="AN24" s="84">
        <f>InIS_Q!AC25/10^9</f>
        <v>0</v>
      </c>
    </row>
    <row r="25" spans="2:40" x14ac:dyDescent="0.3">
      <c r="B25" s="67" t="s">
        <v>118</v>
      </c>
      <c r="C25" s="83">
        <f>InIS!C26/10^9</f>
        <v>-1.688688333</v>
      </c>
      <c r="D25" s="83">
        <f>InIS!D26/10^9</f>
        <v>-4.472404214</v>
      </c>
      <c r="E25" s="83">
        <f>InIS!E26/10^9</f>
        <v>12.231765751999999</v>
      </c>
      <c r="F25" s="83">
        <f>InIS!F26/10^9</f>
        <v>105.31013211600001</v>
      </c>
      <c r="G25" s="83">
        <f>InIS!G26/10^9</f>
        <v>203.44868733300001</v>
      </c>
      <c r="H25" s="83">
        <f>InIS!H26/10^9</f>
        <v>117.926239165</v>
      </c>
      <c r="I25" s="83">
        <f>InIS!I26/10^9</f>
        <v>114.50296579800001</v>
      </c>
      <c r="J25" s="83">
        <f>InIS!J26/10^9</f>
        <v>112.48927807699999</v>
      </c>
      <c r="K25" s="83">
        <f>InIS!K26/10^9</f>
        <v>118.727094029</v>
      </c>
      <c r="L25" s="83">
        <f>InIS!L26/10^9</f>
        <v>120.288606742</v>
      </c>
      <c r="N25" s="84">
        <f>InIS_Q!C26/10^9</f>
        <v>27.553650004000001</v>
      </c>
      <c r="O25" s="84">
        <f>InIS_Q!D26/10^9</f>
        <v>41.449595530000003</v>
      </c>
      <c r="P25" s="84">
        <f>InIS_Q!E26/10^9</f>
        <v>75.967014610000007</v>
      </c>
      <c r="Q25" s="84">
        <f>InIS_Q!F26/10^9</f>
        <v>61.576043859999999</v>
      </c>
      <c r="R25" s="84">
        <f>InIS_Q!G26/10^9</f>
        <v>24.456033333000001</v>
      </c>
      <c r="S25" s="84">
        <f>InIS_Q!H26/10^9</f>
        <v>27.068456043000001</v>
      </c>
      <c r="T25" s="84">
        <f>InIS_Q!I26/10^9</f>
        <v>38.421915290000001</v>
      </c>
      <c r="U25" s="84">
        <f>InIS_Q!J26/10^9</f>
        <v>26.057943046999998</v>
      </c>
      <c r="V25" s="84">
        <f>InIS_Q!K26/10^9</f>
        <v>26.780719052999999</v>
      </c>
      <c r="W25" s="84">
        <f>InIS_Q!L26/10^9</f>
        <v>28.550570119</v>
      </c>
      <c r="X25" s="84">
        <f>InIS_Q!M26/10^9</f>
        <v>37.872891463999999</v>
      </c>
      <c r="Y25" s="84">
        <f>InIS_Q!N26/10^9</f>
        <v>28.210039440999999</v>
      </c>
      <c r="Z25" s="84">
        <f>InIS_Q!O26/10^9</f>
        <v>29.277790235000001</v>
      </c>
      <c r="AA25" s="84">
        <f>InIS_Q!P26/10^9</f>
        <v>24.917254861</v>
      </c>
      <c r="AB25" s="84">
        <f>InIS_Q!Q26/10^9</f>
        <v>28.979876638</v>
      </c>
      <c r="AC25" s="84">
        <f>InIS_Q!R26/10^9</f>
        <v>37.202885744</v>
      </c>
      <c r="AD25" s="84">
        <f>InIS_Q!S26/10^9</f>
        <v>21.538063802</v>
      </c>
      <c r="AE25" s="84">
        <f>InIS_Q!T26/10^9</f>
        <v>22.498986228</v>
      </c>
      <c r="AF25" s="84">
        <f>InIS_Q!U26/10^9</f>
        <v>35.373116883999998</v>
      </c>
      <c r="AG25" s="84">
        <f>InIS_Q!V26/10^9</f>
        <v>30.611907651999999</v>
      </c>
      <c r="AH25" s="84">
        <f>InIS_Q!W26/10^9</f>
        <v>30.016479354000001</v>
      </c>
      <c r="AI25" s="84">
        <f>InIS_Q!X26/10^9</f>
        <v>20.770726184000001</v>
      </c>
      <c r="AJ25" s="84">
        <f>InIS_Q!Y26/10^9</f>
        <v>38.039409857999999</v>
      </c>
      <c r="AK25" s="84">
        <f>InIS_Q!Z26/10^9</f>
        <v>26.104276683999998</v>
      </c>
      <c r="AL25" s="84">
        <f>InIS_Q!AA26/10^9</f>
        <v>27.302205381</v>
      </c>
      <c r="AM25" s="84">
        <f>InIS_Q!AB26/10^9</f>
        <v>22.349942540000001</v>
      </c>
      <c r="AN25" s="84">
        <f>InIS_Q!AC26/10^9</f>
        <v>24.705612245000001</v>
      </c>
    </row>
    <row r="26" spans="2:40" x14ac:dyDescent="0.3">
      <c r="B26" s="67" t="s">
        <v>119</v>
      </c>
      <c r="C26" s="90"/>
      <c r="D26" s="90">
        <v>-666</v>
      </c>
      <c r="E26" s="91">
        <v>1820</v>
      </c>
      <c r="F26" s="91">
        <v>13742</v>
      </c>
      <c r="G26" s="91">
        <v>10016</v>
      </c>
      <c r="H26" s="91">
        <v>5339</v>
      </c>
      <c r="I26" s="91">
        <v>4736</v>
      </c>
      <c r="J26" s="91">
        <v>4166</v>
      </c>
      <c r="K26" s="91">
        <v>3993</v>
      </c>
      <c r="L26" s="91">
        <v>3900</v>
      </c>
      <c r="N26" s="90"/>
      <c r="O26" s="90"/>
      <c r="P26" s="90"/>
      <c r="Q26" s="90"/>
      <c r="R26" s="91">
        <v>1204</v>
      </c>
      <c r="S26" s="90"/>
      <c r="T26" s="90"/>
      <c r="U26" s="90"/>
      <c r="V26" s="90"/>
      <c r="W26" s="90"/>
      <c r="X26" s="91">
        <v>3114</v>
      </c>
      <c r="Y26" s="90"/>
      <c r="Z26" s="90"/>
      <c r="AA26" s="90"/>
      <c r="AB26" s="91">
        <v>1996</v>
      </c>
      <c r="AC26" s="90"/>
      <c r="AD26" s="90"/>
      <c r="AE26" s="90"/>
      <c r="AF26" s="91">
        <v>1960</v>
      </c>
      <c r="AG26" s="90"/>
      <c r="AH26" s="90"/>
      <c r="AI26" s="90"/>
      <c r="AJ26" s="90"/>
      <c r="AK26" s="90"/>
      <c r="AL26" s="90"/>
      <c r="AM26" s="90"/>
      <c r="AN26" s="90"/>
    </row>
    <row r="27" spans="2:40" x14ac:dyDescent="0.3">
      <c r="B27" s="67" t="s">
        <v>120</v>
      </c>
      <c r="C27" s="90"/>
      <c r="D27" s="90"/>
      <c r="E27" s="90"/>
      <c r="F27" s="90"/>
      <c r="G27" s="90"/>
      <c r="H27" s="90"/>
      <c r="I27" s="90"/>
      <c r="J27" s="90"/>
      <c r="K27" s="90"/>
      <c r="L27" s="90"/>
      <c r="N27" s="90"/>
      <c r="O27" s="90"/>
      <c r="P27" s="90"/>
      <c r="Q27" s="90"/>
      <c r="R27" s="90"/>
      <c r="S27" s="90"/>
      <c r="T27" s="90"/>
      <c r="U27" s="90"/>
      <c r="V27" s="90"/>
      <c r="W27" s="90"/>
      <c r="X27" s="90"/>
      <c r="Y27" s="90"/>
      <c r="Z27" s="90"/>
      <c r="AA27" s="90"/>
      <c r="AB27" s="90"/>
      <c r="AC27" s="90"/>
      <c r="AD27" s="90"/>
      <c r="AE27" s="90"/>
      <c r="AF27" s="90"/>
      <c r="AG27" s="90"/>
      <c r="AH27" s="90"/>
      <c r="AI27" s="90"/>
      <c r="AJ27" s="90"/>
      <c r="AK27" s="90"/>
      <c r="AL27" s="90"/>
      <c r="AM27" s="90"/>
      <c r="AN27" s="90"/>
    </row>
    <row r="30" spans="2:40" x14ac:dyDescent="0.3">
      <c r="B30" s="57" t="s">
        <v>492</v>
      </c>
      <c r="C30" s="64" t="s">
        <v>451</v>
      </c>
      <c r="D30" s="64" t="s">
        <v>452</v>
      </c>
      <c r="E30" s="64" t="s">
        <v>453</v>
      </c>
      <c r="F30" s="64" t="s">
        <v>454</v>
      </c>
      <c r="G30" s="64" t="s">
        <v>455</v>
      </c>
      <c r="H30" s="64" t="s">
        <v>456</v>
      </c>
      <c r="I30" s="64" t="s">
        <v>457</v>
      </c>
      <c r="J30" s="64" t="s">
        <v>458</v>
      </c>
      <c r="K30" s="64" t="s">
        <v>459</v>
      </c>
      <c r="L30" s="64" t="s">
        <v>460</v>
      </c>
      <c r="N30" s="57" t="s">
        <v>461</v>
      </c>
      <c r="O30" s="57" t="s">
        <v>462</v>
      </c>
      <c r="P30" s="64" t="s">
        <v>463</v>
      </c>
      <c r="Q30" s="57" t="s">
        <v>464</v>
      </c>
      <c r="R30" s="57" t="s">
        <v>465</v>
      </c>
      <c r="S30" s="57" t="s">
        <v>466</v>
      </c>
      <c r="T30" s="64" t="s">
        <v>467</v>
      </c>
      <c r="U30" s="57" t="s">
        <v>468</v>
      </c>
      <c r="V30" s="57" t="s">
        <v>469</v>
      </c>
      <c r="W30" s="57" t="s">
        <v>470</v>
      </c>
      <c r="X30" s="64" t="s">
        <v>471</v>
      </c>
      <c r="Y30" s="57" t="s">
        <v>472</v>
      </c>
      <c r="Z30" s="57" t="s">
        <v>473</v>
      </c>
      <c r="AA30" s="57" t="s">
        <v>474</v>
      </c>
      <c r="AB30" s="64" t="s">
        <v>475</v>
      </c>
      <c r="AC30" s="57" t="s">
        <v>476</v>
      </c>
      <c r="AD30" s="57" t="s">
        <v>477</v>
      </c>
      <c r="AE30" s="57" t="s">
        <v>478</v>
      </c>
      <c r="AF30" s="64" t="s">
        <v>479</v>
      </c>
      <c r="AG30" s="57" t="s">
        <v>480</v>
      </c>
      <c r="AH30" s="57" t="s">
        <v>481</v>
      </c>
      <c r="AI30" s="57" t="s">
        <v>482</v>
      </c>
      <c r="AJ30" s="64" t="s">
        <v>483</v>
      </c>
      <c r="AK30" s="57" t="s">
        <v>484</v>
      </c>
      <c r="AL30" s="57" t="s">
        <v>485</v>
      </c>
      <c r="AM30" s="57" t="s">
        <v>486</v>
      </c>
      <c r="AN30" s="64" t="s">
        <v>487</v>
      </c>
    </row>
    <row r="31" spans="2:40" x14ac:dyDescent="0.3">
      <c r="B31" s="58" t="s">
        <v>5</v>
      </c>
      <c r="C31" s="59"/>
      <c r="D31" s="59"/>
      <c r="E31" s="59"/>
      <c r="F31" s="59"/>
      <c r="G31" s="59"/>
      <c r="H31" s="59"/>
      <c r="I31" s="59"/>
      <c r="J31" s="59"/>
      <c r="K31" s="59"/>
      <c r="L31" s="59"/>
      <c r="P31" s="90"/>
      <c r="Q31" s="90"/>
      <c r="R31" s="90"/>
      <c r="S31" s="90"/>
      <c r="T31" s="90"/>
      <c r="U31" s="90"/>
      <c r="V31" s="90"/>
      <c r="W31" s="90"/>
      <c r="X31" s="90"/>
      <c r="Y31" s="90"/>
      <c r="Z31" s="90"/>
      <c r="AA31" s="90"/>
      <c r="AB31" s="90"/>
      <c r="AC31" s="90"/>
      <c r="AD31" s="90"/>
      <c r="AE31" s="90"/>
      <c r="AF31" s="90"/>
      <c r="AG31" s="90"/>
      <c r="AH31" s="90"/>
      <c r="AI31" s="90"/>
      <c r="AJ31" s="90"/>
      <c r="AK31" s="90"/>
      <c r="AL31" s="90"/>
      <c r="AM31" s="90"/>
      <c r="AN31" s="90"/>
    </row>
    <row r="32" spans="2:40" s="81" customFormat="1" x14ac:dyDescent="0.3">
      <c r="B32" s="71" t="s">
        <v>6</v>
      </c>
      <c r="C32" s="72">
        <f>InBS!C6/10^9</f>
        <v>11.189243925</v>
      </c>
      <c r="D32" s="72">
        <f>InBS!D6/10^9</f>
        <v>29.804447038999999</v>
      </c>
      <c r="E32" s="72">
        <f>InBS!E6/10^9</f>
        <v>68.494828111999993</v>
      </c>
      <c r="F32" s="72">
        <f>InBS!F6/10^9</f>
        <v>182.82261471999999</v>
      </c>
      <c r="G32" s="72">
        <f>InBS!G6/10^9</f>
        <v>396.38162946400001</v>
      </c>
      <c r="H32" s="72">
        <f>InBS!H6/10^9</f>
        <v>316.41825559799997</v>
      </c>
      <c r="I32" s="72">
        <f>InBS!I6/10^9</f>
        <v>510.95695379300003</v>
      </c>
      <c r="J32" s="72">
        <f>InBS!J6/10^9</f>
        <v>521.08784740500005</v>
      </c>
      <c r="K32" s="72">
        <f>InBS!K6/10^9</f>
        <v>465.63334061699999</v>
      </c>
      <c r="L32" s="72">
        <f>InBS!L6/10^9</f>
        <v>500.54425428899998</v>
      </c>
      <c r="N32" s="92"/>
      <c r="O32" s="92"/>
      <c r="P32" s="93">
        <f>InBS_Q!C6/10^9</f>
        <v>286.51294109600002</v>
      </c>
      <c r="Q32" s="93">
        <f>InBS_Q!D6/10^9</f>
        <v>329.79077986599998</v>
      </c>
      <c r="R32" s="93">
        <f>InBS_Q!E6/10^9</f>
        <v>398.94337327599999</v>
      </c>
      <c r="S32" s="93">
        <f>InBS_Q!F6/10^9</f>
        <v>373.40479767199997</v>
      </c>
      <c r="T32" s="93">
        <f>InBS_Q!G6/10^9</f>
        <v>281.72641822899999</v>
      </c>
      <c r="U32" s="93">
        <f>InBS_Q!H6/10^9</f>
        <v>337.55790947499997</v>
      </c>
      <c r="V32" s="93">
        <f>InBS_Q!I6/10^9</f>
        <v>315.89025559800001</v>
      </c>
      <c r="W32" s="93">
        <f>InBS_Q!J6/10^9</f>
        <v>318.74586063599997</v>
      </c>
      <c r="X32" s="93">
        <f>InBS_Q!K6/10^9</f>
        <v>373.48201464599998</v>
      </c>
      <c r="Y32" s="93">
        <f>InBS_Q!L6/10^9</f>
        <v>425.483453806</v>
      </c>
      <c r="Z32" s="93">
        <f>InBS_Q!M6/10^9</f>
        <v>445.26995379300001</v>
      </c>
      <c r="AA32" s="93">
        <f>InBS_Q!N6/10^9</f>
        <v>526.51951488400005</v>
      </c>
      <c r="AB32" s="93">
        <f>InBS_Q!O6/10^9</f>
        <v>567.04448502699995</v>
      </c>
      <c r="AC32" s="93">
        <f>InBS_Q!P6/10^9</f>
        <v>530.91520542700005</v>
      </c>
      <c r="AD32" s="93">
        <f>InBS_Q!Q6/10^9</f>
        <v>518.26950728199995</v>
      </c>
      <c r="AE32" s="93">
        <f>InBS_Q!R6/10^9</f>
        <v>431.28371119600001</v>
      </c>
      <c r="AF32" s="93">
        <f>InBS_Q!S6/10^9</f>
        <v>482.16619195300001</v>
      </c>
      <c r="AG32" s="93">
        <f>InBS_Q!T6/10^9</f>
        <v>444.50015111300002</v>
      </c>
      <c r="AH32" s="93">
        <f>InBS_Q!U6/10^9</f>
        <v>465.01317516900002</v>
      </c>
      <c r="AI32" s="93">
        <f>InBS_Q!V6/10^9</f>
        <v>373.57239750000002</v>
      </c>
      <c r="AJ32" s="93">
        <f>InBS_Q!W6/10^9</f>
        <v>422.54352803400002</v>
      </c>
      <c r="AK32" s="93">
        <f>InBS_Q!X6/10^9</f>
        <v>471.901360243</v>
      </c>
      <c r="AL32" s="93">
        <f>InBS_Q!Y6/10^9</f>
        <v>500.52760908900001</v>
      </c>
      <c r="AM32" s="93">
        <f>InBS_Q!Z6/10^9</f>
        <v>517.44783117999998</v>
      </c>
      <c r="AN32" s="93">
        <f>InBS_Q!AA6/10^9</f>
        <v>521.55419205299995</v>
      </c>
    </row>
    <row r="33" spans="2:40" s="81" customFormat="1" x14ac:dyDescent="0.3">
      <c r="B33" s="58" t="s">
        <v>7</v>
      </c>
      <c r="C33" s="60">
        <f>InBS!C7/10^9</f>
        <v>11.016964603</v>
      </c>
      <c r="D33" s="60">
        <f>InBS!D7/10^9</f>
        <v>14.589526362000001</v>
      </c>
      <c r="E33" s="60">
        <f>InBS!E7/10^9</f>
        <v>36.053940394999998</v>
      </c>
      <c r="F33" s="60">
        <f>InBS!F7/10^9</f>
        <v>92.714464441999993</v>
      </c>
      <c r="G33" s="60">
        <f>InBS!G7/10^9</f>
        <v>179.29361490299999</v>
      </c>
      <c r="H33" s="60">
        <f>InBS!H7/10^9</f>
        <v>85.305119116</v>
      </c>
      <c r="I33" s="60">
        <f>InBS!I7/10^9</f>
        <v>249.84184841499999</v>
      </c>
      <c r="J33" s="60">
        <f>InBS!J7/10^9</f>
        <v>288.73489282100002</v>
      </c>
      <c r="K33" s="60">
        <f>InBS!K7/10^9</f>
        <v>281.71081347000001</v>
      </c>
      <c r="L33" s="60">
        <f>InBS!L7/10^9</f>
        <v>342.67347294899997</v>
      </c>
      <c r="P33" s="66">
        <f>InBS_Q!C7/10^9</f>
        <v>75.312486151000002</v>
      </c>
      <c r="Q33" s="66">
        <f>InBS_Q!D7/10^9</f>
        <v>131.57745493499999</v>
      </c>
      <c r="R33" s="66">
        <f>InBS_Q!E7/10^9</f>
        <v>179.29361490299999</v>
      </c>
      <c r="S33" s="66">
        <f>InBS_Q!F7/10^9</f>
        <v>168.889440097</v>
      </c>
      <c r="T33" s="66">
        <f>InBS_Q!G7/10^9</f>
        <v>113.204095865</v>
      </c>
      <c r="U33" s="66">
        <f>InBS_Q!H7/10^9</f>
        <v>129.71754675599999</v>
      </c>
      <c r="V33" s="66">
        <f>InBS_Q!I7/10^9</f>
        <v>85.305119116</v>
      </c>
      <c r="W33" s="66">
        <f>InBS_Q!J7/10^9</f>
        <v>115.05538772200001</v>
      </c>
      <c r="X33" s="66">
        <f>InBS_Q!K7/10^9</f>
        <v>192.588487112</v>
      </c>
      <c r="Y33" s="66">
        <f>InBS_Q!L7/10^9</f>
        <v>208.29795673800001</v>
      </c>
      <c r="Z33" s="66">
        <f>InBS_Q!M7/10^9</f>
        <v>249.84184841499999</v>
      </c>
      <c r="AA33" s="66">
        <f>InBS_Q!N7/10^9</f>
        <v>253.68445388500001</v>
      </c>
      <c r="AB33" s="66">
        <f>InBS_Q!O7/10^9</f>
        <v>352.76394407999999</v>
      </c>
      <c r="AC33" s="66">
        <f>InBS_Q!P7/10^9</f>
        <v>306.781904822</v>
      </c>
      <c r="AD33" s="66">
        <f>InBS_Q!Q7/10^9</f>
        <v>288.73489282100002</v>
      </c>
      <c r="AE33" s="66">
        <f>InBS_Q!R7/10^9</f>
        <v>212.67914738600001</v>
      </c>
      <c r="AF33" s="66">
        <f>InBS_Q!S7/10^9</f>
        <v>283.45182312399999</v>
      </c>
      <c r="AG33" s="66">
        <f>InBS_Q!T7/10^9</f>
        <v>248.797364749</v>
      </c>
      <c r="AH33" s="66">
        <f>InBS_Q!U7/10^9</f>
        <v>281.71081347000001</v>
      </c>
      <c r="AI33" s="66">
        <f>InBS_Q!V7/10^9</f>
        <v>211.451295896</v>
      </c>
      <c r="AJ33" s="66">
        <f>InBS_Q!W7/10^9</f>
        <v>265.230120704</v>
      </c>
      <c r="AK33" s="66">
        <f>InBS_Q!X7/10^9</f>
        <v>299.74623447499999</v>
      </c>
      <c r="AL33" s="66">
        <f>InBS_Q!Y7/10^9</f>
        <v>342.67347294899997</v>
      </c>
      <c r="AM33" s="66">
        <f>InBS_Q!Z7/10^9</f>
        <v>276.34286519199998</v>
      </c>
      <c r="AN33" s="66">
        <f>InBS_Q!AA7/10^9</f>
        <v>242.78663688899999</v>
      </c>
    </row>
    <row r="34" spans="2:40" x14ac:dyDescent="0.3">
      <c r="B34" s="61" t="s">
        <v>8</v>
      </c>
      <c r="C34" s="62">
        <f>InBS!C8/10^9</f>
        <v>5.0169646029999999</v>
      </c>
      <c r="D34" s="62">
        <f>InBS!D8/10^9</f>
        <v>1.864088543</v>
      </c>
      <c r="E34" s="62">
        <f>InBS!E8/10^9</f>
        <v>12.053940395</v>
      </c>
      <c r="F34" s="62">
        <f>InBS!F8/10^9</f>
        <v>23.714464442000001</v>
      </c>
      <c r="G34" s="62">
        <f>InBS!G8/10^9</f>
        <v>7.8449589230000001</v>
      </c>
      <c r="H34" s="62">
        <f>InBS!H8/10^9</f>
        <v>17.305119116</v>
      </c>
      <c r="I34" s="62">
        <f>InBS!I8/10^9</f>
        <v>62.192126193</v>
      </c>
      <c r="J34" s="62">
        <f>InBS!J8/10^9</f>
        <v>126.61989282099999</v>
      </c>
      <c r="K34" s="62">
        <f>InBS!K8/10^9</f>
        <v>32.310813469999999</v>
      </c>
      <c r="L34" s="62">
        <f>InBS!L8/10^9</f>
        <v>18.773472948999999</v>
      </c>
      <c r="P34" s="68">
        <f>InBS_Q!C8/10^9</f>
        <v>5.3124861509999999</v>
      </c>
      <c r="Q34" s="68">
        <f>InBS_Q!D8/10^9</f>
        <v>60.869677226999997</v>
      </c>
      <c r="R34" s="68">
        <f>InBS_Q!E8/10^9</f>
        <v>7.8449589230000001</v>
      </c>
      <c r="S34" s="68">
        <f>InBS_Q!F8/10^9</f>
        <v>13.889440097</v>
      </c>
      <c r="T34" s="68">
        <f>InBS_Q!G8/10^9</f>
        <v>47.204095864999999</v>
      </c>
      <c r="U34" s="68">
        <f>InBS_Q!H8/10^9</f>
        <v>31.717546756000001</v>
      </c>
      <c r="V34" s="68">
        <f>InBS_Q!I8/10^9</f>
        <v>17.305119116</v>
      </c>
      <c r="W34" s="68">
        <f>InBS_Q!J8/10^9</f>
        <v>21.940387722000001</v>
      </c>
      <c r="X34" s="68">
        <f>InBS_Q!K8/10^9</f>
        <v>57.410987112000001</v>
      </c>
      <c r="Y34" s="68">
        <f>InBS_Q!L8/10^9</f>
        <v>63.182956738000001</v>
      </c>
      <c r="Z34" s="68">
        <f>InBS_Q!M8/10^9</f>
        <v>62.192126193</v>
      </c>
      <c r="AA34" s="68">
        <f>InBS_Q!N8/10^9</f>
        <v>61.392509441000001</v>
      </c>
      <c r="AB34" s="68">
        <f>InBS_Q!O8/10^9</f>
        <v>38.568896488</v>
      </c>
      <c r="AC34" s="68">
        <f>InBS_Q!P8/10^9</f>
        <v>66.666904822000006</v>
      </c>
      <c r="AD34" s="68">
        <f>InBS_Q!Q8/10^9</f>
        <v>126.61989282099999</v>
      </c>
      <c r="AE34" s="68">
        <f>InBS_Q!R8/10^9</f>
        <v>100.44028627500001</v>
      </c>
      <c r="AF34" s="68">
        <f>InBS_Q!S8/10^9</f>
        <v>80.336823124000006</v>
      </c>
      <c r="AG34" s="68">
        <f>InBS_Q!T8/10^9</f>
        <v>38.897364748999998</v>
      </c>
      <c r="AH34" s="68">
        <f>InBS_Q!U8/10^9</f>
        <v>32.310813469999999</v>
      </c>
      <c r="AI34" s="68">
        <f>InBS_Q!V8/10^9</f>
        <v>47.051295895999999</v>
      </c>
      <c r="AJ34" s="68">
        <f>InBS_Q!W8/10^9</f>
        <v>25.830120703999999</v>
      </c>
      <c r="AK34" s="68">
        <f>InBS_Q!X8/10^9</f>
        <v>26.546234474999999</v>
      </c>
      <c r="AL34" s="68">
        <f>InBS_Q!Y8/10^9</f>
        <v>18.773472948999999</v>
      </c>
      <c r="AM34" s="68">
        <f>InBS_Q!Z8/10^9</f>
        <v>29.342865192000001</v>
      </c>
      <c r="AN34" s="68">
        <f>InBS_Q!AA8/10^9</f>
        <v>18.786636889</v>
      </c>
    </row>
    <row r="35" spans="2:40" x14ac:dyDescent="0.3">
      <c r="B35" s="61" t="s">
        <v>9</v>
      </c>
      <c r="C35" s="62">
        <f>InBS!C9/10^9</f>
        <v>6</v>
      </c>
      <c r="D35" s="62">
        <f>InBS!D9/10^9</f>
        <v>12.725437819</v>
      </c>
      <c r="E35" s="62">
        <f>InBS!E9/10^9</f>
        <v>24</v>
      </c>
      <c r="F35" s="62">
        <f>InBS!F9/10^9</f>
        <v>69</v>
      </c>
      <c r="G35" s="62">
        <f>InBS!G9/10^9</f>
        <v>171.44865598000001</v>
      </c>
      <c r="H35" s="62">
        <f>InBS!H9/10^9</f>
        <v>68</v>
      </c>
      <c r="I35" s="62">
        <f>InBS!I9/10^9</f>
        <v>187.64972222200001</v>
      </c>
      <c r="J35" s="62">
        <f>InBS!J9/10^9</f>
        <v>162.11500000000001</v>
      </c>
      <c r="K35" s="62">
        <f>InBS!K9/10^9</f>
        <v>249.4</v>
      </c>
      <c r="L35" s="62">
        <f>InBS!L9/10^9</f>
        <v>323.89999999999998</v>
      </c>
      <c r="P35" s="68">
        <f>InBS_Q!C9/10^9</f>
        <v>70</v>
      </c>
      <c r="Q35" s="68">
        <f>InBS_Q!D9/10^9</f>
        <v>70.707777707999995</v>
      </c>
      <c r="R35" s="68">
        <f>InBS_Q!E9/10^9</f>
        <v>171.44865598000001</v>
      </c>
      <c r="S35" s="68">
        <f>InBS_Q!F9/10^9</f>
        <v>155</v>
      </c>
      <c r="T35" s="68">
        <f>InBS_Q!G9/10^9</f>
        <v>66</v>
      </c>
      <c r="U35" s="68">
        <f>InBS_Q!H9/10^9</f>
        <v>98</v>
      </c>
      <c r="V35" s="68">
        <f>InBS_Q!I9/10^9</f>
        <v>68</v>
      </c>
      <c r="W35" s="68">
        <f>InBS_Q!J9/10^9</f>
        <v>93.114999999999995</v>
      </c>
      <c r="X35" s="68">
        <f>InBS_Q!K9/10^9</f>
        <v>135.17750000000001</v>
      </c>
      <c r="Y35" s="68">
        <f>InBS_Q!L9/10^9</f>
        <v>145.11500000000001</v>
      </c>
      <c r="Z35" s="68">
        <f>InBS_Q!M9/10^9</f>
        <v>187.64972222200001</v>
      </c>
      <c r="AA35" s="68">
        <f>InBS_Q!N9/10^9</f>
        <v>192.29194444399999</v>
      </c>
      <c r="AB35" s="68">
        <f>InBS_Q!O9/10^9</f>
        <v>314.19504759199998</v>
      </c>
      <c r="AC35" s="68">
        <f>InBS_Q!P9/10^9</f>
        <v>240.11500000000001</v>
      </c>
      <c r="AD35" s="68">
        <f>InBS_Q!Q9/10^9</f>
        <v>162.11500000000001</v>
      </c>
      <c r="AE35" s="68">
        <f>InBS_Q!R9/10^9</f>
        <v>112.23886111100001</v>
      </c>
      <c r="AF35" s="68">
        <f>InBS_Q!S9/10^9</f>
        <v>203.11500000000001</v>
      </c>
      <c r="AG35" s="68">
        <f>InBS_Q!T9/10^9</f>
        <v>209.9</v>
      </c>
      <c r="AH35" s="68">
        <f>InBS_Q!U9/10^9</f>
        <v>249.4</v>
      </c>
      <c r="AI35" s="68">
        <f>InBS_Q!V9/10^9</f>
        <v>164.4</v>
      </c>
      <c r="AJ35" s="68">
        <f>InBS_Q!W9/10^9</f>
        <v>239.4</v>
      </c>
      <c r="AK35" s="68">
        <f>InBS_Q!X9/10^9</f>
        <v>273.2</v>
      </c>
      <c r="AL35" s="68">
        <f>InBS_Q!Y9/10^9</f>
        <v>323.89999999999998</v>
      </c>
      <c r="AM35" s="68">
        <f>InBS_Q!Z9/10^9</f>
        <v>247</v>
      </c>
      <c r="AN35" s="68">
        <f>InBS_Q!AA9/10^9</f>
        <v>224</v>
      </c>
    </row>
    <row r="36" spans="2:40" s="81" customFormat="1" x14ac:dyDescent="0.3">
      <c r="B36" s="58" t="s">
        <v>10</v>
      </c>
      <c r="C36" s="60">
        <f>InBS!C10/10^9</f>
        <v>0</v>
      </c>
      <c r="D36" s="60">
        <f>InBS!D10/10^9</f>
        <v>10</v>
      </c>
      <c r="E36" s="60">
        <f>InBS!E10/10^9</f>
        <v>7</v>
      </c>
      <c r="F36" s="60">
        <f>InBS!F10/10^9</f>
        <v>6.1</v>
      </c>
      <c r="G36" s="60">
        <f>InBS!G10/10^9</f>
        <v>62.55</v>
      </c>
      <c r="H36" s="60">
        <f>InBS!H10/10^9</f>
        <v>55.1</v>
      </c>
      <c r="I36" s="60">
        <f>InBS!I10/10^9</f>
        <v>65</v>
      </c>
      <c r="J36" s="60">
        <f>InBS!J10/10^9</f>
        <v>40</v>
      </c>
      <c r="K36" s="60">
        <f>InBS!K10/10^9</f>
        <v>13</v>
      </c>
      <c r="L36" s="60">
        <f>InBS!L10/10^9</f>
        <v>0</v>
      </c>
      <c r="P36" s="66">
        <f>InBS_Q!C10/10^9</f>
        <v>63.1</v>
      </c>
      <c r="Q36" s="66">
        <f>InBS_Q!D10/10^9</f>
        <v>79.599999999999994</v>
      </c>
      <c r="R36" s="66">
        <f>InBS_Q!E10/10^9</f>
        <v>63.1</v>
      </c>
      <c r="S36" s="66">
        <f>InBS_Q!F10/10^9</f>
        <v>62.55</v>
      </c>
      <c r="T36" s="66">
        <f>InBS_Q!G10/10^9</f>
        <v>15.1</v>
      </c>
      <c r="U36" s="66">
        <f>InBS_Q!H10/10^9</f>
        <v>30.1</v>
      </c>
      <c r="V36" s="66">
        <f>InBS_Q!I10/10^9</f>
        <v>55.1</v>
      </c>
      <c r="W36" s="66">
        <f>InBS_Q!J10/10^9</f>
        <v>35.1</v>
      </c>
      <c r="X36" s="66">
        <f>InBS_Q!K10/10^9</f>
        <v>7</v>
      </c>
      <c r="Y36" s="66">
        <f>InBS_Q!L10/10^9</f>
        <v>12</v>
      </c>
      <c r="Z36" s="66">
        <f>InBS_Q!M10/10^9</f>
        <v>5</v>
      </c>
      <c r="AA36" s="66">
        <f>InBS_Q!N10/10^9</f>
        <v>60</v>
      </c>
      <c r="AB36" s="66">
        <f>InBS_Q!O10/10^9</f>
        <v>0</v>
      </c>
      <c r="AC36" s="66">
        <f>InBS_Q!P10/10^9</f>
        <v>0</v>
      </c>
      <c r="AD36" s="66">
        <f>InBS_Q!Q10/10^9</f>
        <v>40</v>
      </c>
      <c r="AE36" s="66">
        <f>InBS_Q!R10/10^9</f>
        <v>53</v>
      </c>
      <c r="AF36" s="66">
        <f>InBS_Q!S10/10^9</f>
        <v>13</v>
      </c>
      <c r="AG36" s="66">
        <f>InBS_Q!T10/10^9</f>
        <v>13</v>
      </c>
      <c r="AH36" s="66">
        <f>InBS_Q!U10/10^9</f>
        <v>13</v>
      </c>
      <c r="AI36" s="66">
        <f>InBS_Q!V10/10^9</f>
        <v>0</v>
      </c>
      <c r="AJ36" s="66">
        <f>InBS_Q!W10/10^9</f>
        <v>0</v>
      </c>
      <c r="AK36" s="66">
        <f>InBS_Q!X10/10^9</f>
        <v>0</v>
      </c>
      <c r="AL36" s="66">
        <f>InBS_Q!Y10/10^9</f>
        <v>0</v>
      </c>
      <c r="AM36" s="66">
        <f>InBS_Q!Z10/10^9</f>
        <v>33.9</v>
      </c>
      <c r="AN36" s="66">
        <f>InBS_Q!AA10/10^9</f>
        <v>33.9</v>
      </c>
    </row>
    <row r="37" spans="2:40" x14ac:dyDescent="0.3">
      <c r="B37" s="61" t="s">
        <v>11</v>
      </c>
      <c r="C37" s="62">
        <f>InBS!C11/10^9</f>
        <v>0</v>
      </c>
      <c r="D37" s="62">
        <f>InBS!D11/10^9</f>
        <v>10</v>
      </c>
      <c r="E37" s="62">
        <f>InBS!E11/10^9</f>
        <v>7</v>
      </c>
      <c r="F37" s="62">
        <f>InBS!F11/10^9</f>
        <v>6.1</v>
      </c>
      <c r="G37" s="62">
        <f>InBS!G11/10^9</f>
        <v>63.1</v>
      </c>
      <c r="H37" s="62">
        <f>InBS!H11/10^9</f>
        <v>55.1</v>
      </c>
      <c r="I37" s="62">
        <f>InBS!I11/10^9</f>
        <v>65</v>
      </c>
      <c r="J37" s="62">
        <f>InBS!J11/10^9</f>
        <v>40</v>
      </c>
      <c r="K37" s="62">
        <f>InBS!K11/10^9</f>
        <v>0</v>
      </c>
      <c r="L37" s="62">
        <f>InBS!L11/10^9</f>
        <v>0</v>
      </c>
      <c r="P37" s="68">
        <f>InBS_Q!C11/10^9</f>
        <v>63.1</v>
      </c>
      <c r="Q37" s="68">
        <f>InBS_Q!D11/10^9</f>
        <v>79.599999999999994</v>
      </c>
      <c r="R37" s="68">
        <f>InBS_Q!E11/10^9</f>
        <v>63.1</v>
      </c>
      <c r="S37" s="68">
        <f>InBS_Q!F11/10^9</f>
        <v>63.1</v>
      </c>
      <c r="T37" s="68">
        <f>InBS_Q!G11/10^9</f>
        <v>15.1</v>
      </c>
      <c r="U37" s="68">
        <f>InBS_Q!H11/10^9</f>
        <v>30.1</v>
      </c>
      <c r="V37" s="68">
        <f>InBS_Q!I11/10^9</f>
        <v>55.1</v>
      </c>
      <c r="W37" s="68">
        <f>InBS_Q!J11/10^9</f>
        <v>35.1</v>
      </c>
      <c r="X37" s="68">
        <f>InBS_Q!K11/10^9</f>
        <v>7</v>
      </c>
      <c r="Y37" s="68">
        <f>InBS_Q!L11/10^9</f>
        <v>12</v>
      </c>
      <c r="Z37" s="68">
        <f>InBS_Q!M11/10^9</f>
        <v>5</v>
      </c>
      <c r="AA37" s="68">
        <f>InBS_Q!N11/10^9</f>
        <v>60</v>
      </c>
      <c r="AB37" s="68">
        <f>InBS_Q!O11/10^9</f>
        <v>0</v>
      </c>
      <c r="AC37" s="68">
        <f>InBS_Q!P11/10^9</f>
        <v>0</v>
      </c>
      <c r="AD37" s="68">
        <f>InBS_Q!Q11/10^9</f>
        <v>40</v>
      </c>
      <c r="AE37" s="68">
        <f>InBS_Q!R11/10^9</f>
        <v>0</v>
      </c>
      <c r="AF37" s="68">
        <f>InBS_Q!S11/10^9</f>
        <v>13</v>
      </c>
      <c r="AG37" s="68">
        <f>InBS_Q!T11/10^9</f>
        <v>0</v>
      </c>
      <c r="AH37" s="68">
        <f>InBS_Q!U11/10^9</f>
        <v>0</v>
      </c>
      <c r="AI37" s="68">
        <f>InBS_Q!V11/10^9</f>
        <v>0</v>
      </c>
      <c r="AJ37" s="68">
        <f>InBS_Q!W11/10^9</f>
        <v>0</v>
      </c>
      <c r="AK37" s="68">
        <f>InBS_Q!X11/10^9</f>
        <v>0</v>
      </c>
      <c r="AL37" s="68">
        <f>InBS_Q!Y11/10^9</f>
        <v>0</v>
      </c>
      <c r="AM37" s="68">
        <f>InBS_Q!Z11/10^9</f>
        <v>0</v>
      </c>
      <c r="AN37" s="68">
        <f>InBS_Q!AA11/10^9</f>
        <v>0</v>
      </c>
    </row>
    <row r="38" spans="2:40" x14ac:dyDescent="0.3">
      <c r="B38" s="61" t="s">
        <v>12</v>
      </c>
      <c r="C38" s="62">
        <f>InBS!C12/10^9</f>
        <v>0</v>
      </c>
      <c r="D38" s="62">
        <f>InBS!D12/10^9</f>
        <v>0</v>
      </c>
      <c r="E38" s="62">
        <f>InBS!E12/10^9</f>
        <v>0</v>
      </c>
      <c r="F38" s="62">
        <f>InBS!F12/10^9</f>
        <v>0</v>
      </c>
      <c r="G38" s="62">
        <f>InBS!G12/10^9</f>
        <v>-0.55000000000000004</v>
      </c>
      <c r="H38" s="62">
        <f>InBS!H12/10^9</f>
        <v>0</v>
      </c>
      <c r="I38" s="62">
        <f>InBS!I12/10^9</f>
        <v>0</v>
      </c>
      <c r="J38" s="62">
        <f>InBS!J12/10^9</f>
        <v>0</v>
      </c>
      <c r="K38" s="62">
        <f>InBS!K12/10^9</f>
        <v>0</v>
      </c>
      <c r="L38" s="62">
        <f>InBS!L12/10^9</f>
        <v>0</v>
      </c>
      <c r="P38" s="68">
        <f>InBS_Q!C12/10^9</f>
        <v>0</v>
      </c>
      <c r="Q38" s="68">
        <f>InBS_Q!D12/10^9</f>
        <v>0</v>
      </c>
      <c r="R38" s="68">
        <f>InBS_Q!E12/10^9</f>
        <v>0</v>
      </c>
      <c r="S38" s="68">
        <f>InBS_Q!F12/10^9</f>
        <v>-0.55000000000000004</v>
      </c>
      <c r="T38" s="68">
        <f>InBS_Q!G12/10^9</f>
        <v>0</v>
      </c>
      <c r="U38" s="68">
        <f>InBS_Q!H12/10^9</f>
        <v>0</v>
      </c>
      <c r="V38" s="68">
        <f>InBS_Q!I12/10^9</f>
        <v>0</v>
      </c>
      <c r="W38" s="68">
        <f>InBS_Q!J12/10^9</f>
        <v>0</v>
      </c>
      <c r="X38" s="68">
        <f>InBS_Q!K12/10^9</f>
        <v>0</v>
      </c>
      <c r="Y38" s="68">
        <f>InBS_Q!L12/10^9</f>
        <v>0</v>
      </c>
      <c r="Z38" s="68">
        <f>InBS_Q!M12/10^9</f>
        <v>0</v>
      </c>
      <c r="AA38" s="68">
        <f>InBS_Q!N12/10^9</f>
        <v>0</v>
      </c>
      <c r="AB38" s="68">
        <f>InBS_Q!O12/10^9</f>
        <v>0</v>
      </c>
      <c r="AC38" s="68">
        <f>InBS_Q!P12/10^9</f>
        <v>0</v>
      </c>
      <c r="AD38" s="68">
        <f>InBS_Q!Q12/10^9</f>
        <v>0</v>
      </c>
      <c r="AE38" s="68">
        <f>InBS_Q!R12/10^9</f>
        <v>0</v>
      </c>
      <c r="AF38" s="68">
        <f>InBS_Q!S12/10^9</f>
        <v>0</v>
      </c>
      <c r="AG38" s="68">
        <f>InBS_Q!T12/10^9</f>
        <v>0</v>
      </c>
      <c r="AH38" s="68">
        <f>InBS_Q!U12/10^9</f>
        <v>0</v>
      </c>
      <c r="AI38" s="68">
        <f>InBS_Q!V12/10^9</f>
        <v>0</v>
      </c>
      <c r="AJ38" s="68">
        <f>InBS_Q!W12/10^9</f>
        <v>0</v>
      </c>
      <c r="AK38" s="68">
        <f>InBS_Q!X12/10^9</f>
        <v>0</v>
      </c>
      <c r="AL38" s="68">
        <f>InBS_Q!Y12/10^9</f>
        <v>0</v>
      </c>
      <c r="AM38" s="68">
        <f>InBS_Q!Z12/10^9</f>
        <v>0</v>
      </c>
      <c r="AN38" s="68">
        <f>InBS_Q!AA12/10^9</f>
        <v>0</v>
      </c>
    </row>
    <row r="39" spans="2:40" s="81" customFormat="1" x14ac:dyDescent="0.3">
      <c r="B39" s="58" t="s">
        <v>13</v>
      </c>
      <c r="C39" s="60">
        <f>InBS!C13/10^9</f>
        <v>0</v>
      </c>
      <c r="D39" s="60">
        <f>InBS!D13/10^9</f>
        <v>4.0130303869999997</v>
      </c>
      <c r="E39" s="60">
        <f>InBS!E13/10^9</f>
        <v>24.968120772999999</v>
      </c>
      <c r="F39" s="60">
        <f>InBS!F13/10^9</f>
        <v>78.715107848000002</v>
      </c>
      <c r="G39" s="60">
        <f>InBS!G13/10^9</f>
        <v>136.59951198900001</v>
      </c>
      <c r="H39" s="60">
        <f>InBS!H13/10^9</f>
        <v>152.12522326199999</v>
      </c>
      <c r="I39" s="60">
        <f>InBS!I13/10^9</f>
        <v>168.57663965</v>
      </c>
      <c r="J39" s="60">
        <f>InBS!J13/10^9</f>
        <v>157.495348318</v>
      </c>
      <c r="K39" s="60">
        <f>InBS!K13/10^9</f>
        <v>135.60233903899999</v>
      </c>
      <c r="L39" s="60">
        <f>InBS!L13/10^9</f>
        <v>106.086387832</v>
      </c>
      <c r="P39" s="66">
        <f>InBS_Q!C13/10^9</f>
        <v>135.507832009</v>
      </c>
      <c r="Q39" s="66">
        <f>InBS_Q!D13/10^9</f>
        <v>109.887995675</v>
      </c>
      <c r="R39" s="66">
        <f>InBS_Q!E13/10^9</f>
        <v>138.329685044</v>
      </c>
      <c r="S39" s="66">
        <f>InBS_Q!F13/10^9</f>
        <v>120.956972222</v>
      </c>
      <c r="T39" s="66">
        <f>InBS_Q!G13/10^9</f>
        <v>134.61672266900001</v>
      </c>
      <c r="U39" s="66">
        <f>InBS_Q!H13/10^9</f>
        <v>153.209790879</v>
      </c>
      <c r="V39" s="66">
        <f>InBS_Q!I13/10^9</f>
        <v>152.12522326199999</v>
      </c>
      <c r="W39" s="66">
        <f>InBS_Q!J13/10^9</f>
        <v>141.425296981</v>
      </c>
      <c r="X39" s="66">
        <f>InBS_Q!K13/10^9</f>
        <v>147.730123096</v>
      </c>
      <c r="Y39" s="66">
        <f>InBS_Q!L13/10^9</f>
        <v>178.69253981099999</v>
      </c>
      <c r="Z39" s="66">
        <f>InBS_Q!M13/10^9</f>
        <v>162.88963964999999</v>
      </c>
      <c r="AA39" s="66">
        <f>InBS_Q!N13/10^9</f>
        <v>182.6587729</v>
      </c>
      <c r="AB39" s="66">
        <f>InBS_Q!O13/10^9</f>
        <v>185.17939095400001</v>
      </c>
      <c r="AC39" s="66">
        <f>InBS_Q!P13/10^9</f>
        <v>201.95897232499999</v>
      </c>
      <c r="AD39" s="66">
        <f>InBS_Q!Q13/10^9</f>
        <v>157.48781435500001</v>
      </c>
      <c r="AE39" s="66">
        <f>InBS_Q!R13/10^9</f>
        <v>145.35312095899999</v>
      </c>
      <c r="AF39" s="66">
        <f>InBS_Q!S13/10^9</f>
        <v>165.33145334899999</v>
      </c>
      <c r="AG39" s="66">
        <f>InBS_Q!T13/10^9</f>
        <v>160.072598666</v>
      </c>
      <c r="AH39" s="66">
        <f>InBS_Q!U13/10^9</f>
        <v>134.98217359099999</v>
      </c>
      <c r="AI39" s="66">
        <f>InBS_Q!V13/10^9</f>
        <v>129.8919856</v>
      </c>
      <c r="AJ39" s="66">
        <f>InBS_Q!W13/10^9</f>
        <v>125.630127113</v>
      </c>
      <c r="AK39" s="66">
        <f>InBS_Q!X13/10^9</f>
        <v>142.26538925</v>
      </c>
      <c r="AL39" s="66">
        <f>InBS_Q!Y13/10^9</f>
        <v>106.069742632</v>
      </c>
      <c r="AM39" s="66">
        <f>InBS_Q!Z13/10^9</f>
        <v>173.31306448199999</v>
      </c>
      <c r="AN39" s="66">
        <f>InBS_Q!AA13/10^9</f>
        <v>204.80073608000001</v>
      </c>
    </row>
    <row r="40" spans="2:40" x14ac:dyDescent="0.3">
      <c r="B40" s="61" t="s">
        <v>14</v>
      </c>
      <c r="C40" s="62">
        <f>InBS!C14/10^9</f>
        <v>0</v>
      </c>
      <c r="D40" s="62">
        <f>InBS!D14/10^9</f>
        <v>3.8342352640000001</v>
      </c>
      <c r="E40" s="62">
        <f>InBS!E14/10^9</f>
        <v>23.774509911999999</v>
      </c>
      <c r="F40" s="62">
        <f>InBS!F14/10^9</f>
        <v>62.871772514</v>
      </c>
      <c r="G40" s="62">
        <f>InBS!G14/10^9</f>
        <v>123.13704663999999</v>
      </c>
      <c r="H40" s="62">
        <f>InBS!H14/10^9</f>
        <v>136.90557439899999</v>
      </c>
      <c r="I40" s="62">
        <f>InBS!I14/10^9</f>
        <v>152.485916105</v>
      </c>
      <c r="J40" s="62">
        <f>InBS!J14/10^9</f>
        <v>153.51075689000001</v>
      </c>
      <c r="K40" s="62">
        <f>InBS!K14/10^9</f>
        <v>132.158317364</v>
      </c>
      <c r="L40" s="62">
        <f>InBS!L14/10^9</f>
        <v>106.25885179300001</v>
      </c>
      <c r="P40" s="68">
        <f>InBS_Q!C14/10^9</f>
        <v>126.23047361499999</v>
      </c>
      <c r="Q40" s="68">
        <f>InBS_Q!D14/10^9</f>
        <v>98.743896922000005</v>
      </c>
      <c r="R40" s="68">
        <f>InBS_Q!E14/10^9</f>
        <v>124.867219695</v>
      </c>
      <c r="S40" s="68">
        <f>InBS_Q!F14/10^9</f>
        <v>103.704268743</v>
      </c>
      <c r="T40" s="68">
        <f>InBS_Q!G14/10^9</f>
        <v>121.31881636</v>
      </c>
      <c r="U40" s="68">
        <f>InBS_Q!H14/10^9</f>
        <v>134.66085506300001</v>
      </c>
      <c r="V40" s="68">
        <f>InBS_Q!I14/10^9</f>
        <v>136.90557439899999</v>
      </c>
      <c r="W40" s="68">
        <f>InBS_Q!J14/10^9</f>
        <v>120.866124265</v>
      </c>
      <c r="X40" s="68">
        <f>InBS_Q!K14/10^9</f>
        <v>134.669471655</v>
      </c>
      <c r="Y40" s="68">
        <f>InBS_Q!L14/10^9</f>
        <v>168.071620991</v>
      </c>
      <c r="Z40" s="68">
        <f>InBS_Q!M14/10^9</f>
        <v>152.485916105</v>
      </c>
      <c r="AA40" s="68">
        <f>InBS_Q!N14/10^9</f>
        <v>159.754147313</v>
      </c>
      <c r="AB40" s="68">
        <f>InBS_Q!O14/10^9</f>
        <v>168.27259922600001</v>
      </c>
      <c r="AC40" s="68">
        <f>InBS_Q!P14/10^9</f>
        <v>189.852454534</v>
      </c>
      <c r="AD40" s="68">
        <f>InBS_Q!Q14/10^9</f>
        <v>153.51075689000001</v>
      </c>
      <c r="AE40" s="68">
        <f>InBS_Q!R14/10^9</f>
        <v>137.98506252300001</v>
      </c>
      <c r="AF40" s="68">
        <f>InBS_Q!S14/10^9</f>
        <v>161.004752653</v>
      </c>
      <c r="AG40" s="68">
        <f>InBS_Q!T14/10^9</f>
        <v>157.69377436600001</v>
      </c>
      <c r="AH40" s="68">
        <f>InBS_Q!U14/10^9</f>
        <v>132.158317364</v>
      </c>
      <c r="AI40" s="68">
        <f>InBS_Q!V14/10^9</f>
        <v>125.166265776</v>
      </c>
      <c r="AJ40" s="68">
        <f>InBS_Q!W14/10^9</f>
        <v>126.494021253</v>
      </c>
      <c r="AK40" s="68">
        <f>InBS_Q!X14/10^9</f>
        <v>143.32194295400001</v>
      </c>
      <c r="AL40" s="68">
        <f>InBS_Q!Y14/10^9</f>
        <v>106.25885179300001</v>
      </c>
      <c r="AM40" s="68">
        <f>InBS_Q!Z14/10^9</f>
        <v>167.76577502500001</v>
      </c>
      <c r="AN40" s="68">
        <f>InBS_Q!AA14/10^9</f>
        <v>202.89272830799999</v>
      </c>
    </row>
    <row r="41" spans="2:40" x14ac:dyDescent="0.3">
      <c r="B41" s="61" t="s">
        <v>15</v>
      </c>
      <c r="C41" s="62">
        <f>InBS!C15/10^9</f>
        <v>0</v>
      </c>
      <c r="D41" s="62">
        <f>InBS!D15/10^9</f>
        <v>0</v>
      </c>
      <c r="E41" s="62">
        <f>InBS!E15/10^9</f>
        <v>8.4600000000000005E-3</v>
      </c>
      <c r="F41" s="62">
        <f>InBS!F15/10^9</f>
        <v>8.2247650050000001</v>
      </c>
      <c r="G41" s="62">
        <f>InBS!G15/10^9</f>
        <v>0.24488674999999999</v>
      </c>
      <c r="H41" s="62">
        <f>InBS!H15/10^9</f>
        <v>1.497061113</v>
      </c>
      <c r="I41" s="62">
        <f>InBS!I15/10^9</f>
        <v>3.9983563700000002</v>
      </c>
      <c r="J41" s="62">
        <f>InBS!J15/10^9</f>
        <v>3.6848314260000001</v>
      </c>
      <c r="K41" s="62">
        <f>InBS!K15/10^9</f>
        <v>4.9459873810000001</v>
      </c>
      <c r="L41" s="62">
        <f>InBS!L15/10^9</f>
        <v>1.688852306</v>
      </c>
      <c r="P41" s="68">
        <f>InBS_Q!C15/10^9</f>
        <v>1.08931472</v>
      </c>
      <c r="Q41" s="68">
        <f>InBS_Q!D15/10^9</f>
        <v>3.0714876310000001</v>
      </c>
      <c r="R41" s="68">
        <f>InBS_Q!E15/10^9</f>
        <v>0.24488674999999999</v>
      </c>
      <c r="S41" s="68">
        <f>InBS_Q!F15/10^9</f>
        <v>1.4984107929999999</v>
      </c>
      <c r="T41" s="68">
        <f>InBS_Q!G15/10^9</f>
        <v>1.5777688949999999</v>
      </c>
      <c r="U41" s="68">
        <f>InBS_Q!H15/10^9</f>
        <v>5.7950659150000003</v>
      </c>
      <c r="V41" s="68">
        <f>InBS_Q!I15/10^9</f>
        <v>1.497061113</v>
      </c>
      <c r="W41" s="68">
        <f>InBS_Q!J15/10^9</f>
        <v>4.4136037999999997</v>
      </c>
      <c r="X41" s="68">
        <f>InBS_Q!K15/10^9</f>
        <v>4.010924578</v>
      </c>
      <c r="Y41" s="68">
        <f>InBS_Q!L15/10^9</f>
        <v>4.2370958549999997</v>
      </c>
      <c r="Z41" s="68">
        <f>InBS_Q!M15/10^9</f>
        <v>3.9983563700000002</v>
      </c>
      <c r="AA41" s="68">
        <f>InBS_Q!N15/10^9</f>
        <v>8.2796859870000006</v>
      </c>
      <c r="AB41" s="68">
        <f>InBS_Q!O15/10^9</f>
        <v>2.0033206190000001</v>
      </c>
      <c r="AC41" s="68">
        <f>InBS_Q!P15/10^9</f>
        <v>7.2101266920000002</v>
      </c>
      <c r="AD41" s="68">
        <f>InBS_Q!Q15/10^9</f>
        <v>4.0796172369999999</v>
      </c>
      <c r="AE41" s="68">
        <f>InBS_Q!R15/10^9</f>
        <v>4.4993712710000002</v>
      </c>
      <c r="AF41" s="68">
        <f>InBS_Q!S15/10^9</f>
        <v>3.9827232530000001</v>
      </c>
      <c r="AG41" s="68">
        <f>InBS_Q!T15/10^9</f>
        <v>3.6005352770000001</v>
      </c>
      <c r="AH41" s="68">
        <f>InBS_Q!U15/10^9</f>
        <v>4.3258219330000003</v>
      </c>
      <c r="AI41" s="68">
        <f>InBS_Q!V15/10^9</f>
        <v>0.70489314999999997</v>
      </c>
      <c r="AJ41" s="68">
        <f>InBS_Q!W15/10^9</f>
        <v>0.66656729400000003</v>
      </c>
      <c r="AK41" s="68">
        <f>InBS_Q!X15/10^9</f>
        <v>0.88550120899999996</v>
      </c>
      <c r="AL41" s="68">
        <f>InBS_Q!Y15/10^9</f>
        <v>1.688852306</v>
      </c>
      <c r="AM41" s="68">
        <f>InBS_Q!Z15/10^9</f>
        <v>8.5364175820000003</v>
      </c>
      <c r="AN41" s="68">
        <f>InBS_Q!AA15/10^9</f>
        <v>7.7309016110000002</v>
      </c>
    </row>
    <row r="42" spans="2:40" x14ac:dyDescent="0.3">
      <c r="B42" s="61" t="s">
        <v>16</v>
      </c>
      <c r="C42" s="62">
        <f>InBS!C16/10^9</f>
        <v>0</v>
      </c>
      <c r="D42" s="62">
        <f>InBS!D16/10^9</f>
        <v>0</v>
      </c>
      <c r="E42" s="62">
        <f>InBS!E16/10^9</f>
        <v>0</v>
      </c>
      <c r="F42" s="62">
        <f>InBS!F16/10^9</f>
        <v>0</v>
      </c>
      <c r="G42" s="62">
        <f>InBS!G16/10^9</f>
        <v>0</v>
      </c>
      <c r="H42" s="62">
        <f>InBS!H16/10^9</f>
        <v>0</v>
      </c>
      <c r="I42" s="62">
        <f>InBS!I16/10^9</f>
        <v>0</v>
      </c>
      <c r="J42" s="62">
        <f>InBS!J16/10^9</f>
        <v>0</v>
      </c>
      <c r="K42" s="62">
        <f>InBS!K16/10^9</f>
        <v>0</v>
      </c>
      <c r="L42" s="62">
        <f>InBS!L16/10^9</f>
        <v>0</v>
      </c>
      <c r="P42" s="68">
        <f>InBS_Q!C16/10^9</f>
        <v>0</v>
      </c>
      <c r="Q42" s="68">
        <f>InBS_Q!D16/10^9</f>
        <v>0</v>
      </c>
      <c r="R42" s="68">
        <f>InBS_Q!E16/10^9</f>
        <v>0</v>
      </c>
      <c r="S42" s="68">
        <f>InBS_Q!F16/10^9</f>
        <v>0</v>
      </c>
      <c r="T42" s="68">
        <f>InBS_Q!G16/10^9</f>
        <v>0</v>
      </c>
      <c r="U42" s="68">
        <f>InBS_Q!H16/10^9</f>
        <v>0</v>
      </c>
      <c r="V42" s="68">
        <f>InBS_Q!I16/10^9</f>
        <v>0</v>
      </c>
      <c r="W42" s="68">
        <f>InBS_Q!J16/10^9</f>
        <v>0</v>
      </c>
      <c r="X42" s="68">
        <f>InBS_Q!K16/10^9</f>
        <v>0</v>
      </c>
      <c r="Y42" s="68">
        <f>InBS_Q!L16/10^9</f>
        <v>0</v>
      </c>
      <c r="Z42" s="68">
        <f>InBS_Q!M16/10^9</f>
        <v>0</v>
      </c>
      <c r="AA42" s="68">
        <f>InBS_Q!N16/10^9</f>
        <v>0</v>
      </c>
      <c r="AB42" s="68">
        <f>InBS_Q!O16/10^9</f>
        <v>0</v>
      </c>
      <c r="AC42" s="68">
        <f>InBS_Q!P16/10^9</f>
        <v>0</v>
      </c>
      <c r="AD42" s="68">
        <f>InBS_Q!Q16/10^9</f>
        <v>0</v>
      </c>
      <c r="AE42" s="68">
        <f>InBS_Q!R16/10^9</f>
        <v>0</v>
      </c>
      <c r="AF42" s="68">
        <f>InBS_Q!S16/10^9</f>
        <v>0</v>
      </c>
      <c r="AG42" s="68">
        <f>InBS_Q!T16/10^9</f>
        <v>0</v>
      </c>
      <c r="AH42" s="68">
        <f>InBS_Q!U16/10^9</f>
        <v>0</v>
      </c>
      <c r="AI42" s="68">
        <f>InBS_Q!V16/10^9</f>
        <v>0</v>
      </c>
      <c r="AJ42" s="68">
        <f>InBS_Q!W16/10^9</f>
        <v>0</v>
      </c>
      <c r="AK42" s="68">
        <f>InBS_Q!X16/10^9</f>
        <v>0</v>
      </c>
      <c r="AL42" s="68">
        <f>InBS_Q!Y16/10^9</f>
        <v>0</v>
      </c>
      <c r="AM42" s="68">
        <f>InBS_Q!Z16/10^9</f>
        <v>0</v>
      </c>
      <c r="AN42" s="68">
        <f>InBS_Q!AA16/10^9</f>
        <v>0</v>
      </c>
    </row>
    <row r="43" spans="2:40" x14ac:dyDescent="0.3">
      <c r="B43" s="61" t="s">
        <v>17</v>
      </c>
      <c r="C43" s="62">
        <f>InBS!C17/10^9</f>
        <v>0</v>
      </c>
      <c r="D43" s="62">
        <f>InBS!D17/10^9</f>
        <v>0</v>
      </c>
      <c r="E43" s="62">
        <f>InBS!E17/10^9</f>
        <v>0</v>
      </c>
      <c r="F43" s="62">
        <f>InBS!F17/10^9</f>
        <v>0</v>
      </c>
      <c r="G43" s="62">
        <f>InBS!G17/10^9</f>
        <v>0</v>
      </c>
      <c r="H43" s="62">
        <f>InBS!H17/10^9</f>
        <v>0</v>
      </c>
      <c r="I43" s="62">
        <f>InBS!I17/10^9</f>
        <v>0</v>
      </c>
      <c r="J43" s="62">
        <f>InBS!J17/10^9</f>
        <v>0</v>
      </c>
      <c r="K43" s="62">
        <f>InBS!K17/10^9</f>
        <v>0</v>
      </c>
      <c r="L43" s="62">
        <f>InBS!L17/10^9</f>
        <v>0</v>
      </c>
      <c r="P43" s="68">
        <f>InBS_Q!C17/10^9</f>
        <v>0</v>
      </c>
      <c r="Q43" s="68">
        <f>InBS_Q!D17/10^9</f>
        <v>0</v>
      </c>
      <c r="R43" s="68">
        <f>InBS_Q!E17/10^9</f>
        <v>0</v>
      </c>
      <c r="S43" s="68">
        <f>InBS_Q!F17/10^9</f>
        <v>0</v>
      </c>
      <c r="T43" s="68">
        <f>InBS_Q!G17/10^9</f>
        <v>0</v>
      </c>
      <c r="U43" s="68">
        <f>InBS_Q!H17/10^9</f>
        <v>0</v>
      </c>
      <c r="V43" s="68">
        <f>InBS_Q!I17/10^9</f>
        <v>0</v>
      </c>
      <c r="W43" s="68">
        <f>InBS_Q!J17/10^9</f>
        <v>0</v>
      </c>
      <c r="X43" s="68">
        <f>InBS_Q!K17/10^9</f>
        <v>0</v>
      </c>
      <c r="Y43" s="68">
        <f>InBS_Q!L17/10^9</f>
        <v>0</v>
      </c>
      <c r="Z43" s="68">
        <f>InBS_Q!M17/10^9</f>
        <v>0</v>
      </c>
      <c r="AA43" s="68">
        <f>InBS_Q!N17/10^9</f>
        <v>0</v>
      </c>
      <c r="AB43" s="68">
        <f>InBS_Q!O17/10^9</f>
        <v>0</v>
      </c>
      <c r="AC43" s="68">
        <f>InBS_Q!P17/10^9</f>
        <v>0</v>
      </c>
      <c r="AD43" s="68">
        <f>InBS_Q!Q17/10^9</f>
        <v>0</v>
      </c>
      <c r="AE43" s="68">
        <f>InBS_Q!R17/10^9</f>
        <v>0</v>
      </c>
      <c r="AF43" s="68">
        <f>InBS_Q!S17/10^9</f>
        <v>0</v>
      </c>
      <c r="AG43" s="68">
        <f>InBS_Q!T17/10^9</f>
        <v>0</v>
      </c>
      <c r="AH43" s="68">
        <f>InBS_Q!U17/10^9</f>
        <v>0</v>
      </c>
      <c r="AI43" s="68">
        <f>InBS_Q!V17/10^9</f>
        <v>0</v>
      </c>
      <c r="AJ43" s="68">
        <f>InBS_Q!W17/10^9</f>
        <v>0</v>
      </c>
      <c r="AK43" s="68">
        <f>InBS_Q!X17/10^9</f>
        <v>0</v>
      </c>
      <c r="AL43" s="68">
        <f>InBS_Q!Y17/10^9</f>
        <v>0</v>
      </c>
      <c r="AM43" s="68">
        <f>InBS_Q!Z17/10^9</f>
        <v>0</v>
      </c>
      <c r="AN43" s="68">
        <f>InBS_Q!AA17/10^9</f>
        <v>0</v>
      </c>
    </row>
    <row r="44" spans="2:40" x14ac:dyDescent="0.3">
      <c r="B44" s="61" t="s">
        <v>18</v>
      </c>
      <c r="C44" s="62">
        <f>InBS!C18/10^9</f>
        <v>0</v>
      </c>
      <c r="D44" s="62">
        <f>InBS!D18/10^9</f>
        <v>0.178795123</v>
      </c>
      <c r="E44" s="62">
        <f>InBS!E18/10^9</f>
        <v>1.1851508610000001</v>
      </c>
      <c r="F44" s="62">
        <f>InBS!F18/10^9</f>
        <v>7.6185703289999998</v>
      </c>
      <c r="G44" s="62">
        <f>InBS!G18/10^9</f>
        <v>13.217578598999999</v>
      </c>
      <c r="H44" s="62">
        <f>InBS!H18/10^9</f>
        <v>14.718170426</v>
      </c>
      <c r="I44" s="62">
        <f>InBS!I18/10^9</f>
        <v>12.092367175</v>
      </c>
      <c r="J44" s="62">
        <f>InBS!J18/10^9</f>
        <v>7.3293515100000004</v>
      </c>
      <c r="K44" s="62">
        <f>InBS!K18/10^9</f>
        <v>1.7502188890000001</v>
      </c>
      <c r="L44" s="62">
        <f>InBS!L18/10^9</f>
        <v>1.1215054529999999</v>
      </c>
      <c r="P44" s="68">
        <f>InBS_Q!C18/10^9</f>
        <v>8.1880436739999993</v>
      </c>
      <c r="Q44" s="68">
        <f>InBS_Q!D18/10^9</f>
        <v>8.0726111219999996</v>
      </c>
      <c r="R44" s="68">
        <f>InBS_Q!E18/10^9</f>
        <v>13.217578598999999</v>
      </c>
      <c r="S44" s="68">
        <f>InBS_Q!F18/10^9</f>
        <v>15.754292685999999</v>
      </c>
      <c r="T44" s="68">
        <f>InBS_Q!G18/10^9</f>
        <v>11.720137414</v>
      </c>
      <c r="U44" s="68">
        <f>InBS_Q!H18/10^9</f>
        <v>12.753869901</v>
      </c>
      <c r="V44" s="68">
        <f>InBS_Q!I18/10^9</f>
        <v>14.718170426</v>
      </c>
      <c r="W44" s="68">
        <f>InBS_Q!J18/10^9</f>
        <v>17.141151592</v>
      </c>
      <c r="X44" s="68">
        <f>InBS_Q!K18/10^9</f>
        <v>9.7453095390000009</v>
      </c>
      <c r="Y44" s="68">
        <f>InBS_Q!L18/10^9</f>
        <v>7.0794056410000001</v>
      </c>
      <c r="Z44" s="68">
        <f>InBS_Q!M18/10^9</f>
        <v>6.4053671750000003</v>
      </c>
      <c r="AA44" s="68">
        <f>InBS_Q!N18/10^9</f>
        <v>14.624939599999999</v>
      </c>
      <c r="AB44" s="68">
        <f>InBS_Q!O18/10^9</f>
        <v>14.903471109</v>
      </c>
      <c r="AC44" s="68">
        <f>InBS_Q!P18/10^9</f>
        <v>4.8963910989999997</v>
      </c>
      <c r="AD44" s="68">
        <f>InBS_Q!Q18/10^9</f>
        <v>6.927031736</v>
      </c>
      <c r="AE44" s="68">
        <f>InBS_Q!R18/10^9</f>
        <v>9.8982786730000001</v>
      </c>
      <c r="AF44" s="68">
        <f>InBS_Q!S18/10^9</f>
        <v>4.0381981600000003</v>
      </c>
      <c r="AG44" s="68">
        <f>InBS_Q!T18/10^9</f>
        <v>2.47250974</v>
      </c>
      <c r="AH44" s="68">
        <f>InBS_Q!U18/10^9</f>
        <v>1.7502188890000001</v>
      </c>
      <c r="AI44" s="68">
        <f>InBS_Q!V18/10^9</f>
        <v>7.2730112690000004</v>
      </c>
      <c r="AJ44" s="68">
        <f>InBS_Q!W18/10^9</f>
        <v>1.714628459</v>
      </c>
      <c r="AK44" s="68">
        <f>InBS_Q!X18/10^9</f>
        <v>1.7754499459999999</v>
      </c>
      <c r="AL44" s="68">
        <f>InBS_Q!Y18/10^9</f>
        <v>1.104860253</v>
      </c>
      <c r="AM44" s="68">
        <f>InBS_Q!Z18/10^9</f>
        <v>2.0101445789999999</v>
      </c>
      <c r="AN44" s="68">
        <f>InBS_Q!AA18/10^9</f>
        <v>1.70217877</v>
      </c>
    </row>
    <row r="45" spans="2:40" x14ac:dyDescent="0.3">
      <c r="B45" s="61" t="s">
        <v>19</v>
      </c>
      <c r="C45" s="62">
        <f>InBS!C19/10^9</f>
        <v>0</v>
      </c>
      <c r="D45" s="62">
        <f>InBS!D19/10^9</f>
        <v>0</v>
      </c>
      <c r="E45" s="62">
        <f>InBS!E19/10^9</f>
        <v>0</v>
      </c>
      <c r="F45" s="62">
        <f>InBS!F19/10^9</f>
        <v>0</v>
      </c>
      <c r="G45" s="62">
        <f>InBS!G19/10^9</f>
        <v>0</v>
      </c>
      <c r="H45" s="62">
        <f>InBS!H19/10^9</f>
        <v>-0.99558267600000006</v>
      </c>
      <c r="I45" s="62">
        <f>InBS!I19/10^9</f>
        <v>0</v>
      </c>
      <c r="J45" s="62">
        <f>InBS!J19/10^9</f>
        <v>-7.0295915080000002</v>
      </c>
      <c r="K45" s="62">
        <f>InBS!K19/10^9</f>
        <v>-3.2521845950000001</v>
      </c>
      <c r="L45" s="62">
        <f>InBS!L19/10^9</f>
        <v>-2.98282172</v>
      </c>
      <c r="P45" s="68">
        <f>InBS_Q!C19/10^9</f>
        <v>0</v>
      </c>
      <c r="Q45" s="68">
        <f>InBS_Q!D19/10^9</f>
        <v>0</v>
      </c>
      <c r="R45" s="68">
        <f>InBS_Q!E19/10^9</f>
        <v>0</v>
      </c>
      <c r="S45" s="68">
        <f>InBS_Q!F19/10^9</f>
        <v>0</v>
      </c>
      <c r="T45" s="68">
        <f>InBS_Q!G19/10^9</f>
        <v>0</v>
      </c>
      <c r="U45" s="68">
        <f>InBS_Q!H19/10^9</f>
        <v>0</v>
      </c>
      <c r="V45" s="68">
        <f>InBS_Q!I19/10^9</f>
        <v>-0.99558267600000006</v>
      </c>
      <c r="W45" s="68">
        <f>InBS_Q!J19/10^9</f>
        <v>-0.99558267600000006</v>
      </c>
      <c r="X45" s="68">
        <f>InBS_Q!K19/10^9</f>
        <v>-0.69558267600000001</v>
      </c>
      <c r="Y45" s="68">
        <f>InBS_Q!L19/10^9</f>
        <v>-0.69558267600000001</v>
      </c>
      <c r="Z45" s="68">
        <f>InBS_Q!M19/10^9</f>
        <v>0</v>
      </c>
      <c r="AA45" s="68">
        <f>InBS_Q!N19/10^9</f>
        <v>0</v>
      </c>
      <c r="AB45" s="68">
        <f>InBS_Q!O19/10^9</f>
        <v>0</v>
      </c>
      <c r="AC45" s="68">
        <f>InBS_Q!P19/10^9</f>
        <v>0</v>
      </c>
      <c r="AD45" s="68">
        <f>InBS_Q!Q19/10^9</f>
        <v>-7.0295915080000002</v>
      </c>
      <c r="AE45" s="68">
        <f>InBS_Q!R19/10^9</f>
        <v>-7.0295915080000002</v>
      </c>
      <c r="AF45" s="68">
        <f>InBS_Q!S19/10^9</f>
        <v>-3.6942207169999999</v>
      </c>
      <c r="AG45" s="68">
        <f>InBS_Q!T19/10^9</f>
        <v>-3.6942207169999999</v>
      </c>
      <c r="AH45" s="68">
        <f>InBS_Q!U19/10^9</f>
        <v>-3.2521845950000001</v>
      </c>
      <c r="AI45" s="68">
        <f>InBS_Q!V19/10^9</f>
        <v>-3.2521845950000001</v>
      </c>
      <c r="AJ45" s="68">
        <f>InBS_Q!W19/10^9</f>
        <v>-3.2450898929999998</v>
      </c>
      <c r="AK45" s="68">
        <f>InBS_Q!X19/10^9</f>
        <v>-3.7175048589999999</v>
      </c>
      <c r="AL45" s="68">
        <f>InBS_Q!Y19/10^9</f>
        <v>-2.98282172</v>
      </c>
      <c r="AM45" s="68">
        <f>InBS_Q!Z19/10^9</f>
        <v>-4.999272704</v>
      </c>
      <c r="AN45" s="68">
        <f>InBS_Q!AA19/10^9</f>
        <v>-7.5250726090000004</v>
      </c>
    </row>
    <row r="46" spans="2:40" s="81" customFormat="1" x14ac:dyDescent="0.3">
      <c r="B46" s="58" t="s">
        <v>20</v>
      </c>
      <c r="C46" s="60">
        <f>InBS!C20/10^9</f>
        <v>5.4409999999999997E-3</v>
      </c>
      <c r="D46" s="60">
        <f>InBS!D20/10^9</f>
        <v>0.16890797799999999</v>
      </c>
      <c r="E46" s="60">
        <f>InBS!E20/10^9</f>
        <v>0.37226694399999999</v>
      </c>
      <c r="F46" s="60">
        <f>InBS!F20/10^9</f>
        <v>4.8024285300000003</v>
      </c>
      <c r="G46" s="60">
        <f>InBS!G20/10^9</f>
        <v>10.005661391</v>
      </c>
      <c r="H46" s="60">
        <f>InBS!H20/10^9</f>
        <v>21.500912441000001</v>
      </c>
      <c r="I46" s="60">
        <f>InBS!I20/10^9</f>
        <v>23.172660906000001</v>
      </c>
      <c r="J46" s="60">
        <f>InBS!J20/10^9</f>
        <v>21.931573085</v>
      </c>
      <c r="K46" s="60">
        <f>InBS!K20/10^9</f>
        <v>26.4468639</v>
      </c>
      <c r="L46" s="60">
        <f>InBS!L20/10^9</f>
        <v>42.038312845999997</v>
      </c>
      <c r="P46" s="66">
        <f>InBS_Q!C20/10^9</f>
        <v>7.8673735789999997</v>
      </c>
      <c r="Q46" s="66">
        <f>InBS_Q!D20/10^9</f>
        <v>7.3109080420000003</v>
      </c>
      <c r="R46" s="66">
        <f>InBS_Q!E20/10^9</f>
        <v>10.005661391</v>
      </c>
      <c r="S46" s="66">
        <f>InBS_Q!F20/10^9</f>
        <v>16.344441717999999</v>
      </c>
      <c r="T46" s="66">
        <f>InBS_Q!G20/10^9</f>
        <v>16.353590898</v>
      </c>
      <c r="U46" s="66">
        <f>InBS_Q!H20/10^9</f>
        <v>21.933991348999999</v>
      </c>
      <c r="V46" s="66">
        <f>InBS_Q!I20/10^9</f>
        <v>21.500912441000001</v>
      </c>
      <c r="W46" s="66">
        <f>InBS_Q!J20/10^9</f>
        <v>21.462443282999999</v>
      </c>
      <c r="X46" s="66">
        <f>InBS_Q!K20/10^9</f>
        <v>21.274762375000002</v>
      </c>
      <c r="Y46" s="66">
        <f>InBS_Q!L20/10^9</f>
        <v>21.962499314999999</v>
      </c>
      <c r="Z46" s="66">
        <f>InBS_Q!M20/10^9</f>
        <v>23.172660906000001</v>
      </c>
      <c r="AA46" s="66">
        <f>InBS_Q!N20/10^9</f>
        <v>22.329302555999998</v>
      </c>
      <c r="AB46" s="66">
        <f>InBS_Q!O20/10^9</f>
        <v>16.739580278999998</v>
      </c>
      <c r="AC46" s="66">
        <f>InBS_Q!P20/10^9</f>
        <v>18.566728283</v>
      </c>
      <c r="AD46" s="66">
        <f>InBS_Q!Q20/10^9</f>
        <v>21.931573085</v>
      </c>
      <c r="AE46" s="66">
        <f>InBS_Q!R20/10^9</f>
        <v>13.643190182</v>
      </c>
      <c r="AF46" s="66">
        <f>InBS_Q!S20/10^9</f>
        <v>14.126328639</v>
      </c>
      <c r="AG46" s="66">
        <f>InBS_Q!T20/10^9</f>
        <v>17.731645761999999</v>
      </c>
      <c r="AH46" s="66">
        <f>InBS_Q!U20/10^9</f>
        <v>26.4468639</v>
      </c>
      <c r="AI46" s="66">
        <f>InBS_Q!V20/10^9</f>
        <v>24.896407421999999</v>
      </c>
      <c r="AJ46" s="66">
        <f>InBS_Q!W20/10^9</f>
        <v>25.560585802999999</v>
      </c>
      <c r="AK46" s="66">
        <f>InBS_Q!X20/10^9</f>
        <v>25.576199341999999</v>
      </c>
      <c r="AL46" s="66">
        <f>InBS_Q!Y20/10^9</f>
        <v>42.038312845999997</v>
      </c>
      <c r="AM46" s="66">
        <f>InBS_Q!Z20/10^9</f>
        <v>25.634522121</v>
      </c>
      <c r="AN46" s="66">
        <f>InBS_Q!AA20/10^9</f>
        <v>35.438158932999997</v>
      </c>
    </row>
    <row r="47" spans="2:40" x14ac:dyDescent="0.3">
      <c r="B47" s="61" t="s">
        <v>21</v>
      </c>
      <c r="C47" s="62">
        <f>InBS!C21/10^9</f>
        <v>5.4409999999999997E-3</v>
      </c>
      <c r="D47" s="62">
        <f>InBS!D21/10^9</f>
        <v>0.16890797799999999</v>
      </c>
      <c r="E47" s="62">
        <f>InBS!E21/10^9</f>
        <v>0.37226694399999999</v>
      </c>
      <c r="F47" s="62">
        <f>InBS!F21/10^9</f>
        <v>4.8024285300000003</v>
      </c>
      <c r="G47" s="62">
        <f>InBS!G21/10^9</f>
        <v>10.005661391</v>
      </c>
      <c r="H47" s="62">
        <f>InBS!H21/10^9</f>
        <v>21.500912441000001</v>
      </c>
      <c r="I47" s="62">
        <f>InBS!I21/10^9</f>
        <v>23.172660906000001</v>
      </c>
      <c r="J47" s="62">
        <f>InBS!J21/10^9</f>
        <v>21.931573085</v>
      </c>
      <c r="K47" s="62">
        <f>InBS!K21/10^9</f>
        <v>26.4468639</v>
      </c>
      <c r="L47" s="62">
        <f>InBS!L21/10^9</f>
        <v>42.038312845999997</v>
      </c>
      <c r="P47" s="68">
        <f>InBS_Q!C21/10^9</f>
        <v>7.8673735789999997</v>
      </c>
      <c r="Q47" s="68">
        <f>InBS_Q!D21/10^9</f>
        <v>7.3109080420000003</v>
      </c>
      <c r="R47" s="68">
        <f>InBS_Q!E21/10^9</f>
        <v>10.005661391</v>
      </c>
      <c r="S47" s="68">
        <f>InBS_Q!F21/10^9</f>
        <v>16.344441717999999</v>
      </c>
      <c r="T47" s="68">
        <f>InBS_Q!G21/10^9</f>
        <v>16.353590898</v>
      </c>
      <c r="U47" s="68">
        <f>InBS_Q!H21/10^9</f>
        <v>21.933991348999999</v>
      </c>
      <c r="V47" s="68">
        <f>InBS_Q!I21/10^9</f>
        <v>21.500912441000001</v>
      </c>
      <c r="W47" s="68">
        <f>InBS_Q!J21/10^9</f>
        <v>21.462443282999999</v>
      </c>
      <c r="X47" s="68">
        <f>InBS_Q!K21/10^9</f>
        <v>21.274762375000002</v>
      </c>
      <c r="Y47" s="68">
        <f>InBS_Q!L21/10^9</f>
        <v>21.962499314999999</v>
      </c>
      <c r="Z47" s="68">
        <f>InBS_Q!M21/10^9</f>
        <v>23.172660906000001</v>
      </c>
      <c r="AA47" s="68">
        <f>InBS_Q!N21/10^9</f>
        <v>22.329302555999998</v>
      </c>
      <c r="AB47" s="68">
        <f>InBS_Q!O21/10^9</f>
        <v>16.739580278999998</v>
      </c>
      <c r="AC47" s="68">
        <f>InBS_Q!P21/10^9</f>
        <v>18.566728283</v>
      </c>
      <c r="AD47" s="68">
        <f>InBS_Q!Q21/10^9</f>
        <v>21.931573085</v>
      </c>
      <c r="AE47" s="68">
        <f>InBS_Q!R21/10^9</f>
        <v>13.643190182</v>
      </c>
      <c r="AF47" s="68">
        <f>InBS_Q!S21/10^9</f>
        <v>14.126328639</v>
      </c>
      <c r="AG47" s="68">
        <f>InBS_Q!T21/10^9</f>
        <v>17.731645761999999</v>
      </c>
      <c r="AH47" s="68">
        <f>InBS_Q!U21/10^9</f>
        <v>26.4468639</v>
      </c>
      <c r="AI47" s="68">
        <f>InBS_Q!V21/10^9</f>
        <v>24.896407421999999</v>
      </c>
      <c r="AJ47" s="68">
        <f>InBS_Q!W21/10^9</f>
        <v>25.560585802999999</v>
      </c>
      <c r="AK47" s="68">
        <f>InBS_Q!X21/10^9</f>
        <v>25.576199341999999</v>
      </c>
      <c r="AL47" s="68">
        <f>InBS_Q!Y21/10^9</f>
        <v>42.038312845999997</v>
      </c>
      <c r="AM47" s="68">
        <f>InBS_Q!Z21/10^9</f>
        <v>25.634522121</v>
      </c>
      <c r="AN47" s="68">
        <f>InBS_Q!AA21/10^9</f>
        <v>35.438158932999997</v>
      </c>
    </row>
    <row r="48" spans="2:40" x14ac:dyDescent="0.3">
      <c r="B48" s="61" t="s">
        <v>22</v>
      </c>
      <c r="C48" s="62">
        <f>InBS!C22/10^9</f>
        <v>0</v>
      </c>
      <c r="D48" s="62">
        <f>InBS!D22/10^9</f>
        <v>0</v>
      </c>
      <c r="E48" s="62">
        <f>InBS!E22/10^9</f>
        <v>0</v>
      </c>
      <c r="F48" s="62">
        <f>InBS!F22/10^9</f>
        <v>0</v>
      </c>
      <c r="G48" s="62">
        <f>InBS!G22/10^9</f>
        <v>0</v>
      </c>
      <c r="H48" s="62">
        <f>InBS!H22/10^9</f>
        <v>0</v>
      </c>
      <c r="I48" s="62">
        <f>InBS!I22/10^9</f>
        <v>0</v>
      </c>
      <c r="J48" s="62">
        <f>InBS!J22/10^9</f>
        <v>0</v>
      </c>
      <c r="K48" s="62">
        <f>InBS!K22/10^9</f>
        <v>0</v>
      </c>
      <c r="L48" s="62">
        <f>InBS!L22/10^9</f>
        <v>0</v>
      </c>
      <c r="P48" s="68">
        <f>InBS_Q!C22/10^9</f>
        <v>0</v>
      </c>
      <c r="Q48" s="68">
        <f>InBS_Q!D22/10^9</f>
        <v>0</v>
      </c>
      <c r="R48" s="68">
        <f>InBS_Q!E22/10^9</f>
        <v>0</v>
      </c>
      <c r="S48" s="68">
        <f>InBS_Q!F22/10^9</f>
        <v>0</v>
      </c>
      <c r="T48" s="68">
        <f>InBS_Q!G22/10^9</f>
        <v>0</v>
      </c>
      <c r="U48" s="68">
        <f>InBS_Q!H22/10^9</f>
        <v>0</v>
      </c>
      <c r="V48" s="68">
        <f>InBS_Q!I22/10^9</f>
        <v>0</v>
      </c>
      <c r="W48" s="68">
        <f>InBS_Q!J22/10^9</f>
        <v>0</v>
      </c>
      <c r="X48" s="68">
        <f>InBS_Q!K22/10^9</f>
        <v>0</v>
      </c>
      <c r="Y48" s="68">
        <f>InBS_Q!L22/10^9</f>
        <v>0</v>
      </c>
      <c r="Z48" s="68">
        <f>InBS_Q!M22/10^9</f>
        <v>0</v>
      </c>
      <c r="AA48" s="68">
        <f>InBS_Q!N22/10^9</f>
        <v>0</v>
      </c>
      <c r="AB48" s="68">
        <f>InBS_Q!O22/10^9</f>
        <v>0</v>
      </c>
      <c r="AC48" s="68">
        <f>InBS_Q!P22/10^9</f>
        <v>0</v>
      </c>
      <c r="AD48" s="68">
        <f>InBS_Q!Q22/10^9</f>
        <v>0</v>
      </c>
      <c r="AE48" s="68">
        <f>InBS_Q!R22/10^9</f>
        <v>0</v>
      </c>
      <c r="AF48" s="68">
        <f>InBS_Q!S22/10^9</f>
        <v>0</v>
      </c>
      <c r="AG48" s="68">
        <f>InBS_Q!T22/10^9</f>
        <v>0</v>
      </c>
      <c r="AH48" s="68">
        <f>InBS_Q!U22/10^9</f>
        <v>0</v>
      </c>
      <c r="AI48" s="68">
        <f>InBS_Q!V22/10^9</f>
        <v>0</v>
      </c>
      <c r="AJ48" s="68">
        <f>InBS_Q!W22/10^9</f>
        <v>0</v>
      </c>
      <c r="AK48" s="68">
        <f>InBS_Q!X22/10^9</f>
        <v>0</v>
      </c>
      <c r="AL48" s="68">
        <f>InBS_Q!Y22/10^9</f>
        <v>0</v>
      </c>
      <c r="AM48" s="68">
        <f>InBS_Q!Z22/10^9</f>
        <v>0</v>
      </c>
      <c r="AN48" s="68">
        <f>InBS_Q!AA22/10^9</f>
        <v>0</v>
      </c>
    </row>
    <row r="49" spans="2:40" s="81" customFormat="1" x14ac:dyDescent="0.3">
      <c r="B49" s="58" t="s">
        <v>23</v>
      </c>
      <c r="C49" s="60">
        <f>InBS!C23/10^9</f>
        <v>0.16683832200000001</v>
      </c>
      <c r="D49" s="60">
        <f>InBS!D23/10^9</f>
        <v>1.0329823119999999</v>
      </c>
      <c r="E49" s="60">
        <f>InBS!E23/10^9</f>
        <v>0.10050000000000001</v>
      </c>
      <c r="F49" s="60">
        <f>InBS!F23/10^9</f>
        <v>0.49061389999999999</v>
      </c>
      <c r="G49" s="60">
        <f>InBS!G23/10^9</f>
        <v>7.9328411809999997</v>
      </c>
      <c r="H49" s="60">
        <f>InBS!H23/10^9</f>
        <v>2.3870007790000001</v>
      </c>
      <c r="I49" s="60">
        <f>InBS!I23/10^9</f>
        <v>4.3658048220000003</v>
      </c>
      <c r="J49" s="60">
        <f>InBS!J23/10^9</f>
        <v>12.926033180999999</v>
      </c>
      <c r="K49" s="60">
        <f>InBS!K23/10^9</f>
        <v>8.8733242079999997</v>
      </c>
      <c r="L49" s="60">
        <f>InBS!L23/10^9</f>
        <v>9.7460806620000007</v>
      </c>
      <c r="P49" s="66">
        <f>InBS_Q!C23/10^9</f>
        <v>4.725249357</v>
      </c>
      <c r="Q49" s="66">
        <f>InBS_Q!D23/10^9</f>
        <v>1.4144212140000001</v>
      </c>
      <c r="R49" s="66">
        <f>InBS_Q!E23/10^9</f>
        <v>8.2144119379999996</v>
      </c>
      <c r="S49" s="66">
        <f>InBS_Q!F23/10^9</f>
        <v>4.6639436349999999</v>
      </c>
      <c r="T49" s="66">
        <f>InBS_Q!G23/10^9</f>
        <v>2.452008797</v>
      </c>
      <c r="U49" s="66">
        <f>InBS_Q!H23/10^9</f>
        <v>2.5965804910000001</v>
      </c>
      <c r="V49" s="66">
        <f>InBS_Q!I23/10^9</f>
        <v>1.859000779</v>
      </c>
      <c r="W49" s="66">
        <f>InBS_Q!J23/10^9</f>
        <v>5.7027326499999997</v>
      </c>
      <c r="X49" s="66">
        <f>InBS_Q!K23/10^9</f>
        <v>4.8886420629999998</v>
      </c>
      <c r="Y49" s="66">
        <f>InBS_Q!L23/10^9</f>
        <v>4.530457942</v>
      </c>
      <c r="Z49" s="66">
        <f>InBS_Q!M23/10^9</f>
        <v>4.3658048220000003</v>
      </c>
      <c r="AA49" s="66">
        <f>InBS_Q!N23/10^9</f>
        <v>7.8469855429999997</v>
      </c>
      <c r="AB49" s="66">
        <f>InBS_Q!O23/10^9</f>
        <v>12.361569714</v>
      </c>
      <c r="AC49" s="66">
        <f>InBS_Q!P23/10^9</f>
        <v>3.6075999969999999</v>
      </c>
      <c r="AD49" s="66">
        <f>InBS_Q!Q23/10^9</f>
        <v>10.115227021000001</v>
      </c>
      <c r="AE49" s="66">
        <f>InBS_Q!R23/10^9</f>
        <v>6.6082526689999996</v>
      </c>
      <c r="AF49" s="66">
        <f>InBS_Q!S23/10^9</f>
        <v>6.2565868409999998</v>
      </c>
      <c r="AG49" s="66">
        <f>InBS_Q!T23/10^9</f>
        <v>4.898541936</v>
      </c>
      <c r="AH49" s="66">
        <f>InBS_Q!U23/10^9</f>
        <v>8.8733242079999997</v>
      </c>
      <c r="AI49" s="66">
        <f>InBS_Q!V23/10^9</f>
        <v>7.3327085820000004</v>
      </c>
      <c r="AJ49" s="66">
        <f>InBS_Q!W23/10^9</f>
        <v>6.1226944139999997</v>
      </c>
      <c r="AK49" s="66">
        <f>InBS_Q!X23/10^9</f>
        <v>4.3135371759999996</v>
      </c>
      <c r="AL49" s="66">
        <f>InBS_Q!Y23/10^9</f>
        <v>9.7460806620000007</v>
      </c>
      <c r="AM49" s="66">
        <f>InBS_Q!Z23/10^9</f>
        <v>8.2573793850000001</v>
      </c>
      <c r="AN49" s="66">
        <f>InBS_Q!AA23/10^9</f>
        <v>4.6286601510000001</v>
      </c>
    </row>
    <row r="50" spans="2:40" x14ac:dyDescent="0.3">
      <c r="B50" s="61" t="s">
        <v>24</v>
      </c>
      <c r="C50" s="62">
        <f>InBS!C24/10^9</f>
        <v>2.0766217E-2</v>
      </c>
      <c r="D50" s="62">
        <f>InBS!D24/10^9</f>
        <v>0.43470089299999998</v>
      </c>
      <c r="E50" s="62">
        <f>InBS!E24/10^9</f>
        <v>0.10050000000000001</v>
      </c>
      <c r="F50" s="62">
        <f>InBS!F24/10^9</f>
        <v>0.49061389999999999</v>
      </c>
      <c r="G50" s="62">
        <f>InBS!G24/10^9</f>
        <v>2.9826818259999999</v>
      </c>
      <c r="H50" s="62">
        <f>InBS!H24/10^9</f>
        <v>0</v>
      </c>
      <c r="I50" s="62">
        <f>InBS!I24/10^9</f>
        <v>2.597369762</v>
      </c>
      <c r="J50" s="62">
        <f>InBS!J24/10^9</f>
        <v>7.5157570009999999</v>
      </c>
      <c r="K50" s="62">
        <f>InBS!K24/10^9</f>
        <v>8.347026069</v>
      </c>
      <c r="L50" s="62">
        <f>InBS!L24/10^9</f>
        <v>7.4954208209999997</v>
      </c>
      <c r="P50" s="68">
        <f>InBS_Q!C24/10^9</f>
        <v>0.9741843</v>
      </c>
      <c r="Q50" s="68">
        <f>InBS_Q!D24/10^9</f>
        <v>0.48709215</v>
      </c>
      <c r="R50" s="68">
        <f>InBS_Q!E24/10^9</f>
        <v>2.9826818259999999</v>
      </c>
      <c r="S50" s="68">
        <f>InBS_Q!F24/10^9</f>
        <v>2.407555909</v>
      </c>
      <c r="T50" s="68">
        <f>InBS_Q!G24/10^9</f>
        <v>1.514652976</v>
      </c>
      <c r="U50" s="68">
        <f>InBS_Q!H24/10^9</f>
        <v>0.62675004300000003</v>
      </c>
      <c r="V50" s="68">
        <f>InBS_Q!I24/10^9</f>
        <v>0</v>
      </c>
      <c r="W50" s="68">
        <f>InBS_Q!J24/10^9</f>
        <v>5.3000031620000003</v>
      </c>
      <c r="X50" s="68">
        <f>InBS_Q!K24/10^9</f>
        <v>3.5275529470000002</v>
      </c>
      <c r="Y50" s="68">
        <f>InBS_Q!L24/10^9</f>
        <v>1.8111027319999999</v>
      </c>
      <c r="Z50" s="68">
        <f>InBS_Q!M24/10^9</f>
        <v>2.597369762</v>
      </c>
      <c r="AA50" s="68">
        <f>InBS_Q!N24/10^9</f>
        <v>7.2757440520000003</v>
      </c>
      <c r="AB50" s="68">
        <f>InBS_Q!O24/10^9</f>
        <v>4.6363183919999997</v>
      </c>
      <c r="AC50" s="68">
        <f>InBS_Q!P24/10^9</f>
        <v>2.228335494</v>
      </c>
      <c r="AD50" s="68">
        <f>InBS_Q!Q24/10^9</f>
        <v>4.8175167239999999</v>
      </c>
      <c r="AE50" s="68">
        <f>InBS_Q!R24/10^9</f>
        <v>5.5048551359999998</v>
      </c>
      <c r="AF50" s="68">
        <f>InBS_Q!S24/10^9</f>
        <v>3.4939532710000001</v>
      </c>
      <c r="AG50" s="68">
        <f>InBS_Q!T24/10^9</f>
        <v>3.6129722059999998</v>
      </c>
      <c r="AH50" s="68">
        <f>InBS_Q!U24/10^9</f>
        <v>8.347026069</v>
      </c>
      <c r="AI50" s="68">
        <f>InBS_Q!V24/10^9</f>
        <v>6.442568831</v>
      </c>
      <c r="AJ50" s="68">
        <f>InBS_Q!W24/10^9</f>
        <v>6.1206115929999996</v>
      </c>
      <c r="AK50" s="68">
        <f>InBS_Q!X24/10^9</f>
        <v>4.3114543550000004</v>
      </c>
      <c r="AL50" s="68">
        <f>InBS_Q!Y24/10^9</f>
        <v>7.4954208209999997</v>
      </c>
      <c r="AM50" s="68">
        <f>InBS_Q!Z24/10^9</f>
        <v>8.2573793850000001</v>
      </c>
      <c r="AN50" s="68">
        <f>InBS_Q!AA24/10^9</f>
        <v>4.5570612089999996</v>
      </c>
    </row>
    <row r="51" spans="2:40" x14ac:dyDescent="0.3">
      <c r="B51" s="61" t="s">
        <v>25</v>
      </c>
      <c r="C51" s="62">
        <f>InBS!C25/10^9</f>
        <v>0.136572105</v>
      </c>
      <c r="D51" s="62">
        <f>InBS!D25/10^9</f>
        <v>0.43610241900000002</v>
      </c>
      <c r="E51" s="62">
        <f>InBS!E25/10^9</f>
        <v>0</v>
      </c>
      <c r="F51" s="62">
        <f>InBS!F25/10^9</f>
        <v>0</v>
      </c>
      <c r="G51" s="62">
        <f>InBS!G25/10^9</f>
        <v>0</v>
      </c>
      <c r="H51" s="62">
        <f>InBS!H25/10^9</f>
        <v>2.2967179579999999</v>
      </c>
      <c r="I51" s="62">
        <f>InBS!I25/10^9</f>
        <v>1.2840606409999999</v>
      </c>
      <c r="J51" s="62">
        <f>InBS!J25/10^9</f>
        <v>5.0239839079999999</v>
      </c>
      <c r="K51" s="62">
        <f>InBS!K25/10^9</f>
        <v>0.52421531799999999</v>
      </c>
      <c r="L51" s="62">
        <f>InBS!L25/10^9</f>
        <v>2.250659841</v>
      </c>
      <c r="P51" s="68">
        <f>InBS_Q!C25/10^9</f>
        <v>2.766739608</v>
      </c>
      <c r="Q51" s="68">
        <f>InBS_Q!D25/10^9</f>
        <v>0</v>
      </c>
      <c r="R51" s="68">
        <f>InBS_Q!E25/10^9</f>
        <v>0</v>
      </c>
      <c r="S51" s="68">
        <f>InBS_Q!F25/10^9</f>
        <v>1.5810577269999999</v>
      </c>
      <c r="T51" s="68">
        <f>InBS_Q!G25/10^9</f>
        <v>0</v>
      </c>
      <c r="U51" s="68">
        <f>InBS_Q!H25/10^9</f>
        <v>1.477376123</v>
      </c>
      <c r="V51" s="68">
        <f>InBS_Q!I25/10^9</f>
        <v>1.7687179580000001</v>
      </c>
      <c r="W51" s="68">
        <f>InBS_Q!J25/10^9</f>
        <v>0</v>
      </c>
      <c r="X51" s="68">
        <f>InBS_Q!K25/10^9</f>
        <v>1.0600862950000001</v>
      </c>
      <c r="Y51" s="68">
        <f>InBS_Q!L25/10^9</f>
        <v>1.8567905220000001</v>
      </c>
      <c r="Z51" s="68">
        <f>InBS_Q!M25/10^9</f>
        <v>1.2840606409999999</v>
      </c>
      <c r="AA51" s="68">
        <f>InBS_Q!N25/10^9</f>
        <v>0</v>
      </c>
      <c r="AB51" s="68">
        <f>InBS_Q!O25/10^9</f>
        <v>3.5253316259999998</v>
      </c>
      <c r="AC51" s="68">
        <f>InBS_Q!P25/10^9</f>
        <v>0.686108834</v>
      </c>
      <c r="AD51" s="68">
        <f>InBS_Q!Q25/10^9</f>
        <v>5.0239839079999999</v>
      </c>
      <c r="AE51" s="68">
        <f>InBS_Q!R25/10^9</f>
        <v>7.6395161000000003E-2</v>
      </c>
      <c r="AF51" s="68">
        <f>InBS_Q!S25/10^9</f>
        <v>2.7605507490000001</v>
      </c>
      <c r="AG51" s="68">
        <f>InBS_Q!T25/10^9</f>
        <v>1.2834869090000001</v>
      </c>
      <c r="AH51" s="68">
        <f>InBS_Q!U25/10^9</f>
        <v>0.52421531799999999</v>
      </c>
      <c r="AI51" s="68">
        <f>InBS_Q!V25/10^9</f>
        <v>0.88805692999999997</v>
      </c>
      <c r="AJ51" s="68">
        <f>InBS_Q!W25/10^9</f>
        <v>0</v>
      </c>
      <c r="AK51" s="68">
        <f>InBS_Q!X25/10^9</f>
        <v>0</v>
      </c>
      <c r="AL51" s="68">
        <f>InBS_Q!Y25/10^9</f>
        <v>2.250659841</v>
      </c>
      <c r="AM51" s="68">
        <f>InBS_Q!Z25/10^9</f>
        <v>0</v>
      </c>
      <c r="AN51" s="68">
        <f>InBS_Q!AA25/10^9</f>
        <v>7.1598941999999999E-2</v>
      </c>
    </row>
    <row r="52" spans="2:40" x14ac:dyDescent="0.3">
      <c r="B52" s="61" t="s">
        <v>26</v>
      </c>
      <c r="C52" s="62">
        <f>InBS!C26/10^9</f>
        <v>0</v>
      </c>
      <c r="D52" s="62">
        <f>InBS!D26/10^9</f>
        <v>0.16217899999999999</v>
      </c>
      <c r="E52" s="62">
        <f>InBS!E26/10^9</f>
        <v>0</v>
      </c>
      <c r="F52" s="62">
        <f>InBS!F26/10^9</f>
        <v>0</v>
      </c>
      <c r="G52" s="62">
        <f>InBS!G26/10^9</f>
        <v>3.242520356</v>
      </c>
      <c r="H52" s="62">
        <f>InBS!H26/10^9</f>
        <v>2.0828209999999999E-3</v>
      </c>
      <c r="I52" s="62">
        <f>InBS!I26/10^9</f>
        <v>2.0828209999999999E-3</v>
      </c>
      <c r="J52" s="62">
        <f>InBS!J26/10^9</f>
        <v>2.0828209999999999E-3</v>
      </c>
      <c r="K52" s="62">
        <f>InBS!K26/10^9</f>
        <v>2.0828209999999999E-3</v>
      </c>
      <c r="L52" s="62">
        <f>InBS!L26/10^9</f>
        <v>0</v>
      </c>
      <c r="P52" s="68">
        <f>InBS_Q!C26/10^9</f>
        <v>0</v>
      </c>
      <c r="Q52" s="68">
        <f>InBS_Q!D26/10^9</f>
        <v>0</v>
      </c>
      <c r="R52" s="68">
        <f>InBS_Q!E26/10^9</f>
        <v>3.242520356</v>
      </c>
      <c r="S52" s="68">
        <f>InBS_Q!F26/10^9</f>
        <v>0</v>
      </c>
      <c r="T52" s="68">
        <f>InBS_Q!G26/10^9</f>
        <v>2.0828209999999999E-3</v>
      </c>
      <c r="U52" s="68">
        <f>InBS_Q!H26/10^9</f>
        <v>2.0828209999999999E-3</v>
      </c>
      <c r="V52" s="68">
        <f>InBS_Q!I26/10^9</f>
        <v>2.0828209999999999E-3</v>
      </c>
      <c r="W52" s="68">
        <f>InBS_Q!J26/10^9</f>
        <v>2.0828209999999999E-3</v>
      </c>
      <c r="X52" s="68">
        <f>InBS_Q!K26/10^9</f>
        <v>2.0828209999999999E-3</v>
      </c>
      <c r="Y52" s="68">
        <f>InBS_Q!L26/10^9</f>
        <v>2.0828209999999999E-3</v>
      </c>
      <c r="Z52" s="68">
        <f>InBS_Q!M26/10^9</f>
        <v>2.0828209999999999E-3</v>
      </c>
      <c r="AA52" s="68">
        <f>InBS_Q!N26/10^9</f>
        <v>2.0828209999999999E-3</v>
      </c>
      <c r="AB52" s="68">
        <f>InBS_Q!O26/10^9</f>
        <v>2.0828209999999999E-3</v>
      </c>
      <c r="AC52" s="68">
        <f>InBS_Q!P26/10^9</f>
        <v>2.0828209999999999E-3</v>
      </c>
      <c r="AD52" s="68">
        <f>InBS_Q!Q26/10^9</f>
        <v>2.0828209999999999E-3</v>
      </c>
      <c r="AE52" s="68">
        <f>InBS_Q!R26/10^9</f>
        <v>3.7489400999999999E-2</v>
      </c>
      <c r="AF52" s="68">
        <f>InBS_Q!S26/10^9</f>
        <v>2.0828209999999999E-3</v>
      </c>
      <c r="AG52" s="68">
        <f>InBS_Q!T26/10^9</f>
        <v>0</v>
      </c>
      <c r="AH52" s="68">
        <f>InBS_Q!U26/10^9</f>
        <v>2.0828209999999999E-3</v>
      </c>
      <c r="AI52" s="68">
        <f>InBS_Q!V26/10^9</f>
        <v>2.0828209999999999E-3</v>
      </c>
      <c r="AJ52" s="68">
        <f>InBS_Q!W26/10^9</f>
        <v>2.0828209999999999E-3</v>
      </c>
      <c r="AK52" s="68">
        <f>InBS_Q!X26/10^9</f>
        <v>2.0828209999999999E-3</v>
      </c>
      <c r="AL52" s="68">
        <f>InBS_Q!Y26/10^9</f>
        <v>0</v>
      </c>
      <c r="AM52" s="68">
        <f>InBS_Q!Z26/10^9</f>
        <v>0</v>
      </c>
      <c r="AN52" s="68">
        <f>InBS_Q!AA26/10^9</f>
        <v>0</v>
      </c>
    </row>
    <row r="53" spans="2:40" x14ac:dyDescent="0.3">
      <c r="B53" s="61" t="s">
        <v>27</v>
      </c>
      <c r="C53" s="62">
        <f>InBS!C27/10^9</f>
        <v>9.4999999999999998E-3</v>
      </c>
      <c r="D53" s="62">
        <f>InBS!D27/10^9</f>
        <v>0</v>
      </c>
      <c r="E53" s="62">
        <f>InBS!E27/10^9</f>
        <v>0</v>
      </c>
      <c r="F53" s="62">
        <f>InBS!F27/10^9</f>
        <v>0</v>
      </c>
      <c r="G53" s="62">
        <f>InBS!G27/10^9</f>
        <v>1.707638999</v>
      </c>
      <c r="H53" s="62">
        <f>InBS!H27/10^9</f>
        <v>8.8200000000000001E-2</v>
      </c>
      <c r="I53" s="62">
        <f>InBS!I27/10^9</f>
        <v>0.48229159799999999</v>
      </c>
      <c r="J53" s="62">
        <f>InBS!J27/10^9</f>
        <v>0.38420945099999998</v>
      </c>
      <c r="K53" s="62">
        <f>InBS!K27/10^9</f>
        <v>0</v>
      </c>
      <c r="L53" s="62">
        <f>InBS!L27/10^9</f>
        <v>0</v>
      </c>
      <c r="P53" s="68">
        <f>InBS_Q!C27/10^9</f>
        <v>0.98432544899999996</v>
      </c>
      <c r="Q53" s="68">
        <f>InBS_Q!D27/10^9</f>
        <v>0.92732906400000004</v>
      </c>
      <c r="R53" s="68">
        <f>InBS_Q!E27/10^9</f>
        <v>1.9892097559999999</v>
      </c>
      <c r="S53" s="68">
        <f>InBS_Q!F27/10^9</f>
        <v>0.67532999900000001</v>
      </c>
      <c r="T53" s="68">
        <f>InBS_Q!G27/10^9</f>
        <v>0.93527300000000002</v>
      </c>
      <c r="U53" s="68">
        <f>InBS_Q!H27/10^9</f>
        <v>0.49037150400000001</v>
      </c>
      <c r="V53" s="68">
        <f>InBS_Q!I27/10^9</f>
        <v>8.8200000000000001E-2</v>
      </c>
      <c r="W53" s="68">
        <f>InBS_Q!J27/10^9</f>
        <v>0.40064666700000001</v>
      </c>
      <c r="X53" s="68">
        <f>InBS_Q!K27/10^9</f>
        <v>0.29892000000000002</v>
      </c>
      <c r="Y53" s="68">
        <f>InBS_Q!L27/10^9</f>
        <v>0.86048186699999996</v>
      </c>
      <c r="Z53" s="68">
        <f>InBS_Q!M27/10^9</f>
        <v>0.48229159799999999</v>
      </c>
      <c r="AA53" s="68">
        <f>InBS_Q!N27/10^9</f>
        <v>0.56915866999999998</v>
      </c>
      <c r="AB53" s="68">
        <f>InBS_Q!O27/10^9</f>
        <v>4.1978368750000001</v>
      </c>
      <c r="AC53" s="68">
        <f>InBS_Q!P27/10^9</f>
        <v>0.69107284800000002</v>
      </c>
      <c r="AD53" s="68">
        <f>InBS_Q!Q27/10^9</f>
        <v>0.271643568</v>
      </c>
      <c r="AE53" s="68">
        <f>InBS_Q!R27/10^9</f>
        <v>0.98951297100000002</v>
      </c>
      <c r="AF53" s="68">
        <f>InBS_Q!S27/10^9</f>
        <v>0</v>
      </c>
      <c r="AG53" s="68">
        <f>InBS_Q!T27/10^9</f>
        <v>2.0828209999999999E-3</v>
      </c>
      <c r="AH53" s="68">
        <f>InBS_Q!U27/10^9</f>
        <v>0</v>
      </c>
      <c r="AI53" s="68">
        <f>InBS_Q!V27/10^9</f>
        <v>0</v>
      </c>
      <c r="AJ53" s="68">
        <f>InBS_Q!W27/10^9</f>
        <v>0</v>
      </c>
      <c r="AK53" s="68">
        <f>InBS_Q!X27/10^9</f>
        <v>0</v>
      </c>
      <c r="AL53" s="68">
        <f>InBS_Q!Y27/10^9</f>
        <v>0</v>
      </c>
      <c r="AM53" s="68">
        <f>InBS_Q!Z27/10^9</f>
        <v>0</v>
      </c>
      <c r="AN53" s="68">
        <f>InBS_Q!AA27/10^9</f>
        <v>0</v>
      </c>
    </row>
    <row r="54" spans="2:40" s="81" customFormat="1" x14ac:dyDescent="0.3">
      <c r="B54" s="71" t="s">
        <v>28</v>
      </c>
      <c r="C54" s="72">
        <f>InBS!C28/10^9</f>
        <v>1.465128427</v>
      </c>
      <c r="D54" s="72">
        <f>InBS!D28/10^9</f>
        <v>67.616249177</v>
      </c>
      <c r="E54" s="72">
        <f>InBS!E28/10^9</f>
        <v>105.392402889</v>
      </c>
      <c r="F54" s="72">
        <f>InBS!F28/10^9</f>
        <v>176.75361624499999</v>
      </c>
      <c r="G54" s="72">
        <f>InBS!G28/10^9</f>
        <v>308.89218312899999</v>
      </c>
      <c r="H54" s="72">
        <f>InBS!H28/10^9</f>
        <v>307.31420300899998</v>
      </c>
      <c r="I54" s="72">
        <f>InBS!I28/10^9</f>
        <v>117.186139192</v>
      </c>
      <c r="J54" s="72">
        <f>InBS!J28/10^9</f>
        <v>120.434292003</v>
      </c>
      <c r="K54" s="72">
        <f>InBS!K28/10^9</f>
        <v>178.162866544</v>
      </c>
      <c r="L54" s="72">
        <f>InBS!L28/10^9</f>
        <v>149.367042486</v>
      </c>
      <c r="N54" s="92"/>
      <c r="O54" s="92"/>
      <c r="P54" s="93">
        <f>InBS_Q!C28/10^9</f>
        <v>312.299873752</v>
      </c>
      <c r="Q54" s="93">
        <f>InBS_Q!D28/10^9</f>
        <v>303.15064699200002</v>
      </c>
      <c r="R54" s="93">
        <f>InBS_Q!E28/10^9</f>
        <v>308.89218312899999</v>
      </c>
      <c r="S54" s="93">
        <f>InBS_Q!F28/10^9</f>
        <v>281.576847633</v>
      </c>
      <c r="T54" s="93">
        <f>InBS_Q!G28/10^9</f>
        <v>310.87278929299998</v>
      </c>
      <c r="U54" s="93">
        <f>InBS_Q!H28/10^9</f>
        <v>284.61929390900002</v>
      </c>
      <c r="V54" s="93">
        <f>InBS_Q!I28/10^9</f>
        <v>307.31420300899998</v>
      </c>
      <c r="W54" s="93">
        <f>InBS_Q!J28/10^9</f>
        <v>272.083801413</v>
      </c>
      <c r="X54" s="93">
        <f>InBS_Q!K28/10^9</f>
        <v>237.921714686</v>
      </c>
      <c r="Y54" s="93">
        <f>InBS_Q!L28/10^9</f>
        <v>212.072552075</v>
      </c>
      <c r="Z54" s="93">
        <f>InBS_Q!M28/10^9</f>
        <v>199.615304646</v>
      </c>
      <c r="AA54" s="93">
        <f>InBS_Q!N28/10^9</f>
        <v>102.21727247600001</v>
      </c>
      <c r="AB54" s="93">
        <f>InBS_Q!O28/10^9</f>
        <v>105.57363421399999</v>
      </c>
      <c r="AC54" s="93">
        <f>InBS_Q!P28/10^9</f>
        <v>135.331238885</v>
      </c>
      <c r="AD54" s="93">
        <f>InBS_Q!Q28/10^9</f>
        <v>121.50290218799999</v>
      </c>
      <c r="AE54" s="93">
        <f>InBS_Q!R28/10^9</f>
        <v>115.874314606</v>
      </c>
      <c r="AF54" s="93">
        <f>InBS_Q!S28/10^9</f>
        <v>167.67400431999999</v>
      </c>
      <c r="AG54" s="93">
        <f>InBS_Q!T28/10^9</f>
        <v>194.41637693199999</v>
      </c>
      <c r="AH54" s="93">
        <f>InBS_Q!U28/10^9</f>
        <v>178.65872986100001</v>
      </c>
      <c r="AI54" s="93">
        <f>InBS_Q!V28/10^9</f>
        <v>191.28096191200001</v>
      </c>
      <c r="AJ54" s="93">
        <f>InBS_Q!W28/10^9</f>
        <v>178.89479081499999</v>
      </c>
      <c r="AK54" s="93">
        <f>InBS_Q!X28/10^9</f>
        <v>162.20116491799999</v>
      </c>
      <c r="AL54" s="93">
        <f>InBS_Q!Y28/10^9</f>
        <v>147.20472345600001</v>
      </c>
      <c r="AM54" s="93">
        <f>InBS_Q!Z28/10^9</f>
        <v>177.34459658099999</v>
      </c>
      <c r="AN54" s="93">
        <f>InBS_Q!AA28/10^9</f>
        <v>164.16729082699999</v>
      </c>
    </row>
    <row r="55" spans="2:40" s="81" customFormat="1" x14ac:dyDescent="0.3">
      <c r="B55" s="58" t="s">
        <v>29</v>
      </c>
      <c r="C55" s="60">
        <f>InBS!C29/10^9</f>
        <v>0</v>
      </c>
      <c r="D55" s="60">
        <f>InBS!D29/10^9</f>
        <v>0</v>
      </c>
      <c r="E55" s="60">
        <f>InBS!E29/10^9</f>
        <v>0</v>
      </c>
      <c r="F55" s="60">
        <f>InBS!F29/10^9</f>
        <v>0</v>
      </c>
      <c r="G55" s="60">
        <f>InBS!G29/10^9</f>
        <v>0</v>
      </c>
      <c r="H55" s="60">
        <f>InBS!H29/10^9</f>
        <v>0</v>
      </c>
      <c r="I55" s="60">
        <f>InBS!I29/10^9</f>
        <v>0</v>
      </c>
      <c r="J55" s="60">
        <f>InBS!J29/10^9</f>
        <v>0</v>
      </c>
      <c r="K55" s="60">
        <f>InBS!K29/10^9</f>
        <v>0.93600000000000005</v>
      </c>
      <c r="L55" s="60">
        <f>InBS!L29/10^9</f>
        <v>1.927</v>
      </c>
      <c r="P55" s="66">
        <f>InBS_Q!C29/10^9</f>
        <v>0</v>
      </c>
      <c r="Q55" s="66">
        <f>InBS_Q!D29/10^9</f>
        <v>0</v>
      </c>
      <c r="R55" s="66">
        <f>InBS_Q!E29/10^9</f>
        <v>0</v>
      </c>
      <c r="S55" s="66">
        <f>InBS_Q!F29/10^9</f>
        <v>0</v>
      </c>
      <c r="T55" s="66">
        <f>InBS_Q!G29/10^9</f>
        <v>0</v>
      </c>
      <c r="U55" s="66">
        <f>InBS_Q!H29/10^9</f>
        <v>0</v>
      </c>
      <c r="V55" s="66">
        <f>InBS_Q!I29/10^9</f>
        <v>0</v>
      </c>
      <c r="W55" s="66">
        <f>InBS_Q!J29/10^9</f>
        <v>0</v>
      </c>
      <c r="X55" s="66">
        <f>InBS_Q!K29/10^9</f>
        <v>0</v>
      </c>
      <c r="Y55" s="66">
        <f>InBS_Q!L29/10^9</f>
        <v>0</v>
      </c>
      <c r="Z55" s="66">
        <f>InBS_Q!M29/10^9</f>
        <v>0</v>
      </c>
      <c r="AA55" s="66">
        <f>InBS_Q!N29/10^9</f>
        <v>0</v>
      </c>
      <c r="AB55" s="66">
        <f>InBS_Q!O29/10^9</f>
        <v>0</v>
      </c>
      <c r="AC55" s="66">
        <f>InBS_Q!P29/10^9</f>
        <v>0</v>
      </c>
      <c r="AD55" s="66">
        <f>InBS_Q!Q29/10^9</f>
        <v>0</v>
      </c>
      <c r="AE55" s="66">
        <f>InBS_Q!R29/10^9</f>
        <v>0</v>
      </c>
      <c r="AF55" s="66">
        <f>InBS_Q!S29/10^9</f>
        <v>0.93600000000000005</v>
      </c>
      <c r="AG55" s="66">
        <f>InBS_Q!T29/10^9</f>
        <v>0.93600000000000005</v>
      </c>
      <c r="AH55" s="66">
        <f>InBS_Q!U29/10^9</f>
        <v>0.93600000000000005</v>
      </c>
      <c r="AI55" s="66">
        <f>InBS_Q!V29/10^9</f>
        <v>0.93600000000000005</v>
      </c>
      <c r="AJ55" s="66">
        <f>InBS_Q!W29/10^9</f>
        <v>1.927</v>
      </c>
      <c r="AK55" s="66">
        <f>InBS_Q!X29/10^9</f>
        <v>1.927</v>
      </c>
      <c r="AL55" s="66">
        <f>InBS_Q!Y29/10^9</f>
        <v>1.927</v>
      </c>
      <c r="AM55" s="66">
        <f>InBS_Q!Z29/10^9</f>
        <v>1.927</v>
      </c>
      <c r="AN55" s="66">
        <f>InBS_Q!AA29/10^9</f>
        <v>1.927</v>
      </c>
    </row>
    <row r="56" spans="2:40" x14ac:dyDescent="0.3">
      <c r="B56" s="61" t="s">
        <v>30</v>
      </c>
      <c r="C56" s="62">
        <f>InBS!C30/10^9</f>
        <v>0</v>
      </c>
      <c r="D56" s="62">
        <f>InBS!D30/10^9</f>
        <v>0</v>
      </c>
      <c r="E56" s="62">
        <f>InBS!E30/10^9</f>
        <v>0</v>
      </c>
      <c r="F56" s="62">
        <f>InBS!F30/10^9</f>
        <v>0</v>
      </c>
      <c r="G56" s="62">
        <f>InBS!G30/10^9</f>
        <v>0</v>
      </c>
      <c r="H56" s="62">
        <f>InBS!H30/10^9</f>
        <v>0</v>
      </c>
      <c r="I56" s="62">
        <f>InBS!I30/10^9</f>
        <v>0</v>
      </c>
      <c r="J56" s="62">
        <f>InBS!J30/10^9</f>
        <v>0</v>
      </c>
      <c r="K56" s="62">
        <f>InBS!K30/10^9</f>
        <v>0</v>
      </c>
      <c r="L56" s="62">
        <f>InBS!L30/10^9</f>
        <v>0</v>
      </c>
      <c r="P56" s="68">
        <f>InBS_Q!C30/10^9</f>
        <v>0</v>
      </c>
      <c r="Q56" s="68">
        <f>InBS_Q!D30/10^9</f>
        <v>0</v>
      </c>
      <c r="R56" s="68">
        <f>InBS_Q!E30/10^9</f>
        <v>0</v>
      </c>
      <c r="S56" s="68">
        <f>InBS_Q!F30/10^9</f>
        <v>0</v>
      </c>
      <c r="T56" s="68">
        <f>InBS_Q!G30/10^9</f>
        <v>0</v>
      </c>
      <c r="U56" s="68">
        <f>InBS_Q!H30/10^9</f>
        <v>0</v>
      </c>
      <c r="V56" s="68">
        <f>InBS_Q!I30/10^9</f>
        <v>0</v>
      </c>
      <c r="W56" s="68">
        <f>InBS_Q!J30/10^9</f>
        <v>0</v>
      </c>
      <c r="X56" s="68">
        <f>InBS_Q!K30/10^9</f>
        <v>0</v>
      </c>
      <c r="Y56" s="68">
        <f>InBS_Q!L30/10^9</f>
        <v>0</v>
      </c>
      <c r="Z56" s="68">
        <f>InBS_Q!M30/10^9</f>
        <v>0</v>
      </c>
      <c r="AA56" s="68">
        <f>InBS_Q!N30/10^9</f>
        <v>0</v>
      </c>
      <c r="AB56" s="68">
        <f>InBS_Q!O30/10^9</f>
        <v>0</v>
      </c>
      <c r="AC56" s="68">
        <f>InBS_Q!P30/10^9</f>
        <v>0</v>
      </c>
      <c r="AD56" s="68">
        <f>InBS_Q!Q30/10^9</f>
        <v>0</v>
      </c>
      <c r="AE56" s="68">
        <f>InBS_Q!R30/10^9</f>
        <v>0</v>
      </c>
      <c r="AF56" s="68">
        <f>InBS_Q!S30/10^9</f>
        <v>0</v>
      </c>
      <c r="AG56" s="68">
        <f>InBS_Q!T30/10^9</f>
        <v>0</v>
      </c>
      <c r="AH56" s="68">
        <f>InBS_Q!U30/10^9</f>
        <v>0</v>
      </c>
      <c r="AI56" s="68">
        <f>InBS_Q!V30/10^9</f>
        <v>0</v>
      </c>
      <c r="AJ56" s="68">
        <f>InBS_Q!W30/10^9</f>
        <v>0</v>
      </c>
      <c r="AK56" s="68">
        <f>InBS_Q!X30/10^9</f>
        <v>0</v>
      </c>
      <c r="AL56" s="68">
        <f>InBS_Q!Y30/10^9</f>
        <v>0</v>
      </c>
      <c r="AM56" s="68">
        <f>InBS_Q!Z30/10^9</f>
        <v>0</v>
      </c>
      <c r="AN56" s="68">
        <f>InBS_Q!AA30/10^9</f>
        <v>0</v>
      </c>
    </row>
    <row r="57" spans="2:40" x14ac:dyDescent="0.3">
      <c r="B57" s="61" t="s">
        <v>31</v>
      </c>
      <c r="C57" s="62">
        <f>InBS!C31/10^9</f>
        <v>0</v>
      </c>
      <c r="D57" s="62">
        <f>InBS!D31/10^9</f>
        <v>0</v>
      </c>
      <c r="E57" s="62">
        <f>InBS!E31/10^9</f>
        <v>0</v>
      </c>
      <c r="F57" s="62">
        <f>InBS!F31/10^9</f>
        <v>0</v>
      </c>
      <c r="G57" s="62">
        <f>InBS!G31/10^9</f>
        <v>0</v>
      </c>
      <c r="H57" s="62">
        <f>InBS!H31/10^9</f>
        <v>0</v>
      </c>
      <c r="I57" s="62">
        <f>InBS!I31/10^9</f>
        <v>0</v>
      </c>
      <c r="J57" s="62">
        <f>InBS!J31/10^9</f>
        <v>0</v>
      </c>
      <c r="K57" s="62">
        <f>InBS!K31/10^9</f>
        <v>0</v>
      </c>
      <c r="L57" s="62">
        <f>InBS!L31/10^9</f>
        <v>0</v>
      </c>
      <c r="P57" s="68">
        <f>InBS_Q!C31/10^9</f>
        <v>0</v>
      </c>
      <c r="Q57" s="68">
        <f>InBS_Q!D31/10^9</f>
        <v>0</v>
      </c>
      <c r="R57" s="68">
        <f>InBS_Q!E31/10^9</f>
        <v>0</v>
      </c>
      <c r="S57" s="68">
        <f>InBS_Q!F31/10^9</f>
        <v>0</v>
      </c>
      <c r="T57" s="68">
        <f>InBS_Q!G31/10^9</f>
        <v>0</v>
      </c>
      <c r="U57" s="68">
        <f>InBS_Q!H31/10^9</f>
        <v>0</v>
      </c>
      <c r="V57" s="68">
        <f>InBS_Q!I31/10^9</f>
        <v>0</v>
      </c>
      <c r="W57" s="68">
        <f>InBS_Q!J31/10^9</f>
        <v>0</v>
      </c>
      <c r="X57" s="68">
        <f>InBS_Q!K31/10^9</f>
        <v>0</v>
      </c>
      <c r="Y57" s="68">
        <f>InBS_Q!L31/10^9</f>
        <v>0</v>
      </c>
      <c r="Z57" s="68">
        <f>InBS_Q!M31/10^9</f>
        <v>0</v>
      </c>
      <c r="AA57" s="68">
        <f>InBS_Q!N31/10^9</f>
        <v>0</v>
      </c>
      <c r="AB57" s="68">
        <f>InBS_Q!O31/10^9</f>
        <v>0</v>
      </c>
      <c r="AC57" s="68">
        <f>InBS_Q!P31/10^9</f>
        <v>0</v>
      </c>
      <c r="AD57" s="68">
        <f>InBS_Q!Q31/10^9</f>
        <v>0</v>
      </c>
      <c r="AE57" s="68">
        <f>InBS_Q!R31/10^9</f>
        <v>0</v>
      </c>
      <c r="AF57" s="68">
        <f>InBS_Q!S31/10^9</f>
        <v>0</v>
      </c>
      <c r="AG57" s="68">
        <f>InBS_Q!T31/10^9</f>
        <v>0</v>
      </c>
      <c r="AH57" s="68">
        <f>InBS_Q!U31/10^9</f>
        <v>0</v>
      </c>
      <c r="AI57" s="68">
        <f>InBS_Q!V31/10^9</f>
        <v>0</v>
      </c>
      <c r="AJ57" s="68">
        <f>InBS_Q!W31/10^9</f>
        <v>0</v>
      </c>
      <c r="AK57" s="68">
        <f>InBS_Q!X31/10^9</f>
        <v>0</v>
      </c>
      <c r="AL57" s="68">
        <f>InBS_Q!Y31/10^9</f>
        <v>0</v>
      </c>
      <c r="AM57" s="68">
        <f>InBS_Q!Z31/10^9</f>
        <v>0</v>
      </c>
      <c r="AN57" s="68">
        <f>InBS_Q!AA31/10^9</f>
        <v>0</v>
      </c>
    </row>
    <row r="58" spans="2:40" x14ac:dyDescent="0.3">
      <c r="B58" s="61" t="s">
        <v>32</v>
      </c>
      <c r="C58" s="62">
        <f>InBS!C32/10^9</f>
        <v>0</v>
      </c>
      <c r="D58" s="62">
        <f>InBS!D32/10^9</f>
        <v>0</v>
      </c>
      <c r="E58" s="62">
        <f>InBS!E32/10^9</f>
        <v>0</v>
      </c>
      <c r="F58" s="62">
        <f>InBS!F32/10^9</f>
        <v>0</v>
      </c>
      <c r="G58" s="62">
        <f>InBS!G32/10^9</f>
        <v>0</v>
      </c>
      <c r="H58" s="62">
        <f>InBS!H32/10^9</f>
        <v>0</v>
      </c>
      <c r="I58" s="62">
        <f>InBS!I32/10^9</f>
        <v>0</v>
      </c>
      <c r="J58" s="62">
        <f>InBS!J32/10^9</f>
        <v>0</v>
      </c>
      <c r="K58" s="62">
        <f>InBS!K32/10^9</f>
        <v>0.93600000000000005</v>
      </c>
      <c r="L58" s="62">
        <f>InBS!L32/10^9</f>
        <v>1.927</v>
      </c>
      <c r="P58" s="68">
        <f>InBS_Q!C32/10^9</f>
        <v>0</v>
      </c>
      <c r="Q58" s="68">
        <f>InBS_Q!D32/10^9</f>
        <v>0</v>
      </c>
      <c r="R58" s="68">
        <f>InBS_Q!E32/10^9</f>
        <v>0</v>
      </c>
      <c r="S58" s="68">
        <f>InBS_Q!F32/10^9</f>
        <v>0</v>
      </c>
      <c r="T58" s="68">
        <f>InBS_Q!G32/10^9</f>
        <v>0</v>
      </c>
      <c r="U58" s="68">
        <f>InBS_Q!H32/10^9</f>
        <v>0</v>
      </c>
      <c r="V58" s="68">
        <f>InBS_Q!I32/10^9</f>
        <v>0</v>
      </c>
      <c r="W58" s="68">
        <f>InBS_Q!J32/10^9</f>
        <v>0</v>
      </c>
      <c r="X58" s="68">
        <f>InBS_Q!K32/10^9</f>
        <v>0</v>
      </c>
      <c r="Y58" s="68">
        <f>InBS_Q!L32/10^9</f>
        <v>0</v>
      </c>
      <c r="Z58" s="68">
        <f>InBS_Q!M32/10^9</f>
        <v>0</v>
      </c>
      <c r="AA58" s="68">
        <f>InBS_Q!N32/10^9</f>
        <v>0</v>
      </c>
      <c r="AB58" s="68">
        <f>InBS_Q!O32/10^9</f>
        <v>0</v>
      </c>
      <c r="AC58" s="68">
        <f>InBS_Q!P32/10^9</f>
        <v>0</v>
      </c>
      <c r="AD58" s="68">
        <f>InBS_Q!Q32/10^9</f>
        <v>0</v>
      </c>
      <c r="AE58" s="68">
        <f>InBS_Q!R32/10^9</f>
        <v>0</v>
      </c>
      <c r="AF58" s="68">
        <f>InBS_Q!S32/10^9</f>
        <v>0.93600000000000005</v>
      </c>
      <c r="AG58" s="68">
        <f>InBS_Q!T32/10^9</f>
        <v>0.93600000000000005</v>
      </c>
      <c r="AH58" s="68">
        <f>InBS_Q!U32/10^9</f>
        <v>0.93600000000000005</v>
      </c>
      <c r="AI58" s="68">
        <f>InBS_Q!V32/10^9</f>
        <v>0.93600000000000005</v>
      </c>
      <c r="AJ58" s="68">
        <f>InBS_Q!W32/10^9</f>
        <v>1.927</v>
      </c>
      <c r="AK58" s="68">
        <f>InBS_Q!X32/10^9</f>
        <v>1.927</v>
      </c>
      <c r="AL58" s="68">
        <f>InBS_Q!Y32/10^9</f>
        <v>1.927</v>
      </c>
      <c r="AM58" s="68">
        <f>InBS_Q!Z32/10^9</f>
        <v>1.927</v>
      </c>
      <c r="AN58" s="68">
        <f>InBS_Q!AA32/10^9</f>
        <v>1.927</v>
      </c>
    </row>
    <row r="59" spans="2:40" x14ac:dyDescent="0.3">
      <c r="B59" s="61" t="s">
        <v>33</v>
      </c>
      <c r="C59" s="62">
        <f>InBS!C33/10^9</f>
        <v>0</v>
      </c>
      <c r="D59" s="62">
        <f>InBS!D33/10^9</f>
        <v>0</v>
      </c>
      <c r="E59" s="62">
        <f>InBS!E33/10^9</f>
        <v>0</v>
      </c>
      <c r="F59" s="62">
        <f>InBS!F33/10^9</f>
        <v>0</v>
      </c>
      <c r="G59" s="62">
        <f>InBS!G33/10^9</f>
        <v>0</v>
      </c>
      <c r="H59" s="62">
        <f>InBS!H33/10^9</f>
        <v>0</v>
      </c>
      <c r="I59" s="62">
        <f>InBS!I33/10^9</f>
        <v>0</v>
      </c>
      <c r="J59" s="62">
        <f>InBS!J33/10^9</f>
        <v>0</v>
      </c>
      <c r="K59" s="62">
        <f>InBS!K33/10^9</f>
        <v>0</v>
      </c>
      <c r="L59" s="62">
        <f>InBS!L33/10^9</f>
        <v>0</v>
      </c>
      <c r="P59" s="68">
        <f>InBS_Q!C33/10^9</f>
        <v>0</v>
      </c>
      <c r="Q59" s="68">
        <f>InBS_Q!D33/10^9</f>
        <v>0</v>
      </c>
      <c r="R59" s="68">
        <f>InBS_Q!E33/10^9</f>
        <v>0</v>
      </c>
      <c r="S59" s="68">
        <f>InBS_Q!F33/10^9</f>
        <v>0</v>
      </c>
      <c r="T59" s="68">
        <f>InBS_Q!G33/10^9</f>
        <v>0</v>
      </c>
      <c r="U59" s="68">
        <f>InBS_Q!H33/10^9</f>
        <v>0</v>
      </c>
      <c r="V59" s="68">
        <f>InBS_Q!I33/10^9</f>
        <v>0</v>
      </c>
      <c r="W59" s="68">
        <f>InBS_Q!J33/10^9</f>
        <v>0</v>
      </c>
      <c r="X59" s="68">
        <f>InBS_Q!K33/10^9</f>
        <v>0</v>
      </c>
      <c r="Y59" s="68">
        <f>InBS_Q!L33/10^9</f>
        <v>0</v>
      </c>
      <c r="Z59" s="68">
        <f>InBS_Q!M33/10^9</f>
        <v>0</v>
      </c>
      <c r="AA59" s="68">
        <f>InBS_Q!N33/10^9</f>
        <v>0</v>
      </c>
      <c r="AB59" s="68">
        <f>InBS_Q!O33/10^9</f>
        <v>0</v>
      </c>
      <c r="AC59" s="68">
        <f>InBS_Q!P33/10^9</f>
        <v>0</v>
      </c>
      <c r="AD59" s="68">
        <f>InBS_Q!Q33/10^9</f>
        <v>0</v>
      </c>
      <c r="AE59" s="68">
        <f>InBS_Q!R33/10^9</f>
        <v>0</v>
      </c>
      <c r="AF59" s="68">
        <f>InBS_Q!S33/10^9</f>
        <v>0</v>
      </c>
      <c r="AG59" s="68">
        <f>InBS_Q!T33/10^9</f>
        <v>0</v>
      </c>
      <c r="AH59" s="68">
        <f>InBS_Q!U33/10^9</f>
        <v>0</v>
      </c>
      <c r="AI59" s="68">
        <f>InBS_Q!V33/10^9</f>
        <v>0</v>
      </c>
      <c r="AJ59" s="68">
        <f>InBS_Q!W33/10^9</f>
        <v>0</v>
      </c>
      <c r="AK59" s="68">
        <f>InBS_Q!X33/10^9</f>
        <v>0</v>
      </c>
      <c r="AL59" s="68">
        <f>InBS_Q!Y33/10^9</f>
        <v>0</v>
      </c>
      <c r="AM59" s="68">
        <f>InBS_Q!Z33/10^9</f>
        <v>0</v>
      </c>
      <c r="AN59" s="68">
        <f>InBS_Q!AA33/10^9</f>
        <v>0</v>
      </c>
    </row>
    <row r="60" spans="2:40" s="81" customFormat="1" x14ac:dyDescent="0.3">
      <c r="B60" s="58" t="s">
        <v>34</v>
      </c>
      <c r="C60" s="60">
        <f>InBS!C34/10^9</f>
        <v>1.3372185539999999</v>
      </c>
      <c r="D60" s="60">
        <f>InBS!D34/10^9</f>
        <v>66.223222901</v>
      </c>
      <c r="E60" s="60">
        <f>InBS!E34/10^9</f>
        <v>104.474454436</v>
      </c>
      <c r="F60" s="60">
        <f>InBS!F34/10^9</f>
        <v>176.51748358399999</v>
      </c>
      <c r="G60" s="60">
        <f>InBS!G34/10^9</f>
        <v>292.34442256800003</v>
      </c>
      <c r="H60" s="60">
        <f>InBS!H34/10^9</f>
        <v>225.19752155200001</v>
      </c>
      <c r="I60" s="60">
        <f>InBS!I34/10^9</f>
        <v>97.487234747000002</v>
      </c>
      <c r="J60" s="60">
        <f>InBS!J34/10^9</f>
        <v>112.45466626</v>
      </c>
      <c r="K60" s="60">
        <f>InBS!K34/10^9</f>
        <v>170.81711606100001</v>
      </c>
      <c r="L60" s="60">
        <f>InBS!L34/10^9</f>
        <v>142.672404911</v>
      </c>
      <c r="P60" s="66">
        <f>InBS_Q!C34/10^9</f>
        <v>298.73933119100002</v>
      </c>
      <c r="Q60" s="66">
        <f>InBS_Q!D34/10^9</f>
        <v>284.89590493100002</v>
      </c>
      <c r="R60" s="66">
        <f>InBS_Q!E34/10^9</f>
        <v>292.34442256800003</v>
      </c>
      <c r="S60" s="66">
        <f>InBS_Q!F34/10^9</f>
        <v>265.51016616499999</v>
      </c>
      <c r="T60" s="66">
        <f>InBS_Q!G34/10^9</f>
        <v>234.806107825</v>
      </c>
      <c r="U60" s="66">
        <f>InBS_Q!H34/10^9</f>
        <v>208.55261244100001</v>
      </c>
      <c r="V60" s="66">
        <f>InBS_Q!I34/10^9</f>
        <v>225.19752155200001</v>
      </c>
      <c r="W60" s="66">
        <f>InBS_Q!J34/10^9</f>
        <v>192.38489696799999</v>
      </c>
      <c r="X60" s="66">
        <f>InBS_Q!K34/10^9</f>
        <v>158.22281024099999</v>
      </c>
      <c r="Y60" s="66">
        <f>InBS_Q!L34/10^9</f>
        <v>132.37364762999999</v>
      </c>
      <c r="Z60" s="66">
        <f>InBS_Q!M34/10^9</f>
        <v>119.916400201</v>
      </c>
      <c r="AA60" s="66">
        <f>InBS_Q!N34/10^9</f>
        <v>84.936145042999996</v>
      </c>
      <c r="AB60" s="66">
        <f>InBS_Q!O34/10^9</f>
        <v>95.410200978999995</v>
      </c>
      <c r="AC60" s="66">
        <f>InBS_Q!P34/10^9</f>
        <v>125.16780565000001</v>
      </c>
      <c r="AD60" s="66">
        <f>InBS_Q!Q34/10^9</f>
        <v>111.55742578</v>
      </c>
      <c r="AE60" s="66">
        <f>InBS_Q!R34/10^9</f>
        <v>103.81802517200001</v>
      </c>
      <c r="AF60" s="66">
        <f>InBS_Q!S34/10^9</f>
        <v>148.2599495</v>
      </c>
      <c r="AG60" s="66">
        <f>InBS_Q!T34/10^9</f>
        <v>177.42049607300001</v>
      </c>
      <c r="AH60" s="66">
        <f>InBS_Q!U34/10^9</f>
        <v>170.81711606100001</v>
      </c>
      <c r="AI60" s="66">
        <f>InBS_Q!V34/10^9</f>
        <v>183.93521142899999</v>
      </c>
      <c r="AJ60" s="66">
        <f>InBS_Q!W34/10^9</f>
        <v>171.788575611</v>
      </c>
      <c r="AK60" s="66">
        <f>InBS_Q!X34/10^9</f>
        <v>155.99129162200001</v>
      </c>
      <c r="AL60" s="66">
        <f>InBS_Q!Y34/10^9</f>
        <v>142.672404911</v>
      </c>
      <c r="AM60" s="66">
        <f>InBS_Q!Z34/10^9</f>
        <v>171.43924090499999</v>
      </c>
      <c r="AN60" s="66">
        <f>InBS_Q!AA34/10^9</f>
        <v>160.44758978199999</v>
      </c>
    </row>
    <row r="61" spans="2:40" x14ac:dyDescent="0.3">
      <c r="B61" s="61" t="s">
        <v>35</v>
      </c>
      <c r="C61" s="62">
        <f>InBS!C35/10^9</f>
        <v>1.0553532960000001</v>
      </c>
      <c r="D61" s="62">
        <f>InBS!D35/10^9</f>
        <v>62.837483218000003</v>
      </c>
      <c r="E61" s="62">
        <f>InBS!E35/10^9</f>
        <v>103.830519854</v>
      </c>
      <c r="F61" s="62">
        <f>InBS!F35/10^9</f>
        <v>157.91330150900001</v>
      </c>
      <c r="G61" s="62">
        <f>InBS!G35/10^9</f>
        <v>248.98263921500001</v>
      </c>
      <c r="H61" s="62">
        <f>InBS!H35/10^9</f>
        <v>191.75756205499999</v>
      </c>
      <c r="I61" s="62">
        <f>InBS!I35/10^9</f>
        <v>82.057702882000001</v>
      </c>
      <c r="J61" s="62">
        <f>InBS!J35/10^9</f>
        <v>109.11033270900001</v>
      </c>
      <c r="K61" s="62">
        <f>InBS!K35/10^9</f>
        <v>170.39048180500001</v>
      </c>
      <c r="L61" s="62">
        <f>InBS!L35/10^9</f>
        <v>142.525687323</v>
      </c>
      <c r="P61" s="68">
        <f>InBS_Q!C35/10^9</f>
        <v>274.10930642199997</v>
      </c>
      <c r="Q61" s="68">
        <f>InBS_Q!D35/10^9</f>
        <v>284.66562179200002</v>
      </c>
      <c r="R61" s="68">
        <f>InBS_Q!E35/10^9</f>
        <v>248.98263921500001</v>
      </c>
      <c r="S61" s="68">
        <f>InBS_Q!F35/10^9</f>
        <v>225.52517824899999</v>
      </c>
      <c r="T61" s="68">
        <f>InBS_Q!G35/10^9</f>
        <v>198.73638893200001</v>
      </c>
      <c r="U61" s="68">
        <f>InBS_Q!H35/10^9</f>
        <v>173.25913140599999</v>
      </c>
      <c r="V61" s="68">
        <f>InBS_Q!I35/10^9</f>
        <v>191.75756205499999</v>
      </c>
      <c r="W61" s="68">
        <f>InBS_Q!J35/10^9</f>
        <v>167.82458340100001</v>
      </c>
      <c r="X61" s="68">
        <f>InBS_Q!K35/10^9</f>
        <v>137.181068724</v>
      </c>
      <c r="Y61" s="68">
        <f>InBS_Q!L35/10^9</f>
        <v>107.002398163</v>
      </c>
      <c r="Z61" s="68">
        <f>InBS_Q!M35/10^9</f>
        <v>82.057702882000001</v>
      </c>
      <c r="AA61" s="68">
        <f>InBS_Q!N35/10^9</f>
        <v>61.388568141</v>
      </c>
      <c r="AB61" s="68">
        <f>InBS_Q!O35/10^9</f>
        <v>88.171858774</v>
      </c>
      <c r="AC61" s="68">
        <f>InBS_Q!P35/10^9</f>
        <v>116.15746826900001</v>
      </c>
      <c r="AD61" s="68">
        <f>InBS_Q!Q35/10^9</f>
        <v>109.11033270900001</v>
      </c>
      <c r="AE61" s="68">
        <f>InBS_Q!R35/10^9</f>
        <v>103.18145341499999</v>
      </c>
      <c r="AF61" s="68">
        <f>InBS_Q!S35/10^9</f>
        <v>147.69335691000001</v>
      </c>
      <c r="AG61" s="68">
        <f>InBS_Q!T35/10^9</f>
        <v>176.92388265</v>
      </c>
      <c r="AH61" s="68">
        <f>InBS_Q!U35/10^9</f>
        <v>170.39048180500001</v>
      </c>
      <c r="AI61" s="68">
        <f>InBS_Q!V35/10^9</f>
        <v>183.57855634000001</v>
      </c>
      <c r="AJ61" s="68">
        <f>InBS_Q!W35/10^9</f>
        <v>171.501899689</v>
      </c>
      <c r="AK61" s="68">
        <f>InBS_Q!X35/10^9</f>
        <v>155.77459486699999</v>
      </c>
      <c r="AL61" s="68">
        <f>InBS_Q!Y35/10^9</f>
        <v>142.525687323</v>
      </c>
      <c r="AM61" s="68">
        <f>InBS_Q!Z35/10^9</f>
        <v>131.79870793000001</v>
      </c>
      <c r="AN61" s="68">
        <f>InBS_Q!AA35/10^9</f>
        <v>121.09431087199999</v>
      </c>
    </row>
    <row r="62" spans="2:40" x14ac:dyDescent="0.3">
      <c r="B62" s="61" t="s">
        <v>36</v>
      </c>
      <c r="C62" s="62">
        <f>InBS!C36/10^9</f>
        <v>1.1012291009999999</v>
      </c>
      <c r="D62" s="62">
        <f>InBS!D36/10^9</f>
        <v>65.148563413999995</v>
      </c>
      <c r="E62" s="62">
        <f>InBS!E36/10^9</f>
        <v>114.09462044599999</v>
      </c>
      <c r="F62" s="62">
        <f>InBS!F36/10^9</f>
        <v>188.547553096</v>
      </c>
      <c r="G62" s="62">
        <f>InBS!G36/10^9</f>
        <v>361.99705583500003</v>
      </c>
      <c r="H62" s="62">
        <f>InBS!H36/10^9</f>
        <v>410.97893309400001</v>
      </c>
      <c r="I62" s="62">
        <f>InBS!I36/10^9</f>
        <v>419.19214478100002</v>
      </c>
      <c r="J62" s="62">
        <f>InBS!J36/10^9</f>
        <v>554.22824138800001</v>
      </c>
      <c r="K62" s="62">
        <f>InBS!K36/10^9</f>
        <v>679.45212770099999</v>
      </c>
      <c r="L62" s="62">
        <f>InBS!L36/10^9</f>
        <v>711.62509849100002</v>
      </c>
      <c r="P62" s="68">
        <f>InBS_Q!C36/10^9</f>
        <v>326.92950589700001</v>
      </c>
      <c r="Q62" s="68">
        <f>InBS_Q!D36/10^9</f>
        <v>360.96432105700001</v>
      </c>
      <c r="R62" s="68">
        <f>InBS_Q!E36/10^9</f>
        <v>361.99705583500003</v>
      </c>
      <c r="S62" s="68">
        <f>InBS_Q!F36/10^9</f>
        <v>362.01368583499999</v>
      </c>
      <c r="T62" s="68">
        <f>InBS_Q!G36/10^9</f>
        <v>363.40799263899999</v>
      </c>
      <c r="U62" s="68">
        <f>InBS_Q!H36/10^9</f>
        <v>363.80887212800002</v>
      </c>
      <c r="V62" s="68">
        <f>InBS_Q!I36/10^9</f>
        <v>410.97893309400001</v>
      </c>
      <c r="W62" s="68">
        <f>InBS_Q!J36/10^9</f>
        <v>416.96775264799999</v>
      </c>
      <c r="X62" s="68">
        <f>InBS_Q!K36/10^9</f>
        <v>415.572009326</v>
      </c>
      <c r="Y62" s="68">
        <f>InBS_Q!L36/10^9</f>
        <v>415.64712932600003</v>
      </c>
      <c r="Z62" s="68">
        <f>InBS_Q!M36/10^9</f>
        <v>419.19214478100002</v>
      </c>
      <c r="AA62" s="68">
        <f>InBS_Q!N36/10^9</f>
        <v>419.26844478100003</v>
      </c>
      <c r="AB62" s="68">
        <f>InBS_Q!O36/10^9</f>
        <v>460.25408557899999</v>
      </c>
      <c r="AC62" s="68">
        <f>InBS_Q!P36/10^9</f>
        <v>503.139106771</v>
      </c>
      <c r="AD62" s="68">
        <f>InBS_Q!Q36/10^9</f>
        <v>554.22824138800001</v>
      </c>
      <c r="AE62" s="68">
        <f>InBS_Q!R36/10^9</f>
        <v>562.57508681499996</v>
      </c>
      <c r="AF62" s="68">
        <f>InBS_Q!S36/10^9</f>
        <v>619.99217904700004</v>
      </c>
      <c r="AG62" s="68">
        <f>InBS_Q!T36/10^9</f>
        <v>667.06925265500001</v>
      </c>
      <c r="AH62" s="68">
        <f>InBS_Q!U36/10^9</f>
        <v>679.45212770099999</v>
      </c>
      <c r="AI62" s="68">
        <f>InBS_Q!V36/10^9</f>
        <v>706.18697220000001</v>
      </c>
      <c r="AJ62" s="68">
        <f>InBS_Q!W36/10^9</f>
        <v>709.60639165500004</v>
      </c>
      <c r="AK62" s="68">
        <f>InBS_Q!X36/10^9</f>
        <v>709.65095983699996</v>
      </c>
      <c r="AL62" s="68">
        <f>InBS_Q!Y36/10^9</f>
        <v>711.62509849100002</v>
      </c>
      <c r="AM62" s="68">
        <f>InBS_Q!Z36/10^9</f>
        <v>711.62509849100002</v>
      </c>
      <c r="AN62" s="68">
        <f>InBS_Q!AA36/10^9</f>
        <v>711.62509849100002</v>
      </c>
    </row>
    <row r="63" spans="2:40" x14ac:dyDescent="0.3">
      <c r="B63" s="61" t="s">
        <v>37</v>
      </c>
      <c r="C63" s="62">
        <f>InBS!C37/10^9</f>
        <v>-4.5875804999999999E-2</v>
      </c>
      <c r="D63" s="62">
        <f>InBS!D37/10^9</f>
        <v>-2.3110801959999998</v>
      </c>
      <c r="E63" s="62">
        <f>InBS!E37/10^9</f>
        <v>-10.264100592</v>
      </c>
      <c r="F63" s="62">
        <f>InBS!F37/10^9</f>
        <v>-30.634251587000001</v>
      </c>
      <c r="G63" s="62">
        <f>InBS!G37/10^9</f>
        <v>-113.01441662000001</v>
      </c>
      <c r="H63" s="62">
        <f>InBS!H37/10^9</f>
        <v>-219.22137103899999</v>
      </c>
      <c r="I63" s="62">
        <f>InBS!I37/10^9</f>
        <v>-337.13444189900002</v>
      </c>
      <c r="J63" s="62">
        <f>InBS!J37/10^9</f>
        <v>-445.11790867899998</v>
      </c>
      <c r="K63" s="62">
        <f>InBS!K37/10^9</f>
        <v>-509.06164589600002</v>
      </c>
      <c r="L63" s="62">
        <f>InBS!L37/10^9</f>
        <v>-569.09941116799996</v>
      </c>
      <c r="P63" s="68">
        <f>InBS_Q!C37/10^9</f>
        <v>-52.820199475000003</v>
      </c>
      <c r="Q63" s="68">
        <f>InBS_Q!D37/10^9</f>
        <v>-76.298699264999996</v>
      </c>
      <c r="R63" s="68">
        <f>InBS_Q!E37/10^9</f>
        <v>-113.01441662000001</v>
      </c>
      <c r="S63" s="68">
        <f>InBS_Q!F37/10^9</f>
        <v>-136.488507586</v>
      </c>
      <c r="T63" s="68">
        <f>InBS_Q!G37/10^9</f>
        <v>-164.671603707</v>
      </c>
      <c r="U63" s="68">
        <f>InBS_Q!H37/10^9</f>
        <v>-190.549740722</v>
      </c>
      <c r="V63" s="68">
        <f>InBS_Q!I37/10^9</f>
        <v>-219.22137103899999</v>
      </c>
      <c r="W63" s="68">
        <f>InBS_Q!J37/10^9</f>
        <v>-249.143169247</v>
      </c>
      <c r="X63" s="68">
        <f>InBS_Q!K37/10^9</f>
        <v>-278.390940602</v>
      </c>
      <c r="Y63" s="68">
        <f>InBS_Q!L37/10^9</f>
        <v>-308.64473116300002</v>
      </c>
      <c r="Z63" s="68">
        <f>InBS_Q!M37/10^9</f>
        <v>-337.13444189900002</v>
      </c>
      <c r="AA63" s="68">
        <f>InBS_Q!N37/10^9</f>
        <v>-357.87987664000002</v>
      </c>
      <c r="AB63" s="68">
        <f>InBS_Q!O37/10^9</f>
        <v>-372.082226805</v>
      </c>
      <c r="AC63" s="68">
        <f>InBS_Q!P37/10^9</f>
        <v>-386.98163850200001</v>
      </c>
      <c r="AD63" s="68">
        <f>InBS_Q!Q37/10^9</f>
        <v>-445.11790867899998</v>
      </c>
      <c r="AE63" s="68">
        <f>InBS_Q!R37/10^9</f>
        <v>-459.3936334</v>
      </c>
      <c r="AF63" s="68">
        <f>InBS_Q!S37/10^9</f>
        <v>-472.298822137</v>
      </c>
      <c r="AG63" s="68">
        <f>InBS_Q!T37/10^9</f>
        <v>-490.14537000500002</v>
      </c>
      <c r="AH63" s="68">
        <f>InBS_Q!U37/10^9</f>
        <v>-509.06164589600002</v>
      </c>
      <c r="AI63" s="68">
        <f>InBS_Q!V37/10^9</f>
        <v>-522.60841586000004</v>
      </c>
      <c r="AJ63" s="68">
        <f>InBS_Q!W37/10^9</f>
        <v>-538.10449196599996</v>
      </c>
      <c r="AK63" s="68">
        <f>InBS_Q!X37/10^9</f>
        <v>-553.87636497000005</v>
      </c>
      <c r="AL63" s="68">
        <f>InBS_Q!Y37/10^9</f>
        <v>-569.09941116799996</v>
      </c>
      <c r="AM63" s="68">
        <f>InBS_Q!Z37/10^9</f>
        <v>-579.82639056100004</v>
      </c>
      <c r="AN63" s="68">
        <f>InBS_Q!AA37/10^9</f>
        <v>-590.53078761899997</v>
      </c>
    </row>
    <row r="64" spans="2:40" x14ac:dyDescent="0.3">
      <c r="B64" s="61" t="s">
        <v>38</v>
      </c>
      <c r="C64" s="62">
        <f>InBS!C38/10^9</f>
        <v>0</v>
      </c>
      <c r="D64" s="62">
        <f>InBS!D38/10^9</f>
        <v>0</v>
      </c>
      <c r="E64" s="62">
        <f>InBS!E38/10^9</f>
        <v>0</v>
      </c>
      <c r="F64" s="62">
        <f>InBS!F38/10^9</f>
        <v>0</v>
      </c>
      <c r="G64" s="62">
        <f>InBS!G38/10^9</f>
        <v>42.011397203999998</v>
      </c>
      <c r="H64" s="62">
        <f>InBS!H38/10^9</f>
        <v>27.982456668000001</v>
      </c>
      <c r="I64" s="62">
        <f>InBS!I38/10^9</f>
        <v>13.953516132000001</v>
      </c>
      <c r="J64" s="62">
        <f>InBS!J38/10^9</f>
        <v>0</v>
      </c>
      <c r="K64" s="62">
        <f>InBS!K38/10^9</f>
        <v>0</v>
      </c>
      <c r="L64" s="62">
        <f>InBS!L38/10^9</f>
        <v>0</v>
      </c>
      <c r="P64" s="68">
        <f>InBS_Q!C38/10^9</f>
        <v>0</v>
      </c>
      <c r="Q64" s="68">
        <f>InBS_Q!D38/10^9</f>
        <v>0</v>
      </c>
      <c r="R64" s="68">
        <f>InBS_Q!E38/10^9</f>
        <v>42.011397203999998</v>
      </c>
      <c r="S64" s="68">
        <f>InBS_Q!F38/10^9</f>
        <v>38.50416207</v>
      </c>
      <c r="T64" s="68">
        <f>InBS_Q!G38/10^9</f>
        <v>34.996926936000001</v>
      </c>
      <c r="U64" s="68">
        <f>InBS_Q!H38/10^9</f>
        <v>31.489691801999999</v>
      </c>
      <c r="V64" s="68">
        <f>InBS_Q!I38/10^9</f>
        <v>27.982456668000001</v>
      </c>
      <c r="W64" s="68">
        <f>InBS_Q!J38/10^9</f>
        <v>24.475221533999999</v>
      </c>
      <c r="X64" s="68">
        <f>InBS_Q!K38/10^9</f>
        <v>20.967986400000001</v>
      </c>
      <c r="Y64" s="68">
        <f>InBS_Q!L38/10^9</f>
        <v>17.460751265999999</v>
      </c>
      <c r="Z64" s="68">
        <f>InBS_Q!M38/10^9</f>
        <v>13.953516132000001</v>
      </c>
      <c r="AA64" s="68">
        <f>InBS_Q!N38/10^9</f>
        <v>10.446280998000001</v>
      </c>
      <c r="AB64" s="68">
        <f>InBS_Q!O38/10^9</f>
        <v>6.9390458639999997</v>
      </c>
      <c r="AC64" s="68">
        <f>InBS_Q!P38/10^9</f>
        <v>3.43181073</v>
      </c>
      <c r="AD64" s="68">
        <f>InBS_Q!Q38/10^9</f>
        <v>0</v>
      </c>
      <c r="AE64" s="68">
        <f>InBS_Q!R38/10^9</f>
        <v>0</v>
      </c>
      <c r="AF64" s="68">
        <f>InBS_Q!S38/10^9</f>
        <v>0</v>
      </c>
      <c r="AG64" s="68">
        <f>InBS_Q!T38/10^9</f>
        <v>0</v>
      </c>
      <c r="AH64" s="68">
        <f>InBS_Q!U38/10^9</f>
        <v>0</v>
      </c>
      <c r="AI64" s="68">
        <f>InBS_Q!V38/10^9</f>
        <v>0</v>
      </c>
      <c r="AJ64" s="68">
        <f>InBS_Q!W38/10^9</f>
        <v>0</v>
      </c>
      <c r="AK64" s="68">
        <f>InBS_Q!X38/10^9</f>
        <v>0</v>
      </c>
      <c r="AL64" s="68">
        <f>InBS_Q!Y38/10^9</f>
        <v>0</v>
      </c>
      <c r="AM64" s="68">
        <f>InBS_Q!Z38/10^9</f>
        <v>0</v>
      </c>
      <c r="AN64" s="68">
        <f>InBS_Q!AA38/10^9</f>
        <v>0</v>
      </c>
    </row>
    <row r="65" spans="2:40" x14ac:dyDescent="0.3">
      <c r="B65" s="61" t="s">
        <v>39</v>
      </c>
      <c r="C65" s="62">
        <f>InBS!C39/10^9</f>
        <v>0</v>
      </c>
      <c r="D65" s="62">
        <f>InBS!D39/10^9</f>
        <v>0</v>
      </c>
      <c r="E65" s="62">
        <f>InBS!E39/10^9</f>
        <v>0</v>
      </c>
      <c r="F65" s="62">
        <f>InBS!F39/10^9</f>
        <v>0</v>
      </c>
      <c r="G65" s="62">
        <f>InBS!G39/10^9</f>
        <v>42.086821614999998</v>
      </c>
      <c r="H65" s="62">
        <f>InBS!H39/10^9</f>
        <v>42.086821614999998</v>
      </c>
      <c r="I65" s="62">
        <f>InBS!I39/10^9</f>
        <v>42.086821614999998</v>
      </c>
      <c r="J65" s="62">
        <f>InBS!J39/10^9</f>
        <v>0</v>
      </c>
      <c r="K65" s="62">
        <f>InBS!K39/10^9</f>
        <v>0</v>
      </c>
      <c r="L65" s="62">
        <f>InBS!L39/10^9</f>
        <v>0</v>
      </c>
      <c r="P65" s="68">
        <f>InBS_Q!C39/10^9</f>
        <v>0</v>
      </c>
      <c r="Q65" s="68">
        <f>InBS_Q!D39/10^9</f>
        <v>0</v>
      </c>
      <c r="R65" s="68">
        <f>InBS_Q!E39/10^9</f>
        <v>42.086821614999998</v>
      </c>
      <c r="S65" s="68">
        <f>InBS_Q!F39/10^9</f>
        <v>42.086821614999998</v>
      </c>
      <c r="T65" s="68">
        <f>InBS_Q!G39/10^9</f>
        <v>42.086821614999998</v>
      </c>
      <c r="U65" s="68">
        <f>InBS_Q!H39/10^9</f>
        <v>42.086821614999998</v>
      </c>
      <c r="V65" s="68">
        <f>InBS_Q!I39/10^9</f>
        <v>42.086821614999998</v>
      </c>
      <c r="W65" s="68">
        <f>InBS_Q!J39/10^9</f>
        <v>42.086821614999998</v>
      </c>
      <c r="X65" s="68">
        <f>InBS_Q!K39/10^9</f>
        <v>42.086821614999998</v>
      </c>
      <c r="Y65" s="68">
        <f>InBS_Q!L39/10^9</f>
        <v>42.086821614999998</v>
      </c>
      <c r="Z65" s="68">
        <f>InBS_Q!M39/10^9</f>
        <v>42.086821614999998</v>
      </c>
      <c r="AA65" s="68">
        <f>InBS_Q!N39/10^9</f>
        <v>42.086821614999998</v>
      </c>
      <c r="AB65" s="68">
        <f>InBS_Q!O39/10^9</f>
        <v>42.086821614999998</v>
      </c>
      <c r="AC65" s="68">
        <f>InBS_Q!P39/10^9</f>
        <v>42.086821614999998</v>
      </c>
      <c r="AD65" s="68">
        <f>InBS_Q!Q39/10^9</f>
        <v>0</v>
      </c>
      <c r="AE65" s="68">
        <f>InBS_Q!R39/10^9</f>
        <v>0</v>
      </c>
      <c r="AF65" s="68">
        <f>InBS_Q!S39/10^9</f>
        <v>0</v>
      </c>
      <c r="AG65" s="68">
        <f>InBS_Q!T39/10^9</f>
        <v>0</v>
      </c>
      <c r="AH65" s="68">
        <f>InBS_Q!U39/10^9</f>
        <v>0</v>
      </c>
      <c r="AI65" s="68">
        <f>InBS_Q!V39/10^9</f>
        <v>0</v>
      </c>
      <c r="AJ65" s="68">
        <f>InBS_Q!W39/10^9</f>
        <v>0</v>
      </c>
      <c r="AK65" s="68">
        <f>InBS_Q!X39/10^9</f>
        <v>0</v>
      </c>
      <c r="AL65" s="68">
        <f>InBS_Q!Y39/10^9</f>
        <v>0</v>
      </c>
      <c r="AM65" s="68">
        <f>InBS_Q!Z39/10^9</f>
        <v>0</v>
      </c>
      <c r="AN65" s="68">
        <f>InBS_Q!AA39/10^9</f>
        <v>0</v>
      </c>
    </row>
    <row r="66" spans="2:40" x14ac:dyDescent="0.3">
      <c r="B66" s="61" t="s">
        <v>40</v>
      </c>
      <c r="C66" s="62">
        <f>InBS!C40/10^9</f>
        <v>0</v>
      </c>
      <c r="D66" s="62">
        <f>InBS!D40/10^9</f>
        <v>0</v>
      </c>
      <c r="E66" s="62">
        <f>InBS!E40/10^9</f>
        <v>0</v>
      </c>
      <c r="F66" s="62">
        <f>InBS!F40/10^9</f>
        <v>0</v>
      </c>
      <c r="G66" s="62">
        <f>InBS!G40/10^9</f>
        <v>-7.5424410999999997E-2</v>
      </c>
      <c r="H66" s="62">
        <f>InBS!H40/10^9</f>
        <v>-14.104364947000001</v>
      </c>
      <c r="I66" s="62">
        <f>InBS!I40/10^9</f>
        <v>-28.133305483000001</v>
      </c>
      <c r="J66" s="62">
        <f>InBS!J40/10^9</f>
        <v>0</v>
      </c>
      <c r="K66" s="62">
        <f>InBS!K40/10^9</f>
        <v>0</v>
      </c>
      <c r="L66" s="62">
        <f>InBS!L40/10^9</f>
        <v>0</v>
      </c>
      <c r="P66" s="68">
        <f>InBS_Q!C40/10^9</f>
        <v>0</v>
      </c>
      <c r="Q66" s="68">
        <f>InBS_Q!D40/10^9</f>
        <v>0</v>
      </c>
      <c r="R66" s="68">
        <f>InBS_Q!E40/10^9</f>
        <v>-7.5424410999999997E-2</v>
      </c>
      <c r="S66" s="68">
        <f>InBS_Q!F40/10^9</f>
        <v>-3.5826595449999998</v>
      </c>
      <c r="T66" s="68">
        <f>InBS_Q!G40/10^9</f>
        <v>-7.0898946790000004</v>
      </c>
      <c r="U66" s="68">
        <f>InBS_Q!H40/10^9</f>
        <v>-10.597129813</v>
      </c>
      <c r="V66" s="68">
        <f>InBS_Q!I40/10^9</f>
        <v>-14.104364947000001</v>
      </c>
      <c r="W66" s="68">
        <f>InBS_Q!J40/10^9</f>
        <v>-17.611600080999999</v>
      </c>
      <c r="X66" s="68">
        <f>InBS_Q!K40/10^9</f>
        <v>-21.118835215000001</v>
      </c>
      <c r="Y66" s="68">
        <f>InBS_Q!L40/10^9</f>
        <v>-24.626070348999999</v>
      </c>
      <c r="Z66" s="68">
        <f>InBS_Q!M40/10^9</f>
        <v>-28.133305483000001</v>
      </c>
      <c r="AA66" s="68">
        <f>InBS_Q!N40/10^9</f>
        <v>-31.640540616999999</v>
      </c>
      <c r="AB66" s="68">
        <f>InBS_Q!O40/10^9</f>
        <v>-35.147775750999998</v>
      </c>
      <c r="AC66" s="68">
        <f>InBS_Q!P40/10^9</f>
        <v>-38.655010885000003</v>
      </c>
      <c r="AD66" s="68">
        <f>InBS_Q!Q40/10^9</f>
        <v>0</v>
      </c>
      <c r="AE66" s="68">
        <f>InBS_Q!R40/10^9</f>
        <v>0</v>
      </c>
      <c r="AF66" s="68">
        <f>InBS_Q!S40/10^9</f>
        <v>0</v>
      </c>
      <c r="AG66" s="68">
        <f>InBS_Q!T40/10^9</f>
        <v>0</v>
      </c>
      <c r="AH66" s="68">
        <f>InBS_Q!U40/10^9</f>
        <v>0</v>
      </c>
      <c r="AI66" s="68">
        <f>InBS_Q!V40/10^9</f>
        <v>0</v>
      </c>
      <c r="AJ66" s="68">
        <f>InBS_Q!W40/10^9</f>
        <v>0</v>
      </c>
      <c r="AK66" s="68">
        <f>InBS_Q!X40/10^9</f>
        <v>0</v>
      </c>
      <c r="AL66" s="68">
        <f>InBS_Q!Y40/10^9</f>
        <v>0</v>
      </c>
      <c r="AM66" s="68">
        <f>InBS_Q!Z40/10^9</f>
        <v>0</v>
      </c>
      <c r="AN66" s="68">
        <f>InBS_Q!AA40/10^9</f>
        <v>0</v>
      </c>
    </row>
    <row r="67" spans="2:40" x14ac:dyDescent="0.3">
      <c r="B67" s="61" t="s">
        <v>41</v>
      </c>
      <c r="C67" s="62">
        <f>InBS!C41/10^9</f>
        <v>3.2313015E-2</v>
      </c>
      <c r="D67" s="62">
        <f>InBS!D41/10^9</f>
        <v>2.5510274999999999E-2</v>
      </c>
      <c r="E67" s="62">
        <f>InBS!E41/10^9</f>
        <v>1.8707535000000001E-2</v>
      </c>
      <c r="F67" s="62">
        <f>InBS!F41/10^9</f>
        <v>3.045411E-3</v>
      </c>
      <c r="G67" s="62">
        <f>InBS!G41/10^9</f>
        <v>0</v>
      </c>
      <c r="H67" s="62">
        <f>InBS!H41/10^9</f>
        <v>9.6428949E-2</v>
      </c>
      <c r="I67" s="62">
        <f>InBS!I41/10^9</f>
        <v>5.1081284999999997E-2</v>
      </c>
      <c r="J67" s="62">
        <f>InBS!J41/10^9</f>
        <v>0.71228454500000005</v>
      </c>
      <c r="K67" s="62">
        <f>InBS!K41/10^9</f>
        <v>0.42663425599999999</v>
      </c>
      <c r="L67" s="62">
        <f>InBS!L41/10^9</f>
        <v>0.14671758800000001</v>
      </c>
      <c r="P67" s="68">
        <f>InBS_Q!C41/10^9</f>
        <v>0</v>
      </c>
      <c r="Q67" s="68">
        <f>InBS_Q!D41/10^9</f>
        <v>0</v>
      </c>
      <c r="R67" s="68">
        <f>InBS_Q!E41/10^9</f>
        <v>0</v>
      </c>
      <c r="S67" s="68">
        <f>InBS_Q!F41/10^9</f>
        <v>0.13043969699999999</v>
      </c>
      <c r="T67" s="68">
        <f>InBS_Q!G41/10^9</f>
        <v>0.119102781</v>
      </c>
      <c r="U67" s="68">
        <f>InBS_Q!H41/10^9</f>
        <v>0.107765865</v>
      </c>
      <c r="V67" s="68">
        <f>InBS_Q!I41/10^9</f>
        <v>9.6428949E-2</v>
      </c>
      <c r="W67" s="68">
        <f>InBS_Q!J41/10^9</f>
        <v>8.5092032999999997E-2</v>
      </c>
      <c r="X67" s="68">
        <f>InBS_Q!K41/10^9</f>
        <v>7.3755116999999995E-2</v>
      </c>
      <c r="Y67" s="68">
        <f>InBS_Q!L41/10^9</f>
        <v>6.2418201E-2</v>
      </c>
      <c r="Z67" s="68">
        <f>InBS_Q!M41/10^9</f>
        <v>5.1081284999999997E-2</v>
      </c>
      <c r="AA67" s="68">
        <f>InBS_Q!N41/10^9</f>
        <v>0.336029091</v>
      </c>
      <c r="AB67" s="68">
        <f>InBS_Q!O41/10^9</f>
        <v>0.29929634100000002</v>
      </c>
      <c r="AC67" s="68">
        <f>InBS_Q!P41/10^9</f>
        <v>0.79360062799999997</v>
      </c>
      <c r="AD67" s="68">
        <f>InBS_Q!Q41/10^9</f>
        <v>0.71228454500000005</v>
      </c>
      <c r="AE67" s="68">
        <f>InBS_Q!R41/10^9</f>
        <v>0.63657175700000002</v>
      </c>
      <c r="AF67" s="68">
        <f>InBS_Q!S41/10^9</f>
        <v>0.56659258999999995</v>
      </c>
      <c r="AG67" s="68">
        <f>InBS_Q!T41/10^9</f>
        <v>0.496613423</v>
      </c>
      <c r="AH67" s="68">
        <f>InBS_Q!U41/10^9</f>
        <v>0.42663425599999999</v>
      </c>
      <c r="AI67" s="68">
        <f>InBS_Q!V41/10^9</f>
        <v>0.35665508899999998</v>
      </c>
      <c r="AJ67" s="68">
        <f>InBS_Q!W41/10^9</f>
        <v>0.28667592200000003</v>
      </c>
      <c r="AK67" s="68">
        <f>InBS_Q!X41/10^9</f>
        <v>0.21669675499999999</v>
      </c>
      <c r="AL67" s="68">
        <f>InBS_Q!Y41/10^9</f>
        <v>0.14671758800000001</v>
      </c>
      <c r="AM67" s="68">
        <f>InBS_Q!Z41/10^9</f>
        <v>39.640532974999999</v>
      </c>
      <c r="AN67" s="68">
        <f>InBS_Q!AA41/10^9</f>
        <v>39.35327891</v>
      </c>
    </row>
    <row r="68" spans="2:40" x14ac:dyDescent="0.3">
      <c r="B68" s="61" t="s">
        <v>42</v>
      </c>
      <c r="C68" s="62">
        <f>InBS!C42/10^9</f>
        <v>3.4013700000000001E-2</v>
      </c>
      <c r="D68" s="62">
        <f>InBS!D42/10^9</f>
        <v>3.4013700000000001E-2</v>
      </c>
      <c r="E68" s="62">
        <f>InBS!E42/10^9</f>
        <v>3.4013700000000001E-2</v>
      </c>
      <c r="F68" s="62">
        <f>InBS!F42/10^9</f>
        <v>3.4013700000000001E-2</v>
      </c>
      <c r="G68" s="62">
        <f>InBS!G42/10^9</f>
        <v>3.4013700000000001E-2</v>
      </c>
      <c r="H68" s="62">
        <f>InBS!H42/10^9</f>
        <v>0.17005670000000001</v>
      </c>
      <c r="I68" s="62">
        <f>InBS!I42/10^9</f>
        <v>0.17005670000000001</v>
      </c>
      <c r="J68" s="62">
        <f>InBS!J42/10^9</f>
        <v>1.0098066999999999</v>
      </c>
      <c r="K68" s="62">
        <f>InBS!K42/10^9</f>
        <v>1.0098066999999999</v>
      </c>
      <c r="L68" s="62">
        <f>InBS!L42/10^9</f>
        <v>1.0098066999999999</v>
      </c>
      <c r="P68" s="68">
        <f>InBS_Q!C42/10^9</f>
        <v>3.4013700000000001E-2</v>
      </c>
      <c r="Q68" s="68">
        <f>InBS_Q!D42/10^9</f>
        <v>3.4013700000000001E-2</v>
      </c>
      <c r="R68" s="68">
        <f>InBS_Q!E42/10^9</f>
        <v>3.4013700000000001E-2</v>
      </c>
      <c r="S68" s="68">
        <f>InBS_Q!F42/10^9</f>
        <v>0.17005670000000001</v>
      </c>
      <c r="T68" s="68">
        <f>InBS_Q!G42/10^9</f>
        <v>0.17005670000000001</v>
      </c>
      <c r="U68" s="68">
        <f>InBS_Q!H42/10^9</f>
        <v>0.17005670000000001</v>
      </c>
      <c r="V68" s="68">
        <f>InBS_Q!I42/10^9</f>
        <v>0.17005670000000001</v>
      </c>
      <c r="W68" s="68">
        <f>InBS_Q!J42/10^9</f>
        <v>0.17005670000000001</v>
      </c>
      <c r="X68" s="68">
        <f>InBS_Q!K42/10^9</f>
        <v>0.17005670000000001</v>
      </c>
      <c r="Y68" s="68">
        <f>InBS_Q!L42/10^9</f>
        <v>0.17005670000000001</v>
      </c>
      <c r="Z68" s="68">
        <f>InBS_Q!M42/10^9</f>
        <v>0.17005670000000001</v>
      </c>
      <c r="AA68" s="68">
        <f>InBS_Q!N42/10^9</f>
        <v>0.47480670000000003</v>
      </c>
      <c r="AB68" s="68">
        <f>InBS_Q!O42/10^9</f>
        <v>0.47480670000000003</v>
      </c>
      <c r="AC68" s="68">
        <f>InBS_Q!P42/10^9</f>
        <v>1.0098066999999999</v>
      </c>
      <c r="AD68" s="68">
        <f>InBS_Q!Q42/10^9</f>
        <v>1.0098066999999999</v>
      </c>
      <c r="AE68" s="68">
        <f>InBS_Q!R42/10^9</f>
        <v>1.0098066999999999</v>
      </c>
      <c r="AF68" s="68">
        <f>InBS_Q!S42/10^9</f>
        <v>1.0098066999999999</v>
      </c>
      <c r="AG68" s="68">
        <f>InBS_Q!T42/10^9</f>
        <v>1.0098066999999999</v>
      </c>
      <c r="AH68" s="68">
        <f>InBS_Q!U42/10^9</f>
        <v>1.0098066999999999</v>
      </c>
      <c r="AI68" s="68">
        <f>InBS_Q!V42/10^9</f>
        <v>1.0098066999999999</v>
      </c>
      <c r="AJ68" s="68">
        <f>InBS_Q!W42/10^9</f>
        <v>1.0098066999999999</v>
      </c>
      <c r="AK68" s="68">
        <f>InBS_Q!X42/10^9</f>
        <v>1.0098066999999999</v>
      </c>
      <c r="AL68" s="68">
        <f>InBS_Q!Y42/10^9</f>
        <v>1.0098066999999999</v>
      </c>
      <c r="AM68" s="68">
        <f>InBS_Q!Z42/10^9</f>
        <v>40.8078067</v>
      </c>
      <c r="AN68" s="68">
        <f>InBS_Q!AA42/10^9</f>
        <v>40.8078067</v>
      </c>
    </row>
    <row r="69" spans="2:40" x14ac:dyDescent="0.3">
      <c r="B69" s="61" t="s">
        <v>43</v>
      </c>
      <c r="C69" s="62">
        <f>InBS!C43/10^9</f>
        <v>-1.700685E-3</v>
      </c>
      <c r="D69" s="62">
        <f>InBS!D43/10^9</f>
        <v>-8.5034250000000002E-3</v>
      </c>
      <c r="E69" s="62">
        <f>InBS!E43/10^9</f>
        <v>-1.5306165E-2</v>
      </c>
      <c r="F69" s="62">
        <f>InBS!F43/10^9</f>
        <v>-3.0968289E-2</v>
      </c>
      <c r="G69" s="62">
        <f>InBS!G43/10^9</f>
        <v>-3.4013700000000001E-2</v>
      </c>
      <c r="H69" s="62">
        <f>InBS!H43/10^9</f>
        <v>-7.3627751000000005E-2</v>
      </c>
      <c r="I69" s="62">
        <f>InBS!I43/10^9</f>
        <v>-0.118975415</v>
      </c>
      <c r="J69" s="62">
        <f>InBS!J43/10^9</f>
        <v>-0.29752215500000001</v>
      </c>
      <c r="K69" s="62">
        <f>InBS!K43/10^9</f>
        <v>-0.58317244400000001</v>
      </c>
      <c r="L69" s="62">
        <f>InBS!L43/10^9</f>
        <v>-0.86308911200000005</v>
      </c>
      <c r="P69" s="68">
        <f>InBS_Q!C43/10^9</f>
        <v>-3.4013700000000001E-2</v>
      </c>
      <c r="Q69" s="68">
        <f>InBS_Q!D43/10^9</f>
        <v>-3.4013700000000001E-2</v>
      </c>
      <c r="R69" s="68">
        <f>InBS_Q!E43/10^9</f>
        <v>-3.4013700000000001E-2</v>
      </c>
      <c r="S69" s="68">
        <f>InBS_Q!F43/10^9</f>
        <v>-3.9617002999999998E-2</v>
      </c>
      <c r="T69" s="68">
        <f>InBS_Q!G43/10^9</f>
        <v>-5.0953919E-2</v>
      </c>
      <c r="U69" s="68">
        <f>InBS_Q!H43/10^9</f>
        <v>-6.2290835000000003E-2</v>
      </c>
      <c r="V69" s="68">
        <f>InBS_Q!I43/10^9</f>
        <v>-7.3627751000000005E-2</v>
      </c>
      <c r="W69" s="68">
        <f>InBS_Q!J43/10^9</f>
        <v>-8.4964666999999994E-2</v>
      </c>
      <c r="X69" s="68">
        <f>InBS_Q!K43/10^9</f>
        <v>-9.6301582999999996E-2</v>
      </c>
      <c r="Y69" s="68">
        <f>InBS_Q!L43/10^9</f>
        <v>-0.107638499</v>
      </c>
      <c r="Z69" s="68">
        <f>InBS_Q!M43/10^9</f>
        <v>-0.118975415</v>
      </c>
      <c r="AA69" s="68">
        <f>InBS_Q!N43/10^9</f>
        <v>-0.138777609</v>
      </c>
      <c r="AB69" s="68">
        <f>InBS_Q!O43/10^9</f>
        <v>-0.175510359</v>
      </c>
      <c r="AC69" s="68">
        <f>InBS_Q!P43/10^9</f>
        <v>-0.216206072</v>
      </c>
      <c r="AD69" s="68">
        <f>InBS_Q!Q43/10^9</f>
        <v>-0.29752215500000001</v>
      </c>
      <c r="AE69" s="68">
        <f>InBS_Q!R43/10^9</f>
        <v>-0.37323494299999999</v>
      </c>
      <c r="AF69" s="68">
        <f>InBS_Q!S43/10^9</f>
        <v>-0.44321410999999999</v>
      </c>
      <c r="AG69" s="68">
        <f>InBS_Q!T43/10^9</f>
        <v>-0.51319327699999995</v>
      </c>
      <c r="AH69" s="68">
        <f>InBS_Q!U43/10^9</f>
        <v>-0.58317244400000001</v>
      </c>
      <c r="AI69" s="68">
        <f>InBS_Q!V43/10^9</f>
        <v>-0.65315161099999997</v>
      </c>
      <c r="AJ69" s="68">
        <f>InBS_Q!W43/10^9</f>
        <v>-0.72313077800000003</v>
      </c>
      <c r="AK69" s="68">
        <f>InBS_Q!X43/10^9</f>
        <v>-0.79310994499999998</v>
      </c>
      <c r="AL69" s="68">
        <f>InBS_Q!Y43/10^9</f>
        <v>-0.86308911200000005</v>
      </c>
      <c r="AM69" s="68">
        <f>InBS_Q!Z43/10^9</f>
        <v>-1.167273725</v>
      </c>
      <c r="AN69" s="68">
        <f>InBS_Q!AA43/10^9</f>
        <v>-1.45452779</v>
      </c>
    </row>
    <row r="70" spans="2:40" x14ac:dyDescent="0.3">
      <c r="B70" s="61" t="s">
        <v>44</v>
      </c>
      <c r="C70" s="62">
        <f>InBS!C44/10^9</f>
        <v>0.24955224300000001</v>
      </c>
      <c r="D70" s="62">
        <f>InBS!D44/10^9</f>
        <v>3.3602294079999999</v>
      </c>
      <c r="E70" s="62">
        <f>InBS!E44/10^9</f>
        <v>0.62522704699999998</v>
      </c>
      <c r="F70" s="62">
        <f>InBS!F44/10^9</f>
        <v>18.601136663999998</v>
      </c>
      <c r="G70" s="62">
        <f>InBS!G44/10^9</f>
        <v>1.350386149</v>
      </c>
      <c r="H70" s="62">
        <f>InBS!H44/10^9</f>
        <v>5.3610738800000002</v>
      </c>
      <c r="I70" s="62">
        <f>InBS!I44/10^9</f>
        <v>1.4249344479999999</v>
      </c>
      <c r="J70" s="62">
        <f>InBS!J44/10^9</f>
        <v>2.6320490059999999</v>
      </c>
      <c r="K70" s="62">
        <f>InBS!K44/10^9</f>
        <v>0</v>
      </c>
      <c r="L70" s="62">
        <f>InBS!L44/10^9</f>
        <v>0</v>
      </c>
      <c r="P70" s="68">
        <f>InBS_Q!C44/10^9</f>
        <v>24.630024768999998</v>
      </c>
      <c r="Q70" s="68">
        <f>InBS_Q!D44/10^9</f>
        <v>0.230283139</v>
      </c>
      <c r="R70" s="68">
        <f>InBS_Q!E44/10^9</f>
        <v>1.350386149</v>
      </c>
      <c r="S70" s="68">
        <f>InBS_Q!F44/10^9</f>
        <v>1.350386149</v>
      </c>
      <c r="T70" s="68">
        <f>InBS_Q!G44/10^9</f>
        <v>0.95368917600000003</v>
      </c>
      <c r="U70" s="68">
        <f>InBS_Q!H44/10^9</f>
        <v>3.6960233680000001</v>
      </c>
      <c r="V70" s="68">
        <f>InBS_Q!I44/10^9</f>
        <v>5.3610738800000002</v>
      </c>
      <c r="W70" s="68">
        <f>InBS_Q!J44/10^9</f>
        <v>0</v>
      </c>
      <c r="X70" s="68">
        <f>InBS_Q!K44/10^9</f>
        <v>0</v>
      </c>
      <c r="Y70" s="68">
        <f>InBS_Q!L44/10^9</f>
        <v>7.8480800000000004</v>
      </c>
      <c r="Z70" s="68">
        <f>InBS_Q!M44/10^9</f>
        <v>23.854099902000002</v>
      </c>
      <c r="AA70" s="68">
        <f>InBS_Q!N44/10^9</f>
        <v>12.765266813</v>
      </c>
      <c r="AB70" s="68">
        <f>InBS_Q!O44/10^9</f>
        <v>0</v>
      </c>
      <c r="AC70" s="68">
        <f>InBS_Q!P44/10^9</f>
        <v>4.7849260229999997</v>
      </c>
      <c r="AD70" s="68">
        <f>InBS_Q!Q44/10^9</f>
        <v>1.7348085259999999</v>
      </c>
      <c r="AE70" s="68">
        <f>InBS_Q!R44/10^9</f>
        <v>0</v>
      </c>
      <c r="AF70" s="68">
        <f>InBS_Q!S44/10^9</f>
        <v>0</v>
      </c>
      <c r="AG70" s="68">
        <f>InBS_Q!T44/10^9</f>
        <v>0</v>
      </c>
      <c r="AH70" s="68">
        <f>InBS_Q!U44/10^9</f>
        <v>0</v>
      </c>
      <c r="AI70" s="68">
        <f>InBS_Q!V44/10^9</f>
        <v>0</v>
      </c>
      <c r="AJ70" s="68">
        <f>InBS_Q!W44/10^9</f>
        <v>0</v>
      </c>
      <c r="AK70" s="68">
        <f>InBS_Q!X44/10^9</f>
        <v>0</v>
      </c>
      <c r="AL70" s="68">
        <f>InBS_Q!Y44/10^9</f>
        <v>0</v>
      </c>
      <c r="AM70" s="68">
        <f>InBS_Q!Z44/10^9</f>
        <v>0</v>
      </c>
      <c r="AN70" s="68">
        <f>InBS_Q!AA44/10^9</f>
        <v>0</v>
      </c>
    </row>
    <row r="71" spans="2:40" s="81" customFormat="1" x14ac:dyDescent="0.3">
      <c r="B71" s="58" t="s">
        <v>45</v>
      </c>
      <c r="C71" s="60">
        <f>InBS!C45/10^9</f>
        <v>0</v>
      </c>
      <c r="D71" s="60">
        <f>InBS!D45/10^9</f>
        <v>0</v>
      </c>
      <c r="E71" s="60">
        <f>InBS!E45/10^9</f>
        <v>0</v>
      </c>
      <c r="F71" s="60">
        <f>InBS!F45/10^9</f>
        <v>0</v>
      </c>
      <c r="G71" s="60">
        <f>InBS!G45/10^9</f>
        <v>0</v>
      </c>
      <c r="H71" s="60">
        <f>InBS!H45/10^9</f>
        <v>0</v>
      </c>
      <c r="I71" s="60">
        <f>InBS!I45/10^9</f>
        <v>0</v>
      </c>
      <c r="J71" s="60">
        <f>InBS!J45/10^9</f>
        <v>0</v>
      </c>
      <c r="K71" s="60">
        <f>InBS!K45/10^9</f>
        <v>0</v>
      </c>
      <c r="L71" s="60">
        <f>InBS!L45/10^9</f>
        <v>0</v>
      </c>
      <c r="P71" s="66">
        <f>InBS_Q!C45/10^9</f>
        <v>0</v>
      </c>
      <c r="Q71" s="66">
        <f>InBS_Q!D45/10^9</f>
        <v>0</v>
      </c>
      <c r="R71" s="66">
        <f>InBS_Q!E45/10^9</f>
        <v>0</v>
      </c>
      <c r="S71" s="66">
        <f>InBS_Q!F45/10^9</f>
        <v>0</v>
      </c>
      <c r="T71" s="66">
        <f>InBS_Q!G45/10^9</f>
        <v>0</v>
      </c>
      <c r="U71" s="66">
        <f>InBS_Q!H45/10^9</f>
        <v>0</v>
      </c>
      <c r="V71" s="66">
        <f>InBS_Q!I45/10^9</f>
        <v>0</v>
      </c>
      <c r="W71" s="66">
        <f>InBS_Q!J45/10^9</f>
        <v>0</v>
      </c>
      <c r="X71" s="66">
        <f>InBS_Q!K45/10^9</f>
        <v>0</v>
      </c>
      <c r="Y71" s="66">
        <f>InBS_Q!L45/10^9</f>
        <v>0</v>
      </c>
      <c r="Z71" s="66">
        <f>InBS_Q!M45/10^9</f>
        <v>0</v>
      </c>
      <c r="AA71" s="66">
        <f>InBS_Q!N45/10^9</f>
        <v>0</v>
      </c>
      <c r="AB71" s="66">
        <f>InBS_Q!O45/10^9</f>
        <v>0</v>
      </c>
      <c r="AC71" s="66">
        <f>InBS_Q!P45/10^9</f>
        <v>0</v>
      </c>
      <c r="AD71" s="66">
        <f>InBS_Q!Q45/10^9</f>
        <v>0</v>
      </c>
      <c r="AE71" s="66">
        <f>InBS_Q!R45/10^9</f>
        <v>0</v>
      </c>
      <c r="AF71" s="66">
        <f>InBS_Q!S45/10^9</f>
        <v>0</v>
      </c>
      <c r="AG71" s="66">
        <f>InBS_Q!T45/10^9</f>
        <v>0</v>
      </c>
      <c r="AH71" s="66">
        <f>InBS_Q!U45/10^9</f>
        <v>0</v>
      </c>
      <c r="AI71" s="66">
        <f>InBS_Q!V45/10^9</f>
        <v>0</v>
      </c>
      <c r="AJ71" s="66">
        <f>InBS_Q!W45/10^9</f>
        <v>0</v>
      </c>
      <c r="AK71" s="66">
        <f>InBS_Q!X45/10^9</f>
        <v>0</v>
      </c>
      <c r="AL71" s="66">
        <f>InBS_Q!Y45/10^9</f>
        <v>0</v>
      </c>
      <c r="AM71" s="66">
        <f>InBS_Q!Z45/10^9</f>
        <v>0</v>
      </c>
      <c r="AN71" s="66">
        <f>InBS_Q!AA45/10^9</f>
        <v>0</v>
      </c>
    </row>
    <row r="72" spans="2:40" x14ac:dyDescent="0.3">
      <c r="B72" s="61" t="s">
        <v>46</v>
      </c>
      <c r="C72" s="62">
        <f>InBS!C46/10^9</f>
        <v>0</v>
      </c>
      <c r="D72" s="62">
        <f>InBS!D46/10^9</f>
        <v>0</v>
      </c>
      <c r="E72" s="62">
        <f>InBS!E46/10^9</f>
        <v>0</v>
      </c>
      <c r="F72" s="62">
        <f>InBS!F46/10^9</f>
        <v>0</v>
      </c>
      <c r="G72" s="62">
        <f>InBS!G46/10^9</f>
        <v>0</v>
      </c>
      <c r="H72" s="62">
        <f>InBS!H46/10^9</f>
        <v>0</v>
      </c>
      <c r="I72" s="62">
        <f>InBS!I46/10^9</f>
        <v>0</v>
      </c>
      <c r="J72" s="62">
        <f>InBS!J46/10^9</f>
        <v>0</v>
      </c>
      <c r="K72" s="62">
        <f>InBS!K46/10^9</f>
        <v>0</v>
      </c>
      <c r="L72" s="62">
        <f>InBS!L46/10^9</f>
        <v>0</v>
      </c>
      <c r="P72" s="68">
        <f>InBS_Q!C46/10^9</f>
        <v>0</v>
      </c>
      <c r="Q72" s="68">
        <f>InBS_Q!D46/10^9</f>
        <v>0</v>
      </c>
      <c r="R72" s="68">
        <f>InBS_Q!E46/10^9</f>
        <v>0</v>
      </c>
      <c r="S72" s="68">
        <f>InBS_Q!F46/10^9</f>
        <v>0</v>
      </c>
      <c r="T72" s="68">
        <f>InBS_Q!G46/10^9</f>
        <v>0</v>
      </c>
      <c r="U72" s="68">
        <f>InBS_Q!H46/10^9</f>
        <v>0</v>
      </c>
      <c r="V72" s="68">
        <f>InBS_Q!I46/10^9</f>
        <v>0</v>
      </c>
      <c r="W72" s="68">
        <f>InBS_Q!J46/10^9</f>
        <v>0</v>
      </c>
      <c r="X72" s="68">
        <f>InBS_Q!K46/10^9</f>
        <v>0</v>
      </c>
      <c r="Y72" s="68">
        <f>InBS_Q!L46/10^9</f>
        <v>0</v>
      </c>
      <c r="Z72" s="68">
        <f>InBS_Q!M46/10^9</f>
        <v>0</v>
      </c>
      <c r="AA72" s="68">
        <f>InBS_Q!N46/10^9</f>
        <v>0</v>
      </c>
      <c r="AB72" s="68">
        <f>InBS_Q!O46/10^9</f>
        <v>0</v>
      </c>
      <c r="AC72" s="68">
        <f>InBS_Q!P46/10^9</f>
        <v>0</v>
      </c>
      <c r="AD72" s="68">
        <f>InBS_Q!Q46/10^9</f>
        <v>0</v>
      </c>
      <c r="AE72" s="68">
        <f>InBS_Q!R46/10^9</f>
        <v>0</v>
      </c>
      <c r="AF72" s="68">
        <f>InBS_Q!S46/10^9</f>
        <v>0</v>
      </c>
      <c r="AG72" s="68">
        <f>InBS_Q!T46/10^9</f>
        <v>0</v>
      </c>
      <c r="AH72" s="68">
        <f>InBS_Q!U46/10^9</f>
        <v>0</v>
      </c>
      <c r="AI72" s="68">
        <f>InBS_Q!V46/10^9</f>
        <v>0</v>
      </c>
      <c r="AJ72" s="68">
        <f>InBS_Q!W46/10^9</f>
        <v>0</v>
      </c>
      <c r="AK72" s="68">
        <f>InBS_Q!X46/10^9</f>
        <v>0</v>
      </c>
      <c r="AL72" s="68">
        <f>InBS_Q!Y46/10^9</f>
        <v>0</v>
      </c>
      <c r="AM72" s="68">
        <f>InBS_Q!Z46/10^9</f>
        <v>0</v>
      </c>
      <c r="AN72" s="68">
        <f>InBS_Q!AA46/10^9</f>
        <v>0</v>
      </c>
    </row>
    <row r="73" spans="2:40" x14ac:dyDescent="0.3">
      <c r="B73" s="61" t="s">
        <v>47</v>
      </c>
      <c r="C73" s="62">
        <f>InBS!C47/10^9</f>
        <v>0</v>
      </c>
      <c r="D73" s="62">
        <f>InBS!D47/10^9</f>
        <v>0</v>
      </c>
      <c r="E73" s="62">
        <f>InBS!E47/10^9</f>
        <v>0</v>
      </c>
      <c r="F73" s="62">
        <f>InBS!F47/10^9</f>
        <v>0</v>
      </c>
      <c r="G73" s="62">
        <f>InBS!G47/10^9</f>
        <v>0</v>
      </c>
      <c r="H73" s="62">
        <f>InBS!H47/10^9</f>
        <v>0</v>
      </c>
      <c r="I73" s="62">
        <f>InBS!I47/10^9</f>
        <v>0</v>
      </c>
      <c r="J73" s="62">
        <f>InBS!J47/10^9</f>
        <v>0</v>
      </c>
      <c r="K73" s="62">
        <f>InBS!K47/10^9</f>
        <v>0</v>
      </c>
      <c r="L73" s="62">
        <f>InBS!L47/10^9</f>
        <v>0</v>
      </c>
      <c r="P73" s="68">
        <f>InBS_Q!C47/10^9</f>
        <v>0</v>
      </c>
      <c r="Q73" s="68">
        <f>InBS_Q!D47/10^9</f>
        <v>0</v>
      </c>
      <c r="R73" s="68">
        <f>InBS_Q!E47/10^9</f>
        <v>0</v>
      </c>
      <c r="S73" s="68">
        <f>InBS_Q!F47/10^9</f>
        <v>0</v>
      </c>
      <c r="T73" s="68">
        <f>InBS_Q!G47/10^9</f>
        <v>0</v>
      </c>
      <c r="U73" s="68">
        <f>InBS_Q!H47/10^9</f>
        <v>0</v>
      </c>
      <c r="V73" s="68">
        <f>InBS_Q!I47/10^9</f>
        <v>0</v>
      </c>
      <c r="W73" s="68">
        <f>InBS_Q!J47/10^9</f>
        <v>0</v>
      </c>
      <c r="X73" s="68">
        <f>InBS_Q!K47/10^9</f>
        <v>0</v>
      </c>
      <c r="Y73" s="68">
        <f>InBS_Q!L47/10^9</f>
        <v>0</v>
      </c>
      <c r="Z73" s="68">
        <f>InBS_Q!M47/10^9</f>
        <v>0</v>
      </c>
      <c r="AA73" s="68">
        <f>InBS_Q!N47/10^9</f>
        <v>0</v>
      </c>
      <c r="AB73" s="68">
        <f>InBS_Q!O47/10^9</f>
        <v>0</v>
      </c>
      <c r="AC73" s="68">
        <f>InBS_Q!P47/10^9</f>
        <v>0</v>
      </c>
      <c r="AD73" s="68">
        <f>InBS_Q!Q47/10^9</f>
        <v>0</v>
      </c>
      <c r="AE73" s="68">
        <f>InBS_Q!R47/10^9</f>
        <v>0</v>
      </c>
      <c r="AF73" s="68">
        <f>InBS_Q!S47/10^9</f>
        <v>0</v>
      </c>
      <c r="AG73" s="68">
        <f>InBS_Q!T47/10^9</f>
        <v>0</v>
      </c>
      <c r="AH73" s="68">
        <f>InBS_Q!U47/10^9</f>
        <v>0</v>
      </c>
      <c r="AI73" s="68">
        <f>InBS_Q!V47/10^9</f>
        <v>0</v>
      </c>
      <c r="AJ73" s="68">
        <f>InBS_Q!W47/10^9</f>
        <v>0</v>
      </c>
      <c r="AK73" s="68">
        <f>InBS_Q!X47/10^9</f>
        <v>0</v>
      </c>
      <c r="AL73" s="68">
        <f>InBS_Q!Y47/10^9</f>
        <v>0</v>
      </c>
      <c r="AM73" s="68">
        <f>InBS_Q!Z47/10^9</f>
        <v>0</v>
      </c>
      <c r="AN73" s="68">
        <f>InBS_Q!AA47/10^9</f>
        <v>0</v>
      </c>
    </row>
    <row r="74" spans="2:40" s="81" customFormat="1" x14ac:dyDescent="0.3">
      <c r="B74" s="58" t="s">
        <v>48</v>
      </c>
      <c r="C74" s="60">
        <f>InBS!C48/10^9</f>
        <v>0</v>
      </c>
      <c r="D74" s="60">
        <f>InBS!D48/10^9</f>
        <v>0</v>
      </c>
      <c r="E74" s="60">
        <f>InBS!E48/10^9</f>
        <v>0</v>
      </c>
      <c r="F74" s="60">
        <f>InBS!F48/10^9</f>
        <v>0</v>
      </c>
      <c r="G74" s="60">
        <f>InBS!G48/10^9</f>
        <v>0</v>
      </c>
      <c r="H74" s="60">
        <f>InBS!H48/10^9</f>
        <v>60</v>
      </c>
      <c r="I74" s="60">
        <f>InBS!I48/10^9</f>
        <v>0</v>
      </c>
      <c r="J74" s="60">
        <f>InBS!J48/10^9</f>
        <v>0</v>
      </c>
      <c r="K74" s="60">
        <f>InBS!K48/10^9</f>
        <v>0</v>
      </c>
      <c r="L74" s="60">
        <f>InBS!L48/10^9</f>
        <v>0</v>
      </c>
      <c r="P74" s="66">
        <f>InBS_Q!C48/10^9</f>
        <v>0</v>
      </c>
      <c r="Q74" s="66">
        <f>InBS_Q!D48/10^9</f>
        <v>0</v>
      </c>
      <c r="R74" s="66">
        <f>InBS_Q!E48/10^9</f>
        <v>0</v>
      </c>
      <c r="S74" s="66">
        <f>InBS_Q!F48/10^9</f>
        <v>0</v>
      </c>
      <c r="T74" s="66">
        <f>InBS_Q!G48/10^9</f>
        <v>60</v>
      </c>
      <c r="U74" s="66">
        <f>InBS_Q!H48/10^9</f>
        <v>60</v>
      </c>
      <c r="V74" s="66">
        <f>InBS_Q!I48/10^9</f>
        <v>60</v>
      </c>
      <c r="W74" s="66">
        <f>InBS_Q!J48/10^9</f>
        <v>60</v>
      </c>
      <c r="X74" s="66">
        <f>InBS_Q!K48/10^9</f>
        <v>60</v>
      </c>
      <c r="Y74" s="66">
        <f>InBS_Q!L48/10^9</f>
        <v>60</v>
      </c>
      <c r="Z74" s="66">
        <f>InBS_Q!M48/10^9</f>
        <v>60</v>
      </c>
      <c r="AA74" s="66">
        <f>InBS_Q!N48/10^9</f>
        <v>0</v>
      </c>
      <c r="AB74" s="66">
        <f>InBS_Q!O48/10^9</f>
        <v>0</v>
      </c>
      <c r="AC74" s="66">
        <f>InBS_Q!P48/10^9</f>
        <v>0</v>
      </c>
      <c r="AD74" s="66">
        <f>InBS_Q!Q48/10^9</f>
        <v>0</v>
      </c>
      <c r="AE74" s="66">
        <f>InBS_Q!R48/10^9</f>
        <v>0</v>
      </c>
      <c r="AF74" s="66">
        <f>InBS_Q!S48/10^9</f>
        <v>0</v>
      </c>
      <c r="AG74" s="66">
        <f>InBS_Q!T48/10^9</f>
        <v>0</v>
      </c>
      <c r="AH74" s="66">
        <f>InBS_Q!U48/10^9</f>
        <v>0</v>
      </c>
      <c r="AI74" s="66">
        <f>InBS_Q!V48/10^9</f>
        <v>0</v>
      </c>
      <c r="AJ74" s="66">
        <f>InBS_Q!W48/10^9</f>
        <v>0</v>
      </c>
      <c r="AK74" s="66">
        <f>InBS_Q!X48/10^9</f>
        <v>0</v>
      </c>
      <c r="AL74" s="66">
        <f>InBS_Q!Y48/10^9</f>
        <v>0</v>
      </c>
      <c r="AM74" s="66">
        <f>InBS_Q!Z48/10^9</f>
        <v>0</v>
      </c>
      <c r="AN74" s="66">
        <f>InBS_Q!AA48/10^9</f>
        <v>0</v>
      </c>
    </row>
    <row r="75" spans="2:40" x14ac:dyDescent="0.3">
      <c r="B75" s="61" t="s">
        <v>49</v>
      </c>
      <c r="C75" s="62">
        <f>InBS!C49/10^9</f>
        <v>0</v>
      </c>
      <c r="D75" s="62">
        <f>InBS!D49/10^9</f>
        <v>0</v>
      </c>
      <c r="E75" s="62">
        <f>InBS!E49/10^9</f>
        <v>0</v>
      </c>
      <c r="F75" s="62">
        <f>InBS!F49/10^9</f>
        <v>0</v>
      </c>
      <c r="G75" s="62">
        <f>InBS!G49/10^9</f>
        <v>0</v>
      </c>
      <c r="H75" s="62">
        <f>InBS!H49/10^9</f>
        <v>0</v>
      </c>
      <c r="I75" s="62">
        <f>InBS!I49/10^9</f>
        <v>0</v>
      </c>
      <c r="J75" s="62">
        <f>InBS!J49/10^9</f>
        <v>0</v>
      </c>
      <c r="K75" s="62">
        <f>InBS!K49/10^9</f>
        <v>0</v>
      </c>
      <c r="L75" s="62">
        <f>InBS!L49/10^9</f>
        <v>0</v>
      </c>
      <c r="P75" s="68">
        <f>InBS_Q!C49/10^9</f>
        <v>0</v>
      </c>
      <c r="Q75" s="68">
        <f>InBS_Q!D49/10^9</f>
        <v>0</v>
      </c>
      <c r="R75" s="68">
        <f>InBS_Q!E49/10^9</f>
        <v>0</v>
      </c>
      <c r="S75" s="68">
        <f>InBS_Q!F49/10^9</f>
        <v>0</v>
      </c>
      <c r="T75" s="68">
        <f>InBS_Q!G49/10^9</f>
        <v>0</v>
      </c>
      <c r="U75" s="68">
        <f>InBS_Q!H49/10^9</f>
        <v>0</v>
      </c>
      <c r="V75" s="68">
        <f>InBS_Q!I49/10^9</f>
        <v>0</v>
      </c>
      <c r="W75" s="68">
        <f>InBS_Q!J49/10^9</f>
        <v>0</v>
      </c>
      <c r="X75" s="68">
        <f>InBS_Q!K49/10^9</f>
        <v>0</v>
      </c>
      <c r="Y75" s="68">
        <f>InBS_Q!L49/10^9</f>
        <v>0</v>
      </c>
      <c r="Z75" s="68">
        <f>InBS_Q!M49/10^9</f>
        <v>0</v>
      </c>
      <c r="AA75" s="68">
        <f>InBS_Q!N49/10^9</f>
        <v>0</v>
      </c>
      <c r="AB75" s="68">
        <f>InBS_Q!O49/10^9</f>
        <v>0</v>
      </c>
      <c r="AC75" s="68">
        <f>InBS_Q!P49/10^9</f>
        <v>0</v>
      </c>
      <c r="AD75" s="68">
        <f>InBS_Q!Q49/10^9</f>
        <v>0</v>
      </c>
      <c r="AE75" s="68">
        <f>InBS_Q!R49/10^9</f>
        <v>0</v>
      </c>
      <c r="AF75" s="68">
        <f>InBS_Q!S49/10^9</f>
        <v>0</v>
      </c>
      <c r="AG75" s="68">
        <f>InBS_Q!T49/10^9</f>
        <v>0</v>
      </c>
      <c r="AH75" s="68">
        <f>InBS_Q!U49/10^9</f>
        <v>0</v>
      </c>
      <c r="AI75" s="68">
        <f>InBS_Q!V49/10^9</f>
        <v>0</v>
      </c>
      <c r="AJ75" s="68">
        <f>InBS_Q!W49/10^9</f>
        <v>0</v>
      </c>
      <c r="AK75" s="68">
        <f>InBS_Q!X49/10^9</f>
        <v>0</v>
      </c>
      <c r="AL75" s="68">
        <f>InBS_Q!Y49/10^9</f>
        <v>0</v>
      </c>
      <c r="AM75" s="68">
        <f>InBS_Q!Z49/10^9</f>
        <v>0</v>
      </c>
      <c r="AN75" s="68">
        <f>InBS_Q!AA49/10^9</f>
        <v>0</v>
      </c>
    </row>
    <row r="76" spans="2:40" x14ac:dyDescent="0.3">
      <c r="B76" s="61" t="s">
        <v>50</v>
      </c>
      <c r="C76" s="62">
        <f>InBS!C50/10^9</f>
        <v>0</v>
      </c>
      <c r="D76" s="62">
        <f>InBS!D50/10^9</f>
        <v>0</v>
      </c>
      <c r="E76" s="62">
        <f>InBS!E50/10^9</f>
        <v>0</v>
      </c>
      <c r="F76" s="62">
        <f>InBS!F50/10^9</f>
        <v>0</v>
      </c>
      <c r="G76" s="62">
        <f>InBS!G50/10^9</f>
        <v>0</v>
      </c>
      <c r="H76" s="62">
        <f>InBS!H50/10^9</f>
        <v>0</v>
      </c>
      <c r="I76" s="62">
        <f>InBS!I50/10^9</f>
        <v>0</v>
      </c>
      <c r="J76" s="62">
        <f>InBS!J50/10^9</f>
        <v>0</v>
      </c>
      <c r="K76" s="62">
        <f>InBS!K50/10^9</f>
        <v>0</v>
      </c>
      <c r="L76" s="62">
        <f>InBS!L50/10^9</f>
        <v>0</v>
      </c>
      <c r="P76" s="68">
        <f>InBS_Q!C50/10^9</f>
        <v>0</v>
      </c>
      <c r="Q76" s="68">
        <f>InBS_Q!D50/10^9</f>
        <v>0</v>
      </c>
      <c r="R76" s="68">
        <f>InBS_Q!E50/10^9</f>
        <v>0</v>
      </c>
      <c r="S76" s="68">
        <f>InBS_Q!F50/10^9</f>
        <v>0</v>
      </c>
      <c r="T76" s="68">
        <f>InBS_Q!G50/10^9</f>
        <v>0</v>
      </c>
      <c r="U76" s="68">
        <f>InBS_Q!H50/10^9</f>
        <v>0</v>
      </c>
      <c r="V76" s="68">
        <f>InBS_Q!I50/10^9</f>
        <v>0</v>
      </c>
      <c r="W76" s="68">
        <f>InBS_Q!J50/10^9</f>
        <v>0</v>
      </c>
      <c r="X76" s="68">
        <f>InBS_Q!K50/10^9</f>
        <v>0</v>
      </c>
      <c r="Y76" s="68">
        <f>InBS_Q!L50/10^9</f>
        <v>0</v>
      </c>
      <c r="Z76" s="68">
        <f>InBS_Q!M50/10^9</f>
        <v>0</v>
      </c>
      <c r="AA76" s="68">
        <f>InBS_Q!N50/10^9</f>
        <v>0</v>
      </c>
      <c r="AB76" s="68">
        <f>InBS_Q!O50/10^9</f>
        <v>0</v>
      </c>
      <c r="AC76" s="68">
        <f>InBS_Q!P50/10^9</f>
        <v>0</v>
      </c>
      <c r="AD76" s="68">
        <f>InBS_Q!Q50/10^9</f>
        <v>0</v>
      </c>
      <c r="AE76" s="68">
        <f>InBS_Q!R50/10^9</f>
        <v>0</v>
      </c>
      <c r="AF76" s="68">
        <f>InBS_Q!S50/10^9</f>
        <v>0</v>
      </c>
      <c r="AG76" s="68">
        <f>InBS_Q!T50/10^9</f>
        <v>0</v>
      </c>
      <c r="AH76" s="68">
        <f>InBS_Q!U50/10^9</f>
        <v>0</v>
      </c>
      <c r="AI76" s="68">
        <f>InBS_Q!V50/10^9</f>
        <v>0</v>
      </c>
      <c r="AJ76" s="68">
        <f>InBS_Q!W50/10^9</f>
        <v>0</v>
      </c>
      <c r="AK76" s="68">
        <f>InBS_Q!X50/10^9</f>
        <v>0</v>
      </c>
      <c r="AL76" s="68">
        <f>InBS_Q!Y50/10^9</f>
        <v>0</v>
      </c>
      <c r="AM76" s="68">
        <f>InBS_Q!Z50/10^9</f>
        <v>0</v>
      </c>
      <c r="AN76" s="68">
        <f>InBS_Q!AA50/10^9</f>
        <v>0</v>
      </c>
    </row>
    <row r="77" spans="2:40" x14ac:dyDescent="0.3">
      <c r="B77" s="61" t="s">
        <v>51</v>
      </c>
      <c r="C77" s="62">
        <f>InBS!C51/10^9</f>
        <v>0</v>
      </c>
      <c r="D77" s="62">
        <f>InBS!D51/10^9</f>
        <v>0</v>
      </c>
      <c r="E77" s="62">
        <f>InBS!E51/10^9</f>
        <v>0</v>
      </c>
      <c r="F77" s="62">
        <f>InBS!F51/10^9</f>
        <v>0</v>
      </c>
      <c r="G77" s="62">
        <f>InBS!G51/10^9</f>
        <v>0</v>
      </c>
      <c r="H77" s="62">
        <f>InBS!H51/10^9</f>
        <v>60</v>
      </c>
      <c r="I77" s="62">
        <f>InBS!I51/10^9</f>
        <v>0</v>
      </c>
      <c r="J77" s="62">
        <f>InBS!J51/10^9</f>
        <v>0</v>
      </c>
      <c r="K77" s="62">
        <f>InBS!K51/10^9</f>
        <v>0</v>
      </c>
      <c r="L77" s="62">
        <f>InBS!L51/10^9</f>
        <v>0</v>
      </c>
      <c r="P77" s="68">
        <f>InBS_Q!C51/10^9</f>
        <v>0</v>
      </c>
      <c r="Q77" s="68">
        <f>InBS_Q!D51/10^9</f>
        <v>0</v>
      </c>
      <c r="R77" s="68">
        <f>InBS_Q!E51/10^9</f>
        <v>0</v>
      </c>
      <c r="S77" s="68">
        <f>InBS_Q!F51/10^9</f>
        <v>0</v>
      </c>
      <c r="T77" s="68">
        <f>InBS_Q!G51/10^9</f>
        <v>60</v>
      </c>
      <c r="U77" s="68">
        <f>InBS_Q!H51/10^9</f>
        <v>60</v>
      </c>
      <c r="V77" s="68">
        <f>InBS_Q!I51/10^9</f>
        <v>60</v>
      </c>
      <c r="W77" s="68">
        <f>InBS_Q!J51/10^9</f>
        <v>60</v>
      </c>
      <c r="X77" s="68">
        <f>InBS_Q!K51/10^9</f>
        <v>60</v>
      </c>
      <c r="Y77" s="68">
        <f>InBS_Q!L51/10^9</f>
        <v>60</v>
      </c>
      <c r="Z77" s="68">
        <f>InBS_Q!M51/10^9</f>
        <v>60</v>
      </c>
      <c r="AA77" s="68">
        <f>InBS_Q!N51/10^9</f>
        <v>0</v>
      </c>
      <c r="AB77" s="68">
        <f>InBS_Q!O51/10^9</f>
        <v>0</v>
      </c>
      <c r="AC77" s="68">
        <f>InBS_Q!P51/10^9</f>
        <v>0</v>
      </c>
      <c r="AD77" s="68">
        <f>InBS_Q!Q51/10^9</f>
        <v>0</v>
      </c>
      <c r="AE77" s="68">
        <f>InBS_Q!R51/10^9</f>
        <v>0</v>
      </c>
      <c r="AF77" s="68">
        <f>InBS_Q!S51/10^9</f>
        <v>0</v>
      </c>
      <c r="AG77" s="68">
        <f>InBS_Q!T51/10^9</f>
        <v>0</v>
      </c>
      <c r="AH77" s="68">
        <f>InBS_Q!U51/10^9</f>
        <v>0</v>
      </c>
      <c r="AI77" s="68">
        <f>InBS_Q!V51/10^9</f>
        <v>0</v>
      </c>
      <c r="AJ77" s="68">
        <f>InBS_Q!W51/10^9</f>
        <v>0</v>
      </c>
      <c r="AK77" s="68">
        <f>InBS_Q!X51/10^9</f>
        <v>0</v>
      </c>
      <c r="AL77" s="68">
        <f>InBS_Q!Y51/10^9</f>
        <v>0</v>
      </c>
      <c r="AM77" s="68">
        <f>InBS_Q!Z51/10^9</f>
        <v>0</v>
      </c>
      <c r="AN77" s="68">
        <f>InBS_Q!AA51/10^9</f>
        <v>0</v>
      </c>
    </row>
    <row r="78" spans="2:40" x14ac:dyDescent="0.3">
      <c r="B78" s="61" t="s">
        <v>52</v>
      </c>
      <c r="C78" s="62">
        <f>InBS!C52/10^9</f>
        <v>0</v>
      </c>
      <c r="D78" s="62">
        <f>InBS!D52/10^9</f>
        <v>0</v>
      </c>
      <c r="E78" s="62">
        <f>InBS!E52/10^9</f>
        <v>0</v>
      </c>
      <c r="F78" s="62">
        <f>InBS!F52/10^9</f>
        <v>0</v>
      </c>
      <c r="G78" s="62">
        <f>InBS!G52/10^9</f>
        <v>0</v>
      </c>
      <c r="H78" s="62">
        <f>InBS!H52/10^9</f>
        <v>0</v>
      </c>
      <c r="I78" s="62">
        <f>InBS!I52/10^9</f>
        <v>0</v>
      </c>
      <c r="J78" s="62">
        <f>InBS!J52/10^9</f>
        <v>0</v>
      </c>
      <c r="K78" s="62">
        <f>InBS!K52/10^9</f>
        <v>0</v>
      </c>
      <c r="L78" s="62">
        <f>InBS!L52/10^9</f>
        <v>0</v>
      </c>
      <c r="P78" s="68">
        <f>InBS_Q!C52/10^9</f>
        <v>0</v>
      </c>
      <c r="Q78" s="68">
        <f>InBS_Q!D52/10^9</f>
        <v>0</v>
      </c>
      <c r="R78" s="68">
        <f>InBS_Q!E52/10^9</f>
        <v>0</v>
      </c>
      <c r="S78" s="68">
        <f>InBS_Q!F52/10^9</f>
        <v>0</v>
      </c>
      <c r="T78" s="68">
        <f>InBS_Q!G52/10^9</f>
        <v>0</v>
      </c>
      <c r="U78" s="68">
        <f>InBS_Q!H52/10^9</f>
        <v>0</v>
      </c>
      <c r="V78" s="68">
        <f>InBS_Q!I52/10^9</f>
        <v>0</v>
      </c>
      <c r="W78" s="68">
        <f>InBS_Q!J52/10^9</f>
        <v>0</v>
      </c>
      <c r="X78" s="68">
        <f>InBS_Q!K52/10^9</f>
        <v>0</v>
      </c>
      <c r="Y78" s="68">
        <f>InBS_Q!L52/10^9</f>
        <v>0</v>
      </c>
      <c r="Z78" s="68">
        <f>InBS_Q!M52/10^9</f>
        <v>0</v>
      </c>
      <c r="AA78" s="68">
        <f>InBS_Q!N52/10^9</f>
        <v>0</v>
      </c>
      <c r="AB78" s="68">
        <f>InBS_Q!O52/10^9</f>
        <v>0</v>
      </c>
      <c r="AC78" s="68">
        <f>InBS_Q!P52/10^9</f>
        <v>0</v>
      </c>
      <c r="AD78" s="68">
        <f>InBS_Q!Q52/10^9</f>
        <v>0</v>
      </c>
      <c r="AE78" s="68">
        <f>InBS_Q!R52/10^9</f>
        <v>0</v>
      </c>
      <c r="AF78" s="68">
        <f>InBS_Q!S52/10^9</f>
        <v>0</v>
      </c>
      <c r="AG78" s="68">
        <f>InBS_Q!T52/10^9</f>
        <v>0</v>
      </c>
      <c r="AH78" s="68">
        <f>InBS_Q!U52/10^9</f>
        <v>0</v>
      </c>
      <c r="AI78" s="68">
        <f>InBS_Q!V52/10^9</f>
        <v>0</v>
      </c>
      <c r="AJ78" s="68">
        <f>InBS_Q!W52/10^9</f>
        <v>0</v>
      </c>
      <c r="AK78" s="68">
        <f>InBS_Q!X52/10^9</f>
        <v>0</v>
      </c>
      <c r="AL78" s="68">
        <f>InBS_Q!Y52/10^9</f>
        <v>0</v>
      </c>
      <c r="AM78" s="68">
        <f>InBS_Q!Z52/10^9</f>
        <v>0</v>
      </c>
      <c r="AN78" s="68">
        <f>InBS_Q!AA52/10^9</f>
        <v>0</v>
      </c>
    </row>
    <row r="79" spans="2:40" s="81" customFormat="1" x14ac:dyDescent="0.3">
      <c r="B79" s="58" t="s">
        <v>53</v>
      </c>
      <c r="C79" s="60">
        <f>InBS!C53/10^9</f>
        <v>0.12790987300000001</v>
      </c>
      <c r="D79" s="60">
        <f>InBS!D53/10^9</f>
        <v>1.3930262760000001</v>
      </c>
      <c r="E79" s="60">
        <f>InBS!E53/10^9</f>
        <v>0.91794845300000005</v>
      </c>
      <c r="F79" s="60">
        <f>InBS!F53/10^9</f>
        <v>0.23613266099999999</v>
      </c>
      <c r="G79" s="60">
        <f>InBS!G53/10^9</f>
        <v>16.547760561</v>
      </c>
      <c r="H79" s="60">
        <f>InBS!H53/10^9</f>
        <v>22.116681456999999</v>
      </c>
      <c r="I79" s="60">
        <f>InBS!I53/10^9</f>
        <v>19.698904445</v>
      </c>
      <c r="J79" s="60">
        <f>InBS!J53/10^9</f>
        <v>7.9796257429999997</v>
      </c>
      <c r="K79" s="60">
        <f>InBS!K53/10^9</f>
        <v>6.4097504829999998</v>
      </c>
      <c r="L79" s="60">
        <f>InBS!L53/10^9</f>
        <v>4.7676375750000002</v>
      </c>
      <c r="P79" s="66">
        <f>InBS_Q!C53/10^9</f>
        <v>13.560542561</v>
      </c>
      <c r="Q79" s="66">
        <f>InBS_Q!D53/10^9</f>
        <v>18.254742061000002</v>
      </c>
      <c r="R79" s="66">
        <f>InBS_Q!E53/10^9</f>
        <v>16.547760561</v>
      </c>
      <c r="S79" s="66">
        <f>InBS_Q!F53/10^9</f>
        <v>16.066681467999999</v>
      </c>
      <c r="T79" s="66">
        <f>InBS_Q!G53/10^9</f>
        <v>16.066681467999999</v>
      </c>
      <c r="U79" s="66">
        <f>InBS_Q!H53/10^9</f>
        <v>16.066681467999999</v>
      </c>
      <c r="V79" s="66">
        <f>InBS_Q!I53/10^9</f>
        <v>22.116681456999999</v>
      </c>
      <c r="W79" s="66">
        <f>InBS_Q!J53/10^9</f>
        <v>19.698904445</v>
      </c>
      <c r="X79" s="66">
        <f>InBS_Q!K53/10^9</f>
        <v>19.698904445</v>
      </c>
      <c r="Y79" s="66">
        <f>InBS_Q!L53/10^9</f>
        <v>19.698904445</v>
      </c>
      <c r="Z79" s="66">
        <f>InBS_Q!M53/10^9</f>
        <v>19.698904445</v>
      </c>
      <c r="AA79" s="66">
        <f>InBS_Q!N53/10^9</f>
        <v>17.281127433000002</v>
      </c>
      <c r="AB79" s="66">
        <f>InBS_Q!O53/10^9</f>
        <v>10.163433234999999</v>
      </c>
      <c r="AC79" s="66">
        <f>InBS_Q!P53/10^9</f>
        <v>10.163433234999999</v>
      </c>
      <c r="AD79" s="66">
        <f>InBS_Q!Q53/10^9</f>
        <v>9.9454764079999993</v>
      </c>
      <c r="AE79" s="66">
        <f>InBS_Q!R53/10^9</f>
        <v>8.6816257429999997</v>
      </c>
      <c r="AF79" s="66">
        <f>InBS_Q!S53/10^9</f>
        <v>8.2500424639999999</v>
      </c>
      <c r="AG79" s="66">
        <f>InBS_Q!T53/10^9</f>
        <v>8.2500424639999999</v>
      </c>
      <c r="AH79" s="66">
        <f>InBS_Q!U53/10^9</f>
        <v>6.9056138000000002</v>
      </c>
      <c r="AI79" s="66">
        <f>InBS_Q!V53/10^9</f>
        <v>6.4097504829999998</v>
      </c>
      <c r="AJ79" s="66">
        <f>InBS_Q!W53/10^9</f>
        <v>5.1792152040000001</v>
      </c>
      <c r="AK79" s="66">
        <f>InBS_Q!X53/10^9</f>
        <v>4.1918732959999998</v>
      </c>
      <c r="AL79" s="66">
        <f>InBS_Q!Y53/10^9</f>
        <v>2.6053185449999998</v>
      </c>
      <c r="AM79" s="66">
        <f>InBS_Q!Z53/10^9</f>
        <v>3.9783556760000001</v>
      </c>
      <c r="AN79" s="66">
        <f>InBS_Q!AA53/10^9</f>
        <v>1.5430283170000001</v>
      </c>
    </row>
    <row r="80" spans="2:40" x14ac:dyDescent="0.3">
      <c r="B80" s="61" t="s">
        <v>54</v>
      </c>
      <c r="C80" s="62">
        <f>InBS!C54/10^9</f>
        <v>0.107144873</v>
      </c>
      <c r="D80" s="62">
        <f>InBS!D54/10^9</f>
        <v>0.66379902599999996</v>
      </c>
      <c r="E80" s="62">
        <f>InBS!E54/10^9</f>
        <v>0.39594321500000002</v>
      </c>
      <c r="F80" s="62">
        <f>InBS!F54/10^9</f>
        <v>0.10608266099999999</v>
      </c>
      <c r="G80" s="62">
        <f>InBS!G54/10^9</f>
        <v>13.430492560999999</v>
      </c>
      <c r="H80" s="62">
        <f>InBS!H54/10^9</f>
        <v>18.999413456999999</v>
      </c>
      <c r="I80" s="62">
        <f>InBS!I54/10^9</f>
        <v>16.581636445000001</v>
      </c>
      <c r="J80" s="62">
        <f>InBS!J54/10^9</f>
        <v>0</v>
      </c>
      <c r="K80" s="62">
        <f>InBS!K54/10^9</f>
        <v>0</v>
      </c>
      <c r="L80" s="62">
        <f>InBS!L54/10^9</f>
        <v>0</v>
      </c>
      <c r="P80" s="68">
        <f>InBS_Q!C54/10^9</f>
        <v>13.430492560999999</v>
      </c>
      <c r="Q80" s="68">
        <f>InBS_Q!D54/10^9</f>
        <v>13.430492560999999</v>
      </c>
      <c r="R80" s="68">
        <f>InBS_Q!E54/10^9</f>
        <v>13.430492560999999</v>
      </c>
      <c r="S80" s="68">
        <f>InBS_Q!F54/10^9</f>
        <v>12.949413467999999</v>
      </c>
      <c r="T80" s="68">
        <f>InBS_Q!G54/10^9</f>
        <v>12.949413467999999</v>
      </c>
      <c r="U80" s="68">
        <f>InBS_Q!H54/10^9</f>
        <v>12.949413467999999</v>
      </c>
      <c r="V80" s="68">
        <f>InBS_Q!I54/10^9</f>
        <v>18.999413456999999</v>
      </c>
      <c r="W80" s="68">
        <f>InBS_Q!J54/10^9</f>
        <v>16.581636445000001</v>
      </c>
      <c r="X80" s="68">
        <f>InBS_Q!K54/10^9</f>
        <v>16.581636445000001</v>
      </c>
      <c r="Y80" s="68">
        <f>InBS_Q!L54/10^9</f>
        <v>16.581636445000001</v>
      </c>
      <c r="Z80" s="68">
        <f>InBS_Q!M54/10^9</f>
        <v>16.581636445000001</v>
      </c>
      <c r="AA80" s="68">
        <f>InBS_Q!N54/10^9</f>
        <v>14.163859433000001</v>
      </c>
      <c r="AB80" s="68">
        <f>InBS_Q!O54/10^9</f>
        <v>1.8499999970000001</v>
      </c>
      <c r="AC80" s="68">
        <f>InBS_Q!P54/10^9</f>
        <v>1.8499999970000001</v>
      </c>
      <c r="AD80" s="68">
        <f>InBS_Q!Q54/10^9</f>
        <v>1.8499999970000001</v>
      </c>
      <c r="AE80" s="68">
        <f>InBS_Q!R54/10^9</f>
        <v>0</v>
      </c>
      <c r="AF80" s="68">
        <f>InBS_Q!S54/10^9</f>
        <v>0</v>
      </c>
      <c r="AG80" s="68">
        <f>InBS_Q!T54/10^9</f>
        <v>0</v>
      </c>
      <c r="AH80" s="68">
        <f>InBS_Q!U54/10^9</f>
        <v>0</v>
      </c>
      <c r="AI80" s="68">
        <f>InBS_Q!V54/10^9</f>
        <v>0</v>
      </c>
      <c r="AJ80" s="68">
        <f>InBS_Q!W54/10^9</f>
        <v>0</v>
      </c>
      <c r="AK80" s="68">
        <f>InBS_Q!X54/10^9</f>
        <v>0</v>
      </c>
      <c r="AL80" s="68">
        <f>InBS_Q!Y54/10^9</f>
        <v>0</v>
      </c>
      <c r="AM80" s="68">
        <f>InBS_Q!Z54/10^9</f>
        <v>0</v>
      </c>
      <c r="AN80" s="68">
        <f>InBS_Q!AA54/10^9</f>
        <v>0</v>
      </c>
    </row>
    <row r="81" spans="2:40" x14ac:dyDescent="0.3">
      <c r="B81" s="61" t="s">
        <v>55</v>
      </c>
      <c r="C81" s="62">
        <f>InBS!C55/10^9</f>
        <v>0</v>
      </c>
      <c r="D81" s="62">
        <f>InBS!D55/10^9</f>
        <v>0.59917724999999999</v>
      </c>
      <c r="E81" s="62">
        <f>InBS!E55/10^9</f>
        <v>0.39195523799999998</v>
      </c>
      <c r="F81" s="62">
        <f>InBS!F55/10^9</f>
        <v>0</v>
      </c>
      <c r="G81" s="62">
        <f>InBS!G55/10^9</f>
        <v>0</v>
      </c>
      <c r="H81" s="62">
        <f>InBS!H55/10^9</f>
        <v>0</v>
      </c>
      <c r="I81" s="62">
        <f>InBS!I55/10^9</f>
        <v>0</v>
      </c>
      <c r="J81" s="62">
        <f>InBS!J55/10^9</f>
        <v>7.6456257430000001</v>
      </c>
      <c r="K81" s="62">
        <f>InBS!K55/10^9</f>
        <v>6.4097504829999998</v>
      </c>
      <c r="L81" s="62">
        <f>InBS!L55/10^9</f>
        <v>4.7676375750000002</v>
      </c>
      <c r="P81" s="68">
        <f>InBS_Q!C55/10^9</f>
        <v>0</v>
      </c>
      <c r="Q81" s="68">
        <f>InBS_Q!D55/10^9</f>
        <v>0</v>
      </c>
      <c r="R81" s="68">
        <f>InBS_Q!E55/10^9</f>
        <v>0</v>
      </c>
      <c r="S81" s="68">
        <f>InBS_Q!F55/10^9</f>
        <v>3.1172680000000001</v>
      </c>
      <c r="T81" s="68">
        <f>InBS_Q!G55/10^9</f>
        <v>0</v>
      </c>
      <c r="U81" s="68">
        <f>InBS_Q!H55/10^9</f>
        <v>0</v>
      </c>
      <c r="V81" s="68">
        <f>InBS_Q!I55/10^9</f>
        <v>0</v>
      </c>
      <c r="W81" s="68">
        <f>InBS_Q!J55/10^9</f>
        <v>0</v>
      </c>
      <c r="X81" s="68">
        <f>InBS_Q!K55/10^9</f>
        <v>0</v>
      </c>
      <c r="Y81" s="68">
        <f>InBS_Q!L55/10^9</f>
        <v>0</v>
      </c>
      <c r="Z81" s="68">
        <f>InBS_Q!M55/10^9</f>
        <v>0</v>
      </c>
      <c r="AA81" s="68">
        <f>InBS_Q!N55/10^9</f>
        <v>0</v>
      </c>
      <c r="AB81" s="68">
        <f>InBS_Q!O55/10^9</f>
        <v>5.2232152379999999</v>
      </c>
      <c r="AC81" s="68">
        <f>InBS_Q!P55/10^9</f>
        <v>5.2232152379999999</v>
      </c>
      <c r="AD81" s="68">
        <f>InBS_Q!Q55/10^9</f>
        <v>7.7614764110000003</v>
      </c>
      <c r="AE81" s="68">
        <f>InBS_Q!R55/10^9</f>
        <v>7.6456257430000001</v>
      </c>
      <c r="AF81" s="68">
        <f>InBS_Q!S55/10^9</f>
        <v>8.2500424639999999</v>
      </c>
      <c r="AG81" s="68">
        <f>InBS_Q!T55/10^9</f>
        <v>8.2500424639999999</v>
      </c>
      <c r="AH81" s="68">
        <f>InBS_Q!U55/10^9</f>
        <v>6.9056138000000002</v>
      </c>
      <c r="AI81" s="68">
        <f>InBS_Q!V55/10^9</f>
        <v>6.4097504829999998</v>
      </c>
      <c r="AJ81" s="68">
        <f>InBS_Q!W55/10^9</f>
        <v>5.1792152040000001</v>
      </c>
      <c r="AK81" s="68">
        <f>InBS_Q!X55/10^9</f>
        <v>4.1918732959999998</v>
      </c>
      <c r="AL81" s="68">
        <f>InBS_Q!Y55/10^9</f>
        <v>2.6053185449999998</v>
      </c>
      <c r="AM81" s="68">
        <f>InBS_Q!Z55/10^9</f>
        <v>3.9783556760000001</v>
      </c>
      <c r="AN81" s="68">
        <f>InBS_Q!AA55/10^9</f>
        <v>1.5430283170000001</v>
      </c>
    </row>
    <row r="82" spans="2:40" x14ac:dyDescent="0.3">
      <c r="B82" s="61" t="s">
        <v>56</v>
      </c>
      <c r="C82" s="62">
        <f>InBS!C56/10^9</f>
        <v>2.0764999999999999E-2</v>
      </c>
      <c r="D82" s="62">
        <f>InBS!D56/10^9</f>
        <v>0.13005</v>
      </c>
      <c r="E82" s="62">
        <f>InBS!E56/10^9</f>
        <v>0.13005</v>
      </c>
      <c r="F82" s="62">
        <f>InBS!F56/10^9</f>
        <v>0.13005</v>
      </c>
      <c r="G82" s="62">
        <f>InBS!G56/10^9</f>
        <v>3.1172680000000001</v>
      </c>
      <c r="H82" s="62">
        <f>InBS!H56/10^9</f>
        <v>3.1172680000000001</v>
      </c>
      <c r="I82" s="62">
        <f>InBS!I56/10^9</f>
        <v>3.1172680000000001</v>
      </c>
      <c r="J82" s="62">
        <f>InBS!J56/10^9</f>
        <v>0.33400000000000002</v>
      </c>
      <c r="K82" s="62">
        <f>InBS!K56/10^9</f>
        <v>0</v>
      </c>
      <c r="L82" s="62">
        <f>InBS!L56/10^9</f>
        <v>0</v>
      </c>
      <c r="P82" s="68">
        <f>InBS_Q!C56/10^9</f>
        <v>0.13005</v>
      </c>
      <c r="Q82" s="68">
        <f>InBS_Q!D56/10^9</f>
        <v>4.8242494999999996</v>
      </c>
      <c r="R82" s="68">
        <f>InBS_Q!E56/10^9</f>
        <v>3.1172680000000001</v>
      </c>
      <c r="S82" s="68">
        <f>InBS_Q!F56/10^9</f>
        <v>0</v>
      </c>
      <c r="T82" s="68">
        <f>InBS_Q!G56/10^9</f>
        <v>3.1172680000000001</v>
      </c>
      <c r="U82" s="68">
        <f>InBS_Q!H56/10^9</f>
        <v>3.1172680000000001</v>
      </c>
      <c r="V82" s="68">
        <f>InBS_Q!I56/10^9</f>
        <v>3.1172680000000001</v>
      </c>
      <c r="W82" s="68">
        <f>InBS_Q!J56/10^9</f>
        <v>3.1172680000000001</v>
      </c>
      <c r="X82" s="68">
        <f>InBS_Q!K56/10^9</f>
        <v>3.1172680000000001</v>
      </c>
      <c r="Y82" s="68">
        <f>InBS_Q!L56/10^9</f>
        <v>3.1172680000000001</v>
      </c>
      <c r="Z82" s="68">
        <f>InBS_Q!M56/10^9</f>
        <v>3.1172680000000001</v>
      </c>
      <c r="AA82" s="68">
        <f>InBS_Q!N56/10^9</f>
        <v>3.1172680000000001</v>
      </c>
      <c r="AB82" s="68">
        <f>InBS_Q!O56/10^9</f>
        <v>3.0902180000000001</v>
      </c>
      <c r="AC82" s="68">
        <f>InBS_Q!P56/10^9</f>
        <v>3.0902180000000001</v>
      </c>
      <c r="AD82" s="68">
        <f>InBS_Q!Q56/10^9</f>
        <v>0.33400000000000002</v>
      </c>
      <c r="AE82" s="68">
        <f>InBS_Q!R56/10^9</f>
        <v>1.036</v>
      </c>
      <c r="AF82" s="68">
        <f>InBS_Q!S56/10^9</f>
        <v>0</v>
      </c>
      <c r="AG82" s="68">
        <f>InBS_Q!T56/10^9</f>
        <v>0</v>
      </c>
      <c r="AH82" s="68">
        <f>InBS_Q!U56/10^9</f>
        <v>0</v>
      </c>
      <c r="AI82" s="68">
        <f>InBS_Q!V56/10^9</f>
        <v>0</v>
      </c>
      <c r="AJ82" s="68">
        <f>InBS_Q!W56/10^9</f>
        <v>0</v>
      </c>
      <c r="AK82" s="68">
        <f>InBS_Q!X56/10^9</f>
        <v>0</v>
      </c>
      <c r="AL82" s="68">
        <f>InBS_Q!Y56/10^9</f>
        <v>0</v>
      </c>
      <c r="AM82" s="68">
        <f>InBS_Q!Z56/10^9</f>
        <v>0</v>
      </c>
      <c r="AN82" s="68">
        <f>InBS_Q!AA56/10^9</f>
        <v>0</v>
      </c>
    </row>
    <row r="83" spans="2:40" s="81" customFormat="1" x14ac:dyDescent="0.3">
      <c r="B83" s="69" t="s">
        <v>57</v>
      </c>
      <c r="C83" s="70">
        <f>InBS!C57/10^9</f>
        <v>12.654372351999999</v>
      </c>
      <c r="D83" s="70">
        <f>InBS!D57/10^9</f>
        <v>97.420696215999996</v>
      </c>
      <c r="E83" s="70">
        <f>InBS!E57/10^9</f>
        <v>173.887231001</v>
      </c>
      <c r="F83" s="70">
        <f>InBS!F57/10^9</f>
        <v>359.57623096499998</v>
      </c>
      <c r="G83" s="70">
        <f>InBS!G57/10^9</f>
        <v>705.273812593</v>
      </c>
      <c r="H83" s="70">
        <f>InBS!H57/10^9</f>
        <v>623.73245860700001</v>
      </c>
      <c r="I83" s="70">
        <f>InBS!I57/10^9</f>
        <v>628.14309298499995</v>
      </c>
      <c r="J83" s="70">
        <f>InBS!J57/10^9</f>
        <v>641.52213940800004</v>
      </c>
      <c r="K83" s="70">
        <f>InBS!K57/10^9</f>
        <v>643.79620716099998</v>
      </c>
      <c r="L83" s="70">
        <f>InBS!L57/10^9</f>
        <v>649.91129677499998</v>
      </c>
      <c r="N83" s="94"/>
      <c r="O83" s="94"/>
      <c r="P83" s="77">
        <f>InBS_Q!C57/10^9</f>
        <v>598.81281484800002</v>
      </c>
      <c r="Q83" s="77">
        <f>InBS_Q!D57/10^9</f>
        <v>632.941426858</v>
      </c>
      <c r="R83" s="77">
        <f>InBS_Q!E57/10^9</f>
        <v>707.83555640500003</v>
      </c>
      <c r="S83" s="77">
        <f>InBS_Q!F57/10^9</f>
        <v>654.98164530500003</v>
      </c>
      <c r="T83" s="77">
        <f>InBS_Q!G57/10^9</f>
        <v>592.59920752200003</v>
      </c>
      <c r="U83" s="77">
        <f>InBS_Q!H57/10^9</f>
        <v>622.17720338399999</v>
      </c>
      <c r="V83" s="77">
        <f>InBS_Q!I57/10^9</f>
        <v>623.20445860699999</v>
      </c>
      <c r="W83" s="77">
        <f>InBS_Q!J57/10^9</f>
        <v>590.82966204900004</v>
      </c>
      <c r="X83" s="77">
        <f>InBS_Q!K57/10^9</f>
        <v>611.40372933200001</v>
      </c>
      <c r="Y83" s="77">
        <f>InBS_Q!L57/10^9</f>
        <v>637.55600588100003</v>
      </c>
      <c r="Z83" s="77">
        <f>InBS_Q!M57/10^9</f>
        <v>644.88525843900004</v>
      </c>
      <c r="AA83" s="77">
        <f>InBS_Q!N57/10^9</f>
        <v>628.73678735999999</v>
      </c>
      <c r="AB83" s="77">
        <f>InBS_Q!O57/10^9</f>
        <v>672.61811924100004</v>
      </c>
      <c r="AC83" s="77">
        <f>InBS_Q!P57/10^9</f>
        <v>666.24644431199999</v>
      </c>
      <c r="AD83" s="77">
        <f>InBS_Q!Q57/10^9</f>
        <v>639.77240946999996</v>
      </c>
      <c r="AE83" s="77">
        <f>InBS_Q!R57/10^9</f>
        <v>547.158025802</v>
      </c>
      <c r="AF83" s="77">
        <f>InBS_Q!S57/10^9</f>
        <v>649.84019627299995</v>
      </c>
      <c r="AG83" s="77">
        <f>InBS_Q!T57/10^9</f>
        <v>638.91652804499995</v>
      </c>
      <c r="AH83" s="77">
        <f>InBS_Q!U57/10^9</f>
        <v>643.67190502999995</v>
      </c>
      <c r="AI83" s="77">
        <f>InBS_Q!V57/10^9</f>
        <v>564.85335941200003</v>
      </c>
      <c r="AJ83" s="77">
        <f>InBS_Q!W57/10^9</f>
        <v>601.43831884899998</v>
      </c>
      <c r="AK83" s="77">
        <f>InBS_Q!X57/10^9</f>
        <v>634.10252516100002</v>
      </c>
      <c r="AL83" s="77">
        <f>InBS_Q!Y57/10^9</f>
        <v>647.73233254499996</v>
      </c>
      <c r="AM83" s="77">
        <f>InBS_Q!Z57/10^9</f>
        <v>694.792427761</v>
      </c>
      <c r="AN83" s="77">
        <f>InBS_Q!AA57/10^9</f>
        <v>685.72148288000005</v>
      </c>
    </row>
    <row r="84" spans="2:40" s="81" customFormat="1" x14ac:dyDescent="0.3">
      <c r="B84" s="58" t="s">
        <v>58</v>
      </c>
      <c r="C84" s="60">
        <f>InBS!C58/10^9</f>
        <v>0</v>
      </c>
      <c r="D84" s="60">
        <f>InBS!D58/10^9</f>
        <v>0</v>
      </c>
      <c r="E84" s="60">
        <f>InBS!E58/10^9</f>
        <v>0</v>
      </c>
      <c r="F84" s="60">
        <f>InBS!F58/10^9</f>
        <v>0</v>
      </c>
      <c r="G84" s="60">
        <f>InBS!G58/10^9</f>
        <v>0</v>
      </c>
      <c r="H84" s="60">
        <f>InBS!H58/10^9</f>
        <v>0</v>
      </c>
      <c r="I84" s="60">
        <f>InBS!I58/10^9</f>
        <v>0</v>
      </c>
      <c r="J84" s="60">
        <f>InBS!J58/10^9</f>
        <v>0</v>
      </c>
      <c r="K84" s="60">
        <f>InBS!K58/10^9</f>
        <v>0</v>
      </c>
      <c r="L84" s="60">
        <f>InBS!L58/10^9</f>
        <v>0</v>
      </c>
      <c r="P84" s="66">
        <f>InBS_Q!C58/10^9</f>
        <v>0</v>
      </c>
      <c r="Q84" s="66">
        <f>InBS_Q!D58/10^9</f>
        <v>0</v>
      </c>
      <c r="R84" s="66">
        <f>InBS_Q!E58/10^9</f>
        <v>0</v>
      </c>
      <c r="S84" s="66">
        <f>InBS_Q!F58/10^9</f>
        <v>0</v>
      </c>
      <c r="T84" s="66">
        <f>InBS_Q!G58/10^9</f>
        <v>0</v>
      </c>
      <c r="U84" s="66">
        <f>InBS_Q!H58/10^9</f>
        <v>0</v>
      </c>
      <c r="V84" s="66">
        <f>InBS_Q!I58/10^9</f>
        <v>0</v>
      </c>
      <c r="W84" s="66">
        <f>InBS_Q!J58/10^9</f>
        <v>0</v>
      </c>
      <c r="X84" s="66">
        <f>InBS_Q!K58/10^9</f>
        <v>0</v>
      </c>
      <c r="Y84" s="66">
        <f>InBS_Q!L58/10^9</f>
        <v>0</v>
      </c>
      <c r="Z84" s="66">
        <f>InBS_Q!M58/10^9</f>
        <v>0</v>
      </c>
      <c r="AA84" s="66">
        <f>InBS_Q!N58/10^9</f>
        <v>0</v>
      </c>
      <c r="AB84" s="66">
        <f>InBS_Q!O58/10^9</f>
        <v>0</v>
      </c>
      <c r="AC84" s="66">
        <f>InBS_Q!P58/10^9</f>
        <v>0</v>
      </c>
      <c r="AD84" s="66">
        <f>InBS_Q!Q58/10^9</f>
        <v>0</v>
      </c>
      <c r="AE84" s="66">
        <f>InBS_Q!R58/10^9</f>
        <v>0</v>
      </c>
      <c r="AF84" s="66">
        <f>InBS_Q!S58/10^9</f>
        <v>0</v>
      </c>
      <c r="AG84" s="66">
        <f>InBS_Q!T58/10^9</f>
        <v>0</v>
      </c>
      <c r="AH84" s="66">
        <f>InBS_Q!U58/10^9</f>
        <v>0</v>
      </c>
      <c r="AI84" s="66">
        <f>InBS_Q!V58/10^9</f>
        <v>0</v>
      </c>
      <c r="AJ84" s="66">
        <f>InBS_Q!W58/10^9</f>
        <v>0</v>
      </c>
      <c r="AK84" s="66">
        <f>InBS_Q!X58/10^9</f>
        <v>0</v>
      </c>
      <c r="AL84" s="66">
        <f>InBS_Q!Y58/10^9</f>
        <v>0</v>
      </c>
      <c r="AM84" s="66">
        <f>InBS_Q!Z58/10^9</f>
        <v>0</v>
      </c>
      <c r="AN84" s="66">
        <f>InBS_Q!AA58/10^9</f>
        <v>0</v>
      </c>
    </row>
    <row r="85" spans="2:40" s="81" customFormat="1" x14ac:dyDescent="0.3">
      <c r="B85" s="71" t="s">
        <v>59</v>
      </c>
      <c r="C85" s="72">
        <f>InBS!C59/10^9</f>
        <v>0.76909875400000005</v>
      </c>
      <c r="D85" s="72">
        <f>InBS!D59/10^9</f>
        <v>36.381788763000003</v>
      </c>
      <c r="E85" s="72">
        <f>InBS!E59/10^9</f>
        <v>100.616557796</v>
      </c>
      <c r="F85" s="72">
        <f>InBS!F59/10^9</f>
        <v>126.39974564400001</v>
      </c>
      <c r="G85" s="72">
        <f>InBS!G59/10^9</f>
        <v>317.510272714</v>
      </c>
      <c r="H85" s="72">
        <f>InBS!H59/10^9</f>
        <v>243.16545123899999</v>
      </c>
      <c r="I85" s="72">
        <f>InBS!I59/10^9</f>
        <v>184.64471101000001</v>
      </c>
      <c r="J85" s="72">
        <f>InBS!J59/10^9</f>
        <v>209.15436042100001</v>
      </c>
      <c r="K85" s="72">
        <f>InBS!K59/10^9</f>
        <v>245.05982637700001</v>
      </c>
      <c r="L85" s="72">
        <f>InBS!L59/10^9</f>
        <v>185.319914805</v>
      </c>
      <c r="N85" s="92"/>
      <c r="O85" s="92"/>
      <c r="P85" s="93">
        <f>InBS_Q!C59/10^9</f>
        <v>265.981154887</v>
      </c>
      <c r="Q85" s="93">
        <f>InBS_Q!D59/10^9</f>
        <v>243.74661875699999</v>
      </c>
      <c r="R85" s="93">
        <f>InBS_Q!E59/10^9</f>
        <v>319.44185925099998</v>
      </c>
      <c r="S85" s="93">
        <f>InBS_Q!F59/10^9</f>
        <v>229.99364938299999</v>
      </c>
      <c r="T85" s="93">
        <f>InBS_Q!G59/10^9</f>
        <v>232.476610986</v>
      </c>
      <c r="U85" s="93">
        <f>InBS_Q!H59/10^9</f>
        <v>235.99666380100001</v>
      </c>
      <c r="V85" s="93">
        <f>InBS_Q!I59/10^9</f>
        <v>242.23465697099999</v>
      </c>
      <c r="W85" s="93">
        <f>InBS_Q!J59/10^9</f>
        <v>213.703541562</v>
      </c>
      <c r="X85" s="93">
        <f>InBS_Q!K59/10^9</f>
        <v>236.03499723300001</v>
      </c>
      <c r="Y85" s="93">
        <f>InBS_Q!L59/10^9</f>
        <v>233.97723434100001</v>
      </c>
      <c r="Z85" s="93">
        <f>InBS_Q!M59/10^9</f>
        <v>201.376036664</v>
      </c>
      <c r="AA85" s="93">
        <f>InBS_Q!N59/10^9</f>
        <v>200.82066002400001</v>
      </c>
      <c r="AB85" s="93">
        <f>InBS_Q!O59/10^9</f>
        <v>298.84248683200002</v>
      </c>
      <c r="AC85" s="93">
        <f>InBS_Q!P59/10^9</f>
        <v>255.26792615900001</v>
      </c>
      <c r="AD85" s="93">
        <f>InBS_Q!Q59/10^9</f>
        <v>207.25582751499999</v>
      </c>
      <c r="AE85" s="93">
        <f>InBS_Q!R59/10^9</f>
        <v>146.290606594</v>
      </c>
      <c r="AF85" s="93">
        <f>InBS_Q!S59/10^9</f>
        <v>264.05929690599999</v>
      </c>
      <c r="AG85" s="93">
        <f>InBS_Q!T59/10^9</f>
        <v>229.92372102600001</v>
      </c>
      <c r="AH85" s="93">
        <f>InBS_Q!U59/10^9</f>
        <v>245.16212815700001</v>
      </c>
      <c r="AI85" s="93">
        <f>InBS_Q!V59/10^9</f>
        <v>185.845761944</v>
      </c>
      <c r="AJ85" s="93">
        <f>InBS_Q!W59/10^9</f>
        <v>195.325407579</v>
      </c>
      <c r="AK85" s="93">
        <f>InBS_Q!X59/10^9</f>
        <v>204.88533720699999</v>
      </c>
      <c r="AL85" s="93">
        <f>InBS_Q!Y59/10^9</f>
        <v>191.21293921</v>
      </c>
      <c r="AM85" s="93">
        <f>InBS_Q!Z59/10^9</f>
        <v>207.85110325100001</v>
      </c>
      <c r="AN85" s="93">
        <f>InBS_Q!AA59/10^9</f>
        <v>262.29931512500002</v>
      </c>
    </row>
    <row r="86" spans="2:40" s="81" customFormat="1" x14ac:dyDescent="0.3">
      <c r="B86" s="58" t="s">
        <v>60</v>
      </c>
      <c r="C86" s="60">
        <f>InBS!C60/10^9</f>
        <v>0.76909875400000005</v>
      </c>
      <c r="D86" s="60">
        <f>InBS!D60/10^9</f>
        <v>14.700464862</v>
      </c>
      <c r="E86" s="60">
        <f>InBS!E60/10^9</f>
        <v>50.566217622000003</v>
      </c>
      <c r="F86" s="60">
        <f>InBS!F60/10^9</f>
        <v>86.700886768000004</v>
      </c>
      <c r="G86" s="60">
        <f>InBS!G60/10^9</f>
        <v>207.35547679999999</v>
      </c>
      <c r="H86" s="60">
        <f>InBS!H60/10^9</f>
        <v>166.42561473800001</v>
      </c>
      <c r="I86" s="60">
        <f>InBS!I60/10^9</f>
        <v>147.45918414100001</v>
      </c>
      <c r="J86" s="60">
        <f>InBS!J60/10^9</f>
        <v>184.28457342600001</v>
      </c>
      <c r="K86" s="60">
        <f>InBS!K60/10^9</f>
        <v>201.176465912</v>
      </c>
      <c r="L86" s="60">
        <f>InBS!L60/10^9</f>
        <v>157.297948961</v>
      </c>
      <c r="P86" s="66">
        <f>InBS_Q!C60/10^9</f>
        <v>162.64339895500001</v>
      </c>
      <c r="Q86" s="66">
        <f>InBS_Q!D60/10^9</f>
        <v>129.992852825</v>
      </c>
      <c r="R86" s="66">
        <f>InBS_Q!E60/10^9</f>
        <v>204.90405990299999</v>
      </c>
      <c r="S86" s="66">
        <f>InBS_Q!F60/10^9</f>
        <v>128.93404515700001</v>
      </c>
      <c r="T86" s="66">
        <f>InBS_Q!G60/10^9</f>
        <v>141.81391546</v>
      </c>
      <c r="U86" s="66">
        <f>InBS_Q!H60/10^9</f>
        <v>155.730876975</v>
      </c>
      <c r="V86" s="66">
        <f>InBS_Q!I60/10^9</f>
        <v>165.49482047000001</v>
      </c>
      <c r="W86" s="66">
        <f>InBS_Q!J60/10^9</f>
        <v>147.311929201</v>
      </c>
      <c r="X86" s="66">
        <f>InBS_Q!K60/10^9</f>
        <v>179.98472673200001</v>
      </c>
      <c r="Y86" s="66">
        <f>InBS_Q!L60/10^9</f>
        <v>188.35602997999999</v>
      </c>
      <c r="Z86" s="66">
        <f>InBS_Q!M60/10^9</f>
        <v>164.190509795</v>
      </c>
      <c r="AA86" s="66">
        <f>InBS_Q!N60/10^9</f>
        <v>164.59051507500001</v>
      </c>
      <c r="AB86" s="66">
        <f>InBS_Q!O60/10^9</f>
        <v>270.26447817100001</v>
      </c>
      <c r="AC86" s="66">
        <f>InBS_Q!P60/10^9</f>
        <v>219.74755224500001</v>
      </c>
      <c r="AD86" s="66">
        <f>InBS_Q!Q60/10^9</f>
        <v>181.832262738</v>
      </c>
      <c r="AE86" s="66">
        <f>InBS_Q!R60/10^9</f>
        <v>139.336158955</v>
      </c>
      <c r="AF86" s="66">
        <f>InBS_Q!S60/10^9</f>
        <v>224.43084926700001</v>
      </c>
      <c r="AG86" s="66">
        <f>InBS_Q!T60/10^9</f>
        <v>181.31224460799999</v>
      </c>
      <c r="AH86" s="66">
        <f>InBS_Q!U60/10^9</f>
        <v>201.126868065</v>
      </c>
      <c r="AI86" s="66">
        <f>InBS_Q!V60/10^9</f>
        <v>145.329042456</v>
      </c>
      <c r="AJ86" s="66">
        <f>InBS_Q!W60/10^9</f>
        <v>159.84548441000001</v>
      </c>
      <c r="AK86" s="66">
        <f>InBS_Q!X60/10^9</f>
        <v>171.831310454</v>
      </c>
      <c r="AL86" s="66">
        <f>InBS_Q!Y60/10^9</f>
        <v>157.67707827500001</v>
      </c>
      <c r="AM86" s="66">
        <f>InBS_Q!Z60/10^9</f>
        <v>186.514032797</v>
      </c>
      <c r="AN86" s="66">
        <f>InBS_Q!AA60/10^9</f>
        <v>247.64714711299999</v>
      </c>
    </row>
    <row r="87" spans="2:40" x14ac:dyDescent="0.3">
      <c r="B87" s="61" t="s">
        <v>61</v>
      </c>
      <c r="C87" s="62">
        <f>InBS!C61/10^9</f>
        <v>0</v>
      </c>
      <c r="D87" s="62">
        <f>InBS!D61/10^9</f>
        <v>0</v>
      </c>
      <c r="E87" s="62">
        <f>InBS!E61/10^9</f>
        <v>24.232938009000002</v>
      </c>
      <c r="F87" s="62">
        <f>InBS!F61/10^9</f>
        <v>31.053738106000001</v>
      </c>
      <c r="G87" s="62">
        <f>InBS!G61/10^9</f>
        <v>61.946897153999998</v>
      </c>
      <c r="H87" s="62">
        <f>InBS!H61/10^9</f>
        <v>60.183954800000002</v>
      </c>
      <c r="I87" s="62">
        <f>InBS!I61/10^9</f>
        <v>39.660229072</v>
      </c>
      <c r="J87" s="62">
        <f>InBS!J61/10^9</f>
        <v>44.60523628</v>
      </c>
      <c r="K87" s="62">
        <f>InBS!K61/10^9</f>
        <v>38.121860355999999</v>
      </c>
      <c r="L87" s="62">
        <f>InBS!L61/10^9</f>
        <v>30.839581662000001</v>
      </c>
      <c r="P87" s="68">
        <f>InBS_Q!C61/10^9</f>
        <v>54.721562890000001</v>
      </c>
      <c r="Q87" s="68">
        <f>InBS_Q!D61/10^9</f>
        <v>40.963811853000003</v>
      </c>
      <c r="R87" s="68">
        <f>InBS_Q!E61/10^9</f>
        <v>59.650887154000003</v>
      </c>
      <c r="S87" s="68">
        <f>InBS_Q!F61/10^9</f>
        <v>55.633827611000001</v>
      </c>
      <c r="T87" s="68">
        <f>InBS_Q!G61/10^9</f>
        <v>48.610731184999999</v>
      </c>
      <c r="U87" s="68">
        <f>InBS_Q!H61/10^9</f>
        <v>41.587634799999996</v>
      </c>
      <c r="V87" s="68">
        <f>InBS_Q!I61/10^9</f>
        <v>60.183954800000002</v>
      </c>
      <c r="W87" s="68">
        <f>InBS_Q!J61/10^9</f>
        <v>60.211154800000003</v>
      </c>
      <c r="X87" s="68">
        <f>InBS_Q!K61/10^9</f>
        <v>60.2519548</v>
      </c>
      <c r="Y87" s="68">
        <f>InBS_Q!L61/10^9</f>
        <v>60.239154800000001</v>
      </c>
      <c r="Z87" s="68">
        <f>InBS_Q!M61/10^9</f>
        <v>39.660229072</v>
      </c>
      <c r="AA87" s="68">
        <f>InBS_Q!N61/10^9</f>
        <v>36.697040371999996</v>
      </c>
      <c r="AB87" s="68">
        <f>InBS_Q!O61/10^9</f>
        <v>37.345545379999997</v>
      </c>
      <c r="AC87" s="68">
        <f>InBS_Q!P61/10^9</f>
        <v>44.559156680000001</v>
      </c>
      <c r="AD87" s="68">
        <f>InBS_Q!Q61/10^9</f>
        <v>44.051458498000002</v>
      </c>
      <c r="AE87" s="68">
        <f>InBS_Q!R61/10^9</f>
        <v>22.842929349999999</v>
      </c>
      <c r="AF87" s="68">
        <f>InBS_Q!S61/10^9</f>
        <v>41.950391668000002</v>
      </c>
      <c r="AG87" s="68">
        <f>InBS_Q!T61/10^9</f>
        <v>42.948605340999997</v>
      </c>
      <c r="AH87" s="68">
        <f>InBS_Q!U61/10^9</f>
        <v>38.121860355999999</v>
      </c>
      <c r="AI87" s="68">
        <f>InBS_Q!V61/10^9</f>
        <v>41.643523911999999</v>
      </c>
      <c r="AJ87" s="68">
        <f>InBS_Q!W61/10^9</f>
        <v>38.392913688</v>
      </c>
      <c r="AK87" s="68">
        <f>InBS_Q!X61/10^9</f>
        <v>34.939581687999997</v>
      </c>
      <c r="AL87" s="68">
        <f>InBS_Q!Y61/10^9</f>
        <v>30.839581662000001</v>
      </c>
      <c r="AM87" s="68">
        <f>InBS_Q!Z61/10^9</f>
        <v>26.739581636</v>
      </c>
      <c r="AN87" s="68">
        <f>InBS_Q!AA61/10^9</f>
        <v>26.739588661999999</v>
      </c>
    </row>
    <row r="88" spans="2:40" x14ac:dyDescent="0.3">
      <c r="B88" s="61" t="s">
        <v>62</v>
      </c>
      <c r="C88" s="62">
        <f>InBS!C62/10^9</f>
        <v>0</v>
      </c>
      <c r="D88" s="62">
        <f>InBS!D62/10^9</f>
        <v>8.3627708320000007</v>
      </c>
      <c r="E88" s="62">
        <f>InBS!E62/10^9</f>
        <v>20.336353680999999</v>
      </c>
      <c r="F88" s="62">
        <f>InBS!F62/10^9</f>
        <v>37.970883592</v>
      </c>
      <c r="G88" s="62">
        <f>InBS!G62/10^9</f>
        <v>103.071909159</v>
      </c>
      <c r="H88" s="62">
        <f>InBS!H62/10^9</f>
        <v>91.395735677000005</v>
      </c>
      <c r="I88" s="62">
        <f>InBS!I62/10^9</f>
        <v>90.994504555999995</v>
      </c>
      <c r="J88" s="62">
        <f>InBS!J62/10^9</f>
        <v>122.30382674400001</v>
      </c>
      <c r="K88" s="62">
        <f>InBS!K62/10^9</f>
        <v>100.003964075</v>
      </c>
      <c r="L88" s="62">
        <f>InBS!L62/10^9</f>
        <v>96.642193336000005</v>
      </c>
      <c r="P88" s="68">
        <f>InBS_Q!C62/10^9</f>
        <v>78.073854573999995</v>
      </c>
      <c r="Q88" s="68">
        <f>InBS_Q!D62/10^9</f>
        <v>56.807818114</v>
      </c>
      <c r="R88" s="68">
        <f>InBS_Q!E62/10^9</f>
        <v>103.071909159</v>
      </c>
      <c r="S88" s="68">
        <f>InBS_Q!F62/10^9</f>
        <v>64.457557499000004</v>
      </c>
      <c r="T88" s="68">
        <f>InBS_Q!G62/10^9</f>
        <v>80.599829522999997</v>
      </c>
      <c r="U88" s="68">
        <f>InBS_Q!H62/10^9</f>
        <v>92.353380336000001</v>
      </c>
      <c r="V88" s="68">
        <f>InBS_Q!I62/10^9</f>
        <v>90.867735676999999</v>
      </c>
      <c r="W88" s="68">
        <f>InBS_Q!J62/10^9</f>
        <v>70.154866370999997</v>
      </c>
      <c r="X88" s="68">
        <f>InBS_Q!K62/10^9</f>
        <v>95.509575631000004</v>
      </c>
      <c r="Y88" s="68">
        <f>InBS_Q!L62/10^9</f>
        <v>93.243720737000004</v>
      </c>
      <c r="Z88" s="68">
        <f>InBS_Q!M62/10^9</f>
        <v>90.994504555999995</v>
      </c>
      <c r="AA88" s="68">
        <f>InBS_Q!N62/10^9</f>
        <v>91.265027863</v>
      </c>
      <c r="AB88" s="68">
        <f>InBS_Q!O62/10^9</f>
        <v>164.161982298</v>
      </c>
      <c r="AC88" s="68">
        <f>InBS_Q!P62/10^9</f>
        <v>119.65764923899999</v>
      </c>
      <c r="AD88" s="68">
        <f>InBS_Q!Q62/10^9</f>
        <v>121.41187892000001</v>
      </c>
      <c r="AE88" s="68">
        <f>InBS_Q!R62/10^9</f>
        <v>71.835968852999997</v>
      </c>
      <c r="AF88" s="68">
        <f>InBS_Q!S62/10^9</f>
        <v>91.316471288000002</v>
      </c>
      <c r="AG88" s="68">
        <f>InBS_Q!T62/10^9</f>
        <v>87.213090680999997</v>
      </c>
      <c r="AH88" s="68">
        <f>InBS_Q!U62/10^9</f>
        <v>100.003964075</v>
      </c>
      <c r="AI88" s="68">
        <f>InBS_Q!V62/10^9</f>
        <v>60.552829058999997</v>
      </c>
      <c r="AJ88" s="68">
        <f>InBS_Q!W62/10^9</f>
        <v>62.454318180999998</v>
      </c>
      <c r="AK88" s="68">
        <f>InBS_Q!X62/10^9</f>
        <v>73.332892622000003</v>
      </c>
      <c r="AL88" s="68">
        <f>InBS_Q!Y62/10^9</f>
        <v>96.459096135999999</v>
      </c>
      <c r="AM88" s="68">
        <f>InBS_Q!Z62/10^9</f>
        <v>105.93412279499999</v>
      </c>
      <c r="AN88" s="68">
        <f>InBS_Q!AA62/10^9</f>
        <v>135.90821004200001</v>
      </c>
    </row>
    <row r="89" spans="2:40" x14ac:dyDescent="0.3">
      <c r="B89" s="61" t="s">
        <v>63</v>
      </c>
      <c r="C89" s="62">
        <f>InBS!C63/10^9</f>
        <v>0</v>
      </c>
      <c r="D89" s="62">
        <f>InBS!D63/10^9</f>
        <v>0</v>
      </c>
      <c r="E89" s="62">
        <f>InBS!E63/10^9</f>
        <v>0</v>
      </c>
      <c r="F89" s="62">
        <f>InBS!F63/10^9</f>
        <v>0</v>
      </c>
      <c r="G89" s="62">
        <f>InBS!G63/10^9</f>
        <v>0</v>
      </c>
      <c r="H89" s="62">
        <f>InBS!H63/10^9</f>
        <v>0</v>
      </c>
      <c r="I89" s="62">
        <f>InBS!I63/10^9</f>
        <v>0</v>
      </c>
      <c r="J89" s="62">
        <f>InBS!J63/10^9</f>
        <v>0</v>
      </c>
      <c r="K89" s="62">
        <f>InBS!K63/10^9</f>
        <v>0</v>
      </c>
      <c r="L89" s="62">
        <f>InBS!L63/10^9</f>
        <v>0</v>
      </c>
      <c r="P89" s="68">
        <f>InBS_Q!C63/10^9</f>
        <v>0</v>
      </c>
      <c r="Q89" s="68">
        <f>InBS_Q!D63/10^9</f>
        <v>0</v>
      </c>
      <c r="R89" s="68">
        <f>InBS_Q!E63/10^9</f>
        <v>0</v>
      </c>
      <c r="S89" s="68">
        <f>InBS_Q!F63/10^9</f>
        <v>0</v>
      </c>
      <c r="T89" s="68">
        <f>InBS_Q!G63/10^9</f>
        <v>0</v>
      </c>
      <c r="U89" s="68">
        <f>InBS_Q!H63/10^9</f>
        <v>0</v>
      </c>
      <c r="V89" s="68">
        <f>InBS_Q!I63/10^9</f>
        <v>0</v>
      </c>
      <c r="W89" s="68">
        <f>InBS_Q!J63/10^9</f>
        <v>4.3025688070000001</v>
      </c>
      <c r="X89" s="68">
        <f>InBS_Q!K63/10^9</f>
        <v>0</v>
      </c>
      <c r="Y89" s="68">
        <f>InBS_Q!L63/10^9</f>
        <v>0</v>
      </c>
      <c r="Z89" s="68">
        <f>InBS_Q!M63/10^9</f>
        <v>0</v>
      </c>
      <c r="AA89" s="68">
        <f>InBS_Q!N63/10^9</f>
        <v>0</v>
      </c>
      <c r="AB89" s="68">
        <f>InBS_Q!O63/10^9</f>
        <v>0</v>
      </c>
      <c r="AC89" s="68">
        <f>InBS_Q!P63/10^9</f>
        <v>0</v>
      </c>
      <c r="AD89" s="68">
        <f>InBS_Q!Q63/10^9</f>
        <v>0</v>
      </c>
      <c r="AE89" s="68">
        <f>InBS_Q!R63/10^9</f>
        <v>0</v>
      </c>
      <c r="AF89" s="68">
        <f>InBS_Q!S63/10^9</f>
        <v>0</v>
      </c>
      <c r="AG89" s="68">
        <f>InBS_Q!T63/10^9</f>
        <v>0</v>
      </c>
      <c r="AH89" s="68">
        <f>InBS_Q!U63/10^9</f>
        <v>0</v>
      </c>
      <c r="AI89" s="68">
        <f>InBS_Q!V63/10^9</f>
        <v>0.57229891099999997</v>
      </c>
      <c r="AJ89" s="68">
        <f>InBS_Q!W63/10^9</f>
        <v>9.0497287999999995E-2</v>
      </c>
      <c r="AK89" s="68">
        <f>InBS_Q!X63/10^9</f>
        <v>0</v>
      </c>
      <c r="AL89" s="68">
        <f>InBS_Q!Y63/10^9</f>
        <v>0</v>
      </c>
      <c r="AM89" s="68">
        <f>InBS_Q!Z63/10^9</f>
        <v>0</v>
      </c>
      <c r="AN89" s="68">
        <f>InBS_Q!AA63/10^9</f>
        <v>0</v>
      </c>
    </row>
    <row r="90" spans="2:40" x14ac:dyDescent="0.3">
      <c r="B90" s="61" t="s">
        <v>64</v>
      </c>
      <c r="C90" s="62">
        <f>InBS!C64/10^9</f>
        <v>1.3033256E-2</v>
      </c>
      <c r="D90" s="62">
        <f>InBS!D64/10^9</f>
        <v>5.5235530999999997E-2</v>
      </c>
      <c r="E90" s="62">
        <f>InBS!E64/10^9</f>
        <v>0.80141605599999999</v>
      </c>
      <c r="F90" s="62">
        <f>InBS!F64/10^9</f>
        <v>1.687716046</v>
      </c>
      <c r="G90" s="62">
        <f>InBS!G64/10^9</f>
        <v>3.2078370230000002</v>
      </c>
      <c r="H90" s="62">
        <f>InBS!H64/10^9</f>
        <v>4.3316504419999999</v>
      </c>
      <c r="I90" s="62">
        <f>InBS!I64/10^9</f>
        <v>4.0766735599999997</v>
      </c>
      <c r="J90" s="62">
        <f>InBS!J64/10^9</f>
        <v>5.5503764990000004</v>
      </c>
      <c r="K90" s="62">
        <f>InBS!K64/10^9</f>
        <v>7.0508022500000003</v>
      </c>
      <c r="L90" s="62">
        <f>InBS!L64/10^9</f>
        <v>10.477874057999999</v>
      </c>
      <c r="P90" s="68">
        <f>InBS_Q!C64/10^9</f>
        <v>9.2945180020000002</v>
      </c>
      <c r="Q90" s="68">
        <f>InBS_Q!D64/10^9</f>
        <v>8.8496174480000001</v>
      </c>
      <c r="R90" s="68">
        <f>InBS_Q!E64/10^9</f>
        <v>2.9604907150000002</v>
      </c>
      <c r="S90" s="68">
        <f>InBS_Q!F64/10^9</f>
        <v>3.270583614</v>
      </c>
      <c r="T90" s="68">
        <f>InBS_Q!G64/10^9</f>
        <v>5.5510987180000004</v>
      </c>
      <c r="U90" s="68">
        <f>InBS_Q!H64/10^9</f>
        <v>2.7696332340000001</v>
      </c>
      <c r="V90" s="68">
        <f>InBS_Q!I64/10^9</f>
        <v>3.9288561739999999</v>
      </c>
      <c r="W90" s="68">
        <f>InBS_Q!J64/10^9</f>
        <v>6.8657136019999996</v>
      </c>
      <c r="X90" s="68">
        <f>InBS_Q!K64/10^9</f>
        <v>5.4412660150000001</v>
      </c>
      <c r="Y90" s="68">
        <f>InBS_Q!L64/10^9</f>
        <v>3.4382987530000002</v>
      </c>
      <c r="Z90" s="68">
        <f>InBS_Q!M64/10^9</f>
        <v>4.0658337600000003</v>
      </c>
      <c r="AA90" s="68">
        <f>InBS_Q!N64/10^9</f>
        <v>3.2502005129999998</v>
      </c>
      <c r="AB90" s="68">
        <f>InBS_Q!O64/10^9</f>
        <v>30.364243743999999</v>
      </c>
      <c r="AC90" s="68">
        <f>InBS_Q!P64/10^9</f>
        <v>8.9174000289999995</v>
      </c>
      <c r="AD90" s="68">
        <f>InBS_Q!Q64/10^9</f>
        <v>4.9417012890000001</v>
      </c>
      <c r="AE90" s="68">
        <f>InBS_Q!R64/10^9</f>
        <v>6.1568938150000001</v>
      </c>
      <c r="AF90" s="68">
        <f>InBS_Q!S64/10^9</f>
        <v>6.9136578350000004</v>
      </c>
      <c r="AG90" s="68">
        <f>InBS_Q!T64/10^9</f>
        <v>7.3320241719999997</v>
      </c>
      <c r="AH90" s="68">
        <f>InBS_Q!U64/10^9</f>
        <v>7.9357884240000001</v>
      </c>
      <c r="AI90" s="68">
        <f>InBS_Q!V64/10^9</f>
        <v>7.2897391520000001</v>
      </c>
      <c r="AJ90" s="68">
        <f>InBS_Q!W64/10^9</f>
        <v>10.043891297</v>
      </c>
      <c r="AK90" s="68">
        <f>InBS_Q!X64/10^9</f>
        <v>6.4348366820000003</v>
      </c>
      <c r="AL90" s="68">
        <f>InBS_Q!Y64/10^9</f>
        <v>11.040100572</v>
      </c>
      <c r="AM90" s="68">
        <f>InBS_Q!Z64/10^9</f>
        <v>6.4199983810000001</v>
      </c>
      <c r="AN90" s="68">
        <f>InBS_Q!AA64/10^9</f>
        <v>8.5320934860000008</v>
      </c>
    </row>
    <row r="91" spans="2:40" x14ac:dyDescent="0.3">
      <c r="B91" s="61" t="s">
        <v>65</v>
      </c>
      <c r="C91" s="62">
        <f>InBS!C65/10^9</f>
        <v>9.1546328999999996E-2</v>
      </c>
      <c r="D91" s="62">
        <f>InBS!D65/10^9</f>
        <v>0.33339872599999998</v>
      </c>
      <c r="E91" s="62">
        <f>InBS!E65/10^9</f>
        <v>1.854262785</v>
      </c>
      <c r="F91" s="62">
        <f>InBS!F65/10^9</f>
        <v>5.5375699120000004</v>
      </c>
      <c r="G91" s="62">
        <f>InBS!G65/10^9</f>
        <v>6.4651524509999998</v>
      </c>
      <c r="H91" s="62">
        <f>InBS!H65/10^9</f>
        <v>6.9496583369999998</v>
      </c>
      <c r="I91" s="62">
        <f>InBS!I65/10^9</f>
        <v>4.535910887</v>
      </c>
      <c r="J91" s="62">
        <f>InBS!J65/10^9</f>
        <v>3.3535451790000002</v>
      </c>
      <c r="K91" s="62">
        <f>InBS!K65/10^9</f>
        <v>9.8907533809999997</v>
      </c>
      <c r="L91" s="62">
        <f>InBS!L65/10^9</f>
        <v>6.2247448490000004</v>
      </c>
      <c r="P91" s="68">
        <f>InBS_Q!C65/10^9</f>
        <v>8.4238509599999993</v>
      </c>
      <c r="Q91" s="68">
        <f>InBS_Q!D65/10^9</f>
        <v>9.7156504980000005</v>
      </c>
      <c r="R91" s="68">
        <f>InBS_Q!E65/10^9</f>
        <v>6.4651524509999998</v>
      </c>
      <c r="S91" s="68">
        <f>InBS_Q!F65/10^9</f>
        <v>4.2871890639999997</v>
      </c>
      <c r="T91" s="68">
        <f>InBS_Q!G65/10^9</f>
        <v>4.6858115009999999</v>
      </c>
      <c r="U91" s="68">
        <f>InBS_Q!H65/10^9</f>
        <v>10.215860252000001</v>
      </c>
      <c r="V91" s="68">
        <f>InBS_Q!I65/10^9</f>
        <v>6.9496583369999998</v>
      </c>
      <c r="W91" s="68">
        <f>InBS_Q!J65/10^9</f>
        <v>4.9495649229999996</v>
      </c>
      <c r="X91" s="68">
        <f>InBS_Q!K65/10^9</f>
        <v>8.5847151759999996</v>
      </c>
      <c r="Y91" s="68">
        <f>InBS_Q!L65/10^9</f>
        <v>13.972341049000001</v>
      </c>
      <c r="Z91" s="68">
        <f>InBS_Q!M65/10^9</f>
        <v>4.535910887</v>
      </c>
      <c r="AA91" s="68">
        <f>InBS_Q!N65/10^9</f>
        <v>15.988435899000001</v>
      </c>
      <c r="AB91" s="68">
        <f>InBS_Q!O65/10^9</f>
        <v>14.513579954000001</v>
      </c>
      <c r="AC91" s="68">
        <f>InBS_Q!P65/10^9</f>
        <v>25.145265278</v>
      </c>
      <c r="AD91" s="68">
        <f>InBS_Q!Q65/10^9</f>
        <v>3.3535451790000002</v>
      </c>
      <c r="AE91" s="68">
        <f>InBS_Q!R65/10^9</f>
        <v>23.689968403999998</v>
      </c>
      <c r="AF91" s="68">
        <f>InBS_Q!S65/10^9</f>
        <v>23.551986970000002</v>
      </c>
      <c r="AG91" s="68">
        <f>InBS_Q!T65/10^9</f>
        <v>23.724750221000001</v>
      </c>
      <c r="AH91" s="68">
        <f>InBS_Q!U65/10^9</f>
        <v>9.8907533809999997</v>
      </c>
      <c r="AI91" s="68">
        <f>InBS_Q!V65/10^9</f>
        <v>12.989870324</v>
      </c>
      <c r="AJ91" s="68">
        <f>InBS_Q!W65/10^9</f>
        <v>26.752278923999999</v>
      </c>
      <c r="AK91" s="68">
        <f>InBS_Q!X65/10^9</f>
        <v>32.696603504999999</v>
      </c>
      <c r="AL91" s="68">
        <f>InBS_Q!Y65/10^9</f>
        <v>6.2247448490000004</v>
      </c>
      <c r="AM91" s="68">
        <f>InBS_Q!Z65/10^9</f>
        <v>25.867108220999999</v>
      </c>
      <c r="AN91" s="68">
        <f>InBS_Q!AA65/10^9</f>
        <v>35.401746082999999</v>
      </c>
    </row>
    <row r="92" spans="2:40" x14ac:dyDescent="0.3">
      <c r="B92" s="61" t="s">
        <v>66</v>
      </c>
      <c r="C92" s="62">
        <f>InBS!C66/10^9</f>
        <v>0.15628736400000001</v>
      </c>
      <c r="D92" s="62">
        <f>InBS!D66/10^9</f>
        <v>4.7223341330000004</v>
      </c>
      <c r="E92" s="62">
        <f>InBS!E66/10^9</f>
        <v>2.8673641330000001</v>
      </c>
      <c r="F92" s="62">
        <f>InBS!F66/10^9</f>
        <v>9.7464716760000005</v>
      </c>
      <c r="G92" s="62">
        <f>InBS!G66/10^9</f>
        <v>1.792942442</v>
      </c>
      <c r="H92" s="62">
        <f>InBS!H66/10^9</f>
        <v>2.6825919740000002</v>
      </c>
      <c r="I92" s="62">
        <f>InBS!I66/10^9</f>
        <v>6.4176666960000004</v>
      </c>
      <c r="J92" s="62">
        <f>InBS!J66/10^9</f>
        <v>5.1994717379999997</v>
      </c>
      <c r="K92" s="62">
        <f>InBS!K66/10^9</f>
        <v>1.4621743149999999</v>
      </c>
      <c r="L92" s="62">
        <f>InBS!L66/10^9</f>
        <v>9.5661891459999993</v>
      </c>
      <c r="P92" s="68">
        <f>InBS_Q!C66/10^9</f>
        <v>10.187394123000001</v>
      </c>
      <c r="Q92" s="68">
        <f>InBS_Q!D66/10^9</f>
        <v>8.1685464840000002</v>
      </c>
      <c r="R92" s="68">
        <f>InBS_Q!E66/10^9</f>
        <v>1.884881853</v>
      </c>
      <c r="S92" s="68">
        <f>InBS_Q!F66/10^9</f>
        <v>0.62722049499999999</v>
      </c>
      <c r="T92" s="68">
        <f>InBS_Q!G66/10^9</f>
        <v>1.327279632</v>
      </c>
      <c r="U92" s="68">
        <f>InBS_Q!H66/10^9</f>
        <v>7.9478386319999998</v>
      </c>
      <c r="V92" s="68">
        <f>InBS_Q!I66/10^9</f>
        <v>2.6825919740000002</v>
      </c>
      <c r="W92" s="68">
        <f>InBS_Q!J66/10^9</f>
        <v>0</v>
      </c>
      <c r="X92" s="68">
        <f>InBS_Q!K66/10^9</f>
        <v>5.8975306420000004</v>
      </c>
      <c r="Y92" s="68">
        <f>InBS_Q!L66/10^9</f>
        <v>10.829813069</v>
      </c>
      <c r="Z92" s="68">
        <f>InBS_Q!M66/10^9</f>
        <v>23.15983215</v>
      </c>
      <c r="AA92" s="68">
        <f>InBS_Q!N66/10^9</f>
        <v>13.086424493999999</v>
      </c>
      <c r="AB92" s="68">
        <f>InBS_Q!O66/10^9</f>
        <v>10.966609687</v>
      </c>
      <c r="AC92" s="68">
        <f>InBS_Q!P66/10^9</f>
        <v>20.724628622000001</v>
      </c>
      <c r="AD92" s="68">
        <f>InBS_Q!Q66/10^9</f>
        <v>5.1994717379999997</v>
      </c>
      <c r="AE92" s="68">
        <f>InBS_Q!R66/10^9</f>
        <v>11.633066554999999</v>
      </c>
      <c r="AF92" s="68">
        <f>InBS_Q!S66/10^9</f>
        <v>16.027998829000001</v>
      </c>
      <c r="AG92" s="68">
        <f>InBS_Q!T66/10^9</f>
        <v>15.622987172</v>
      </c>
      <c r="AH92" s="68">
        <f>InBS_Q!U66/10^9</f>
        <v>2.323265315</v>
      </c>
      <c r="AI92" s="68">
        <f>InBS_Q!V66/10^9</f>
        <v>19.636639107000001</v>
      </c>
      <c r="AJ92" s="68">
        <f>InBS_Q!W66/10^9</f>
        <v>20.821816757000001</v>
      </c>
      <c r="AK92" s="68">
        <f>InBS_Q!X66/10^9</f>
        <v>22.361068066000001</v>
      </c>
      <c r="AL92" s="68">
        <f>InBS_Q!Y66/10^9</f>
        <v>9.5661891459999993</v>
      </c>
      <c r="AM92" s="68">
        <f>InBS_Q!Z66/10^9</f>
        <v>20.990065038000001</v>
      </c>
      <c r="AN92" s="68">
        <f>InBS_Q!AA66/10^9</f>
        <v>38.242970352</v>
      </c>
    </row>
    <row r="93" spans="2:40" x14ac:dyDescent="0.3">
      <c r="B93" s="61" t="s">
        <v>67</v>
      </c>
      <c r="C93" s="62">
        <f>InBS!C67/10^9</f>
        <v>0</v>
      </c>
      <c r="D93" s="62">
        <f>InBS!D67/10^9</f>
        <v>0</v>
      </c>
      <c r="E93" s="62">
        <f>InBS!E67/10^9</f>
        <v>0</v>
      </c>
      <c r="F93" s="62">
        <f>InBS!F67/10^9</f>
        <v>0</v>
      </c>
      <c r="G93" s="62">
        <f>InBS!G67/10^9</f>
        <v>0</v>
      </c>
      <c r="H93" s="62">
        <f>InBS!H67/10^9</f>
        <v>0</v>
      </c>
      <c r="I93" s="62">
        <f>InBS!I67/10^9</f>
        <v>0</v>
      </c>
      <c r="J93" s="62">
        <f>InBS!J67/10^9</f>
        <v>0</v>
      </c>
      <c r="K93" s="62">
        <f>InBS!K67/10^9</f>
        <v>0</v>
      </c>
      <c r="L93" s="62">
        <f>InBS!L67/10^9</f>
        <v>0</v>
      </c>
      <c r="P93" s="68">
        <f>InBS_Q!C67/10^9</f>
        <v>0</v>
      </c>
      <c r="Q93" s="68">
        <f>InBS_Q!D67/10^9</f>
        <v>0</v>
      </c>
      <c r="R93" s="68">
        <f>InBS_Q!E67/10^9</f>
        <v>0</v>
      </c>
      <c r="S93" s="68">
        <f>InBS_Q!F67/10^9</f>
        <v>0</v>
      </c>
      <c r="T93" s="68">
        <f>InBS_Q!G67/10^9</f>
        <v>0</v>
      </c>
      <c r="U93" s="68">
        <f>InBS_Q!H67/10^9</f>
        <v>0</v>
      </c>
      <c r="V93" s="68">
        <f>InBS_Q!I67/10^9</f>
        <v>0</v>
      </c>
      <c r="W93" s="68">
        <f>InBS_Q!J67/10^9</f>
        <v>0</v>
      </c>
      <c r="X93" s="68">
        <f>InBS_Q!K67/10^9</f>
        <v>0</v>
      </c>
      <c r="Y93" s="68">
        <f>InBS_Q!L67/10^9</f>
        <v>0</v>
      </c>
      <c r="Z93" s="68">
        <f>InBS_Q!M67/10^9</f>
        <v>0</v>
      </c>
      <c r="AA93" s="68">
        <f>InBS_Q!N67/10^9</f>
        <v>0</v>
      </c>
      <c r="AB93" s="68">
        <f>InBS_Q!O67/10^9</f>
        <v>0</v>
      </c>
      <c r="AC93" s="68">
        <f>InBS_Q!P67/10^9</f>
        <v>0</v>
      </c>
      <c r="AD93" s="68">
        <f>InBS_Q!Q67/10^9</f>
        <v>0</v>
      </c>
      <c r="AE93" s="68">
        <f>InBS_Q!R67/10^9</f>
        <v>0</v>
      </c>
      <c r="AF93" s="68">
        <f>InBS_Q!S67/10^9</f>
        <v>0</v>
      </c>
      <c r="AG93" s="68">
        <f>InBS_Q!T67/10^9</f>
        <v>0</v>
      </c>
      <c r="AH93" s="68">
        <f>InBS_Q!U67/10^9</f>
        <v>0</v>
      </c>
      <c r="AI93" s="68">
        <f>InBS_Q!V67/10^9</f>
        <v>0</v>
      </c>
      <c r="AJ93" s="68">
        <f>InBS_Q!W67/10^9</f>
        <v>0</v>
      </c>
      <c r="AK93" s="68">
        <f>InBS_Q!X67/10^9</f>
        <v>0</v>
      </c>
      <c r="AL93" s="68">
        <f>InBS_Q!Y67/10^9</f>
        <v>0</v>
      </c>
      <c r="AM93" s="68">
        <f>InBS_Q!Z67/10^9</f>
        <v>0</v>
      </c>
      <c r="AN93" s="68">
        <f>InBS_Q!AA67/10^9</f>
        <v>0</v>
      </c>
    </row>
    <row r="94" spans="2:40" x14ac:dyDescent="0.3">
      <c r="B94" s="61" t="s">
        <v>68</v>
      </c>
      <c r="C94" s="62">
        <f>InBS!C68/10^9</f>
        <v>0</v>
      </c>
      <c r="D94" s="62">
        <f>InBS!D68/10^9</f>
        <v>0</v>
      </c>
      <c r="E94" s="62">
        <f>InBS!E68/10^9</f>
        <v>0</v>
      </c>
      <c r="F94" s="62">
        <f>InBS!F68/10^9</f>
        <v>0</v>
      </c>
      <c r="G94" s="62">
        <f>InBS!G68/10^9</f>
        <v>0</v>
      </c>
      <c r="H94" s="62">
        <f>InBS!H68/10^9</f>
        <v>0</v>
      </c>
      <c r="I94" s="62">
        <f>InBS!I68/10^9</f>
        <v>0</v>
      </c>
      <c r="J94" s="62">
        <f>InBS!J68/10^9</f>
        <v>0</v>
      </c>
      <c r="K94" s="62">
        <f>InBS!K68/10^9</f>
        <v>0</v>
      </c>
      <c r="L94" s="62">
        <f>InBS!L68/10^9</f>
        <v>0</v>
      </c>
      <c r="P94" s="68">
        <f>InBS_Q!C68/10^9</f>
        <v>0</v>
      </c>
      <c r="Q94" s="68">
        <f>InBS_Q!D68/10^9</f>
        <v>0</v>
      </c>
      <c r="R94" s="68">
        <f>InBS_Q!E68/10^9</f>
        <v>0</v>
      </c>
      <c r="S94" s="68">
        <f>InBS_Q!F68/10^9</f>
        <v>0</v>
      </c>
      <c r="T94" s="68">
        <f>InBS_Q!G68/10^9</f>
        <v>0</v>
      </c>
      <c r="U94" s="68">
        <f>InBS_Q!H68/10^9</f>
        <v>0</v>
      </c>
      <c r="V94" s="68">
        <f>InBS_Q!I68/10^9</f>
        <v>0</v>
      </c>
      <c r="W94" s="68">
        <f>InBS_Q!J68/10^9</f>
        <v>0</v>
      </c>
      <c r="X94" s="68">
        <f>InBS_Q!K68/10^9</f>
        <v>0</v>
      </c>
      <c r="Y94" s="68">
        <f>InBS_Q!L68/10^9</f>
        <v>0</v>
      </c>
      <c r="Z94" s="68">
        <f>InBS_Q!M68/10^9</f>
        <v>0</v>
      </c>
      <c r="AA94" s="68">
        <f>InBS_Q!N68/10^9</f>
        <v>0</v>
      </c>
      <c r="AB94" s="68">
        <f>InBS_Q!O68/10^9</f>
        <v>0</v>
      </c>
      <c r="AC94" s="68">
        <f>InBS_Q!P68/10^9</f>
        <v>0</v>
      </c>
      <c r="AD94" s="68">
        <f>InBS_Q!Q68/10^9</f>
        <v>0</v>
      </c>
      <c r="AE94" s="68">
        <f>InBS_Q!R68/10^9</f>
        <v>0</v>
      </c>
      <c r="AF94" s="68">
        <f>InBS_Q!S68/10^9</f>
        <v>0</v>
      </c>
      <c r="AG94" s="68">
        <f>InBS_Q!T68/10^9</f>
        <v>0</v>
      </c>
      <c r="AH94" s="68">
        <f>InBS_Q!U68/10^9</f>
        <v>0</v>
      </c>
      <c r="AI94" s="68">
        <f>InBS_Q!V68/10^9</f>
        <v>0</v>
      </c>
      <c r="AJ94" s="68">
        <f>InBS_Q!W68/10^9</f>
        <v>0</v>
      </c>
      <c r="AK94" s="68">
        <f>InBS_Q!X68/10^9</f>
        <v>0</v>
      </c>
      <c r="AL94" s="68">
        <f>InBS_Q!Y68/10^9</f>
        <v>0</v>
      </c>
      <c r="AM94" s="68">
        <f>InBS_Q!Z68/10^9</f>
        <v>0</v>
      </c>
      <c r="AN94" s="68">
        <f>InBS_Q!AA68/10^9</f>
        <v>0</v>
      </c>
    </row>
    <row r="95" spans="2:40" x14ac:dyDescent="0.3">
      <c r="B95" s="61" t="s">
        <v>69</v>
      </c>
      <c r="C95" s="62">
        <f>InBS!C69/10^9</f>
        <v>0.50823180499999998</v>
      </c>
      <c r="D95" s="62">
        <f>InBS!D69/10^9</f>
        <v>1.22672564</v>
      </c>
      <c r="E95" s="62">
        <f>InBS!E69/10^9</f>
        <v>0.47388295800000002</v>
      </c>
      <c r="F95" s="62">
        <f>InBS!F69/10^9</f>
        <v>0.70450743599999999</v>
      </c>
      <c r="G95" s="62">
        <f>InBS!G69/10^9</f>
        <v>30.870233571</v>
      </c>
      <c r="H95" s="62">
        <f>InBS!H69/10^9</f>
        <v>0.877574297</v>
      </c>
      <c r="I95" s="62">
        <f>InBS!I69/10^9</f>
        <v>1.7714721490000001</v>
      </c>
      <c r="J95" s="62">
        <f>InBS!J69/10^9</f>
        <v>3.272089765</v>
      </c>
      <c r="K95" s="62">
        <f>InBS!K69/10^9</f>
        <v>43.098147357999999</v>
      </c>
      <c r="L95" s="62">
        <f>InBS!L69/10^9</f>
        <v>0.62662767699999999</v>
      </c>
      <c r="P95" s="68">
        <f>InBS_Q!C69/10^9</f>
        <v>0.56123987900000005</v>
      </c>
      <c r="Q95" s="68">
        <f>InBS_Q!D69/10^9</f>
        <v>0.70365902000000002</v>
      </c>
      <c r="R95" s="68">
        <f>InBS_Q!E69/10^9</f>
        <v>30.870233571</v>
      </c>
      <c r="S95" s="68">
        <f>InBS_Q!F69/10^9</f>
        <v>0.65716187400000003</v>
      </c>
      <c r="T95" s="68">
        <f>InBS_Q!G69/10^9</f>
        <v>1.0122449120000001</v>
      </c>
      <c r="U95" s="68">
        <f>InBS_Q!H69/10^9</f>
        <v>0.85350973200000002</v>
      </c>
      <c r="V95" s="68">
        <f>InBS_Q!I69/10^9</f>
        <v>0.877574297</v>
      </c>
      <c r="W95" s="68">
        <f>InBS_Q!J69/10^9</f>
        <v>0.825411487</v>
      </c>
      <c r="X95" s="68">
        <f>InBS_Q!K69/10^9</f>
        <v>4.2969572469999999</v>
      </c>
      <c r="Y95" s="68">
        <f>InBS_Q!L69/10^9</f>
        <v>6.6299743510000004</v>
      </c>
      <c r="Z95" s="68">
        <f>InBS_Q!M69/10^9</f>
        <v>1.7714721490000001</v>
      </c>
      <c r="AA95" s="68">
        <f>InBS_Q!N69/10^9</f>
        <v>4.3006587129999998</v>
      </c>
      <c r="AB95" s="68">
        <f>InBS_Q!O69/10^9</f>
        <v>12.912489887</v>
      </c>
      <c r="AC95" s="68">
        <f>InBS_Q!P69/10^9</f>
        <v>0.74342517600000002</v>
      </c>
      <c r="AD95" s="68">
        <f>InBS_Q!Q69/10^9</f>
        <v>2.874179893</v>
      </c>
      <c r="AE95" s="68">
        <f>InBS_Q!R69/10^9</f>
        <v>3.1773047569999999</v>
      </c>
      <c r="AF95" s="68">
        <f>InBS_Q!S69/10^9</f>
        <v>44.670342677000001</v>
      </c>
      <c r="AG95" s="68">
        <f>InBS_Q!T69/10^9</f>
        <v>0.86406027200000002</v>
      </c>
      <c r="AH95" s="68">
        <f>InBS_Q!U69/10^9</f>
        <v>41.302472336999998</v>
      </c>
      <c r="AI95" s="68">
        <f>InBS_Q!V69/10^9</f>
        <v>2.6441419910000001</v>
      </c>
      <c r="AJ95" s="68">
        <f>InBS_Q!W69/10^9</f>
        <v>0.80003004200000005</v>
      </c>
      <c r="AK95" s="68">
        <f>InBS_Q!X69/10^9</f>
        <v>0.77399345799999997</v>
      </c>
      <c r="AL95" s="68">
        <f>InBS_Q!Y69/10^9</f>
        <v>0.62662767699999999</v>
      </c>
      <c r="AM95" s="68">
        <f>InBS_Q!Z69/10^9</f>
        <v>0.563156726</v>
      </c>
      <c r="AN95" s="68">
        <f>InBS_Q!AA69/10^9</f>
        <v>0.67742125500000006</v>
      </c>
    </row>
    <row r="96" spans="2:40" x14ac:dyDescent="0.3">
      <c r="B96" s="61" t="s">
        <v>70</v>
      </c>
      <c r="C96" s="62">
        <f>InBS!C70/10^9</f>
        <v>0</v>
      </c>
      <c r="D96" s="62">
        <f>InBS!D70/10^9</f>
        <v>0</v>
      </c>
      <c r="E96" s="62">
        <f>InBS!E70/10^9</f>
        <v>0</v>
      </c>
      <c r="F96" s="62">
        <f>InBS!F70/10^9</f>
        <v>0</v>
      </c>
      <c r="G96" s="62">
        <f>InBS!G70/10^9</f>
        <v>0</v>
      </c>
      <c r="H96" s="62">
        <f>InBS!H70/10^9</f>
        <v>0</v>
      </c>
      <c r="I96" s="62">
        <f>InBS!I70/10^9</f>
        <v>0</v>
      </c>
      <c r="J96" s="62">
        <f>InBS!J70/10^9</f>
        <v>0</v>
      </c>
      <c r="K96" s="62">
        <f>InBS!K70/10^9</f>
        <v>0</v>
      </c>
      <c r="L96" s="62">
        <f>InBS!L70/10^9</f>
        <v>0</v>
      </c>
      <c r="P96" s="68">
        <f>InBS_Q!C70/10^9</f>
        <v>0</v>
      </c>
      <c r="Q96" s="68">
        <f>InBS_Q!D70/10^9</f>
        <v>0</v>
      </c>
      <c r="R96" s="68">
        <f>InBS_Q!E70/10^9</f>
        <v>0</v>
      </c>
      <c r="S96" s="68">
        <f>InBS_Q!F70/10^9</f>
        <v>0</v>
      </c>
      <c r="T96" s="68">
        <f>InBS_Q!G70/10^9</f>
        <v>0</v>
      </c>
      <c r="U96" s="68">
        <f>InBS_Q!H70/10^9</f>
        <v>0</v>
      </c>
      <c r="V96" s="68">
        <f>InBS_Q!I70/10^9</f>
        <v>0</v>
      </c>
      <c r="W96" s="68">
        <f>InBS_Q!J70/10^9</f>
        <v>0</v>
      </c>
      <c r="X96" s="68">
        <f>InBS_Q!K70/10^9</f>
        <v>0</v>
      </c>
      <c r="Y96" s="68">
        <f>InBS_Q!L70/10^9</f>
        <v>0</v>
      </c>
      <c r="Z96" s="68">
        <f>InBS_Q!M70/10^9</f>
        <v>0</v>
      </c>
      <c r="AA96" s="68">
        <f>InBS_Q!N70/10^9</f>
        <v>0</v>
      </c>
      <c r="AB96" s="68">
        <f>InBS_Q!O70/10^9</f>
        <v>0</v>
      </c>
      <c r="AC96" s="68">
        <f>InBS_Q!P70/10^9</f>
        <v>0</v>
      </c>
      <c r="AD96" s="68">
        <f>InBS_Q!Q70/10^9</f>
        <v>0</v>
      </c>
      <c r="AE96" s="68">
        <f>InBS_Q!R70/10^9</f>
        <v>0</v>
      </c>
      <c r="AF96" s="68">
        <f>InBS_Q!S70/10^9</f>
        <v>0</v>
      </c>
      <c r="AG96" s="68">
        <f>InBS_Q!T70/10^9</f>
        <v>0</v>
      </c>
      <c r="AH96" s="68">
        <f>InBS_Q!U70/10^9</f>
        <v>0</v>
      </c>
      <c r="AI96" s="68">
        <f>InBS_Q!V70/10^9</f>
        <v>0</v>
      </c>
      <c r="AJ96" s="68">
        <f>InBS_Q!W70/10^9</f>
        <v>0</v>
      </c>
      <c r="AK96" s="68">
        <f>InBS_Q!X70/10^9</f>
        <v>0</v>
      </c>
      <c r="AL96" s="68">
        <f>InBS_Q!Y70/10^9</f>
        <v>0</v>
      </c>
      <c r="AM96" s="68">
        <f>InBS_Q!Z70/10^9</f>
        <v>0</v>
      </c>
      <c r="AN96" s="68">
        <f>InBS_Q!AA70/10^9</f>
        <v>0</v>
      </c>
    </row>
    <row r="97" spans="2:40" s="81" customFormat="1" x14ac:dyDescent="0.3">
      <c r="B97" s="58" t="s">
        <v>71</v>
      </c>
      <c r="C97" s="60">
        <f>InBS!C71/10^9</f>
        <v>0</v>
      </c>
      <c r="D97" s="60">
        <f>InBS!D71/10^9</f>
        <v>21.681323900999999</v>
      </c>
      <c r="E97" s="60">
        <f>InBS!E71/10^9</f>
        <v>50.050340173999999</v>
      </c>
      <c r="F97" s="60">
        <f>InBS!F71/10^9</f>
        <v>39.698858876000003</v>
      </c>
      <c r="G97" s="60">
        <f>InBS!G71/10^9</f>
        <v>110.154795914</v>
      </c>
      <c r="H97" s="60">
        <f>InBS!H71/10^9</f>
        <v>76.739836500999999</v>
      </c>
      <c r="I97" s="60">
        <f>InBS!I71/10^9</f>
        <v>37.185526869</v>
      </c>
      <c r="J97" s="60">
        <f>InBS!J71/10^9</f>
        <v>24.869786994999998</v>
      </c>
      <c r="K97" s="60">
        <f>InBS!K71/10^9</f>
        <v>43.883360465000003</v>
      </c>
      <c r="L97" s="60">
        <f>InBS!L71/10^9</f>
        <v>28.021965844</v>
      </c>
      <c r="P97" s="66">
        <f>InBS_Q!C71/10^9</f>
        <v>103.33775593199999</v>
      </c>
      <c r="Q97" s="66">
        <f>InBS_Q!D71/10^9</f>
        <v>113.75376593199999</v>
      </c>
      <c r="R97" s="66">
        <f>InBS_Q!E71/10^9</f>
        <v>114.53779934799999</v>
      </c>
      <c r="S97" s="66">
        <f>InBS_Q!F71/10^9</f>
        <v>101.059604226</v>
      </c>
      <c r="T97" s="66">
        <f>InBS_Q!G71/10^9</f>
        <v>90.662695525999993</v>
      </c>
      <c r="U97" s="66">
        <f>InBS_Q!H71/10^9</f>
        <v>80.265786825999996</v>
      </c>
      <c r="V97" s="66">
        <f>InBS_Q!I71/10^9</f>
        <v>76.739836500999999</v>
      </c>
      <c r="W97" s="66">
        <f>InBS_Q!J71/10^9</f>
        <v>66.391612361</v>
      </c>
      <c r="X97" s="66">
        <f>InBS_Q!K71/10^9</f>
        <v>56.050270501</v>
      </c>
      <c r="Y97" s="66">
        <f>InBS_Q!L71/10^9</f>
        <v>45.621204360999997</v>
      </c>
      <c r="Z97" s="66">
        <f>InBS_Q!M71/10^9</f>
        <v>37.185526869</v>
      </c>
      <c r="AA97" s="66">
        <f>InBS_Q!N71/10^9</f>
        <v>36.230144949</v>
      </c>
      <c r="AB97" s="66">
        <f>InBS_Q!O71/10^9</f>
        <v>28.578008660999998</v>
      </c>
      <c r="AC97" s="66">
        <f>InBS_Q!P71/10^9</f>
        <v>35.520373913999997</v>
      </c>
      <c r="AD97" s="66">
        <f>InBS_Q!Q71/10^9</f>
        <v>25.423564776999999</v>
      </c>
      <c r="AE97" s="66">
        <f>InBS_Q!R71/10^9</f>
        <v>6.9544476389999996</v>
      </c>
      <c r="AF97" s="66">
        <f>InBS_Q!S71/10^9</f>
        <v>39.628447639000001</v>
      </c>
      <c r="AG97" s="66">
        <f>InBS_Q!T71/10^9</f>
        <v>48.611476418000002</v>
      </c>
      <c r="AH97" s="66">
        <f>InBS_Q!U71/10^9</f>
        <v>44.035260092000001</v>
      </c>
      <c r="AI97" s="66">
        <f>InBS_Q!V71/10^9</f>
        <v>40.516719488</v>
      </c>
      <c r="AJ97" s="66">
        <f>InBS_Q!W71/10^9</f>
        <v>35.479923169000003</v>
      </c>
      <c r="AK97" s="66">
        <f>InBS_Q!X71/10^9</f>
        <v>33.054026753000002</v>
      </c>
      <c r="AL97" s="66">
        <f>InBS_Q!Y71/10^9</f>
        <v>33.535860935000002</v>
      </c>
      <c r="AM97" s="66">
        <f>InBS_Q!Z71/10^9</f>
        <v>21.337070453999999</v>
      </c>
      <c r="AN97" s="66">
        <f>InBS_Q!AA71/10^9</f>
        <v>14.652168012000001</v>
      </c>
    </row>
    <row r="98" spans="2:40" x14ac:dyDescent="0.3">
      <c r="B98" s="61" t="s">
        <v>72</v>
      </c>
      <c r="C98" s="62">
        <f>InBS!C72/10^9</f>
        <v>0</v>
      </c>
      <c r="D98" s="62">
        <f>InBS!D72/10^9</f>
        <v>0</v>
      </c>
      <c r="E98" s="62">
        <f>InBS!E72/10^9</f>
        <v>0</v>
      </c>
      <c r="F98" s="62">
        <f>InBS!F72/10^9</f>
        <v>0</v>
      </c>
      <c r="G98" s="62">
        <f>InBS!G72/10^9</f>
        <v>0</v>
      </c>
      <c r="H98" s="62">
        <f>InBS!H72/10^9</f>
        <v>0</v>
      </c>
      <c r="I98" s="62">
        <f>InBS!I72/10^9</f>
        <v>0</v>
      </c>
      <c r="J98" s="62">
        <f>InBS!J72/10^9</f>
        <v>0</v>
      </c>
      <c r="K98" s="62">
        <f>InBS!K72/10^9</f>
        <v>0</v>
      </c>
      <c r="L98" s="62">
        <f>InBS!L72/10^9</f>
        <v>0</v>
      </c>
      <c r="P98" s="68">
        <f>InBS_Q!C72/10^9</f>
        <v>0</v>
      </c>
      <c r="Q98" s="68">
        <f>InBS_Q!D72/10^9</f>
        <v>0</v>
      </c>
      <c r="R98" s="68">
        <f>InBS_Q!E72/10^9</f>
        <v>0</v>
      </c>
      <c r="S98" s="68">
        <f>InBS_Q!F72/10^9</f>
        <v>0</v>
      </c>
      <c r="T98" s="68">
        <f>InBS_Q!G72/10^9</f>
        <v>0</v>
      </c>
      <c r="U98" s="68">
        <f>InBS_Q!H72/10^9</f>
        <v>0</v>
      </c>
      <c r="V98" s="68">
        <f>InBS_Q!I72/10^9</f>
        <v>0</v>
      </c>
      <c r="W98" s="68">
        <f>InBS_Q!J72/10^9</f>
        <v>0</v>
      </c>
      <c r="X98" s="68">
        <f>InBS_Q!K72/10^9</f>
        <v>0</v>
      </c>
      <c r="Y98" s="68">
        <f>InBS_Q!L72/10^9</f>
        <v>0</v>
      </c>
      <c r="Z98" s="68">
        <f>InBS_Q!M72/10^9</f>
        <v>0</v>
      </c>
      <c r="AA98" s="68">
        <f>InBS_Q!N72/10^9</f>
        <v>0</v>
      </c>
      <c r="AB98" s="68">
        <f>InBS_Q!O72/10^9</f>
        <v>0</v>
      </c>
      <c r="AC98" s="68">
        <f>InBS_Q!P72/10^9</f>
        <v>0</v>
      </c>
      <c r="AD98" s="68">
        <f>InBS_Q!Q72/10^9</f>
        <v>0</v>
      </c>
      <c r="AE98" s="68">
        <f>InBS_Q!R72/10^9</f>
        <v>0</v>
      </c>
      <c r="AF98" s="68">
        <f>InBS_Q!S72/10^9</f>
        <v>0</v>
      </c>
      <c r="AG98" s="68">
        <f>InBS_Q!T72/10^9</f>
        <v>0</v>
      </c>
      <c r="AH98" s="68">
        <f>InBS_Q!U72/10^9</f>
        <v>0</v>
      </c>
      <c r="AI98" s="68">
        <f>InBS_Q!V72/10^9</f>
        <v>0</v>
      </c>
      <c r="AJ98" s="68">
        <f>InBS_Q!W72/10^9</f>
        <v>0</v>
      </c>
      <c r="AK98" s="68">
        <f>InBS_Q!X72/10^9</f>
        <v>0</v>
      </c>
      <c r="AL98" s="68">
        <f>InBS_Q!Y72/10^9</f>
        <v>0</v>
      </c>
      <c r="AM98" s="68">
        <f>InBS_Q!Z72/10^9</f>
        <v>0</v>
      </c>
      <c r="AN98" s="68">
        <f>InBS_Q!AA72/10^9</f>
        <v>0</v>
      </c>
    </row>
    <row r="99" spans="2:40" x14ac:dyDescent="0.3">
      <c r="B99" s="61" t="s">
        <v>73</v>
      </c>
      <c r="C99" s="62">
        <f>InBS!C73/10^9</f>
        <v>0</v>
      </c>
      <c r="D99" s="62">
        <f>InBS!D73/10^9</f>
        <v>0</v>
      </c>
      <c r="E99" s="62">
        <f>InBS!E73/10^9</f>
        <v>0</v>
      </c>
      <c r="F99" s="62">
        <f>InBS!F73/10^9</f>
        <v>0</v>
      </c>
      <c r="G99" s="62">
        <f>InBS!G73/10^9</f>
        <v>0</v>
      </c>
      <c r="H99" s="62">
        <f>InBS!H73/10^9</f>
        <v>0</v>
      </c>
      <c r="I99" s="62">
        <f>InBS!I73/10^9</f>
        <v>0</v>
      </c>
      <c r="J99" s="62">
        <f>InBS!J73/10^9</f>
        <v>0</v>
      </c>
      <c r="K99" s="62">
        <f>InBS!K73/10^9</f>
        <v>0</v>
      </c>
      <c r="L99" s="62">
        <f>InBS!L73/10^9</f>
        <v>0</v>
      </c>
      <c r="P99" s="68">
        <f>InBS_Q!C73/10^9</f>
        <v>0</v>
      </c>
      <c r="Q99" s="68">
        <f>InBS_Q!D73/10^9</f>
        <v>0</v>
      </c>
      <c r="R99" s="68">
        <f>InBS_Q!E73/10^9</f>
        <v>0</v>
      </c>
      <c r="S99" s="68">
        <f>InBS_Q!F73/10^9</f>
        <v>0</v>
      </c>
      <c r="T99" s="68">
        <f>InBS_Q!G73/10^9</f>
        <v>0</v>
      </c>
      <c r="U99" s="68">
        <f>InBS_Q!H73/10^9</f>
        <v>0</v>
      </c>
      <c r="V99" s="68">
        <f>InBS_Q!I73/10^9</f>
        <v>0</v>
      </c>
      <c r="W99" s="68">
        <f>InBS_Q!J73/10^9</f>
        <v>0</v>
      </c>
      <c r="X99" s="68">
        <f>InBS_Q!K73/10^9</f>
        <v>0</v>
      </c>
      <c r="Y99" s="68">
        <f>InBS_Q!L73/10^9</f>
        <v>0</v>
      </c>
      <c r="Z99" s="68">
        <f>InBS_Q!M73/10^9</f>
        <v>0</v>
      </c>
      <c r="AA99" s="68">
        <f>InBS_Q!N73/10^9</f>
        <v>0</v>
      </c>
      <c r="AB99" s="68">
        <f>InBS_Q!O73/10^9</f>
        <v>0</v>
      </c>
      <c r="AC99" s="68">
        <f>InBS_Q!P73/10^9</f>
        <v>0</v>
      </c>
      <c r="AD99" s="68">
        <f>InBS_Q!Q73/10^9</f>
        <v>0</v>
      </c>
      <c r="AE99" s="68">
        <f>InBS_Q!R73/10^9</f>
        <v>0</v>
      </c>
      <c r="AF99" s="68">
        <f>InBS_Q!S73/10^9</f>
        <v>0</v>
      </c>
      <c r="AG99" s="68">
        <f>InBS_Q!T73/10^9</f>
        <v>0</v>
      </c>
      <c r="AH99" s="68">
        <f>InBS_Q!U73/10^9</f>
        <v>0</v>
      </c>
      <c r="AI99" s="68">
        <f>InBS_Q!V73/10^9</f>
        <v>0</v>
      </c>
      <c r="AJ99" s="68">
        <f>InBS_Q!W73/10^9</f>
        <v>0</v>
      </c>
      <c r="AK99" s="68">
        <f>InBS_Q!X73/10^9</f>
        <v>0</v>
      </c>
      <c r="AL99" s="68">
        <f>InBS_Q!Y73/10^9</f>
        <v>0</v>
      </c>
      <c r="AM99" s="68">
        <f>InBS_Q!Z73/10^9</f>
        <v>0</v>
      </c>
      <c r="AN99" s="68">
        <f>InBS_Q!AA73/10^9</f>
        <v>0</v>
      </c>
    </row>
    <row r="100" spans="2:40" x14ac:dyDescent="0.3">
      <c r="B100" s="61" t="s">
        <v>74</v>
      </c>
      <c r="C100" s="62">
        <f>InBS!C74/10^9</f>
        <v>0</v>
      </c>
      <c r="D100" s="62">
        <f>InBS!D74/10^9</f>
        <v>0</v>
      </c>
      <c r="E100" s="62">
        <f>InBS!E74/10^9</f>
        <v>0</v>
      </c>
      <c r="F100" s="62">
        <f>InBS!F74/10^9</f>
        <v>0</v>
      </c>
      <c r="G100" s="62">
        <f>InBS!G74/10^9</f>
        <v>0</v>
      </c>
      <c r="H100" s="62">
        <f>InBS!H74/10^9</f>
        <v>0</v>
      </c>
      <c r="I100" s="62">
        <f>InBS!I74/10^9</f>
        <v>0</v>
      </c>
      <c r="J100" s="62">
        <f>InBS!J74/10^9</f>
        <v>0</v>
      </c>
      <c r="K100" s="62">
        <f>InBS!K74/10^9</f>
        <v>0</v>
      </c>
      <c r="L100" s="62">
        <f>InBS!L74/10^9</f>
        <v>0</v>
      </c>
      <c r="P100" s="68">
        <f>InBS_Q!C74/10^9</f>
        <v>0</v>
      </c>
      <c r="Q100" s="68">
        <f>InBS_Q!D74/10^9</f>
        <v>0</v>
      </c>
      <c r="R100" s="68">
        <f>InBS_Q!E74/10^9</f>
        <v>0</v>
      </c>
      <c r="S100" s="68">
        <f>InBS_Q!F74/10^9</f>
        <v>0</v>
      </c>
      <c r="T100" s="68">
        <f>InBS_Q!G74/10^9</f>
        <v>0</v>
      </c>
      <c r="U100" s="68">
        <f>InBS_Q!H74/10^9</f>
        <v>0</v>
      </c>
      <c r="V100" s="68">
        <f>InBS_Q!I74/10^9</f>
        <v>0</v>
      </c>
      <c r="W100" s="68">
        <f>InBS_Q!J74/10^9</f>
        <v>0</v>
      </c>
      <c r="X100" s="68">
        <f>InBS_Q!K74/10^9</f>
        <v>0</v>
      </c>
      <c r="Y100" s="68">
        <f>InBS_Q!L74/10^9</f>
        <v>0</v>
      </c>
      <c r="Z100" s="68">
        <f>InBS_Q!M74/10^9</f>
        <v>0</v>
      </c>
      <c r="AA100" s="68">
        <f>InBS_Q!N74/10^9</f>
        <v>0</v>
      </c>
      <c r="AB100" s="68">
        <f>InBS_Q!O74/10^9</f>
        <v>0</v>
      </c>
      <c r="AC100" s="68">
        <f>InBS_Q!P74/10^9</f>
        <v>0</v>
      </c>
      <c r="AD100" s="68">
        <f>InBS_Q!Q74/10^9</f>
        <v>0</v>
      </c>
      <c r="AE100" s="68">
        <f>InBS_Q!R74/10^9</f>
        <v>0</v>
      </c>
      <c r="AF100" s="68">
        <f>InBS_Q!S74/10^9</f>
        <v>0</v>
      </c>
      <c r="AG100" s="68">
        <f>InBS_Q!T74/10^9</f>
        <v>0.86808545999999998</v>
      </c>
      <c r="AH100" s="68">
        <f>InBS_Q!U74/10^9</f>
        <v>1.633156075</v>
      </c>
      <c r="AI100" s="68">
        <f>InBS_Q!V74/10^9</f>
        <v>0</v>
      </c>
      <c r="AJ100" s="68">
        <f>InBS_Q!W74/10^9</f>
        <v>0</v>
      </c>
      <c r="AK100" s="68">
        <f>InBS_Q!X74/10^9</f>
        <v>0</v>
      </c>
      <c r="AL100" s="68">
        <f>InBS_Q!Y74/10^9</f>
        <v>0</v>
      </c>
      <c r="AM100" s="68">
        <f>InBS_Q!Z74/10^9</f>
        <v>0</v>
      </c>
      <c r="AN100" s="68">
        <f>InBS_Q!AA74/10^9</f>
        <v>0</v>
      </c>
    </row>
    <row r="101" spans="2:40" x14ac:dyDescent="0.3">
      <c r="B101" s="61" t="s">
        <v>75</v>
      </c>
      <c r="C101" s="62">
        <f>InBS!C75/10^9</f>
        <v>0</v>
      </c>
      <c r="D101" s="62">
        <f>InBS!D75/10^9</f>
        <v>21.556941201000001</v>
      </c>
      <c r="E101" s="62">
        <f>InBS!E75/10^9</f>
        <v>49.976408102000001</v>
      </c>
      <c r="F101" s="62">
        <f>InBS!F75/10^9</f>
        <v>37.625259253999999</v>
      </c>
      <c r="G101" s="62">
        <f>InBS!G75/10^9</f>
        <v>110.078688914</v>
      </c>
      <c r="H101" s="62">
        <f>InBS!H75/10^9</f>
        <v>69.785388862000005</v>
      </c>
      <c r="I101" s="62">
        <f>InBS!I75/10^9</f>
        <v>30.231079229999999</v>
      </c>
      <c r="J101" s="62">
        <f>InBS!J75/10^9</f>
        <v>17.915339356</v>
      </c>
      <c r="K101" s="62">
        <f>InBS!K75/10^9</f>
        <v>36.928912826000001</v>
      </c>
      <c r="L101" s="62">
        <f>InBS!L75/10^9</f>
        <v>16.614683723999999</v>
      </c>
      <c r="P101" s="68">
        <f>InBS_Q!C75/10^9</f>
        <v>103.26415631</v>
      </c>
      <c r="Q101" s="68">
        <f>InBS_Q!D75/10^9</f>
        <v>113.68016631</v>
      </c>
      <c r="R101" s="68">
        <f>InBS_Q!E75/10^9</f>
        <v>114.386442726</v>
      </c>
      <c r="S101" s="68">
        <f>InBS_Q!F75/10^9</f>
        <v>100.983497226</v>
      </c>
      <c r="T101" s="68">
        <f>InBS_Q!G75/10^9</f>
        <v>90.586588526</v>
      </c>
      <c r="U101" s="68">
        <f>InBS_Q!H75/10^9</f>
        <v>80.189679826000003</v>
      </c>
      <c r="V101" s="68">
        <f>InBS_Q!I75/10^9</f>
        <v>69.785388862000005</v>
      </c>
      <c r="W101" s="68">
        <f>InBS_Q!J75/10^9</f>
        <v>59.437164721999999</v>
      </c>
      <c r="X101" s="68">
        <f>InBS_Q!K75/10^9</f>
        <v>49.095822861999999</v>
      </c>
      <c r="Y101" s="68">
        <f>InBS_Q!L75/10^9</f>
        <v>38.666756722000002</v>
      </c>
      <c r="Z101" s="68">
        <f>InBS_Q!M75/10^9</f>
        <v>30.231079229999999</v>
      </c>
      <c r="AA101" s="68">
        <f>InBS_Q!N75/10^9</f>
        <v>29.275697310000002</v>
      </c>
      <c r="AB101" s="68">
        <f>InBS_Q!O75/10^9</f>
        <v>21.623561022000001</v>
      </c>
      <c r="AC101" s="68">
        <f>InBS_Q!P75/10^9</f>
        <v>28.565926274999999</v>
      </c>
      <c r="AD101" s="68">
        <f>InBS_Q!Q75/10^9</f>
        <v>18.469117138000001</v>
      </c>
      <c r="AE101" s="68">
        <f>InBS_Q!R75/10^9</f>
        <v>0</v>
      </c>
      <c r="AF101" s="68">
        <f>InBS_Q!S75/10^9</f>
        <v>32.673999999999999</v>
      </c>
      <c r="AG101" s="68">
        <f>InBS_Q!T75/10^9</f>
        <v>40.788943318999998</v>
      </c>
      <c r="AH101" s="68">
        <f>InBS_Q!U75/10^9</f>
        <v>35.447656377999998</v>
      </c>
      <c r="AI101" s="68">
        <f>InBS_Q!V75/10^9</f>
        <v>33.562271848999998</v>
      </c>
      <c r="AJ101" s="68">
        <f>InBS_Q!W75/10^9</f>
        <v>28.525475530000001</v>
      </c>
      <c r="AK101" s="68">
        <f>InBS_Q!X75/10^9</f>
        <v>23.299579114</v>
      </c>
      <c r="AL101" s="68">
        <f>InBS_Q!Y75/10^9</f>
        <v>16.614683723999999</v>
      </c>
      <c r="AM101" s="68">
        <f>InBS_Q!Z75/10^9</f>
        <v>9.9297883339999995</v>
      </c>
      <c r="AN101" s="68">
        <f>InBS_Q!AA75/10^9</f>
        <v>3.2448858920000001</v>
      </c>
    </row>
    <row r="102" spans="2:40" x14ac:dyDescent="0.3">
      <c r="B102" s="61" t="s">
        <v>76</v>
      </c>
      <c r="C102" s="62">
        <f>InBS!C76/10^9</f>
        <v>0</v>
      </c>
      <c r="D102" s="62">
        <f>InBS!D76/10^9</f>
        <v>0</v>
      </c>
      <c r="E102" s="62">
        <f>InBS!E76/10^9</f>
        <v>0</v>
      </c>
      <c r="F102" s="62">
        <f>InBS!F76/10^9</f>
        <v>0</v>
      </c>
      <c r="G102" s="62">
        <f>InBS!G76/10^9</f>
        <v>0</v>
      </c>
      <c r="H102" s="62">
        <f>InBS!H76/10^9</f>
        <v>0</v>
      </c>
      <c r="I102" s="62">
        <f>InBS!I76/10^9</f>
        <v>0</v>
      </c>
      <c r="J102" s="62">
        <f>InBS!J76/10^9</f>
        <v>0</v>
      </c>
      <c r="K102" s="62">
        <f>InBS!K76/10^9</f>
        <v>0</v>
      </c>
      <c r="L102" s="62">
        <f>InBS!L76/10^9</f>
        <v>0</v>
      </c>
      <c r="P102" s="68">
        <f>InBS_Q!C76/10^9</f>
        <v>0</v>
      </c>
      <c r="Q102" s="68">
        <f>InBS_Q!D76/10^9</f>
        <v>0</v>
      </c>
      <c r="R102" s="68">
        <f>InBS_Q!E76/10^9</f>
        <v>0</v>
      </c>
      <c r="S102" s="68">
        <f>InBS_Q!F76/10^9</f>
        <v>0</v>
      </c>
      <c r="T102" s="68">
        <f>InBS_Q!G76/10^9</f>
        <v>0</v>
      </c>
      <c r="U102" s="68">
        <f>InBS_Q!H76/10^9</f>
        <v>0</v>
      </c>
      <c r="V102" s="68">
        <f>InBS_Q!I76/10^9</f>
        <v>0</v>
      </c>
      <c r="W102" s="68">
        <f>InBS_Q!J76/10^9</f>
        <v>0</v>
      </c>
      <c r="X102" s="68">
        <f>InBS_Q!K76/10^9</f>
        <v>0</v>
      </c>
      <c r="Y102" s="68">
        <f>InBS_Q!L76/10^9</f>
        <v>0</v>
      </c>
      <c r="Z102" s="68">
        <f>InBS_Q!M76/10^9</f>
        <v>0</v>
      </c>
      <c r="AA102" s="68">
        <f>InBS_Q!N76/10^9</f>
        <v>0</v>
      </c>
      <c r="AB102" s="68">
        <f>InBS_Q!O76/10^9</f>
        <v>0</v>
      </c>
      <c r="AC102" s="68">
        <f>InBS_Q!P76/10^9</f>
        <v>0</v>
      </c>
      <c r="AD102" s="68">
        <f>InBS_Q!Q76/10^9</f>
        <v>0</v>
      </c>
      <c r="AE102" s="68">
        <f>InBS_Q!R76/10^9</f>
        <v>0</v>
      </c>
      <c r="AF102" s="68">
        <f>InBS_Q!S76/10^9</f>
        <v>0</v>
      </c>
      <c r="AG102" s="68">
        <f>InBS_Q!T76/10^9</f>
        <v>0</v>
      </c>
      <c r="AH102" s="68">
        <f>InBS_Q!U76/10^9</f>
        <v>0</v>
      </c>
      <c r="AI102" s="68">
        <f>InBS_Q!V76/10^9</f>
        <v>0</v>
      </c>
      <c r="AJ102" s="68">
        <f>InBS_Q!W76/10^9</f>
        <v>0</v>
      </c>
      <c r="AK102" s="68">
        <f>InBS_Q!X76/10^9</f>
        <v>0</v>
      </c>
      <c r="AL102" s="68">
        <f>InBS_Q!Y76/10^9</f>
        <v>0</v>
      </c>
      <c r="AM102" s="68">
        <f>InBS_Q!Z76/10^9</f>
        <v>0</v>
      </c>
      <c r="AN102" s="68">
        <f>InBS_Q!AA76/10^9</f>
        <v>0</v>
      </c>
    </row>
    <row r="103" spans="2:40" x14ac:dyDescent="0.3">
      <c r="B103" s="61" t="s">
        <v>77</v>
      </c>
      <c r="C103" s="62">
        <f>InBS!C77/10^9</f>
        <v>0</v>
      </c>
      <c r="D103" s="62">
        <f>InBS!D77/10^9</f>
        <v>0.1243827</v>
      </c>
      <c r="E103" s="62">
        <f>InBS!E77/10^9</f>
        <v>7.3932072000000001E-2</v>
      </c>
      <c r="F103" s="62">
        <f>InBS!F77/10^9</f>
        <v>7.3599622000000003E-2</v>
      </c>
      <c r="G103" s="62">
        <f>InBS!G77/10^9</f>
        <v>7.6106999999999994E-2</v>
      </c>
      <c r="H103" s="62">
        <f>InBS!H77/10^9</f>
        <v>0</v>
      </c>
      <c r="I103" s="62">
        <f>InBS!I77/10^9</f>
        <v>0</v>
      </c>
      <c r="J103" s="62">
        <f>InBS!J77/10^9</f>
        <v>0</v>
      </c>
      <c r="K103" s="62">
        <f>InBS!K77/10^9</f>
        <v>0</v>
      </c>
      <c r="L103" s="62">
        <f>InBS!L77/10^9</f>
        <v>0</v>
      </c>
      <c r="P103" s="68">
        <f>InBS_Q!C77/10^9</f>
        <v>7.3599622000000003E-2</v>
      </c>
      <c r="Q103" s="68">
        <f>InBS_Q!D77/10^9</f>
        <v>7.3599622000000003E-2</v>
      </c>
      <c r="R103" s="68">
        <f>InBS_Q!E77/10^9</f>
        <v>0.151356622</v>
      </c>
      <c r="S103" s="68">
        <f>InBS_Q!F77/10^9</f>
        <v>7.6106999999999994E-2</v>
      </c>
      <c r="T103" s="68">
        <f>InBS_Q!G77/10^9</f>
        <v>7.6106999999999994E-2</v>
      </c>
      <c r="U103" s="68">
        <f>InBS_Q!H77/10^9</f>
        <v>7.6106999999999994E-2</v>
      </c>
      <c r="V103" s="68">
        <f>InBS_Q!I77/10^9</f>
        <v>0</v>
      </c>
      <c r="W103" s="68">
        <f>InBS_Q!J77/10^9</f>
        <v>0</v>
      </c>
      <c r="X103" s="68">
        <f>InBS_Q!K77/10^9</f>
        <v>0</v>
      </c>
      <c r="Y103" s="68">
        <f>InBS_Q!L77/10^9</f>
        <v>0</v>
      </c>
      <c r="Z103" s="68">
        <f>InBS_Q!M77/10^9</f>
        <v>0</v>
      </c>
      <c r="AA103" s="68">
        <f>InBS_Q!N77/10^9</f>
        <v>0</v>
      </c>
      <c r="AB103" s="68">
        <f>InBS_Q!O77/10^9</f>
        <v>0</v>
      </c>
      <c r="AC103" s="68">
        <f>InBS_Q!P77/10^9</f>
        <v>0</v>
      </c>
      <c r="AD103" s="68">
        <f>InBS_Q!Q77/10^9</f>
        <v>0</v>
      </c>
      <c r="AE103" s="68">
        <f>InBS_Q!R77/10^9</f>
        <v>0</v>
      </c>
      <c r="AF103" s="68">
        <f>InBS_Q!S77/10^9</f>
        <v>0</v>
      </c>
      <c r="AG103" s="68">
        <f>InBS_Q!T77/10^9</f>
        <v>0</v>
      </c>
      <c r="AH103" s="68">
        <f>InBS_Q!U77/10^9</f>
        <v>0</v>
      </c>
      <c r="AI103" s="68">
        <f>InBS_Q!V77/10^9</f>
        <v>0</v>
      </c>
      <c r="AJ103" s="68">
        <f>InBS_Q!W77/10^9</f>
        <v>0</v>
      </c>
      <c r="AK103" s="68">
        <f>InBS_Q!X77/10^9</f>
        <v>0</v>
      </c>
      <c r="AL103" s="68">
        <f>InBS_Q!Y77/10^9</f>
        <v>0</v>
      </c>
      <c r="AM103" s="68">
        <f>InBS_Q!Z77/10^9</f>
        <v>0</v>
      </c>
      <c r="AN103" s="68">
        <f>InBS_Q!AA77/10^9</f>
        <v>0</v>
      </c>
    </row>
    <row r="104" spans="2:40" x14ac:dyDescent="0.3">
      <c r="B104" s="61" t="s">
        <v>78</v>
      </c>
      <c r="C104" s="62">
        <f>InBS!C78/10^9</f>
        <v>0</v>
      </c>
      <c r="D104" s="62">
        <f>InBS!D78/10^9</f>
        <v>0</v>
      </c>
      <c r="E104" s="62">
        <f>InBS!E78/10^9</f>
        <v>0</v>
      </c>
      <c r="F104" s="62">
        <f>InBS!F78/10^9</f>
        <v>0</v>
      </c>
      <c r="G104" s="62">
        <f>InBS!G78/10^9</f>
        <v>0</v>
      </c>
      <c r="H104" s="62">
        <f>InBS!H78/10^9</f>
        <v>0</v>
      </c>
      <c r="I104" s="62">
        <f>InBS!I78/10^9</f>
        <v>0</v>
      </c>
      <c r="J104" s="62">
        <f>InBS!J78/10^9</f>
        <v>0</v>
      </c>
      <c r="K104" s="62">
        <f>InBS!K78/10^9</f>
        <v>0</v>
      </c>
      <c r="L104" s="62">
        <f>InBS!L78/10^9</f>
        <v>4.452834481</v>
      </c>
      <c r="P104" s="68">
        <f>InBS_Q!C78/10^9</f>
        <v>0</v>
      </c>
      <c r="Q104" s="68">
        <f>InBS_Q!D78/10^9</f>
        <v>0</v>
      </c>
      <c r="R104" s="68">
        <f>InBS_Q!E78/10^9</f>
        <v>0</v>
      </c>
      <c r="S104" s="68">
        <f>InBS_Q!F78/10^9</f>
        <v>0</v>
      </c>
      <c r="T104" s="68">
        <f>InBS_Q!G78/10^9</f>
        <v>0</v>
      </c>
      <c r="U104" s="68">
        <f>InBS_Q!H78/10^9</f>
        <v>0</v>
      </c>
      <c r="V104" s="68">
        <f>InBS_Q!I78/10^9</f>
        <v>0</v>
      </c>
      <c r="W104" s="68">
        <f>InBS_Q!J78/10^9</f>
        <v>0</v>
      </c>
      <c r="X104" s="68">
        <f>InBS_Q!K78/10^9</f>
        <v>0</v>
      </c>
      <c r="Y104" s="68">
        <f>InBS_Q!L78/10^9</f>
        <v>0</v>
      </c>
      <c r="Z104" s="68">
        <f>InBS_Q!M78/10^9</f>
        <v>0</v>
      </c>
      <c r="AA104" s="68">
        <f>InBS_Q!N78/10^9</f>
        <v>0</v>
      </c>
      <c r="AB104" s="68">
        <f>InBS_Q!O78/10^9</f>
        <v>0</v>
      </c>
      <c r="AC104" s="68">
        <f>InBS_Q!P78/10^9</f>
        <v>0</v>
      </c>
      <c r="AD104" s="68">
        <f>InBS_Q!Q78/10^9</f>
        <v>0</v>
      </c>
      <c r="AE104" s="68">
        <f>InBS_Q!R78/10^9</f>
        <v>0</v>
      </c>
      <c r="AF104" s="68">
        <f>InBS_Q!S78/10^9</f>
        <v>0</v>
      </c>
      <c r="AG104" s="68">
        <f>InBS_Q!T78/10^9</f>
        <v>0</v>
      </c>
      <c r="AH104" s="68">
        <f>InBS_Q!U78/10^9</f>
        <v>0</v>
      </c>
      <c r="AI104" s="68">
        <f>InBS_Q!V78/10^9</f>
        <v>0</v>
      </c>
      <c r="AJ104" s="68">
        <f>InBS_Q!W78/10^9</f>
        <v>0</v>
      </c>
      <c r="AK104" s="68">
        <f>InBS_Q!X78/10^9</f>
        <v>2.8</v>
      </c>
      <c r="AL104" s="68">
        <f>InBS_Q!Y78/10^9</f>
        <v>9.9667295720000002</v>
      </c>
      <c r="AM104" s="68">
        <f>InBS_Q!Z78/10^9</f>
        <v>4.452834481</v>
      </c>
      <c r="AN104" s="68">
        <f>InBS_Q!AA78/10^9</f>
        <v>4.452834481</v>
      </c>
    </row>
    <row r="105" spans="2:40" s="81" customFormat="1" x14ac:dyDescent="0.3">
      <c r="B105" s="71" t="s">
        <v>79</v>
      </c>
      <c r="C105" s="72">
        <f>InBS!C79/10^9</f>
        <v>11.885273597999999</v>
      </c>
      <c r="D105" s="72">
        <f>InBS!D79/10^9</f>
        <v>61.038907453</v>
      </c>
      <c r="E105" s="72">
        <f>InBS!E79/10^9</f>
        <v>73.270673204999994</v>
      </c>
      <c r="F105" s="72">
        <f>InBS!F79/10^9</f>
        <v>233.176485321</v>
      </c>
      <c r="G105" s="72">
        <f>InBS!G79/10^9</f>
        <v>387.76353987900001</v>
      </c>
      <c r="H105" s="72">
        <f>InBS!H79/10^9</f>
        <v>380.56700736800002</v>
      </c>
      <c r="I105" s="72">
        <f>InBS!I79/10^9</f>
        <v>443.49838197499997</v>
      </c>
      <c r="J105" s="72">
        <f>InBS!J79/10^9</f>
        <v>432.36777898700001</v>
      </c>
      <c r="K105" s="72">
        <f>InBS!K79/10^9</f>
        <v>398.736380784</v>
      </c>
      <c r="L105" s="72">
        <f>InBS!L79/10^9</f>
        <v>464.59138196999999</v>
      </c>
      <c r="N105" s="92"/>
      <c r="O105" s="92"/>
      <c r="P105" s="93">
        <f>InBS_Q!C79/10^9</f>
        <v>332.83165996100001</v>
      </c>
      <c r="Q105" s="93">
        <f>InBS_Q!D79/10^9</f>
        <v>389.19480810099998</v>
      </c>
      <c r="R105" s="93">
        <f>InBS_Q!E79/10^9</f>
        <v>388.39369715399999</v>
      </c>
      <c r="S105" s="93">
        <f>InBS_Q!F79/10^9</f>
        <v>424.98799592199998</v>
      </c>
      <c r="T105" s="93">
        <f>InBS_Q!G79/10^9</f>
        <v>360.122596536</v>
      </c>
      <c r="U105" s="93">
        <f>InBS_Q!H79/10^9</f>
        <v>386.18053958299998</v>
      </c>
      <c r="V105" s="93">
        <f>InBS_Q!I79/10^9</f>
        <v>380.969801636</v>
      </c>
      <c r="W105" s="93">
        <f>InBS_Q!J79/10^9</f>
        <v>377.12612048699998</v>
      </c>
      <c r="X105" s="93">
        <f>InBS_Q!K79/10^9</f>
        <v>375.368732099</v>
      </c>
      <c r="Y105" s="93">
        <f>InBS_Q!L79/10^9</f>
        <v>403.57877153999999</v>
      </c>
      <c r="Z105" s="93">
        <f>InBS_Q!M79/10^9</f>
        <v>443.50922177500001</v>
      </c>
      <c r="AA105" s="93">
        <f>InBS_Q!N79/10^9</f>
        <v>427.91612733599999</v>
      </c>
      <c r="AB105" s="93">
        <f>InBS_Q!O79/10^9</f>
        <v>373.77563240900002</v>
      </c>
      <c r="AC105" s="93">
        <f>InBS_Q!P79/10^9</f>
        <v>410.97851815299998</v>
      </c>
      <c r="AD105" s="93">
        <f>InBS_Q!Q79/10^9</f>
        <v>432.51658195499999</v>
      </c>
      <c r="AE105" s="93">
        <f>InBS_Q!R79/10^9</f>
        <v>400.867419208</v>
      </c>
      <c r="AF105" s="93">
        <f>InBS_Q!S79/10^9</f>
        <v>385.78089936700002</v>
      </c>
      <c r="AG105" s="93">
        <f>InBS_Q!T79/10^9</f>
        <v>408.992807019</v>
      </c>
      <c r="AH105" s="93">
        <f>InBS_Q!U79/10^9</f>
        <v>398.50977687300002</v>
      </c>
      <c r="AI105" s="93">
        <f>InBS_Q!V79/10^9</f>
        <v>379.00759746799997</v>
      </c>
      <c r="AJ105" s="93">
        <f>InBS_Q!W79/10^9</f>
        <v>406.11291126999998</v>
      </c>
      <c r="AK105" s="93">
        <f>InBS_Q!X79/10^9</f>
        <v>429.217187954</v>
      </c>
      <c r="AL105" s="93">
        <f>InBS_Q!Y79/10^9</f>
        <v>456.51939333500002</v>
      </c>
      <c r="AM105" s="93">
        <f>InBS_Q!Z79/10^9</f>
        <v>486.94132451000002</v>
      </c>
      <c r="AN105" s="93">
        <f>InBS_Q!AA79/10^9</f>
        <v>423.42216775499998</v>
      </c>
    </row>
    <row r="106" spans="2:40" s="81" customFormat="1" x14ac:dyDescent="0.3">
      <c r="B106" s="58" t="s">
        <v>80</v>
      </c>
      <c r="C106" s="60">
        <f>InBS!C80/10^9</f>
        <v>11.885273597999999</v>
      </c>
      <c r="D106" s="60">
        <f>InBS!D80/10^9</f>
        <v>61.038907453</v>
      </c>
      <c r="E106" s="60">
        <f>InBS!E80/10^9</f>
        <v>73.270673204999994</v>
      </c>
      <c r="F106" s="60">
        <f>InBS!F80/10^9</f>
        <v>233.176485321</v>
      </c>
      <c r="G106" s="60">
        <f>InBS!G80/10^9</f>
        <v>387.76353987900001</v>
      </c>
      <c r="H106" s="60">
        <f>InBS!H80/10^9</f>
        <v>380.56700736800002</v>
      </c>
      <c r="I106" s="60">
        <f>InBS!I80/10^9</f>
        <v>443.49838197499997</v>
      </c>
      <c r="J106" s="60">
        <f>InBS!J80/10^9</f>
        <v>432.36777898700001</v>
      </c>
      <c r="K106" s="60">
        <f>InBS!K80/10^9</f>
        <v>398.736380784</v>
      </c>
      <c r="L106" s="60">
        <f>InBS!L80/10^9</f>
        <v>464.59138196999999</v>
      </c>
      <c r="P106" s="66">
        <f>InBS_Q!C80/10^9</f>
        <v>332.83165996100001</v>
      </c>
      <c r="Q106" s="66">
        <f>InBS_Q!D80/10^9</f>
        <v>389.19480810099998</v>
      </c>
      <c r="R106" s="66">
        <f>InBS_Q!E80/10^9</f>
        <v>388.39369715399999</v>
      </c>
      <c r="S106" s="66">
        <f>InBS_Q!F80/10^9</f>
        <v>424.98799592199998</v>
      </c>
      <c r="T106" s="66">
        <f>InBS_Q!G80/10^9</f>
        <v>360.122596536</v>
      </c>
      <c r="U106" s="66">
        <f>InBS_Q!H80/10^9</f>
        <v>386.18053958299998</v>
      </c>
      <c r="V106" s="66">
        <f>InBS_Q!I80/10^9</f>
        <v>380.969801636</v>
      </c>
      <c r="W106" s="66">
        <f>InBS_Q!J80/10^9</f>
        <v>377.12612048699998</v>
      </c>
      <c r="X106" s="66">
        <f>InBS_Q!K80/10^9</f>
        <v>375.368732099</v>
      </c>
      <c r="Y106" s="66">
        <f>InBS_Q!L80/10^9</f>
        <v>403.57877153999999</v>
      </c>
      <c r="Z106" s="66">
        <f>InBS_Q!M80/10^9</f>
        <v>443.50922177500001</v>
      </c>
      <c r="AA106" s="66">
        <f>InBS_Q!N80/10^9</f>
        <v>427.91612733599999</v>
      </c>
      <c r="AB106" s="66">
        <f>InBS_Q!O80/10^9</f>
        <v>373.77563240900002</v>
      </c>
      <c r="AC106" s="66">
        <f>InBS_Q!P80/10^9</f>
        <v>410.97851815299998</v>
      </c>
      <c r="AD106" s="66">
        <f>InBS_Q!Q80/10^9</f>
        <v>432.51658195499999</v>
      </c>
      <c r="AE106" s="66">
        <f>InBS_Q!R80/10^9</f>
        <v>400.867419208</v>
      </c>
      <c r="AF106" s="66">
        <f>InBS_Q!S80/10^9</f>
        <v>385.78089936700002</v>
      </c>
      <c r="AG106" s="66">
        <f>InBS_Q!T80/10^9</f>
        <v>408.992807019</v>
      </c>
      <c r="AH106" s="66">
        <f>InBS_Q!U80/10^9</f>
        <v>398.50977687300002</v>
      </c>
      <c r="AI106" s="66">
        <f>InBS_Q!V80/10^9</f>
        <v>379.00759746799997</v>
      </c>
      <c r="AJ106" s="66">
        <f>InBS_Q!W80/10^9</f>
        <v>406.11291126999998</v>
      </c>
      <c r="AK106" s="66">
        <f>InBS_Q!X80/10^9</f>
        <v>429.217187954</v>
      </c>
      <c r="AL106" s="66">
        <f>InBS_Q!Y80/10^9</f>
        <v>456.51939333500002</v>
      </c>
      <c r="AM106" s="66">
        <f>InBS_Q!Z80/10^9</f>
        <v>486.94132451000002</v>
      </c>
      <c r="AN106" s="66">
        <f>InBS_Q!AA80/10^9</f>
        <v>423.42216775499998</v>
      </c>
    </row>
    <row r="107" spans="2:40" x14ac:dyDescent="0.3">
      <c r="B107" s="61" t="s">
        <v>81</v>
      </c>
      <c r="C107" s="62">
        <f>InBS!C81/10^9</f>
        <v>13.570320000000001</v>
      </c>
      <c r="D107" s="62">
        <f>InBS!D81/10^9</f>
        <v>67.2</v>
      </c>
      <c r="E107" s="62">
        <f>InBS!E81/10^9</f>
        <v>67.2</v>
      </c>
      <c r="F107" s="62">
        <f>InBS!F81/10^9</f>
        <v>125</v>
      </c>
      <c r="G107" s="62">
        <f>InBS!G81/10^9</f>
        <v>203.12038000000001</v>
      </c>
      <c r="H107" s="62">
        <f>InBS!H81/10^9</f>
        <v>213.27637999999999</v>
      </c>
      <c r="I107" s="62">
        <f>InBS!I81/10^9</f>
        <v>270</v>
      </c>
      <c r="J107" s="62">
        <f>InBS!J81/10^9</f>
        <v>270</v>
      </c>
      <c r="K107" s="62">
        <f>InBS!K81/10^9</f>
        <v>270</v>
      </c>
      <c r="L107" s="62">
        <f>InBS!L81/10^9</f>
        <v>270</v>
      </c>
      <c r="P107" s="68">
        <f>InBS_Q!C81/10^9</f>
        <v>162.49942999999999</v>
      </c>
      <c r="Q107" s="68">
        <f>InBS_Q!D81/10^9</f>
        <v>162.49942999999999</v>
      </c>
      <c r="R107" s="68">
        <f>InBS_Q!E81/10^9</f>
        <v>203.12038000000001</v>
      </c>
      <c r="S107" s="68">
        <f>InBS_Q!F81/10^9</f>
        <v>213.27637999999999</v>
      </c>
      <c r="T107" s="68">
        <f>InBS_Q!G81/10^9</f>
        <v>213.27637999999999</v>
      </c>
      <c r="U107" s="68">
        <f>InBS_Q!H81/10^9</f>
        <v>213.27637999999999</v>
      </c>
      <c r="V107" s="68">
        <f>InBS_Q!I81/10^9</f>
        <v>213.27637999999999</v>
      </c>
      <c r="W107" s="68">
        <f>InBS_Q!J81/10^9</f>
        <v>213.27637999999999</v>
      </c>
      <c r="X107" s="68">
        <f>InBS_Q!K81/10^9</f>
        <v>213.27637999999999</v>
      </c>
      <c r="Y107" s="68">
        <f>InBS_Q!L81/10^9</f>
        <v>213.27637999999999</v>
      </c>
      <c r="Z107" s="68">
        <f>InBS_Q!M81/10^9</f>
        <v>270</v>
      </c>
      <c r="AA107" s="68">
        <f>InBS_Q!N81/10^9</f>
        <v>270</v>
      </c>
      <c r="AB107" s="68">
        <f>InBS_Q!O81/10^9</f>
        <v>270</v>
      </c>
      <c r="AC107" s="68">
        <f>InBS_Q!P81/10^9</f>
        <v>270</v>
      </c>
      <c r="AD107" s="68">
        <f>InBS_Q!Q81/10^9</f>
        <v>270</v>
      </c>
      <c r="AE107" s="68">
        <f>InBS_Q!R81/10^9</f>
        <v>270</v>
      </c>
      <c r="AF107" s="68">
        <f>InBS_Q!S81/10^9</f>
        <v>270</v>
      </c>
      <c r="AG107" s="68">
        <f>InBS_Q!T81/10^9</f>
        <v>270</v>
      </c>
      <c r="AH107" s="68">
        <f>InBS_Q!U81/10^9</f>
        <v>270</v>
      </c>
      <c r="AI107" s="68">
        <f>InBS_Q!V81/10^9</f>
        <v>270</v>
      </c>
      <c r="AJ107" s="68">
        <f>InBS_Q!W81/10^9</f>
        <v>270</v>
      </c>
      <c r="AK107" s="68">
        <f>InBS_Q!X81/10^9</f>
        <v>270</v>
      </c>
      <c r="AL107" s="68">
        <f>InBS_Q!Y81/10^9</f>
        <v>270</v>
      </c>
      <c r="AM107" s="68">
        <f>InBS_Q!Z81/10^9</f>
        <v>270</v>
      </c>
      <c r="AN107" s="68">
        <f>InBS_Q!AA81/10^9</f>
        <v>270</v>
      </c>
    </row>
    <row r="108" spans="2:40" x14ac:dyDescent="0.3">
      <c r="B108" s="61" t="s">
        <v>82</v>
      </c>
      <c r="C108" s="62">
        <f>InBS!C82/10^9</f>
        <v>0</v>
      </c>
      <c r="D108" s="62">
        <f>InBS!D82/10^9</f>
        <v>0</v>
      </c>
      <c r="E108" s="62">
        <f>InBS!E82/10^9</f>
        <v>0</v>
      </c>
      <c r="F108" s="62">
        <f>InBS!F82/10^9</f>
        <v>1.6956800000000001</v>
      </c>
      <c r="G108" s="62">
        <f>InBS!G82/10^9</f>
        <v>1.6956800000000001</v>
      </c>
      <c r="H108" s="62">
        <f>InBS!H82/10^9</f>
        <v>1.6956800000000001</v>
      </c>
      <c r="I108" s="62">
        <f>InBS!I82/10^9</f>
        <v>1.6956800000000001</v>
      </c>
      <c r="J108" s="62">
        <f>InBS!J82/10^9</f>
        <v>1.6956800000000001</v>
      </c>
      <c r="K108" s="62">
        <f>InBS!K82/10^9</f>
        <v>1.6956800000000001</v>
      </c>
      <c r="L108" s="62">
        <f>InBS!L82/10^9</f>
        <v>1.6956800000000001</v>
      </c>
      <c r="P108" s="68">
        <f>InBS_Q!C82/10^9</f>
        <v>1.6956800000000001</v>
      </c>
      <c r="Q108" s="68">
        <f>InBS_Q!D82/10^9</f>
        <v>1.6956800000000001</v>
      </c>
      <c r="R108" s="68">
        <f>InBS_Q!E82/10^9</f>
        <v>1.6956800000000001</v>
      </c>
      <c r="S108" s="68">
        <f>InBS_Q!F82/10^9</f>
        <v>1.6956800000000001</v>
      </c>
      <c r="T108" s="68">
        <f>InBS_Q!G82/10^9</f>
        <v>1.6956800000000001</v>
      </c>
      <c r="U108" s="68">
        <f>InBS_Q!H82/10^9</f>
        <v>1.6956800000000001</v>
      </c>
      <c r="V108" s="68">
        <f>InBS_Q!I82/10^9</f>
        <v>1.6956800000000001</v>
      </c>
      <c r="W108" s="68">
        <f>InBS_Q!J82/10^9</f>
        <v>1.6956800000000001</v>
      </c>
      <c r="X108" s="68">
        <f>InBS_Q!K82/10^9</f>
        <v>1.6956800000000001</v>
      </c>
      <c r="Y108" s="68">
        <f>InBS_Q!L82/10^9</f>
        <v>1.6956800000000001</v>
      </c>
      <c r="Z108" s="68">
        <f>InBS_Q!M82/10^9</f>
        <v>1.6956800000000001</v>
      </c>
      <c r="AA108" s="68">
        <f>InBS_Q!N82/10^9</f>
        <v>1.6956800000000001</v>
      </c>
      <c r="AB108" s="68">
        <f>InBS_Q!O82/10^9</f>
        <v>1.6956800000000001</v>
      </c>
      <c r="AC108" s="68">
        <f>InBS_Q!P82/10^9</f>
        <v>1.6956800000000001</v>
      </c>
      <c r="AD108" s="68">
        <f>InBS_Q!Q82/10^9</f>
        <v>1.6956800000000001</v>
      </c>
      <c r="AE108" s="68">
        <f>InBS_Q!R82/10^9</f>
        <v>1.6956800000000001</v>
      </c>
      <c r="AF108" s="68">
        <f>InBS_Q!S82/10^9</f>
        <v>1.6956800000000001</v>
      </c>
      <c r="AG108" s="68">
        <f>InBS_Q!T82/10^9</f>
        <v>1.6956800000000001</v>
      </c>
      <c r="AH108" s="68">
        <f>InBS_Q!U82/10^9</f>
        <v>1.6956800000000001</v>
      </c>
      <c r="AI108" s="68">
        <f>InBS_Q!V82/10^9</f>
        <v>1.6956800000000001</v>
      </c>
      <c r="AJ108" s="68">
        <f>InBS_Q!W82/10^9</f>
        <v>1.6956800000000001</v>
      </c>
      <c r="AK108" s="68">
        <f>InBS_Q!X82/10^9</f>
        <v>1.6956800000000001</v>
      </c>
      <c r="AL108" s="68">
        <f>InBS_Q!Y82/10^9</f>
        <v>1.6956800000000001</v>
      </c>
      <c r="AM108" s="68">
        <f>InBS_Q!Z82/10^9</f>
        <v>1.6956800000000001</v>
      </c>
      <c r="AN108" s="68">
        <f>InBS_Q!AA82/10^9</f>
        <v>1.6956800000000001</v>
      </c>
    </row>
    <row r="109" spans="2:40" x14ac:dyDescent="0.3">
      <c r="B109" s="61" t="s">
        <v>83</v>
      </c>
      <c r="C109" s="62">
        <f>InBS!C83/10^9</f>
        <v>0</v>
      </c>
      <c r="D109" s="62">
        <f>InBS!D83/10^9</f>
        <v>0</v>
      </c>
      <c r="E109" s="62">
        <f>InBS!E83/10^9</f>
        <v>0</v>
      </c>
      <c r="F109" s="62">
        <f>InBS!F83/10^9</f>
        <v>0</v>
      </c>
      <c r="G109" s="62">
        <f>InBS!G83/10^9</f>
        <v>0</v>
      </c>
      <c r="H109" s="62">
        <f>InBS!H83/10^9</f>
        <v>10.172434366999999</v>
      </c>
      <c r="I109" s="62">
        <f>InBS!I83/10^9</f>
        <v>10.172434366999999</v>
      </c>
      <c r="J109" s="62">
        <f>InBS!J83/10^9</f>
        <v>3.5545817450000001</v>
      </c>
      <c r="K109" s="62">
        <f>InBS!K83/10^9</f>
        <v>9.1790456490000008</v>
      </c>
      <c r="L109" s="62">
        <f>InBS!L83/10^9</f>
        <v>9.1790456490000008</v>
      </c>
      <c r="P109" s="68">
        <f>InBS_Q!C83/10^9</f>
        <v>0</v>
      </c>
      <c r="Q109" s="68">
        <f>InBS_Q!D83/10^9</f>
        <v>0</v>
      </c>
      <c r="R109" s="68">
        <f>InBS_Q!E83/10^9</f>
        <v>0</v>
      </c>
      <c r="S109" s="68">
        <f>InBS_Q!F83/10^9</f>
        <v>0</v>
      </c>
      <c r="T109" s="68">
        <f>InBS_Q!G83/10^9</f>
        <v>10.172434366999999</v>
      </c>
      <c r="U109" s="68">
        <f>InBS_Q!H83/10^9</f>
        <v>0</v>
      </c>
      <c r="V109" s="68">
        <f>InBS_Q!I83/10^9</f>
        <v>10.172434366999999</v>
      </c>
      <c r="W109" s="68">
        <f>InBS_Q!J83/10^9</f>
        <v>10.172434366999999</v>
      </c>
      <c r="X109" s="68">
        <f>InBS_Q!K83/10^9</f>
        <v>0</v>
      </c>
      <c r="Y109" s="68">
        <f>InBS_Q!L83/10^9</f>
        <v>0</v>
      </c>
      <c r="Z109" s="68">
        <f>InBS_Q!M83/10^9</f>
        <v>0</v>
      </c>
      <c r="AA109" s="68">
        <f>InBS_Q!N83/10^9</f>
        <v>0</v>
      </c>
      <c r="AB109" s="68">
        <f>InBS_Q!O83/10^9</f>
        <v>3.5545817450000001</v>
      </c>
      <c r="AC109" s="68">
        <f>InBS_Q!P83/10^9</f>
        <v>0</v>
      </c>
      <c r="AD109" s="68">
        <f>InBS_Q!Q83/10^9</f>
        <v>0</v>
      </c>
      <c r="AE109" s="68">
        <f>InBS_Q!R83/10^9</f>
        <v>0</v>
      </c>
      <c r="AF109" s="68">
        <f>InBS_Q!S83/10^9</f>
        <v>9.1790456490000008</v>
      </c>
      <c r="AG109" s="68">
        <f>InBS_Q!T83/10^9</f>
        <v>0</v>
      </c>
      <c r="AH109" s="68">
        <f>InBS_Q!U83/10^9</f>
        <v>9.1790456490000008</v>
      </c>
      <c r="AI109" s="68">
        <f>InBS_Q!V83/10^9</f>
        <v>9.1790456490000008</v>
      </c>
      <c r="AJ109" s="68">
        <f>InBS_Q!W83/10^9</f>
        <v>9.1790456490000008</v>
      </c>
      <c r="AK109" s="68">
        <f>InBS_Q!X83/10^9</f>
        <v>9.1790456490000008</v>
      </c>
      <c r="AL109" s="68">
        <f>InBS_Q!Y83/10^9</f>
        <v>9.1790456490000008</v>
      </c>
      <c r="AM109" s="68">
        <f>InBS_Q!Z83/10^9</f>
        <v>0</v>
      </c>
      <c r="AN109" s="68">
        <f>InBS_Q!AA83/10^9</f>
        <v>9.1790456490000008</v>
      </c>
    </row>
    <row r="110" spans="2:40" x14ac:dyDescent="0.3">
      <c r="B110" s="61" t="s">
        <v>84</v>
      </c>
      <c r="C110" s="62">
        <f>InBS!C84/10^9</f>
        <v>0</v>
      </c>
      <c r="D110" s="62">
        <f>InBS!D84/10^9</f>
        <v>0</v>
      </c>
      <c r="E110" s="62">
        <f>InBS!E84/10^9</f>
        <v>0</v>
      </c>
      <c r="F110" s="62">
        <f>InBS!F84/10^9</f>
        <v>0</v>
      </c>
      <c r="G110" s="62">
        <f>InBS!G84/10^9</f>
        <v>0</v>
      </c>
      <c r="H110" s="62">
        <f>InBS!H84/10^9</f>
        <v>0</v>
      </c>
      <c r="I110" s="62">
        <f>InBS!I84/10^9</f>
        <v>-3.2699999999999999E-3</v>
      </c>
      <c r="J110" s="62">
        <f>InBS!J84/10^9</f>
        <v>-3.2699999999999999E-3</v>
      </c>
      <c r="K110" s="62">
        <f>InBS!K84/10^9</f>
        <v>-3.2699999999999999E-3</v>
      </c>
      <c r="L110" s="62">
        <f>InBS!L84/10^9</f>
        <v>-3.2699999999999999E-3</v>
      </c>
      <c r="P110" s="68">
        <f>InBS_Q!C84/10^9</f>
        <v>0</v>
      </c>
      <c r="Q110" s="68">
        <f>InBS_Q!D84/10^9</f>
        <v>0</v>
      </c>
      <c r="R110" s="68">
        <f>InBS_Q!E84/10^9</f>
        <v>0</v>
      </c>
      <c r="S110" s="68">
        <f>InBS_Q!F84/10^9</f>
        <v>0</v>
      </c>
      <c r="T110" s="68">
        <f>InBS_Q!G84/10^9</f>
        <v>0</v>
      </c>
      <c r="U110" s="68">
        <f>InBS_Q!H84/10^9</f>
        <v>0</v>
      </c>
      <c r="V110" s="68">
        <f>InBS_Q!I84/10^9</f>
        <v>0</v>
      </c>
      <c r="W110" s="68">
        <f>InBS_Q!J84/10^9</f>
        <v>0</v>
      </c>
      <c r="X110" s="68">
        <f>InBS_Q!K84/10^9</f>
        <v>10.172434366999999</v>
      </c>
      <c r="Y110" s="68">
        <f>InBS_Q!L84/10^9</f>
        <v>0</v>
      </c>
      <c r="Z110" s="68">
        <f>InBS_Q!M84/10^9</f>
        <v>-3.2699999999999999E-3</v>
      </c>
      <c r="AA110" s="68">
        <f>InBS_Q!N84/10^9</f>
        <v>-3.2699999999999999E-3</v>
      </c>
      <c r="AB110" s="68">
        <f>InBS_Q!O84/10^9</f>
        <v>-3.2699999999999999E-3</v>
      </c>
      <c r="AC110" s="68">
        <f>InBS_Q!P84/10^9</f>
        <v>-3.2699999999999999E-3</v>
      </c>
      <c r="AD110" s="68">
        <f>InBS_Q!Q84/10^9</f>
        <v>-3.2699999999999999E-3</v>
      </c>
      <c r="AE110" s="68">
        <f>InBS_Q!R84/10^9</f>
        <v>-3.2699999999999999E-3</v>
      </c>
      <c r="AF110" s="68">
        <f>InBS_Q!S84/10^9</f>
        <v>-3.2699999999999999E-3</v>
      </c>
      <c r="AG110" s="68">
        <f>InBS_Q!T84/10^9</f>
        <v>-3.2699999999999999E-3</v>
      </c>
      <c r="AH110" s="68">
        <f>InBS_Q!U84/10^9</f>
        <v>-3.2699999999999999E-3</v>
      </c>
      <c r="AI110" s="68">
        <f>InBS_Q!V84/10^9</f>
        <v>-3.2699999999999999E-3</v>
      </c>
      <c r="AJ110" s="68">
        <f>InBS_Q!W84/10^9</f>
        <v>-3.2699999999999999E-3</v>
      </c>
      <c r="AK110" s="68">
        <f>InBS_Q!X84/10^9</f>
        <v>-3.2699999999999999E-3</v>
      </c>
      <c r="AL110" s="68">
        <f>InBS_Q!Y84/10^9</f>
        <v>-3.2699999999999999E-3</v>
      </c>
      <c r="AM110" s="68">
        <f>InBS_Q!Z84/10^9</f>
        <v>-3.2699999999999999E-3</v>
      </c>
      <c r="AN110" s="68">
        <f>InBS_Q!AA84/10^9</f>
        <v>-3.2699999999999999E-3</v>
      </c>
    </row>
    <row r="111" spans="2:40" x14ac:dyDescent="0.3">
      <c r="B111" s="61" t="s">
        <v>85</v>
      </c>
      <c r="C111" s="62">
        <f>InBS!C85/10^9</f>
        <v>0</v>
      </c>
      <c r="D111" s="62">
        <f>InBS!D85/10^9</f>
        <v>0</v>
      </c>
      <c r="E111" s="62">
        <f>InBS!E85/10^9</f>
        <v>0</v>
      </c>
      <c r="F111" s="62">
        <f>InBS!F85/10^9</f>
        <v>0</v>
      </c>
      <c r="G111" s="62">
        <f>InBS!G85/10^9</f>
        <v>0</v>
      </c>
      <c r="H111" s="62">
        <f>InBS!H85/10^9</f>
        <v>0</v>
      </c>
      <c r="I111" s="62">
        <f>InBS!I85/10^9</f>
        <v>0</v>
      </c>
      <c r="J111" s="62">
        <f>InBS!J85/10^9</f>
        <v>0</v>
      </c>
      <c r="K111" s="62">
        <f>InBS!K85/10^9</f>
        <v>0</v>
      </c>
      <c r="L111" s="62">
        <f>InBS!L85/10^9</f>
        <v>0</v>
      </c>
      <c r="P111" s="68">
        <f>InBS_Q!C85/10^9</f>
        <v>0</v>
      </c>
      <c r="Q111" s="68">
        <f>InBS_Q!D85/10^9</f>
        <v>0</v>
      </c>
      <c r="R111" s="68">
        <f>InBS_Q!E85/10^9</f>
        <v>0</v>
      </c>
      <c r="S111" s="68">
        <f>InBS_Q!F85/10^9</f>
        <v>0</v>
      </c>
      <c r="T111" s="68">
        <f>InBS_Q!G85/10^9</f>
        <v>0</v>
      </c>
      <c r="U111" s="68">
        <f>InBS_Q!H85/10^9</f>
        <v>0</v>
      </c>
      <c r="V111" s="68">
        <f>InBS_Q!I85/10^9</f>
        <v>0</v>
      </c>
      <c r="W111" s="68">
        <f>InBS_Q!J85/10^9</f>
        <v>0</v>
      </c>
      <c r="X111" s="68">
        <f>InBS_Q!K85/10^9</f>
        <v>0</v>
      </c>
      <c r="Y111" s="68">
        <f>InBS_Q!L85/10^9</f>
        <v>0</v>
      </c>
      <c r="Z111" s="68">
        <f>InBS_Q!M85/10^9</f>
        <v>0</v>
      </c>
      <c r="AA111" s="68">
        <f>InBS_Q!N85/10^9</f>
        <v>0</v>
      </c>
      <c r="AB111" s="68">
        <f>InBS_Q!O85/10^9</f>
        <v>0</v>
      </c>
      <c r="AC111" s="68">
        <f>InBS_Q!P85/10^9</f>
        <v>0</v>
      </c>
      <c r="AD111" s="68">
        <f>InBS_Q!Q85/10^9</f>
        <v>0</v>
      </c>
      <c r="AE111" s="68">
        <f>InBS_Q!R85/10^9</f>
        <v>0</v>
      </c>
      <c r="AF111" s="68">
        <f>InBS_Q!S85/10^9</f>
        <v>0</v>
      </c>
      <c r="AG111" s="68">
        <f>InBS_Q!T85/10^9</f>
        <v>0</v>
      </c>
      <c r="AH111" s="68">
        <f>InBS_Q!U85/10^9</f>
        <v>0</v>
      </c>
      <c r="AI111" s="68">
        <f>InBS_Q!V85/10^9</f>
        <v>0</v>
      </c>
      <c r="AJ111" s="68">
        <f>InBS_Q!W85/10^9</f>
        <v>0</v>
      </c>
      <c r="AK111" s="68">
        <f>InBS_Q!X85/10^9</f>
        <v>0</v>
      </c>
      <c r="AL111" s="68">
        <f>InBS_Q!Y85/10^9</f>
        <v>0</v>
      </c>
      <c r="AM111" s="68">
        <f>InBS_Q!Z85/10^9</f>
        <v>0</v>
      </c>
      <c r="AN111" s="68">
        <f>InBS_Q!AA85/10^9</f>
        <v>0</v>
      </c>
    </row>
    <row r="112" spans="2:40" x14ac:dyDescent="0.3">
      <c r="B112" s="61" t="s">
        <v>86</v>
      </c>
      <c r="C112" s="62">
        <f>InBS!C86/10^9</f>
        <v>3.6419310000000002E-3</v>
      </c>
      <c r="D112" s="62">
        <f>InBS!D86/10^9</f>
        <v>0</v>
      </c>
      <c r="E112" s="62">
        <f>InBS!E86/10^9</f>
        <v>0</v>
      </c>
      <c r="F112" s="62">
        <f>InBS!F86/10^9</f>
        <v>0</v>
      </c>
      <c r="G112" s="62">
        <f>InBS!G86/10^9</f>
        <v>0</v>
      </c>
      <c r="H112" s="62">
        <f>InBS!H86/10^9</f>
        <v>0</v>
      </c>
      <c r="I112" s="62">
        <f>InBS!I86/10^9</f>
        <v>0</v>
      </c>
      <c r="J112" s="62">
        <f>InBS!J86/10^9</f>
        <v>0</v>
      </c>
      <c r="K112" s="62">
        <f>InBS!K86/10^9</f>
        <v>0</v>
      </c>
      <c r="L112" s="62">
        <f>InBS!L86/10^9</f>
        <v>0</v>
      </c>
      <c r="P112" s="68">
        <f>InBS_Q!C86/10^9</f>
        <v>0</v>
      </c>
      <c r="Q112" s="68">
        <f>InBS_Q!D86/10^9</f>
        <v>-4.8957200000000001E-3</v>
      </c>
      <c r="R112" s="68">
        <f>InBS_Q!E86/10^9</f>
        <v>0</v>
      </c>
      <c r="S112" s="68">
        <f>InBS_Q!F86/10^9</f>
        <v>0</v>
      </c>
      <c r="T112" s="68">
        <f>InBS_Q!G86/10^9</f>
        <v>0</v>
      </c>
      <c r="U112" s="68">
        <f>InBS_Q!H86/10^9</f>
        <v>0</v>
      </c>
      <c r="V112" s="68">
        <f>InBS_Q!I86/10^9</f>
        <v>0</v>
      </c>
      <c r="W112" s="68">
        <f>InBS_Q!J86/10^9</f>
        <v>0</v>
      </c>
      <c r="X112" s="68">
        <f>InBS_Q!K86/10^9</f>
        <v>0</v>
      </c>
      <c r="Y112" s="68">
        <f>InBS_Q!L86/10^9</f>
        <v>0</v>
      </c>
      <c r="Z112" s="68">
        <f>InBS_Q!M86/10^9</f>
        <v>0</v>
      </c>
      <c r="AA112" s="68">
        <f>InBS_Q!N86/10^9</f>
        <v>0</v>
      </c>
      <c r="AB112" s="68">
        <f>InBS_Q!O86/10^9</f>
        <v>0</v>
      </c>
      <c r="AC112" s="68">
        <f>InBS_Q!P86/10^9</f>
        <v>0</v>
      </c>
      <c r="AD112" s="68">
        <f>InBS_Q!Q86/10^9</f>
        <v>0</v>
      </c>
      <c r="AE112" s="68">
        <f>InBS_Q!R86/10^9</f>
        <v>0</v>
      </c>
      <c r="AF112" s="68">
        <f>InBS_Q!S86/10^9</f>
        <v>0</v>
      </c>
      <c r="AG112" s="68">
        <f>InBS_Q!T86/10^9</f>
        <v>0</v>
      </c>
      <c r="AH112" s="68">
        <f>InBS_Q!U86/10^9</f>
        <v>0</v>
      </c>
      <c r="AI112" s="68">
        <f>InBS_Q!V86/10^9</f>
        <v>0</v>
      </c>
      <c r="AJ112" s="68">
        <f>InBS_Q!W86/10^9</f>
        <v>0</v>
      </c>
      <c r="AK112" s="68">
        <f>InBS_Q!X86/10^9</f>
        <v>0</v>
      </c>
      <c r="AL112" s="68">
        <f>InBS_Q!Y86/10^9</f>
        <v>0</v>
      </c>
      <c r="AM112" s="68">
        <f>InBS_Q!Z86/10^9</f>
        <v>0</v>
      </c>
      <c r="AN112" s="68">
        <f>InBS_Q!AA86/10^9</f>
        <v>0</v>
      </c>
    </row>
    <row r="113" spans="2:40" x14ac:dyDescent="0.3">
      <c r="B113" s="61" t="s">
        <v>87</v>
      </c>
      <c r="C113" s="62">
        <f>InBS!C87/10^9</f>
        <v>0</v>
      </c>
      <c r="D113" s="62">
        <f>InBS!D87/10^9</f>
        <v>0</v>
      </c>
      <c r="E113" s="62">
        <f>InBS!E87/10^9</f>
        <v>0</v>
      </c>
      <c r="F113" s="62">
        <f>InBS!F87/10^9</f>
        <v>0</v>
      </c>
      <c r="G113" s="62">
        <f>InBS!G87/10^9</f>
        <v>12.485556240999999</v>
      </c>
      <c r="H113" s="62">
        <f>InBS!H87/10^9</f>
        <v>43.002859340999997</v>
      </c>
      <c r="I113" s="62">
        <f>InBS!I87/10^9</f>
        <v>8.7277932580000002</v>
      </c>
      <c r="J113" s="62">
        <f>InBS!J87/10^9</f>
        <v>17.915375315999999</v>
      </c>
      <c r="K113" s="62">
        <f>InBS!K87/10^9</f>
        <v>46.226828724999997</v>
      </c>
      <c r="L113" s="62">
        <f>InBS!L87/10^9</f>
        <v>69.972247530999994</v>
      </c>
      <c r="P113" s="68">
        <f>InBS_Q!C87/10^9</f>
        <v>36.858546240999999</v>
      </c>
      <c r="Q113" s="68">
        <f>InBS_Q!D87/10^9</f>
        <v>36.858546240999999</v>
      </c>
      <c r="R113" s="68">
        <f>InBS_Q!E87/10^9</f>
        <v>12.485556240999999</v>
      </c>
      <c r="S113" s="68">
        <f>InBS_Q!F87/10^9</f>
        <v>12.485556240999999</v>
      </c>
      <c r="T113" s="68">
        <f>InBS_Q!G87/10^9</f>
        <v>43.002859340999997</v>
      </c>
      <c r="U113" s="68">
        <f>InBS_Q!H87/10^9</f>
        <v>43.002859340999997</v>
      </c>
      <c r="V113" s="68">
        <f>InBS_Q!I87/10^9</f>
        <v>43.002859340999997</v>
      </c>
      <c r="W113" s="68">
        <f>InBS_Q!J87/10^9</f>
        <v>43.002859340999997</v>
      </c>
      <c r="X113" s="68">
        <f>InBS_Q!K87/10^9</f>
        <v>54.795483257999997</v>
      </c>
      <c r="Y113" s="68">
        <f>InBS_Q!L87/10^9</f>
        <v>54.795483257999997</v>
      </c>
      <c r="Z113" s="68">
        <f>InBS_Q!M87/10^9</f>
        <v>8.7277932580000002</v>
      </c>
      <c r="AA113" s="68">
        <f>InBS_Q!N87/10^9</f>
        <v>8.7277932580000002</v>
      </c>
      <c r="AB113" s="68">
        <f>InBS_Q!O87/10^9</f>
        <v>17.915375315999999</v>
      </c>
      <c r="AC113" s="68">
        <f>InBS_Q!P87/10^9</f>
        <v>17.915375315999999</v>
      </c>
      <c r="AD113" s="68">
        <f>InBS_Q!Q87/10^9</f>
        <v>17.915375315999999</v>
      </c>
      <c r="AE113" s="68">
        <f>InBS_Q!R87/10^9</f>
        <v>40.602364821000002</v>
      </c>
      <c r="AF113" s="68">
        <f>InBS_Q!S87/10^9</f>
        <v>46.226828724999997</v>
      </c>
      <c r="AG113" s="68">
        <f>InBS_Q!T87/10^9</f>
        <v>46.226828724999997</v>
      </c>
      <c r="AH113" s="68">
        <f>InBS_Q!U87/10^9</f>
        <v>46.226828724999997</v>
      </c>
      <c r="AI113" s="68">
        <f>InBS_Q!V87/10^9</f>
        <v>46.226828724999997</v>
      </c>
      <c r="AJ113" s="68">
        <f>InBS_Q!W87/10^9</f>
        <v>69.972247530999994</v>
      </c>
      <c r="AK113" s="68">
        <f>InBS_Q!X87/10^9</f>
        <v>69.972247530999994</v>
      </c>
      <c r="AL113" s="68">
        <f>InBS_Q!Y87/10^9</f>
        <v>69.972247530999994</v>
      </c>
      <c r="AM113" s="68">
        <f>InBS_Q!Z87/10^9</f>
        <v>69.972247530999994</v>
      </c>
      <c r="AN113" s="68">
        <f>InBS_Q!AA87/10^9</f>
        <v>69.972247530999994</v>
      </c>
    </row>
    <row r="114" spans="2:40" x14ac:dyDescent="0.3">
      <c r="B114" s="61" t="s">
        <v>88</v>
      </c>
      <c r="C114" s="62">
        <f>InBS!C88/10^9</f>
        <v>0</v>
      </c>
      <c r="D114" s="62">
        <f>InBS!D88/10^9</f>
        <v>0</v>
      </c>
      <c r="E114" s="62">
        <f>InBS!E88/10^9</f>
        <v>6.0706732050000003</v>
      </c>
      <c r="F114" s="62">
        <f>InBS!F88/10^9</f>
        <v>0.61</v>
      </c>
      <c r="G114" s="62">
        <f>InBS!G88/10^9</f>
        <v>11.141013212000001</v>
      </c>
      <c r="H114" s="62">
        <f>InBS!H88/10^9</f>
        <v>21.313447579000002</v>
      </c>
      <c r="I114" s="62">
        <f>InBS!I88/10^9</f>
        <v>27.209759537</v>
      </c>
      <c r="J114" s="62">
        <f>InBS!J88/10^9</f>
        <v>22.686989505</v>
      </c>
      <c r="K114" s="62">
        <f>InBS!K88/10^9</f>
        <v>0</v>
      </c>
      <c r="L114" s="62">
        <f>InBS!L88/10^9</f>
        <v>0</v>
      </c>
      <c r="P114" s="68">
        <f>InBS_Q!C88/10^9</f>
        <v>11.141013212000001</v>
      </c>
      <c r="Q114" s="68">
        <f>InBS_Q!D88/10^9</f>
        <v>11.141013212000001</v>
      </c>
      <c r="R114" s="68">
        <f>InBS_Q!E88/10^9</f>
        <v>11.141013212000001</v>
      </c>
      <c r="S114" s="68">
        <f>InBS_Q!F88/10^9</f>
        <v>11.141013212000001</v>
      </c>
      <c r="T114" s="68">
        <f>InBS_Q!G88/10^9</f>
        <v>21.313447579000002</v>
      </c>
      <c r="U114" s="68">
        <f>InBS_Q!H88/10^9</f>
        <v>21.313447579000002</v>
      </c>
      <c r="V114" s="68">
        <f>InBS_Q!I88/10^9</f>
        <v>21.313447579000002</v>
      </c>
      <c r="W114" s="68">
        <f>InBS_Q!J88/10^9</f>
        <v>21.313447579000002</v>
      </c>
      <c r="X114" s="68">
        <f>InBS_Q!K88/10^9</f>
        <v>27.209759537</v>
      </c>
      <c r="Y114" s="68">
        <f>InBS_Q!L88/10^9</f>
        <v>27.209759537</v>
      </c>
      <c r="Z114" s="68">
        <f>InBS_Q!M88/10^9</f>
        <v>27.209759537</v>
      </c>
      <c r="AA114" s="68">
        <f>InBS_Q!N88/10^9</f>
        <v>27.209759537</v>
      </c>
      <c r="AB114" s="68">
        <f>InBS_Q!O88/10^9</f>
        <v>22.686989505</v>
      </c>
      <c r="AC114" s="68">
        <f>InBS_Q!P88/10^9</f>
        <v>22.686989505</v>
      </c>
      <c r="AD114" s="68">
        <f>InBS_Q!Q88/10^9</f>
        <v>22.686989505</v>
      </c>
      <c r="AE114" s="68">
        <f>InBS_Q!R88/10^9</f>
        <v>0</v>
      </c>
      <c r="AF114" s="68">
        <f>InBS_Q!S88/10^9</f>
        <v>0</v>
      </c>
      <c r="AG114" s="68">
        <f>InBS_Q!T88/10^9</f>
        <v>0</v>
      </c>
      <c r="AH114" s="68">
        <f>InBS_Q!U88/10^9</f>
        <v>0</v>
      </c>
      <c r="AI114" s="68">
        <f>InBS_Q!V88/10^9</f>
        <v>0</v>
      </c>
      <c r="AJ114" s="68">
        <f>InBS_Q!W88/10^9</f>
        <v>0</v>
      </c>
      <c r="AK114" s="68">
        <f>InBS_Q!X88/10^9</f>
        <v>0</v>
      </c>
      <c r="AL114" s="68">
        <f>InBS_Q!Y88/10^9</f>
        <v>0</v>
      </c>
      <c r="AM114" s="68">
        <f>InBS_Q!Z88/10^9</f>
        <v>0</v>
      </c>
      <c r="AN114" s="68">
        <f>InBS_Q!AA88/10^9</f>
        <v>0</v>
      </c>
    </row>
    <row r="115" spans="2:40" x14ac:dyDescent="0.3">
      <c r="B115" s="61" t="s">
        <v>89</v>
      </c>
      <c r="C115" s="62">
        <f>InBS!C89/10^9</f>
        <v>0</v>
      </c>
      <c r="D115" s="62">
        <f>InBS!D89/10^9</f>
        <v>0</v>
      </c>
      <c r="E115" s="62">
        <f>InBS!E89/10^9</f>
        <v>0</v>
      </c>
      <c r="F115" s="62">
        <f>InBS!F89/10^9</f>
        <v>0</v>
      </c>
      <c r="G115" s="62">
        <f>InBS!G89/10^9</f>
        <v>0</v>
      </c>
      <c r="H115" s="62">
        <f>InBS!H89/10^9</f>
        <v>0</v>
      </c>
      <c r="I115" s="62">
        <f>InBS!I89/10^9</f>
        <v>0</v>
      </c>
      <c r="J115" s="62">
        <f>InBS!J89/10^9</f>
        <v>0</v>
      </c>
      <c r="K115" s="62">
        <f>InBS!K89/10^9</f>
        <v>0</v>
      </c>
      <c r="L115" s="62">
        <f>InBS!L89/10^9</f>
        <v>0</v>
      </c>
      <c r="P115" s="68">
        <f>InBS_Q!C89/10^9</f>
        <v>0</v>
      </c>
      <c r="Q115" s="68">
        <f>InBS_Q!D89/10^9</f>
        <v>0</v>
      </c>
      <c r="R115" s="68">
        <f>InBS_Q!E89/10^9</f>
        <v>0</v>
      </c>
      <c r="S115" s="68">
        <f>InBS_Q!F89/10^9</f>
        <v>0</v>
      </c>
      <c r="T115" s="68">
        <f>InBS_Q!G89/10^9</f>
        <v>0</v>
      </c>
      <c r="U115" s="68">
        <f>InBS_Q!H89/10^9</f>
        <v>10.172434366999999</v>
      </c>
      <c r="V115" s="68">
        <f>InBS_Q!I89/10^9</f>
        <v>0</v>
      </c>
      <c r="W115" s="68">
        <f>InBS_Q!J89/10^9</f>
        <v>0</v>
      </c>
      <c r="X115" s="68">
        <f>InBS_Q!K89/10^9</f>
        <v>0</v>
      </c>
      <c r="Y115" s="68">
        <f>InBS_Q!L89/10^9</f>
        <v>10.172434366999999</v>
      </c>
      <c r="Z115" s="68">
        <f>InBS_Q!M89/10^9</f>
        <v>10.172434366999999</v>
      </c>
      <c r="AA115" s="68">
        <f>InBS_Q!N89/10^9</f>
        <v>10.172434366999999</v>
      </c>
      <c r="AB115" s="68">
        <f>InBS_Q!O89/10^9</f>
        <v>0</v>
      </c>
      <c r="AC115" s="68">
        <f>InBS_Q!P89/10^9</f>
        <v>3.5545817450000001</v>
      </c>
      <c r="AD115" s="68">
        <f>InBS_Q!Q89/10^9</f>
        <v>3.5545817450000001</v>
      </c>
      <c r="AE115" s="68">
        <f>InBS_Q!R89/10^9</f>
        <v>3.5545817450000001</v>
      </c>
      <c r="AF115" s="68">
        <f>InBS_Q!S89/10^9</f>
        <v>0</v>
      </c>
      <c r="AG115" s="68">
        <f>InBS_Q!T89/10^9</f>
        <v>9.1790456490000008</v>
      </c>
      <c r="AH115" s="68">
        <f>InBS_Q!U89/10^9</f>
        <v>0</v>
      </c>
      <c r="AI115" s="68">
        <f>InBS_Q!V89/10^9</f>
        <v>0</v>
      </c>
      <c r="AJ115" s="68">
        <f>InBS_Q!W89/10^9</f>
        <v>0</v>
      </c>
      <c r="AK115" s="68">
        <f>InBS_Q!X89/10^9</f>
        <v>0</v>
      </c>
      <c r="AL115" s="68">
        <f>InBS_Q!Y89/10^9</f>
        <v>0</v>
      </c>
      <c r="AM115" s="68">
        <f>InBS_Q!Z89/10^9</f>
        <v>9.1790456490000008</v>
      </c>
      <c r="AN115" s="68">
        <f>InBS_Q!AA89/10^9</f>
        <v>0</v>
      </c>
    </row>
    <row r="116" spans="2:40" x14ac:dyDescent="0.3">
      <c r="B116" s="61" t="s">
        <v>90</v>
      </c>
      <c r="C116" s="62">
        <f>InBS!C90/10^9</f>
        <v>-1.688688333</v>
      </c>
      <c r="D116" s="62">
        <f>InBS!D90/10^9</f>
        <v>-6.161092547</v>
      </c>
      <c r="E116" s="62">
        <f>InBS!E90/10^9</f>
        <v>0</v>
      </c>
      <c r="F116" s="62">
        <f>InBS!F90/10^9</f>
        <v>105.87080532100001</v>
      </c>
      <c r="G116" s="62">
        <f>InBS!G90/10^9</f>
        <v>159.32091042600001</v>
      </c>
      <c r="H116" s="62">
        <f>InBS!H90/10^9</f>
        <v>91.106206080999996</v>
      </c>
      <c r="I116" s="62">
        <f>InBS!I90/10^9</f>
        <v>125.695984813</v>
      </c>
      <c r="J116" s="62">
        <f>InBS!J90/10^9</f>
        <v>116.518422421</v>
      </c>
      <c r="K116" s="62">
        <f>InBS!K90/10^9</f>
        <v>71.638096410000003</v>
      </c>
      <c r="L116" s="62">
        <f>InBS!L90/10^9</f>
        <v>113.74767878999999</v>
      </c>
      <c r="P116" s="68">
        <f>InBS_Q!C90/10^9</f>
        <v>120.636990508</v>
      </c>
      <c r="Q116" s="68">
        <f>InBS_Q!D90/10^9</f>
        <v>177.005034368</v>
      </c>
      <c r="R116" s="68">
        <f>InBS_Q!E90/10^9</f>
        <v>159.951067701</v>
      </c>
      <c r="S116" s="68">
        <f>InBS_Q!F90/10^9</f>
        <v>186.38936646900001</v>
      </c>
      <c r="T116" s="68">
        <f>InBS_Q!G90/10^9</f>
        <v>70.661795248999994</v>
      </c>
      <c r="U116" s="68">
        <f>InBS_Q!H90/10^9</f>
        <v>96.719738296000003</v>
      </c>
      <c r="V116" s="68">
        <f>InBS_Q!I90/10^9</f>
        <v>91.509000349000004</v>
      </c>
      <c r="W116" s="68">
        <f>InBS_Q!J90/10^9</f>
        <v>87.665319199999999</v>
      </c>
      <c r="X116" s="68">
        <f>InBS_Q!K90/10^9</f>
        <v>68.218994937000005</v>
      </c>
      <c r="Y116" s="68">
        <f>InBS_Q!L90/10^9</f>
        <v>96.429034377999997</v>
      </c>
      <c r="Z116" s="68">
        <f>InBS_Q!M90/10^9</f>
        <v>125.70682461299999</v>
      </c>
      <c r="AA116" s="68">
        <f>InBS_Q!N90/10^9</f>
        <v>110.113730174</v>
      </c>
      <c r="AB116" s="68">
        <f>InBS_Q!O90/10^9</f>
        <v>57.926275842999999</v>
      </c>
      <c r="AC116" s="68">
        <f>InBS_Q!P90/10^9</f>
        <v>95.129161586999999</v>
      </c>
      <c r="AD116" s="68">
        <f>InBS_Q!Q90/10^9</f>
        <v>116.667225389</v>
      </c>
      <c r="AE116" s="68">
        <f>InBS_Q!R90/10^9</f>
        <v>85.018062642000004</v>
      </c>
      <c r="AF116" s="68">
        <f>InBS_Q!S90/10^9</f>
        <v>58.682614993000001</v>
      </c>
      <c r="AG116" s="68">
        <f>InBS_Q!T90/10^9</f>
        <v>81.894522644999995</v>
      </c>
      <c r="AH116" s="68">
        <f>InBS_Q!U90/10^9</f>
        <v>71.411492499000005</v>
      </c>
      <c r="AI116" s="68">
        <f>InBS_Q!V90/10^9</f>
        <v>51.909313093999998</v>
      </c>
      <c r="AJ116" s="68">
        <f>InBS_Q!W90/10^9</f>
        <v>55.269208089999999</v>
      </c>
      <c r="AK116" s="68">
        <f>InBS_Q!X90/10^9</f>
        <v>78.373484774000005</v>
      </c>
      <c r="AL116" s="68">
        <f>InBS_Q!Y90/10^9</f>
        <v>105.675690155</v>
      </c>
      <c r="AM116" s="68">
        <f>InBS_Q!Z90/10^9</f>
        <v>136.09762133000001</v>
      </c>
      <c r="AN116" s="68">
        <f>InBS_Q!AA90/10^9</f>
        <v>72.578464574999998</v>
      </c>
    </row>
    <row r="117" spans="2:40" s="81" customFormat="1" x14ac:dyDescent="0.3">
      <c r="B117" s="58" t="s">
        <v>91</v>
      </c>
      <c r="C117" s="60">
        <f>InBS!C91/10^9</f>
        <v>0</v>
      </c>
      <c r="D117" s="60">
        <f>InBS!D91/10^9</f>
        <v>0</v>
      </c>
      <c r="E117" s="60">
        <f>InBS!E91/10^9</f>
        <v>0</v>
      </c>
      <c r="F117" s="60">
        <f>InBS!F91/10^9</f>
        <v>0</v>
      </c>
      <c r="G117" s="60">
        <f>InBS!G91/10^9</f>
        <v>0</v>
      </c>
      <c r="H117" s="60">
        <f>InBS!H91/10^9</f>
        <v>0</v>
      </c>
      <c r="I117" s="60">
        <f>InBS!I91/10^9</f>
        <v>0</v>
      </c>
      <c r="J117" s="60">
        <f>InBS!J91/10^9</f>
        <v>0</v>
      </c>
      <c r="K117" s="60">
        <f>InBS!K91/10^9</f>
        <v>0</v>
      </c>
      <c r="L117" s="60">
        <f>InBS!L91/10^9</f>
        <v>0</v>
      </c>
      <c r="P117" s="66">
        <f>InBS_Q!C91/10^9</f>
        <v>0</v>
      </c>
      <c r="Q117" s="66">
        <f>InBS_Q!D91/10^9</f>
        <v>0</v>
      </c>
      <c r="R117" s="66">
        <f>InBS_Q!E91/10^9</f>
        <v>0</v>
      </c>
      <c r="S117" s="66">
        <f>InBS_Q!F91/10^9</f>
        <v>0</v>
      </c>
      <c r="T117" s="66">
        <f>InBS_Q!G91/10^9</f>
        <v>0</v>
      </c>
      <c r="U117" s="66">
        <f>InBS_Q!H91/10^9</f>
        <v>0</v>
      </c>
      <c r="V117" s="66">
        <f>InBS_Q!I91/10^9</f>
        <v>0</v>
      </c>
      <c r="W117" s="66">
        <f>InBS_Q!J91/10^9</f>
        <v>0</v>
      </c>
      <c r="X117" s="66">
        <f>InBS_Q!K91/10^9</f>
        <v>0</v>
      </c>
      <c r="Y117" s="66">
        <f>InBS_Q!L91/10^9</f>
        <v>0</v>
      </c>
      <c r="Z117" s="66">
        <f>InBS_Q!M91/10^9</f>
        <v>0</v>
      </c>
      <c r="AA117" s="66">
        <f>InBS_Q!N91/10^9</f>
        <v>0</v>
      </c>
      <c r="AB117" s="66">
        <f>InBS_Q!O91/10^9</f>
        <v>0</v>
      </c>
      <c r="AC117" s="66">
        <f>InBS_Q!P91/10^9</f>
        <v>0</v>
      </c>
      <c r="AD117" s="66">
        <f>InBS_Q!Q91/10^9</f>
        <v>0</v>
      </c>
      <c r="AE117" s="66">
        <f>InBS_Q!R91/10^9</f>
        <v>0</v>
      </c>
      <c r="AF117" s="66">
        <f>InBS_Q!S91/10^9</f>
        <v>0</v>
      </c>
      <c r="AG117" s="66">
        <f>InBS_Q!T91/10^9</f>
        <v>0</v>
      </c>
      <c r="AH117" s="66">
        <f>InBS_Q!U91/10^9</f>
        <v>0</v>
      </c>
      <c r="AI117" s="66">
        <f>InBS_Q!V91/10^9</f>
        <v>0</v>
      </c>
      <c r="AJ117" s="66">
        <f>InBS_Q!W91/10^9</f>
        <v>0</v>
      </c>
      <c r="AK117" s="66">
        <f>InBS_Q!X91/10^9</f>
        <v>0</v>
      </c>
      <c r="AL117" s="66">
        <f>InBS_Q!Y91/10^9</f>
        <v>0</v>
      </c>
      <c r="AM117" s="66">
        <f>InBS_Q!Z91/10^9</f>
        <v>0</v>
      </c>
      <c r="AN117" s="66">
        <f>InBS_Q!AA91/10^9</f>
        <v>0</v>
      </c>
    </row>
    <row r="118" spans="2:40" x14ac:dyDescent="0.3">
      <c r="B118" s="61" t="s">
        <v>92</v>
      </c>
      <c r="C118" s="62">
        <f>InBS!C92/10^9</f>
        <v>0</v>
      </c>
      <c r="D118" s="62">
        <f>InBS!D92/10^9</f>
        <v>0</v>
      </c>
      <c r="E118" s="62">
        <f>InBS!E92/10^9</f>
        <v>0</v>
      </c>
      <c r="F118" s="62">
        <f>InBS!F92/10^9</f>
        <v>0</v>
      </c>
      <c r="G118" s="62">
        <f>InBS!G92/10^9</f>
        <v>0</v>
      </c>
      <c r="H118" s="62">
        <f>InBS!H92/10^9</f>
        <v>0</v>
      </c>
      <c r="I118" s="62">
        <f>InBS!I92/10^9</f>
        <v>0</v>
      </c>
      <c r="J118" s="62">
        <f>InBS!J92/10^9</f>
        <v>0</v>
      </c>
      <c r="K118" s="62">
        <f>InBS!K92/10^9</f>
        <v>0</v>
      </c>
      <c r="L118" s="62">
        <f>InBS!L92/10^9</f>
        <v>0</v>
      </c>
      <c r="P118" s="68">
        <f>InBS_Q!C92/10^9</f>
        <v>0</v>
      </c>
      <c r="Q118" s="68">
        <f>InBS_Q!D92/10^9</f>
        <v>0</v>
      </c>
      <c r="R118" s="68">
        <f>InBS_Q!E92/10^9</f>
        <v>0</v>
      </c>
      <c r="S118" s="68">
        <f>InBS_Q!F92/10^9</f>
        <v>0</v>
      </c>
      <c r="T118" s="68">
        <f>InBS_Q!G92/10^9</f>
        <v>0</v>
      </c>
      <c r="U118" s="68">
        <f>InBS_Q!H92/10^9</f>
        <v>0</v>
      </c>
      <c r="V118" s="68">
        <f>InBS_Q!I92/10^9</f>
        <v>0</v>
      </c>
      <c r="W118" s="68">
        <f>InBS_Q!J92/10^9</f>
        <v>0</v>
      </c>
      <c r="X118" s="68">
        <f>InBS_Q!K92/10^9</f>
        <v>0</v>
      </c>
      <c r="Y118" s="68">
        <f>InBS_Q!L92/10^9</f>
        <v>0</v>
      </c>
      <c r="Z118" s="68">
        <f>InBS_Q!M92/10^9</f>
        <v>0</v>
      </c>
      <c r="AA118" s="68">
        <f>InBS_Q!N92/10^9</f>
        <v>0</v>
      </c>
      <c r="AB118" s="68">
        <f>InBS_Q!O92/10^9</f>
        <v>0</v>
      </c>
      <c r="AC118" s="68">
        <f>InBS_Q!P92/10^9</f>
        <v>0</v>
      </c>
      <c r="AD118" s="68">
        <f>InBS_Q!Q92/10^9</f>
        <v>0</v>
      </c>
      <c r="AE118" s="68">
        <f>InBS_Q!R92/10^9</f>
        <v>0</v>
      </c>
      <c r="AF118" s="68">
        <f>InBS_Q!S92/10^9</f>
        <v>0</v>
      </c>
      <c r="AG118" s="68">
        <f>InBS_Q!T92/10^9</f>
        <v>0</v>
      </c>
      <c r="AH118" s="68">
        <f>InBS_Q!U92/10^9</f>
        <v>0</v>
      </c>
      <c r="AI118" s="68">
        <f>InBS_Q!V92/10^9</f>
        <v>0</v>
      </c>
      <c r="AJ118" s="68">
        <f>InBS_Q!W92/10^9</f>
        <v>0</v>
      </c>
      <c r="AK118" s="68">
        <f>InBS_Q!X92/10^9</f>
        <v>0</v>
      </c>
      <c r="AL118" s="68">
        <f>InBS_Q!Y92/10^9</f>
        <v>0</v>
      </c>
      <c r="AM118" s="68">
        <f>InBS_Q!Z92/10^9</f>
        <v>0</v>
      </c>
      <c r="AN118" s="68">
        <f>InBS_Q!AA92/10^9</f>
        <v>0</v>
      </c>
    </row>
    <row r="119" spans="2:40" x14ac:dyDescent="0.3">
      <c r="B119" s="61" t="s">
        <v>93</v>
      </c>
      <c r="C119" s="62">
        <f>InBS!C93/10^9</f>
        <v>0</v>
      </c>
      <c r="D119" s="62">
        <f>InBS!D93/10^9</f>
        <v>0</v>
      </c>
      <c r="E119" s="62">
        <f>InBS!E93/10^9</f>
        <v>0</v>
      </c>
      <c r="F119" s="62">
        <f>InBS!F93/10^9</f>
        <v>0</v>
      </c>
      <c r="G119" s="62">
        <f>InBS!G93/10^9</f>
        <v>0</v>
      </c>
      <c r="H119" s="62">
        <f>InBS!H93/10^9</f>
        <v>0</v>
      </c>
      <c r="I119" s="62">
        <f>InBS!I93/10^9</f>
        <v>0</v>
      </c>
      <c r="J119" s="62">
        <f>InBS!J93/10^9</f>
        <v>0</v>
      </c>
      <c r="K119" s="62">
        <f>InBS!K93/10^9</f>
        <v>0</v>
      </c>
      <c r="L119" s="62">
        <f>InBS!L93/10^9</f>
        <v>0</v>
      </c>
      <c r="P119" s="68">
        <f>InBS_Q!C93/10^9</f>
        <v>0</v>
      </c>
      <c r="Q119" s="68">
        <f>InBS_Q!D93/10^9</f>
        <v>0</v>
      </c>
      <c r="R119" s="68">
        <f>InBS_Q!E93/10^9</f>
        <v>0</v>
      </c>
      <c r="S119" s="68">
        <f>InBS_Q!F93/10^9</f>
        <v>0</v>
      </c>
      <c r="T119" s="68">
        <f>InBS_Q!G93/10^9</f>
        <v>0</v>
      </c>
      <c r="U119" s="68">
        <f>InBS_Q!H93/10^9</f>
        <v>0</v>
      </c>
      <c r="V119" s="68">
        <f>InBS_Q!I93/10^9</f>
        <v>0</v>
      </c>
      <c r="W119" s="68">
        <f>InBS_Q!J93/10^9</f>
        <v>0</v>
      </c>
      <c r="X119" s="68">
        <f>InBS_Q!K93/10^9</f>
        <v>0</v>
      </c>
      <c r="Y119" s="68">
        <f>InBS_Q!L93/10^9</f>
        <v>0</v>
      </c>
      <c r="Z119" s="68">
        <f>InBS_Q!M93/10^9</f>
        <v>0</v>
      </c>
      <c r="AA119" s="68">
        <f>InBS_Q!N93/10^9</f>
        <v>0</v>
      </c>
      <c r="AB119" s="68">
        <f>InBS_Q!O93/10^9</f>
        <v>0</v>
      </c>
      <c r="AC119" s="68">
        <f>InBS_Q!P93/10^9</f>
        <v>0</v>
      </c>
      <c r="AD119" s="68">
        <f>InBS_Q!Q93/10^9</f>
        <v>0</v>
      </c>
      <c r="AE119" s="68">
        <f>InBS_Q!R93/10^9</f>
        <v>0</v>
      </c>
      <c r="AF119" s="68">
        <f>InBS_Q!S93/10^9</f>
        <v>0</v>
      </c>
      <c r="AG119" s="68">
        <f>InBS_Q!T93/10^9</f>
        <v>0</v>
      </c>
      <c r="AH119" s="68">
        <f>InBS_Q!U93/10^9</f>
        <v>0</v>
      </c>
      <c r="AI119" s="68">
        <f>InBS_Q!V93/10^9</f>
        <v>0</v>
      </c>
      <c r="AJ119" s="68">
        <f>InBS_Q!W93/10^9</f>
        <v>0</v>
      </c>
      <c r="AK119" s="68">
        <f>InBS_Q!X93/10^9</f>
        <v>0</v>
      </c>
      <c r="AL119" s="68">
        <f>InBS_Q!Y93/10^9</f>
        <v>0</v>
      </c>
      <c r="AM119" s="68">
        <f>InBS_Q!Z93/10^9</f>
        <v>0</v>
      </c>
      <c r="AN119" s="68">
        <f>InBS_Q!AA93/10^9</f>
        <v>0</v>
      </c>
    </row>
    <row r="120" spans="2:40" s="81" customFormat="1" x14ac:dyDescent="0.3">
      <c r="B120" s="58" t="s">
        <v>94</v>
      </c>
      <c r="C120" s="60">
        <f>InBS!C94/10^9</f>
        <v>0</v>
      </c>
      <c r="D120" s="60">
        <f>InBS!D94/10^9</f>
        <v>0</v>
      </c>
      <c r="E120" s="60">
        <f>InBS!E94/10^9</f>
        <v>0</v>
      </c>
      <c r="F120" s="60">
        <f>InBS!F94/10^9</f>
        <v>0</v>
      </c>
      <c r="G120" s="60">
        <f>InBS!G94/10^9</f>
        <v>0</v>
      </c>
      <c r="H120" s="60">
        <f>InBS!H94/10^9</f>
        <v>0</v>
      </c>
      <c r="I120" s="60">
        <f>InBS!I94/10^9</f>
        <v>0</v>
      </c>
      <c r="J120" s="60">
        <f>InBS!J94/10^9</f>
        <v>0</v>
      </c>
      <c r="K120" s="60">
        <f>InBS!K94/10^9</f>
        <v>0</v>
      </c>
      <c r="L120" s="60">
        <f>InBS!L94/10^9</f>
        <v>0</v>
      </c>
      <c r="P120" s="66">
        <f>InBS_Q!C94/10^9</f>
        <v>0</v>
      </c>
      <c r="Q120" s="66">
        <f>InBS_Q!D94/10^9</f>
        <v>0</v>
      </c>
      <c r="R120" s="66">
        <f>InBS_Q!E94/10^9</f>
        <v>0</v>
      </c>
      <c r="S120" s="66">
        <f>InBS_Q!F94/10^9</f>
        <v>0</v>
      </c>
      <c r="T120" s="66">
        <f>InBS_Q!G94/10^9</f>
        <v>0</v>
      </c>
      <c r="U120" s="66">
        <f>InBS_Q!H94/10^9</f>
        <v>0</v>
      </c>
      <c r="V120" s="66">
        <f>InBS_Q!I94/10^9</f>
        <v>0</v>
      </c>
      <c r="W120" s="66">
        <f>InBS_Q!J94/10^9</f>
        <v>0</v>
      </c>
      <c r="X120" s="66">
        <f>InBS_Q!K94/10^9</f>
        <v>0</v>
      </c>
      <c r="Y120" s="66">
        <f>InBS_Q!L94/10^9</f>
        <v>0</v>
      </c>
      <c r="Z120" s="66">
        <f>InBS_Q!M94/10^9</f>
        <v>0</v>
      </c>
      <c r="AA120" s="66">
        <f>InBS_Q!N94/10^9</f>
        <v>0</v>
      </c>
      <c r="AB120" s="66">
        <f>InBS_Q!O94/10^9</f>
        <v>0</v>
      </c>
      <c r="AC120" s="66">
        <f>InBS_Q!P94/10^9</f>
        <v>0</v>
      </c>
      <c r="AD120" s="66">
        <f>InBS_Q!Q94/10^9</f>
        <v>0</v>
      </c>
      <c r="AE120" s="66">
        <f>InBS_Q!R94/10^9</f>
        <v>0</v>
      </c>
      <c r="AF120" s="66">
        <f>InBS_Q!S94/10^9</f>
        <v>0</v>
      </c>
      <c r="AG120" s="66">
        <f>InBS_Q!T94/10^9</f>
        <v>0</v>
      </c>
      <c r="AH120" s="66">
        <f>InBS_Q!U94/10^9</f>
        <v>0</v>
      </c>
      <c r="AI120" s="66">
        <f>InBS_Q!V94/10^9</f>
        <v>0</v>
      </c>
      <c r="AJ120" s="66">
        <f>InBS_Q!W94/10^9</f>
        <v>0</v>
      </c>
      <c r="AK120" s="66">
        <f>InBS_Q!X94/10^9</f>
        <v>0</v>
      </c>
      <c r="AL120" s="66">
        <f>InBS_Q!Y94/10^9</f>
        <v>0</v>
      </c>
      <c r="AM120" s="66">
        <f>InBS_Q!Z94/10^9</f>
        <v>0</v>
      </c>
      <c r="AN120" s="66">
        <f>InBS_Q!AA94/10^9</f>
        <v>0</v>
      </c>
    </row>
    <row r="121" spans="2:40" s="81" customFormat="1" x14ac:dyDescent="0.3">
      <c r="B121" s="69" t="s">
        <v>95</v>
      </c>
      <c r="C121" s="70">
        <f>InBS!C95/10^9</f>
        <v>12.654372351999999</v>
      </c>
      <c r="D121" s="70">
        <f>InBS!D95/10^9</f>
        <v>97.420696215999996</v>
      </c>
      <c r="E121" s="70">
        <f>InBS!E95/10^9</f>
        <v>173.887231001</v>
      </c>
      <c r="F121" s="70">
        <f>InBS!F95/10^9</f>
        <v>359.57623096499998</v>
      </c>
      <c r="G121" s="70">
        <f>InBS!G95/10^9</f>
        <v>705.273812593</v>
      </c>
      <c r="H121" s="70">
        <f>InBS!H95/10^9</f>
        <v>623.73245860700001</v>
      </c>
      <c r="I121" s="70">
        <f>InBS!I95/10^9</f>
        <v>628.14309298499995</v>
      </c>
      <c r="J121" s="70">
        <f>InBS!J95/10^9</f>
        <v>641.52213940800004</v>
      </c>
      <c r="K121" s="70">
        <f>InBS!K95/10^9</f>
        <v>643.79620716099998</v>
      </c>
      <c r="L121" s="70">
        <f>InBS!L95/10^9</f>
        <v>649.91129677499998</v>
      </c>
      <c r="N121" s="94"/>
      <c r="O121" s="94"/>
      <c r="P121" s="77">
        <f>InBS_Q!C95/10^9</f>
        <v>598.81281484800002</v>
      </c>
      <c r="Q121" s="77">
        <f>InBS_Q!D95/10^9</f>
        <v>632.941426858</v>
      </c>
      <c r="R121" s="77">
        <f>InBS_Q!E95/10^9</f>
        <v>707.83555640500003</v>
      </c>
      <c r="S121" s="77">
        <f>InBS_Q!F95/10^9</f>
        <v>654.98164530500003</v>
      </c>
      <c r="T121" s="77">
        <f>InBS_Q!G95/10^9</f>
        <v>592.59920752200003</v>
      </c>
      <c r="U121" s="77">
        <f>InBS_Q!H95/10^9</f>
        <v>622.17720338399999</v>
      </c>
      <c r="V121" s="77">
        <f>InBS_Q!I95/10^9</f>
        <v>623.20445860699999</v>
      </c>
      <c r="W121" s="77">
        <f>InBS_Q!J95/10^9</f>
        <v>590.82966204900004</v>
      </c>
      <c r="X121" s="77">
        <f>InBS_Q!K95/10^9</f>
        <v>611.40372933200001</v>
      </c>
      <c r="Y121" s="77">
        <f>InBS_Q!L95/10^9</f>
        <v>637.55600588100003</v>
      </c>
      <c r="Z121" s="77">
        <f>InBS_Q!M95/10^9</f>
        <v>644.88525843900004</v>
      </c>
      <c r="AA121" s="77">
        <f>InBS_Q!N95/10^9</f>
        <v>628.73678735999999</v>
      </c>
      <c r="AB121" s="77">
        <f>InBS_Q!O95/10^9</f>
        <v>672.61811924100004</v>
      </c>
      <c r="AC121" s="77">
        <f>InBS_Q!P95/10^9</f>
        <v>666.24644431199999</v>
      </c>
      <c r="AD121" s="77">
        <f>InBS_Q!Q95/10^9</f>
        <v>639.77240946999996</v>
      </c>
      <c r="AE121" s="77">
        <f>InBS_Q!R95/10^9</f>
        <v>547.158025802</v>
      </c>
      <c r="AF121" s="77">
        <f>InBS_Q!S95/10^9</f>
        <v>649.84019627299995</v>
      </c>
      <c r="AG121" s="77">
        <f>InBS_Q!T95/10^9</f>
        <v>638.91652804499995</v>
      </c>
      <c r="AH121" s="77">
        <f>InBS_Q!U95/10^9</f>
        <v>643.67190502999995</v>
      </c>
      <c r="AI121" s="77">
        <f>InBS_Q!V95/10^9</f>
        <v>564.85335941200003</v>
      </c>
      <c r="AJ121" s="77">
        <f>InBS_Q!W95/10^9</f>
        <v>601.43831884899998</v>
      </c>
      <c r="AK121" s="77">
        <f>InBS_Q!X95/10^9</f>
        <v>634.10252516100002</v>
      </c>
      <c r="AL121" s="77">
        <f>InBS_Q!Y95/10^9</f>
        <v>647.73233254499996</v>
      </c>
      <c r="AM121" s="77">
        <f>InBS_Q!Z95/10^9</f>
        <v>694.792427761</v>
      </c>
      <c r="AN121" s="77">
        <f>InBS_Q!AA95/10^9</f>
        <v>685.72148288000005</v>
      </c>
    </row>
    <row r="124" spans="2:40" x14ac:dyDescent="0.3">
      <c r="B124" s="63"/>
      <c r="C124" s="64" t="s">
        <v>451</v>
      </c>
      <c r="D124" s="64" t="s">
        <v>452</v>
      </c>
      <c r="E124" s="64" t="s">
        <v>453</v>
      </c>
      <c r="F124" s="64" t="s">
        <v>454</v>
      </c>
      <c r="G124" s="64" t="s">
        <v>455</v>
      </c>
      <c r="H124" s="64" t="s">
        <v>456</v>
      </c>
      <c r="I124" s="64" t="s">
        <v>457</v>
      </c>
      <c r="J124" s="64" t="s">
        <v>458</v>
      </c>
      <c r="K124" s="64" t="s">
        <v>459</v>
      </c>
      <c r="L124" s="64" t="s">
        <v>460</v>
      </c>
      <c r="N124" s="57" t="s">
        <v>461</v>
      </c>
      <c r="O124" s="57" t="s">
        <v>462</v>
      </c>
      <c r="P124" s="64" t="s">
        <v>463</v>
      </c>
      <c r="Q124" s="57" t="s">
        <v>463</v>
      </c>
      <c r="R124" s="57" t="s">
        <v>464</v>
      </c>
      <c r="S124" s="57" t="s">
        <v>465</v>
      </c>
      <c r="T124" s="57" t="s">
        <v>466</v>
      </c>
      <c r="U124" s="57" t="s">
        <v>467</v>
      </c>
      <c r="V124" s="57" t="s">
        <v>468</v>
      </c>
      <c r="W124" s="57" t="s">
        <v>469</v>
      </c>
      <c r="X124" s="57" t="s">
        <v>470</v>
      </c>
      <c r="Y124" s="57" t="s">
        <v>471</v>
      </c>
      <c r="Z124" s="57" t="s">
        <v>472</v>
      </c>
      <c r="AA124" s="57" t="s">
        <v>473</v>
      </c>
      <c r="AB124" s="57" t="s">
        <v>474</v>
      </c>
      <c r="AC124" s="57" t="s">
        <v>476</v>
      </c>
      <c r="AD124" s="57" t="s">
        <v>477</v>
      </c>
      <c r="AE124" s="57" t="s">
        <v>478</v>
      </c>
      <c r="AF124" s="57" t="s">
        <v>479</v>
      </c>
      <c r="AG124" s="57" t="s">
        <v>480</v>
      </c>
      <c r="AH124" s="57" t="s">
        <v>481</v>
      </c>
      <c r="AI124" s="57" t="s">
        <v>482</v>
      </c>
      <c r="AJ124" s="57" t="s">
        <v>483</v>
      </c>
      <c r="AK124" s="57" t="s">
        <v>484</v>
      </c>
      <c r="AL124" s="57" t="s">
        <v>485</v>
      </c>
      <c r="AM124" s="57" t="s">
        <v>486</v>
      </c>
      <c r="AN124" s="57" t="s">
        <v>487</v>
      </c>
    </row>
    <row r="125" spans="2:40" s="81" customFormat="1" x14ac:dyDescent="0.3">
      <c r="B125" s="75" t="s">
        <v>129</v>
      </c>
      <c r="C125" s="76"/>
      <c r="D125" s="76"/>
      <c r="E125" s="76"/>
      <c r="F125" s="76"/>
      <c r="G125" s="76"/>
      <c r="H125" s="76"/>
      <c r="I125" s="76"/>
      <c r="J125" s="76"/>
      <c r="K125" s="76"/>
      <c r="L125" s="76"/>
      <c r="N125" s="94"/>
      <c r="O125" s="94"/>
      <c r="P125" s="94"/>
      <c r="Q125" s="76"/>
      <c r="R125" s="76"/>
      <c r="S125" s="76"/>
      <c r="T125" s="76"/>
      <c r="U125" s="76"/>
      <c r="V125" s="76"/>
      <c r="W125" s="76"/>
      <c r="X125" s="76"/>
      <c r="Y125" s="76"/>
      <c r="Z125" s="76"/>
      <c r="AA125" s="76"/>
      <c r="AB125" s="76"/>
      <c r="AC125" s="76"/>
      <c r="AD125" s="76"/>
      <c r="AE125" s="76"/>
      <c r="AF125" s="76"/>
      <c r="AG125" s="76"/>
      <c r="AH125" s="95"/>
      <c r="AI125" s="95"/>
      <c r="AJ125" s="76"/>
      <c r="AK125" s="76"/>
      <c r="AL125" s="76"/>
      <c r="AM125" s="76"/>
      <c r="AN125" s="76"/>
    </row>
    <row r="126" spans="2:40" s="81" customFormat="1" x14ac:dyDescent="0.3">
      <c r="B126" s="65" t="s">
        <v>130</v>
      </c>
      <c r="C126" s="66">
        <f>InCF!C6/10^9</f>
        <v>-1.688688333</v>
      </c>
      <c r="D126" s="66">
        <f>InCF!D6/10^9</f>
        <v>-5.0715814640000003</v>
      </c>
      <c r="E126" s="66">
        <f>InCF!E6/10^9</f>
        <v>12.438987764</v>
      </c>
      <c r="F126" s="66">
        <f>InCF!F6/10^9</f>
        <v>105.702087354</v>
      </c>
      <c r="G126" s="66">
        <f>InCF!G6/10^9</f>
        <v>226.90515780499999</v>
      </c>
      <c r="H126" s="66">
        <f>InCF!H6/10^9</f>
        <v>132.23450513899999</v>
      </c>
      <c r="I126" s="66">
        <f>InCF!I6/10^9</f>
        <v>139.035229313</v>
      </c>
      <c r="J126" s="66">
        <f>InCF!J6/10^9</f>
        <v>130.040231361</v>
      </c>
      <c r="K126" s="66">
        <f>InCF!K6/10^9</f>
        <v>145.07836566099999</v>
      </c>
      <c r="L126" s="66">
        <f>InCF!L6/10^9</f>
        <v>147.74157302200001</v>
      </c>
      <c r="Q126" s="66">
        <f>InCF_Q!C6/10^9</f>
        <v>85.394555428999993</v>
      </c>
      <c r="R126" s="66">
        <f>InCF_Q!D6/10^9</f>
        <v>68.417826511000001</v>
      </c>
      <c r="S126" s="66">
        <f>InCF_Q!E6/10^9</f>
        <v>27.258812001999999</v>
      </c>
      <c r="T126" s="66">
        <f>InCF_Q!F6/10^9</f>
        <v>30.180293707000001</v>
      </c>
      <c r="U126" s="66">
        <f>InCF_Q!G6/10^9</f>
        <v>42.916509349999998</v>
      </c>
      <c r="V126" s="66">
        <f>InCF_Q!H6/10^9</f>
        <v>29.052324295999998</v>
      </c>
      <c r="W126" s="66">
        <f>InCF_Q!I6/10^9</f>
        <v>30.085377785999999</v>
      </c>
      <c r="X126" s="66">
        <f>InCF_Q!J6/10^9</f>
        <v>31.722855686999999</v>
      </c>
      <c r="Y126" s="66">
        <f>InCF_Q!K6/10^9</f>
        <v>0</v>
      </c>
      <c r="Z126" s="66">
        <f>InCF_Q!L6/10^9</f>
        <v>31.438508301999999</v>
      </c>
      <c r="AA126" s="66">
        <f>InCF_Q!M6/10^9</f>
        <v>33.057540369999998</v>
      </c>
      <c r="AB126" s="66">
        <f>InCF_Q!N6/10^9</f>
        <v>27.685838734000001</v>
      </c>
      <c r="AC126" s="66">
        <f>InCF_Q!O6/10^9</f>
        <v>45.297310465000002</v>
      </c>
      <c r="AD126" s="66">
        <f>InCF_Q!P6/10^9</f>
        <v>23.904160508</v>
      </c>
      <c r="AE126" s="66">
        <f>InCF_Q!Q6/10^9</f>
        <v>27.897966941</v>
      </c>
      <c r="AF126" s="66">
        <f>InCF_Q!R6/10^9</f>
        <v>41.622709399999998</v>
      </c>
      <c r="AG126" s="66">
        <f>InCF_Q!S6/10^9</f>
        <v>37.905449646000001</v>
      </c>
      <c r="AH126" s="66">
        <f>InCF_Q!T6/10^9</f>
        <v>37.814758619999999</v>
      </c>
      <c r="AI126" s="66">
        <f>InCF_Q!U6/10^9</f>
        <v>25.644588970000001</v>
      </c>
      <c r="AJ126" s="66">
        <f>InCF_Q!V6/10^9</f>
        <v>46.091480601000001</v>
      </c>
      <c r="AK126" s="66">
        <f>InCF_Q!W6/10^9</f>
        <v>31.715211332999999</v>
      </c>
      <c r="AL126" s="66">
        <f>InCF_Q!X6/10^9</f>
        <v>37.980514657999997</v>
      </c>
      <c r="AM126" s="66">
        <f>InCF_Q!Y6/10^9</f>
        <v>27.948443087000001</v>
      </c>
      <c r="AN126" s="66">
        <f>InCF_Q!Z6/10^9</f>
        <v>33.946774449000003</v>
      </c>
    </row>
    <row r="127" spans="2:40" x14ac:dyDescent="0.3">
      <c r="B127" s="67" t="s">
        <v>131</v>
      </c>
      <c r="C127" s="68">
        <f>InCF!C7/10^9</f>
        <v>4.7576489999999999E-2</v>
      </c>
      <c r="D127" s="68">
        <f>InCF!D7/10^9</f>
        <v>2.2720071310000001</v>
      </c>
      <c r="E127" s="68">
        <f>InCF!E7/10^9</f>
        <v>7.9598231359999998</v>
      </c>
      <c r="F127" s="68">
        <f>InCF!F7/10^9</f>
        <v>20.385813119000002</v>
      </c>
      <c r="G127" s="68">
        <f>InCF!G7/10^9</f>
        <v>82.458634855</v>
      </c>
      <c r="H127" s="68">
        <f>InCF!H7/10^9</f>
        <v>120.27550900599999</v>
      </c>
      <c r="I127" s="68">
        <f>InCF!I7/10^9</f>
        <v>133.03504750100001</v>
      </c>
      <c r="J127" s="68">
        <f>InCF!J7/10^9</f>
        <v>80.028708037000001</v>
      </c>
      <c r="K127" s="68">
        <f>InCF!K7/10^9</f>
        <v>64.229387505999995</v>
      </c>
      <c r="L127" s="68">
        <f>InCF!L7/10^9</f>
        <v>60.815179999000001</v>
      </c>
      <c r="Q127" s="68">
        <f>InCF_Q!C7/10^9</f>
        <v>13.466156648</v>
      </c>
      <c r="R127" s="68">
        <f>InCF_Q!D7/10^9</f>
        <v>23.491364229999999</v>
      </c>
      <c r="S127" s="68">
        <f>InCF_Q!E7/10^9</f>
        <v>36.778277326000001</v>
      </c>
      <c r="T127" s="68">
        <f>InCF_Q!F7/10^9</f>
        <v>26.986929403000001</v>
      </c>
      <c r="U127" s="68">
        <f>InCF_Q!G7/10^9</f>
        <v>31.701668171000001</v>
      </c>
      <c r="V127" s="68">
        <f>InCF_Q!H7/10^9</f>
        <v>29.396709065</v>
      </c>
      <c r="W127" s="68">
        <f>InCF_Q!I7/10^9</f>
        <v>32.190202366999998</v>
      </c>
      <c r="X127" s="68">
        <f>InCF_Q!J7/10^9</f>
        <v>33.440370258000002</v>
      </c>
      <c r="Y127" s="68">
        <f>InCF_Q!K7/10^9</f>
        <v>0</v>
      </c>
      <c r="Z127" s="68">
        <f>InCF_Q!L7/10^9</f>
        <v>32.184426661000003</v>
      </c>
      <c r="AA127" s="68">
        <f>InCF_Q!M7/10^9</f>
        <v>32.008282786000002</v>
      </c>
      <c r="AB127" s="68">
        <f>InCF_Q!N7/10^9</f>
        <v>24.272472068999999</v>
      </c>
      <c r="AC127" s="68">
        <f>InCF_Q!O7/10^9</f>
        <v>18.447342544000001</v>
      </c>
      <c r="AD127" s="68">
        <f>InCF_Q!P7/10^9</f>
        <v>19.562575375000002</v>
      </c>
      <c r="AE127" s="68">
        <f>InCF_Q!Q7/10^9</f>
        <v>14.351437509</v>
      </c>
      <c r="AF127" s="68">
        <f>InCF_Q!R7/10^9</f>
        <v>12.975167903999999</v>
      </c>
      <c r="AG127" s="68">
        <f>InCF_Q!S7/10^9</f>
        <v>17.916527035000001</v>
      </c>
      <c r="AH127" s="68">
        <f>InCF_Q!T7/10^9</f>
        <v>18.986255058000001</v>
      </c>
      <c r="AI127" s="68">
        <f>InCF_Q!U7/10^9</f>
        <v>13.616749131000001</v>
      </c>
      <c r="AJ127" s="68">
        <f>InCF_Q!V7/10^9</f>
        <v>15.566055273</v>
      </c>
      <c r="AK127" s="68">
        <f>InCF_Q!W7/10^9</f>
        <v>15.841852170999999</v>
      </c>
      <c r="AL127" s="68">
        <f>InCF_Q!X7/10^9</f>
        <v>15.790523424</v>
      </c>
      <c r="AM127" s="68">
        <f>InCF_Q!Y7/10^9</f>
        <v>11.031164005999999</v>
      </c>
      <c r="AN127" s="68">
        <f>InCF_Q!Z7/10^9</f>
        <v>10.991651123</v>
      </c>
    </row>
    <row r="128" spans="2:40" x14ac:dyDescent="0.3">
      <c r="B128" s="67" t="s">
        <v>132</v>
      </c>
      <c r="C128" s="68">
        <f>InCF!C8/10^9</f>
        <v>3.6419310000000002E-3</v>
      </c>
      <c r="D128" s="68">
        <f>InCF!D8/10^9</f>
        <v>0</v>
      </c>
      <c r="E128" s="68">
        <f>InCF!E8/10^9</f>
        <v>0</v>
      </c>
      <c r="F128" s="68">
        <f>InCF!F8/10^9</f>
        <v>2</v>
      </c>
      <c r="G128" s="68">
        <f>InCF!G8/10^9</f>
        <v>0.55000000000000004</v>
      </c>
      <c r="H128" s="68">
        <f>InCF!H8/10^9</f>
        <v>-0.55000000000000004</v>
      </c>
      <c r="I128" s="68">
        <f>InCF!I8/10^9</f>
        <v>-0.99558267600000006</v>
      </c>
      <c r="J128" s="68">
        <f>InCF!J8/10^9</f>
        <v>7.0295915080000002</v>
      </c>
      <c r="K128" s="68">
        <f>InCF!K8/10^9</f>
        <v>-3.7774069130000001</v>
      </c>
      <c r="L128" s="68">
        <f>InCF!L8/10^9</f>
        <v>4.1834716060000003</v>
      </c>
      <c r="Q128" s="68">
        <f>InCF_Q!C8/10^9</f>
        <v>0</v>
      </c>
      <c r="R128" s="68">
        <f>InCF_Q!D8/10^9</f>
        <v>0</v>
      </c>
      <c r="S128" s="68">
        <f>InCF_Q!E8/10^9</f>
        <v>0</v>
      </c>
      <c r="T128" s="68">
        <f>InCF_Q!F8/10^9</f>
        <v>0</v>
      </c>
      <c r="U128" s="68">
        <f>InCF_Q!G8/10^9</f>
        <v>-0.55000000000000004</v>
      </c>
      <c r="V128" s="68">
        <f>InCF_Q!H8/10^9</f>
        <v>0</v>
      </c>
      <c r="W128" s="68">
        <f>InCF_Q!I8/10^9</f>
        <v>0.99558267600000006</v>
      </c>
      <c r="X128" s="68">
        <f>InCF_Q!J8/10^9</f>
        <v>0</v>
      </c>
      <c r="Y128" s="68">
        <f>InCF_Q!K8/10^9</f>
        <v>0</v>
      </c>
      <c r="Z128" s="68">
        <f>InCF_Q!L8/10^9</f>
        <v>0</v>
      </c>
      <c r="AA128" s="68">
        <f>InCF_Q!M8/10^9</f>
        <v>-0.69558267600000001</v>
      </c>
      <c r="AB128" s="68">
        <f>InCF_Q!N8/10^9</f>
        <v>0</v>
      </c>
      <c r="AC128" s="68">
        <f>InCF_Q!O8/10^9</f>
        <v>0</v>
      </c>
      <c r="AD128" s="68">
        <f>InCF_Q!P8/10^9</f>
        <v>7.0295915080000002</v>
      </c>
      <c r="AE128" s="68">
        <f>InCF_Q!Q8/10^9</f>
        <v>0</v>
      </c>
      <c r="AF128" s="68">
        <f>InCF_Q!R8/10^9</f>
        <v>-3.3353707909999999</v>
      </c>
      <c r="AG128" s="68">
        <f>InCF_Q!S8/10^9</f>
        <v>0</v>
      </c>
      <c r="AH128" s="68">
        <f>InCF_Q!T8/10^9</f>
        <v>-0.44203612199999998</v>
      </c>
      <c r="AI128" s="68">
        <f>InCF_Q!U8/10^9</f>
        <v>0</v>
      </c>
      <c r="AJ128" s="68">
        <f>InCF_Q!V8/10^9</f>
        <v>-7.0947019999999996E-3</v>
      </c>
      <c r="AK128" s="68">
        <f>InCF_Q!W8/10^9</f>
        <v>7.0947019999999996E-3</v>
      </c>
      <c r="AL128" s="68">
        <f>InCF_Q!X8/10^9</f>
        <v>-0.269362875</v>
      </c>
      <c r="AM128" s="68">
        <f>InCF_Q!Y8/10^9</f>
        <v>2.016450984</v>
      </c>
      <c r="AN128" s="68">
        <f>InCF_Q!Z8/10^9</f>
        <v>2.525799905</v>
      </c>
    </row>
    <row r="129" spans="2:40" x14ac:dyDescent="0.3">
      <c r="B129" s="67" t="s">
        <v>133</v>
      </c>
      <c r="C129" s="68">
        <f>InCF!C9/10^9</f>
        <v>0</v>
      </c>
      <c r="D129" s="68">
        <f>InCF!D9/10^9</f>
        <v>4.5000563E-2</v>
      </c>
      <c r="E129" s="68">
        <f>InCF!E9/10^9</f>
        <v>0.37066416800000002</v>
      </c>
      <c r="F129" s="68">
        <f>InCF!F9/10^9</f>
        <v>1.1040229340000001</v>
      </c>
      <c r="G129" s="68">
        <f>InCF!G9/10^9</f>
        <v>1.119558176</v>
      </c>
      <c r="H129" s="68">
        <f>InCF!H9/10^9</f>
        <v>-1.5665852000000001E-2</v>
      </c>
      <c r="I129" s="68">
        <f>InCF!I9/10^9</f>
        <v>-3.6945039999999999E-3</v>
      </c>
      <c r="J129" s="68">
        <f>InCF!J9/10^9</f>
        <v>4.7000264999999999E-2</v>
      </c>
      <c r="K129" s="68">
        <f>InCF!K9/10^9</f>
        <v>4.9364739999999997E-3</v>
      </c>
      <c r="L129" s="68">
        <f>InCF!L9/10^9</f>
        <v>-7.978031E-3</v>
      </c>
      <c r="Q129" s="68">
        <f>InCF_Q!C9/10^9</f>
        <v>-0.24024208599999999</v>
      </c>
      <c r="R129" s="68">
        <f>InCF_Q!D9/10^9</f>
        <v>-0.90432779200000002</v>
      </c>
      <c r="S129" s="68">
        <f>InCF_Q!E9/10^9</f>
        <v>0.22012610399999999</v>
      </c>
      <c r="T129" s="68">
        <f>InCF_Q!F9/10^9</f>
        <v>0</v>
      </c>
      <c r="U129" s="68">
        <f>InCF_Q!G9/10^9</f>
        <v>0</v>
      </c>
      <c r="V129" s="68">
        <f>InCF_Q!H9/10^9</f>
        <v>0</v>
      </c>
      <c r="W129" s="68">
        <f>InCF_Q!I9/10^9</f>
        <v>-1.1062264E-2</v>
      </c>
      <c r="X129" s="68">
        <f>InCF_Q!J9/10^9</f>
        <v>0</v>
      </c>
      <c r="Y129" s="68">
        <f>InCF_Q!K9/10^9</f>
        <v>0</v>
      </c>
      <c r="Z129" s="68">
        <f>InCF_Q!L9/10^9</f>
        <v>-0.17501028699999999</v>
      </c>
      <c r="AA129" s="68">
        <f>InCF_Q!M9/10^9</f>
        <v>0</v>
      </c>
      <c r="AB129" s="68">
        <f>InCF_Q!N9/10^9</f>
        <v>0</v>
      </c>
      <c r="AC129" s="68">
        <f>InCF_Q!O9/10^9</f>
        <v>-5.5430169000000001E-2</v>
      </c>
      <c r="AD129" s="68">
        <f>InCF_Q!P9/10^9</f>
        <v>0</v>
      </c>
      <c r="AE129" s="68">
        <f>InCF_Q!Q9/10^9</f>
        <v>0</v>
      </c>
      <c r="AF129" s="68">
        <f>InCF_Q!R9/10^9</f>
        <v>3.6853780000000003E-2</v>
      </c>
      <c r="AG129" s="68">
        <f>InCF_Q!S9/10^9</f>
        <v>-3.6853780000000003E-2</v>
      </c>
      <c r="AH129" s="68">
        <f>InCF_Q!T9/10^9</f>
        <v>-0.15566096600000001</v>
      </c>
      <c r="AI129" s="68">
        <f>InCF_Q!U9/10^9</f>
        <v>0</v>
      </c>
      <c r="AJ129" s="68">
        <f>InCF_Q!V9/10^9</f>
        <v>-6.6312350000000001E-3</v>
      </c>
      <c r="AK129" s="68">
        <f>InCF_Q!W9/10^9</f>
        <v>0.471951499</v>
      </c>
      <c r="AL129" s="68">
        <f>InCF_Q!X9/10^9</f>
        <v>-0.46532026399999998</v>
      </c>
      <c r="AM129" s="68">
        <f>InCF_Q!Y9/10^9</f>
        <v>0</v>
      </c>
      <c r="AN129" s="68">
        <f>InCF_Q!Z9/10^9</f>
        <v>0</v>
      </c>
    </row>
    <row r="130" spans="2:40" x14ac:dyDescent="0.3">
      <c r="B130" s="67" t="s">
        <v>134</v>
      </c>
      <c r="C130" s="68">
        <f>InCF!C10/10^9</f>
        <v>0</v>
      </c>
      <c r="D130" s="68">
        <f>InCF!D10/10^9</f>
        <v>0</v>
      </c>
      <c r="E130" s="68">
        <f>InCF!E10/10^9</f>
        <v>0</v>
      </c>
      <c r="F130" s="68">
        <f>InCF!F10/10^9</f>
        <v>0</v>
      </c>
      <c r="G130" s="68">
        <f>InCF!G10/10^9</f>
        <v>0</v>
      </c>
      <c r="H130" s="68">
        <f>InCF!H10/10^9</f>
        <v>0</v>
      </c>
      <c r="I130" s="68">
        <f>InCF!I10/10^9</f>
        <v>0</v>
      </c>
      <c r="J130" s="68">
        <f>InCF!J10/10^9</f>
        <v>0</v>
      </c>
      <c r="K130" s="68">
        <f>InCF!K10/10^9</f>
        <v>0</v>
      </c>
      <c r="L130" s="68">
        <f>InCF!L10/10^9</f>
        <v>0</v>
      </c>
      <c r="Q130" s="68">
        <f>InCF_Q!C10/10^9</f>
        <v>0</v>
      </c>
      <c r="R130" s="68">
        <f>InCF_Q!D10/10^9</f>
        <v>0</v>
      </c>
      <c r="S130" s="68">
        <f>InCF_Q!E10/10^9</f>
        <v>0</v>
      </c>
      <c r="T130" s="68">
        <f>InCF_Q!F10/10^9</f>
        <v>0</v>
      </c>
      <c r="U130" s="68">
        <f>InCF_Q!G10/10^9</f>
        <v>0</v>
      </c>
      <c r="V130" s="68">
        <f>InCF_Q!H10/10^9</f>
        <v>0</v>
      </c>
      <c r="W130" s="68">
        <f>InCF_Q!I10/10^9</f>
        <v>0</v>
      </c>
      <c r="X130" s="68">
        <f>InCF_Q!J10/10^9</f>
        <v>0</v>
      </c>
      <c r="Y130" s="68">
        <f>InCF_Q!K10/10^9</f>
        <v>0</v>
      </c>
      <c r="Z130" s="68">
        <f>InCF_Q!L10/10^9</f>
        <v>0</v>
      </c>
      <c r="AA130" s="68">
        <f>InCF_Q!M10/10^9</f>
        <v>0</v>
      </c>
      <c r="AB130" s="68">
        <f>InCF_Q!N10/10^9</f>
        <v>0</v>
      </c>
      <c r="AC130" s="68">
        <f>InCF_Q!O10/10^9</f>
        <v>0</v>
      </c>
      <c r="AD130" s="68">
        <f>InCF_Q!P10/10^9</f>
        <v>0</v>
      </c>
      <c r="AE130" s="68">
        <f>InCF_Q!Q10/10^9</f>
        <v>0</v>
      </c>
      <c r="AF130" s="68">
        <f>InCF_Q!R10/10^9</f>
        <v>0</v>
      </c>
      <c r="AG130" s="68">
        <f>InCF_Q!S10/10^9</f>
        <v>0</v>
      </c>
      <c r="AH130" s="68">
        <f>InCF_Q!T10/10^9</f>
        <v>0</v>
      </c>
      <c r="AI130" s="68">
        <f>InCF_Q!U10/10^9</f>
        <v>0</v>
      </c>
      <c r="AJ130" s="68">
        <f>InCF_Q!V10/10^9</f>
        <v>0</v>
      </c>
      <c r="AK130" s="68">
        <f>InCF_Q!W10/10^9</f>
        <v>0</v>
      </c>
      <c r="AL130" s="68">
        <f>InCF_Q!X10/10^9</f>
        <v>0</v>
      </c>
      <c r="AM130" s="68">
        <f>InCF_Q!Y10/10^9</f>
        <v>0</v>
      </c>
      <c r="AN130" s="68">
        <f>InCF_Q!Z10/10^9</f>
        <v>0</v>
      </c>
    </row>
    <row r="131" spans="2:40" x14ac:dyDescent="0.3">
      <c r="B131" s="67" t="s">
        <v>135</v>
      </c>
      <c r="C131" s="68">
        <f>InCF!C11/10^9</f>
        <v>-6.6758458000000007E-2</v>
      </c>
      <c r="D131" s="68">
        <f>InCF!D11/10^9</f>
        <v>-1.405063454</v>
      </c>
      <c r="E131" s="68">
        <f>InCF!E11/10^9</f>
        <v>-2.0755423259999999</v>
      </c>
      <c r="F131" s="68">
        <f>InCF!F11/10^9</f>
        <v>-4.0195790889999996</v>
      </c>
      <c r="G131" s="68">
        <f>InCF!G11/10^9</f>
        <v>-15.718309266</v>
      </c>
      <c r="H131" s="68">
        <f>InCF!H11/10^9</f>
        <v>-20.741999159999999</v>
      </c>
      <c r="I131" s="68">
        <f>InCF!I11/10^9</f>
        <v>-19.410971419999999</v>
      </c>
      <c r="J131" s="68">
        <f>InCF!J11/10^9</f>
        <v>-14.269835346000001</v>
      </c>
      <c r="K131" s="68">
        <f>InCF!K11/10^9</f>
        <v>-8.5568796599999999</v>
      </c>
      <c r="L131" s="68">
        <f>InCF!L11/10^9</f>
        <v>0</v>
      </c>
      <c r="Q131" s="68">
        <f>InCF_Q!C11/10^9</f>
        <v>0</v>
      </c>
      <c r="R131" s="68">
        <f>InCF_Q!D11/10^9</f>
        <v>-9.7887938200000004</v>
      </c>
      <c r="S131" s="68">
        <f>InCF_Q!E11/10^9</f>
        <v>-5.9295154459999999</v>
      </c>
      <c r="T131" s="68">
        <f>InCF_Q!F11/10^9</f>
        <v>26.064097663999998</v>
      </c>
      <c r="U131" s="68">
        <f>InCF_Q!G11/10^9</f>
        <v>-38.139376695000003</v>
      </c>
      <c r="V131" s="68">
        <f>InCF_Q!H11/10^9</f>
        <v>-4.2259141360000001</v>
      </c>
      <c r="W131" s="68">
        <f>InCF_Q!I11/10^9</f>
        <v>-4.3432790360000002</v>
      </c>
      <c r="X131" s="68">
        <f>InCF_Q!J11/10^9</f>
        <v>0</v>
      </c>
      <c r="Y131" s="68">
        <f>InCF_Q!K11/10^9</f>
        <v>0</v>
      </c>
      <c r="Z131" s="68">
        <f>InCF_Q!L11/10^9</f>
        <v>10.823472483</v>
      </c>
      <c r="AA131" s="68">
        <f>InCF_Q!M11/10^9</f>
        <v>0</v>
      </c>
      <c r="AB131" s="68">
        <f>InCF_Q!N11/10^9</f>
        <v>0</v>
      </c>
      <c r="AC131" s="68">
        <f>InCF_Q!O11/10^9</f>
        <v>8.054835744</v>
      </c>
      <c r="AD131" s="68">
        <f>InCF_Q!P11/10^9</f>
        <v>0</v>
      </c>
      <c r="AE131" s="68">
        <f>InCF_Q!Q11/10^9</f>
        <v>0</v>
      </c>
      <c r="AF131" s="68">
        <f>InCF_Q!R11/10^9</f>
        <v>-4.4201030350000003</v>
      </c>
      <c r="AG131" s="68">
        <f>InCF_Q!S11/10^9</f>
        <v>4.4201030350000003</v>
      </c>
      <c r="AH131" s="68">
        <f>InCF_Q!T11/10^9</f>
        <v>0</v>
      </c>
      <c r="AI131" s="68">
        <f>InCF_Q!U11/10^9</f>
        <v>0</v>
      </c>
      <c r="AJ131" s="68">
        <f>InCF_Q!V11/10^9</f>
        <v>0</v>
      </c>
      <c r="AK131" s="68">
        <f>InCF_Q!W11/10^9</f>
        <v>0</v>
      </c>
      <c r="AL131" s="68">
        <f>InCF_Q!X11/10^9</f>
        <v>-4.8711676840000004</v>
      </c>
      <c r="AM131" s="68">
        <f>InCF_Q!Y11/10^9</f>
        <v>0</v>
      </c>
      <c r="AN131" s="68">
        <f>InCF_Q!Z11/10^9</f>
        <v>0</v>
      </c>
    </row>
    <row r="132" spans="2:40" x14ac:dyDescent="0.3">
      <c r="B132" s="67" t="s">
        <v>136</v>
      </c>
      <c r="C132" s="68">
        <f>InCF!C12/10^9</f>
        <v>0</v>
      </c>
      <c r="D132" s="68">
        <f>InCF!D12/10^9</f>
        <v>1.1484824170000001</v>
      </c>
      <c r="E132" s="68">
        <f>InCF!E12/10^9</f>
        <v>3.6857485030000001</v>
      </c>
      <c r="F132" s="68">
        <f>InCF!F12/10^9</f>
        <v>7.4133368659999999</v>
      </c>
      <c r="G132" s="68">
        <f>InCF!G12/10^9</f>
        <v>26.064097663999998</v>
      </c>
      <c r="H132" s="68">
        <f>InCF!H12/10^9</f>
        <v>23.422238238999999</v>
      </c>
      <c r="I132" s="68">
        <f>InCF!I12/10^9</f>
        <v>0</v>
      </c>
      <c r="J132" s="68">
        <f>InCF!J12/10^9</f>
        <v>7.4831519579999997</v>
      </c>
      <c r="K132" s="68">
        <f>InCF!K12/10^9</f>
        <v>6.107955735</v>
      </c>
      <c r="L132" s="68">
        <f>InCF!L12/10^9</f>
        <v>-7.4997868900000002</v>
      </c>
      <c r="Q132" s="68">
        <f>InCF_Q!C12/10^9</f>
        <v>7.6037783120000002</v>
      </c>
      <c r="R132" s="68">
        <f>InCF_Q!D12/10^9</f>
        <v>7.740444879</v>
      </c>
      <c r="S132" s="68">
        <f>InCF_Q!E12/10^9</f>
        <v>9.2254856969999999</v>
      </c>
      <c r="T132" s="68">
        <f>InCF_Q!F12/10^9</f>
        <v>-6.7022050330000003</v>
      </c>
      <c r="U132" s="68">
        <f>InCF_Q!G12/10^9</f>
        <v>20.605552930000002</v>
      </c>
      <c r="V132" s="68">
        <f>InCF_Q!H12/10^9</f>
        <v>5.1795937309999998</v>
      </c>
      <c r="W132" s="68">
        <f>InCF_Q!I12/10^9</f>
        <v>4.3392966089999998</v>
      </c>
      <c r="X132" s="68">
        <f>InCF_Q!J12/10^9</f>
        <v>4.4575843649999998</v>
      </c>
      <c r="Y132" s="68">
        <f>InCF_Q!K12/10^9</f>
        <v>0</v>
      </c>
      <c r="Z132" s="68">
        <f>InCF_Q!L12/10^9</f>
        <v>3.1931702190000002</v>
      </c>
      <c r="AA132" s="68">
        <f>InCF_Q!M12/10^9</f>
        <v>0</v>
      </c>
      <c r="AB132" s="68">
        <f>InCF_Q!N12/10^9</f>
        <v>2.026493946</v>
      </c>
      <c r="AC132" s="68">
        <f>InCF_Q!O12/10^9</f>
        <v>1.9873063150000001</v>
      </c>
      <c r="AD132" s="68">
        <f>InCF_Q!P12/10^9</f>
        <v>1.7823005439999999</v>
      </c>
      <c r="AE132" s="68">
        <f>InCF_Q!Q12/10^9</f>
        <v>1.4232805770000001</v>
      </c>
      <c r="AF132" s="68">
        <f>InCF_Q!R12/10^9</f>
        <v>1.018919245</v>
      </c>
      <c r="AG132" s="68">
        <f>InCF_Q!S12/10^9</f>
        <v>1.7885909120000001</v>
      </c>
      <c r="AH132" s="68">
        <f>InCF_Q!T12/10^9</f>
        <v>1.9807413890000001</v>
      </c>
      <c r="AI132" s="68">
        <f>InCF_Q!U12/10^9</f>
        <v>1.6807795299999999</v>
      </c>
      <c r="AJ132" s="68">
        <f>InCF_Q!V12/10^9</f>
        <v>-3.5568526469999999</v>
      </c>
      <c r="AK132" s="68">
        <f>InCF_Q!W12/10^9</f>
        <v>6.7472408010000002</v>
      </c>
      <c r="AL132" s="68">
        <f>InCF_Q!X12/10^9</f>
        <v>11.533756681</v>
      </c>
      <c r="AM132" s="68">
        <f>InCF_Q!Y12/10^9</f>
        <v>1.0415167439999999</v>
      </c>
      <c r="AN132" s="68">
        <f>InCF_Q!Z12/10^9</f>
        <v>0.80025158100000005</v>
      </c>
    </row>
    <row r="133" spans="2:40" x14ac:dyDescent="0.3">
      <c r="B133" s="67" t="s">
        <v>137</v>
      </c>
      <c r="C133" s="68">
        <f>InCF!C13/10^9</f>
        <v>0</v>
      </c>
      <c r="D133" s="68">
        <f>InCF!D13/10^9</f>
        <v>0</v>
      </c>
      <c r="E133" s="68">
        <f>InCF!E13/10^9</f>
        <v>0</v>
      </c>
      <c r="F133" s="68">
        <f>InCF!F13/10^9</f>
        <v>0</v>
      </c>
      <c r="G133" s="68">
        <f>InCF!G13/10^9</f>
        <v>0</v>
      </c>
      <c r="H133" s="68">
        <f>InCF!H13/10^9</f>
        <v>0</v>
      </c>
      <c r="I133" s="68">
        <f>InCF!I13/10^9</f>
        <v>14.508051373000001</v>
      </c>
      <c r="J133" s="68">
        <f>InCF!J13/10^9</f>
        <v>0</v>
      </c>
      <c r="K133" s="68">
        <f>InCF!K13/10^9</f>
        <v>0</v>
      </c>
      <c r="L133" s="68">
        <f>InCF!L13/10^9</f>
        <v>6.1545161190000002</v>
      </c>
      <c r="Q133" s="68">
        <f>InCF_Q!C13/10^9</f>
        <v>-3.2232191179999998</v>
      </c>
      <c r="R133" s="68">
        <f>InCF_Q!D13/10^9</f>
        <v>4.9230188970000004</v>
      </c>
      <c r="S133" s="68">
        <f>InCF_Q!E13/10^9</f>
        <v>0</v>
      </c>
      <c r="T133" s="68">
        <f>InCF_Q!F13/10^9</f>
        <v>0</v>
      </c>
      <c r="U133" s="68">
        <f>InCF_Q!G13/10^9</f>
        <v>0</v>
      </c>
      <c r="V133" s="68">
        <f>InCF_Q!H13/10^9</f>
        <v>0</v>
      </c>
      <c r="W133" s="68">
        <f>InCF_Q!I13/10^9</f>
        <v>0</v>
      </c>
      <c r="X133" s="68">
        <f>InCF_Q!J13/10^9</f>
        <v>-3.5727655290000002</v>
      </c>
      <c r="Y133" s="68">
        <f>InCF_Q!K13/10^9</f>
        <v>0</v>
      </c>
      <c r="Z133" s="68">
        <f>InCF_Q!L13/10^9</f>
        <v>-15.166896846</v>
      </c>
      <c r="AA133" s="68">
        <f>InCF_Q!M13/10^9</f>
        <v>0</v>
      </c>
      <c r="AB133" s="68">
        <f>InCF_Q!N13/10^9</f>
        <v>-3.2045308079999999</v>
      </c>
      <c r="AC133" s="68">
        <f>InCF_Q!O13/10^9</f>
        <v>-11.948922733</v>
      </c>
      <c r="AD133" s="68">
        <f>InCF_Q!P13/10^9</f>
        <v>-2.3597292350000001</v>
      </c>
      <c r="AE133" s="68">
        <f>InCF_Q!Q13/10^9</f>
        <v>-1.84917369</v>
      </c>
      <c r="AF133" s="68">
        <f>InCF_Q!R13/10^9</f>
        <v>1.84917369</v>
      </c>
      <c r="AG133" s="68">
        <f>InCF_Q!S13/10^9</f>
        <v>-6.6461169919999996</v>
      </c>
      <c r="AH133" s="68">
        <f>InCF_Q!T13/10^9</f>
        <v>-2.0555844740000002</v>
      </c>
      <c r="AI133" s="68">
        <f>InCF_Q!U13/10^9</f>
        <v>-1.9032463690000001</v>
      </c>
      <c r="AJ133" s="68">
        <f>InCF_Q!V13/10^9</f>
        <v>1.7572729330000001</v>
      </c>
      <c r="AK133" s="68">
        <f>InCF_Q!W13/10^9</f>
        <v>-5.2332671260000003</v>
      </c>
      <c r="AL133" s="68">
        <f>InCF_Q!X13/10^9</f>
        <v>-7.4382868899999997</v>
      </c>
      <c r="AM133" s="68">
        <f>InCF_Q!Y13/10^9</f>
        <v>-2.093774539</v>
      </c>
      <c r="AN133" s="68">
        <f>InCF_Q!Z13/10^9</f>
        <v>-2.0628997240000002</v>
      </c>
    </row>
    <row r="134" spans="2:40" s="81" customFormat="1" x14ac:dyDescent="0.3">
      <c r="B134" s="65" t="s">
        <v>138</v>
      </c>
      <c r="C134" s="66">
        <f>InCF!C14/10^9</f>
        <v>-1.70422837</v>
      </c>
      <c r="D134" s="66">
        <f>InCF!D14/10^9</f>
        <v>-3.011154807</v>
      </c>
      <c r="E134" s="66">
        <f>InCF!E14/10^9</f>
        <v>22.379681245</v>
      </c>
      <c r="F134" s="66">
        <f>InCF!F14/10^9</f>
        <v>132.58568118400001</v>
      </c>
      <c r="G134" s="66">
        <f>InCF!G14/10^9</f>
        <v>321.37913923399998</v>
      </c>
      <c r="H134" s="66">
        <f>InCF!H14/10^9</f>
        <v>254.62458737200001</v>
      </c>
      <c r="I134" s="66">
        <f>InCF!I14/10^9</f>
        <v>266.16807958700002</v>
      </c>
      <c r="J134" s="66">
        <f>InCF!J14/10^9</f>
        <v>210.35884778299999</v>
      </c>
      <c r="K134" s="66">
        <f>InCF!K14/10^9</f>
        <v>203.086358803</v>
      </c>
      <c r="L134" s="66">
        <f>InCF!L14/10^9</f>
        <v>211.38697582500001</v>
      </c>
      <c r="Q134" s="66">
        <f>InCF_Q!C14/10^9</f>
        <v>103.00102918499999</v>
      </c>
      <c r="R134" s="66">
        <f>InCF_Q!D14/10^9</f>
        <v>93.879532905000005</v>
      </c>
      <c r="S134" s="66">
        <f>InCF_Q!E14/10^9</f>
        <v>67.553185682999995</v>
      </c>
      <c r="T134" s="66">
        <f>InCF_Q!F14/10^9</f>
        <v>76.529115740999998</v>
      </c>
      <c r="U134" s="66">
        <f>InCF_Q!G14/10^9</f>
        <v>56.534353756000002</v>
      </c>
      <c r="V134" s="66">
        <f>InCF_Q!H14/10^9</f>
        <v>59.402712956000002</v>
      </c>
      <c r="W134" s="66">
        <f>InCF_Q!I14/10^9</f>
        <v>63.256118137999998</v>
      </c>
      <c r="X134" s="66">
        <f>InCF_Q!J14/10^9</f>
        <v>66.048044781000002</v>
      </c>
      <c r="Y134" s="66">
        <f>InCF_Q!K14/10^9</f>
        <v>0</v>
      </c>
      <c r="Z134" s="66">
        <f>InCF_Q!L14/10^9</f>
        <v>62.297670531999998</v>
      </c>
      <c r="AA134" s="66">
        <f>InCF_Q!M14/10^9</f>
        <v>64.370240480000007</v>
      </c>
      <c r="AB134" s="66">
        <f>InCF_Q!N14/10^9</f>
        <v>50.780273940999997</v>
      </c>
      <c r="AC134" s="66">
        <f>InCF_Q!O14/10^9</f>
        <v>61.782442166000003</v>
      </c>
      <c r="AD134" s="66">
        <f>InCF_Q!P14/10^9</f>
        <v>49.9188987</v>
      </c>
      <c r="AE134" s="66">
        <f>InCF_Q!Q14/10^9</f>
        <v>41.823511336999999</v>
      </c>
      <c r="AF134" s="66">
        <f>InCF_Q!R14/10^9</f>
        <v>49.747350193000003</v>
      </c>
      <c r="AG134" s="66">
        <f>InCF_Q!S14/10^9</f>
        <v>55.347699855999998</v>
      </c>
      <c r="AH134" s="66">
        <f>InCF_Q!T14/10^9</f>
        <v>56.128473505000002</v>
      </c>
      <c r="AI134" s="66">
        <f>InCF_Q!U14/10^9</f>
        <v>39.038871262000001</v>
      </c>
      <c r="AJ134" s="66">
        <f>InCF_Q!V14/10^9</f>
        <v>61.747476591999998</v>
      </c>
      <c r="AK134" s="66">
        <f>InCF_Q!W14/10^9</f>
        <v>47.646837011000002</v>
      </c>
      <c r="AL134" s="66">
        <f>InCF_Q!X14/10^9</f>
        <v>52.260657049999999</v>
      </c>
      <c r="AM134" s="66">
        <f>InCF_Q!Y14/10^9</f>
        <v>39.943800281999998</v>
      </c>
      <c r="AN134" s="66">
        <f>InCF_Q!Z14/10^9</f>
        <v>46.201577334</v>
      </c>
    </row>
    <row r="135" spans="2:40" x14ac:dyDescent="0.3">
      <c r="B135" s="67" t="s">
        <v>139</v>
      </c>
      <c r="C135" s="68">
        <f>InCF!C15/10^9</f>
        <v>-0.136572105</v>
      </c>
      <c r="D135" s="68">
        <f>InCF!D15/10^9</f>
        <v>-14.312560701000001</v>
      </c>
      <c r="E135" s="68">
        <f>InCF!E15/10^9</f>
        <v>-17.201739485000001</v>
      </c>
      <c r="F135" s="68">
        <f>InCF!F15/10^9</f>
        <v>-53.746987075</v>
      </c>
      <c r="G135" s="68">
        <f>InCF!G15/10^9</f>
        <v>-61.062680336</v>
      </c>
      <c r="H135" s="68">
        <f>InCF!H15/10^9</f>
        <v>-14.951137253000001</v>
      </c>
      <c r="I135" s="68">
        <f>InCF!I15/10^9</f>
        <v>-25.825183084999999</v>
      </c>
      <c r="J135" s="68">
        <f>InCF!J15/10^9</f>
        <v>-2.4401508359999999</v>
      </c>
      <c r="K135" s="68">
        <f>InCF!K15/10^9</f>
        <v>16.583228874</v>
      </c>
      <c r="L135" s="68">
        <f>InCF!L15/10^9</f>
        <v>22.361056002000002</v>
      </c>
      <c r="Q135" s="68">
        <f>InCF_Q!C15/10^9</f>
        <v>-39.469873962999998</v>
      </c>
      <c r="R135" s="68">
        <f>InCF_Q!D15/10^9</f>
        <v>79.061984463000002</v>
      </c>
      <c r="S135" s="68">
        <f>InCF_Q!E15/10^9</f>
        <v>-85.811998939999995</v>
      </c>
      <c r="T135" s="68">
        <f>InCF_Q!F15/10^9</f>
        <v>31.713105697</v>
      </c>
      <c r="U135" s="68">
        <f>InCF_Q!G15/10^9</f>
        <v>-28.340283897999999</v>
      </c>
      <c r="V135" s="68">
        <f>InCF_Q!H15/10^9</f>
        <v>-15.331327785999999</v>
      </c>
      <c r="W135" s="68">
        <f>InCF_Q!I15/10^9</f>
        <v>-3.0482417019999999</v>
      </c>
      <c r="X135" s="68">
        <f>InCF_Q!J15/10^9</f>
        <v>10.495027242999999</v>
      </c>
      <c r="Y135" s="68">
        <f>InCF_Q!K15/10^9</f>
        <v>0</v>
      </c>
      <c r="Z135" s="68">
        <f>InCF_Q!L15/10^9</f>
        <v>-32.642931732000001</v>
      </c>
      <c r="AA135" s="68">
        <f>InCF_Q!M15/10^9</f>
        <v>11.774640810999999</v>
      </c>
      <c r="AB135" s="68">
        <f>InCF_Q!N15/10^9</f>
        <v>-13.752068946</v>
      </c>
      <c r="AC135" s="68">
        <f>InCF_Q!O15/10^9</f>
        <v>9.0960177180000006</v>
      </c>
      <c r="AD135" s="68">
        <f>InCF_Q!P15/10^9</f>
        <v>36.135787905000001</v>
      </c>
      <c r="AE135" s="68">
        <f>InCF_Q!Q15/10^9</f>
        <v>15.982266817999999</v>
      </c>
      <c r="AF135" s="68">
        <f>InCF_Q!R15/10^9</f>
        <v>-27.876491007999999</v>
      </c>
      <c r="AG135" s="68">
        <f>InCF_Q!S15/10^9</f>
        <v>3.4552589490000001</v>
      </c>
      <c r="AH135" s="68">
        <f>InCF_Q!T15/10^9</f>
        <v>26.570572451</v>
      </c>
      <c r="AI135" s="68">
        <f>InCF_Q!U15/10^9</f>
        <v>10.263605504999999</v>
      </c>
      <c r="AJ135" s="68">
        <f>InCF_Q!V15/10^9</f>
        <v>-0.75833439999999996</v>
      </c>
      <c r="AK135" s="68">
        <f>InCF_Q!W15/10^9</f>
        <v>-21.260572884999998</v>
      </c>
      <c r="AL135" s="68">
        <f>InCF_Q!X15/10^9</f>
        <v>34.107929102999996</v>
      </c>
      <c r="AM135" s="68">
        <f>InCF_Q!Y15/10^9</f>
        <v>-68.112330072000006</v>
      </c>
      <c r="AN135" s="68">
        <f>InCF_Q!Z15/10^9</f>
        <v>-33.824004053000003</v>
      </c>
    </row>
    <row r="136" spans="2:40" x14ac:dyDescent="0.3">
      <c r="B136" s="67" t="s">
        <v>140</v>
      </c>
      <c r="C136" s="68">
        <f>InCF!C16/10^9</f>
        <v>-5.4409999999999997E-3</v>
      </c>
      <c r="D136" s="68">
        <f>InCF!D16/10^9</f>
        <v>-0.16346697800000001</v>
      </c>
      <c r="E136" s="68">
        <f>InCF!E16/10^9</f>
        <v>-0.203358966</v>
      </c>
      <c r="F136" s="68">
        <f>InCF!F16/10^9</f>
        <v>-4.4301615859999997</v>
      </c>
      <c r="G136" s="68">
        <f>InCF!G16/10^9</f>
        <v>-5.203232861</v>
      </c>
      <c r="H136" s="68">
        <f>InCF!H16/10^9</f>
        <v>-11.49525105</v>
      </c>
      <c r="I136" s="68">
        <f>InCF!I16/10^9</f>
        <v>-1.6717484650000001</v>
      </c>
      <c r="J136" s="68">
        <f>InCF!J16/10^9</f>
        <v>1.241087821</v>
      </c>
      <c r="K136" s="68">
        <f>InCF!K16/10^9</f>
        <v>-4.5152908150000002</v>
      </c>
      <c r="L136" s="68">
        <f>InCF!L16/10^9</f>
        <v>-15.591448946</v>
      </c>
      <c r="Q136" s="68">
        <f>InCF_Q!C16/10^9</f>
        <v>-1.4663870299999999</v>
      </c>
      <c r="R136" s="68">
        <f>InCF_Q!D16/10^9</f>
        <v>0.42747880399999999</v>
      </c>
      <c r="S136" s="68">
        <f>InCF_Q!E16/10^9</f>
        <v>-2.5657666159999999</v>
      </c>
      <c r="T136" s="68">
        <f>InCF_Q!F16/10^9</f>
        <v>-6.3387803270000003</v>
      </c>
      <c r="U136" s="68">
        <f>InCF_Q!G16/10^9</f>
        <v>-9.1491799999999998E-3</v>
      </c>
      <c r="V136" s="68">
        <f>InCF_Q!H16/10^9</f>
        <v>-5.580400451</v>
      </c>
      <c r="W136" s="68">
        <f>InCF_Q!I16/10^9</f>
        <v>0.43307890799999998</v>
      </c>
      <c r="X136" s="68">
        <f>InCF_Q!J16/10^9</f>
        <v>3.8469158000000003E-2</v>
      </c>
      <c r="Y136" s="68">
        <f>InCF_Q!K16/10^9</f>
        <v>0</v>
      </c>
      <c r="Z136" s="68">
        <f>InCF_Q!L16/10^9</f>
        <v>-0.68773693999999996</v>
      </c>
      <c r="AA136" s="68">
        <f>InCF_Q!M16/10^9</f>
        <v>-1.2101615910000001</v>
      </c>
      <c r="AB136" s="68">
        <f>InCF_Q!N16/10^9</f>
        <v>0.84335835000000003</v>
      </c>
      <c r="AC136" s="68">
        <f>InCF_Q!O16/10^9</f>
        <v>-1.8271480040000001</v>
      </c>
      <c r="AD136" s="68">
        <f>InCF_Q!P16/10^9</f>
        <v>-3.3648448019999999</v>
      </c>
      <c r="AE136" s="68">
        <f>InCF_Q!Q16/10^9</f>
        <v>8.2883829030000005</v>
      </c>
      <c r="AF136" s="68">
        <f>InCF_Q!R16/10^9</f>
        <v>-0.48313845700000002</v>
      </c>
      <c r="AG136" s="68">
        <f>InCF_Q!S16/10^9</f>
        <v>-3.6053171229999998</v>
      </c>
      <c r="AH136" s="68">
        <f>InCF_Q!T16/10^9</f>
        <v>-8.7154172350000003</v>
      </c>
      <c r="AI136" s="68">
        <f>InCF_Q!U16/10^9</f>
        <v>1.5504564780000001</v>
      </c>
      <c r="AJ136" s="68">
        <f>InCF_Q!V16/10^9</f>
        <v>-0.66417838100000004</v>
      </c>
      <c r="AK136" s="68">
        <f>InCF_Q!W16/10^9</f>
        <v>-1.5613538999999999E-2</v>
      </c>
      <c r="AL136" s="68">
        <f>InCF_Q!X16/10^9</f>
        <v>-16.462113504000001</v>
      </c>
      <c r="AM136" s="68">
        <f>InCF_Q!Y16/10^9</f>
        <v>16.403790725</v>
      </c>
      <c r="AN136" s="68">
        <f>InCF_Q!Z16/10^9</f>
        <v>-9.8036368120000006</v>
      </c>
    </row>
    <row r="137" spans="2:40" x14ac:dyDescent="0.3">
      <c r="B137" s="67" t="s">
        <v>141</v>
      </c>
      <c r="C137" s="68">
        <f>InCF!C17/10^9</f>
        <v>0.76909875400000005</v>
      </c>
      <c r="D137" s="68">
        <f>InCF!D17/10^9</f>
        <v>21.072825212000001</v>
      </c>
      <c r="E137" s="68">
        <f>InCF!E17/10^9</f>
        <v>2.7634796709999998</v>
      </c>
      <c r="F137" s="68">
        <f>InCF!F17/10^9</f>
        <v>14.19389481</v>
      </c>
      <c r="G137" s="68">
        <f>InCF!G17/10^9</f>
        <v>63.896028094999998</v>
      </c>
      <c r="H137" s="68">
        <f>InCF!H17/10^9</f>
        <v>-6.8973175070000003</v>
      </c>
      <c r="I137" s="68">
        <f>InCF!I17/10^9</f>
        <v>1.6819537790000001</v>
      </c>
      <c r="J137" s="68">
        <f>InCF!J17/10^9</f>
        <v>29.746371548999999</v>
      </c>
      <c r="K137" s="68">
        <f>InCF!K17/10^9</f>
        <v>-21.399757774000001</v>
      </c>
      <c r="L137" s="68">
        <f>InCF!L17/10^9</f>
        <v>-8.5106368700000008</v>
      </c>
      <c r="Q137" s="68">
        <f>InCF_Q!C17/10^9</f>
        <v>30.796658289</v>
      </c>
      <c r="R137" s="68">
        <f>InCF_Q!D17/10^9</f>
        <v>-18.976591672000001</v>
      </c>
      <c r="S137" s="68">
        <f>InCF_Q!E17/10^9</f>
        <v>44.975001245000001</v>
      </c>
      <c r="T137" s="68">
        <f>InCF_Q!F17/10^9</f>
        <v>-86.580746211000005</v>
      </c>
      <c r="U137" s="68">
        <f>InCF_Q!G17/10^9</f>
        <v>67.403996965000005</v>
      </c>
      <c r="V137" s="68">
        <f>InCF_Q!H17/10^9</f>
        <v>24.57504797</v>
      </c>
      <c r="W137" s="68">
        <f>InCF_Q!I17/10^9</f>
        <v>-19.872184044000001</v>
      </c>
      <c r="X137" s="68">
        <f>InCF_Q!J17/10^9</f>
        <v>-14.51645383</v>
      </c>
      <c r="Y137" s="68">
        <f>InCF_Q!K17/10^9</f>
        <v>0</v>
      </c>
      <c r="Z137" s="68">
        <f>InCF_Q!L17/10^9</f>
        <v>13.002440204999999</v>
      </c>
      <c r="AA137" s="68">
        <f>InCF_Q!M17/10^9</f>
        <v>-20.421471296</v>
      </c>
      <c r="AB137" s="68">
        <f>InCF_Q!N17/10^9</f>
        <v>4.1748688139999999</v>
      </c>
      <c r="AC137" s="68">
        <f>InCF_Q!O17/10^9</f>
        <v>-20.510953798999999</v>
      </c>
      <c r="AD137" s="68">
        <f>InCF_Q!P17/10^9</f>
        <v>-35.666088811000002</v>
      </c>
      <c r="AE137" s="68">
        <f>InCF_Q!Q17/10^9</f>
        <v>-23.027534053</v>
      </c>
      <c r="AF137" s="68">
        <f>InCF_Q!R17/10^9</f>
        <v>9.8598220530000003</v>
      </c>
      <c r="AG137" s="68">
        <f>InCF_Q!S17/10^9</f>
        <v>-28.848991893000001</v>
      </c>
      <c r="AH137" s="68">
        <f>InCF_Q!T17/10^9</f>
        <v>23.915410014999999</v>
      </c>
      <c r="AI137" s="68">
        <f>InCF_Q!U17/10^9</f>
        <v>-15.740224848</v>
      </c>
      <c r="AJ137" s="68">
        <f>InCF_Q!V17/10^9</f>
        <v>11.590704408000001</v>
      </c>
      <c r="AK137" s="68">
        <f>InCF_Q!W17/10^9</f>
        <v>22.541097728</v>
      </c>
      <c r="AL137" s="68">
        <f>InCF_Q!X17/10^9</f>
        <v>-8.1392750500000002</v>
      </c>
      <c r="AM137" s="68">
        <f>InCF_Q!Y17/10^9</f>
        <v>41.527895014999999</v>
      </c>
      <c r="AN137" s="68">
        <f>InCF_Q!Z17/10^9</f>
        <v>56.457827809000001</v>
      </c>
    </row>
    <row r="138" spans="2:40" x14ac:dyDescent="0.3">
      <c r="B138" s="67" t="s">
        <v>142</v>
      </c>
      <c r="C138" s="68">
        <f>InCF!C18/10^9</f>
        <v>-0.12791109000000001</v>
      </c>
      <c r="D138" s="68">
        <f>InCF!D18/10^9</f>
        <v>-0.97058882899999999</v>
      </c>
      <c r="E138" s="68">
        <f>InCF!E18/10^9</f>
        <v>0.70255670400000003</v>
      </c>
      <c r="F138" s="68">
        <f>InCF!F18/10^9</f>
        <v>0.28986055399999999</v>
      </c>
      <c r="G138" s="68">
        <f>InCF!G18/10^9</f>
        <v>-16.307091725999999</v>
      </c>
      <c r="H138" s="68">
        <f>InCF!H18/10^9</f>
        <v>-2.58623907</v>
      </c>
      <c r="I138" s="68">
        <f>InCF!I18/10^9</f>
        <v>0.36065475899999999</v>
      </c>
      <c r="J138" s="68">
        <f>InCF!J18/10^9</f>
        <v>-0.65061022999999996</v>
      </c>
      <c r="K138" s="68">
        <f>InCF!K18/10^9</f>
        <v>-0.831269068</v>
      </c>
      <c r="L138" s="68">
        <f>InCF!L18/10^9</f>
        <v>0.85160524800000004</v>
      </c>
      <c r="Q138" s="68">
        <f>InCF_Q!C18/10^9</f>
        <v>-0.81970936100000003</v>
      </c>
      <c r="R138" s="68">
        <f>InCF_Q!D18/10^9</f>
        <v>0.48709215</v>
      </c>
      <c r="S138" s="68">
        <f>InCF_Q!E18/10^9</f>
        <v>-2.4955896759999998</v>
      </c>
      <c r="T138" s="68">
        <f>InCF_Q!F18/10^9</f>
        <v>1.05620501</v>
      </c>
      <c r="U138" s="68">
        <f>InCF_Q!G18/10^9</f>
        <v>0.89290293300000001</v>
      </c>
      <c r="V138" s="68">
        <f>InCF_Q!H18/10^9</f>
        <v>0.88790293300000001</v>
      </c>
      <c r="W138" s="68">
        <f>InCF_Q!I18/10^9</f>
        <v>-5.4232499460000003</v>
      </c>
      <c r="X138" s="68">
        <f>InCF_Q!J18/10^9</f>
        <v>-0.58550819200000004</v>
      </c>
      <c r="Y138" s="68">
        <f>InCF_Q!K18/10^9</f>
        <v>0</v>
      </c>
      <c r="Z138" s="68">
        <f>InCF_Q!L18/10^9</f>
        <v>4.0131681730000004</v>
      </c>
      <c r="AA138" s="68">
        <f>InCF_Q!M18/10^9</f>
        <v>-0.78626702999999998</v>
      </c>
      <c r="AB138" s="68">
        <f>InCF_Q!N18/10^9</f>
        <v>-2.2605972780000001</v>
      </c>
      <c r="AC138" s="68">
        <f>InCF_Q!O18/10^9</f>
        <v>2.4079828980000002</v>
      </c>
      <c r="AD138" s="68">
        <f>InCF_Q!P18/10^9</f>
        <v>-2.5891812299999999</v>
      </c>
      <c r="AE138" s="68">
        <f>InCF_Q!Q18/10^9</f>
        <v>2.0109018650000001</v>
      </c>
      <c r="AF138" s="68">
        <f>InCF_Q!R18/10^9</f>
        <v>2.0109018650000001</v>
      </c>
      <c r="AG138" s="68">
        <f>InCF_Q!S18/10^9</f>
        <v>-0.11901893500000001</v>
      </c>
      <c r="AH138" s="68">
        <f>InCF_Q!T18/10^9</f>
        <v>-4.7340538629999998</v>
      </c>
      <c r="AI138" s="68">
        <f>InCF_Q!U18/10^9</f>
        <v>1.904457238</v>
      </c>
      <c r="AJ138" s="68">
        <f>InCF_Q!V18/10^9</f>
        <v>0.32195723799999998</v>
      </c>
      <c r="AK138" s="68">
        <f>InCF_Q!W18/10^9</f>
        <v>1.8091572380000001</v>
      </c>
      <c r="AL138" s="68">
        <f>InCF_Q!X18/10^9</f>
        <v>-3.1839664660000002</v>
      </c>
      <c r="AM138" s="68">
        <f>InCF_Q!Y18/10^9</f>
        <v>-0.76195856399999995</v>
      </c>
      <c r="AN138" s="68">
        <f>InCF_Q!Z18/10^9</f>
        <v>3.7003181760000001</v>
      </c>
    </row>
    <row r="139" spans="2:40" x14ac:dyDescent="0.3">
      <c r="B139" s="67" t="s">
        <v>143</v>
      </c>
      <c r="C139" s="68">
        <f>InCF!C19/10^9</f>
        <v>0</v>
      </c>
      <c r="D139" s="68">
        <f>InCF!D19/10^9</f>
        <v>-1.095538372</v>
      </c>
      <c r="E139" s="68">
        <f>InCF!E19/10^9</f>
        <v>-4.2995451180000002</v>
      </c>
      <c r="F139" s="68">
        <f>InCF!F19/10^9</f>
        <v>-6.6263718880000004</v>
      </c>
      <c r="G139" s="68">
        <f>InCF!G19/10^9</f>
        <v>-25.187620717000001</v>
      </c>
      <c r="H139" s="68">
        <f>InCF!H19/10^9</f>
        <v>-23.923603901</v>
      </c>
      <c r="I139" s="68">
        <f>InCF!I19/10^9</f>
        <v>-14.713840944999999</v>
      </c>
      <c r="J139" s="68">
        <f>InCF!J19/10^9</f>
        <v>-7.5487094340000001</v>
      </c>
      <c r="K139" s="68">
        <f>InCF!K19/10^9</f>
        <v>-6.0993813389999998</v>
      </c>
      <c r="L139" s="68">
        <f>InCF!L19/10^9</f>
        <v>-6.2025566459999997</v>
      </c>
      <c r="Q139" s="68">
        <f>InCF_Q!C19/10^9</f>
        <v>-7.1270909339999999</v>
      </c>
      <c r="R139" s="68">
        <f>InCF_Q!D19/10^9</f>
        <v>-2.2856761699999999</v>
      </c>
      <c r="S139" s="68">
        <f>InCF_Q!E19/10^9</f>
        <v>-15.156756783000001</v>
      </c>
      <c r="T139" s="68">
        <f>InCF_Q!F19/10^9</f>
        <v>-25.187620717000001</v>
      </c>
      <c r="U139" s="68">
        <f>InCF_Q!G19/10^9</f>
        <v>10.780684983</v>
      </c>
      <c r="V139" s="68">
        <f>InCF_Q!H19/10^9</f>
        <v>-5.3586465800000003</v>
      </c>
      <c r="W139" s="68">
        <f>InCF_Q!I19/10^9</f>
        <v>6.3208555659999996</v>
      </c>
      <c r="X139" s="68">
        <f>InCF_Q!J19/10^9</f>
        <v>-4.144075204</v>
      </c>
      <c r="Y139" s="68">
        <f>InCF_Q!K19/10^9</f>
        <v>0</v>
      </c>
      <c r="Z139" s="68">
        <f>InCF_Q!L19/10^9</f>
        <v>-2.6479058549999999</v>
      </c>
      <c r="AA139" s="68">
        <f>InCF_Q!M19/10^9</f>
        <v>-3.1773138369999998</v>
      </c>
      <c r="AB139" s="68">
        <f>InCF_Q!N19/10^9</f>
        <v>-2.0623014949999998</v>
      </c>
      <c r="AC139" s="68">
        <f>InCF_Q!O19/10^9</f>
        <v>-1.9317582790000001</v>
      </c>
      <c r="AD139" s="68">
        <f>InCF_Q!P19/10^9</f>
        <v>-1.7909009549999999</v>
      </c>
      <c r="AE139" s="68">
        <f>InCF_Q!Q19/10^9</f>
        <v>-1.467801696</v>
      </c>
      <c r="AF139" s="68">
        <f>InCF_Q!R19/10^9</f>
        <v>-1.001312569</v>
      </c>
      <c r="AG139" s="68">
        <f>InCF_Q!S19/10^9</f>
        <v>-1.881937309</v>
      </c>
      <c r="AH139" s="68">
        <f>InCF_Q!T19/10^9</f>
        <v>-1.7801090020000001</v>
      </c>
      <c r="AI139" s="68">
        <f>InCF_Q!U19/10^9</f>
        <v>-1.6813802010000001</v>
      </c>
      <c r="AJ139" s="68">
        <f>InCF_Q!V19/10^9</f>
        <v>-1.7454823479999999</v>
      </c>
      <c r="AK139" s="68">
        <f>InCF_Q!W19/10^9</f>
        <v>-1.4975482819999999</v>
      </c>
      <c r="AL139" s="68">
        <f>InCF_Q!X19/10^9</f>
        <v>-1.165807182</v>
      </c>
      <c r="AM139" s="68">
        <f>InCF_Q!Y19/10^9</f>
        <v>-0.97721863799999997</v>
      </c>
      <c r="AN139" s="68">
        <f>InCF_Q!Z19/10^9</f>
        <v>-0.82706904400000003</v>
      </c>
    </row>
    <row r="140" spans="2:40" x14ac:dyDescent="0.3">
      <c r="B140" s="67" t="s">
        <v>144</v>
      </c>
      <c r="C140" s="68">
        <f>InCF!C20/10^9</f>
        <v>0</v>
      </c>
      <c r="D140" s="68">
        <f>InCF!D20/10^9</f>
        <v>0</v>
      </c>
      <c r="E140" s="68">
        <f>InCF!E20/10^9</f>
        <v>0</v>
      </c>
      <c r="F140" s="68">
        <f>InCF!F20/10^9</f>
        <v>0</v>
      </c>
      <c r="G140" s="68">
        <f>InCF!G20/10^9</f>
        <v>-20.406345495</v>
      </c>
      <c r="H140" s="68">
        <f>InCF!H20/10^9</f>
        <v>-14.02025334</v>
      </c>
      <c r="I140" s="68">
        <f>InCF!I20/10^9</f>
        <v>-14.68232598</v>
      </c>
      <c r="J140" s="68">
        <f>InCF!J20/10^9</f>
        <v>-44.012243738000002</v>
      </c>
      <c r="K140" s="68">
        <f>InCF!K20/10^9</f>
        <v>-25.059565032999998</v>
      </c>
      <c r="L140" s="68">
        <f>InCF!L20/10^9</f>
        <v>-22.850189788000002</v>
      </c>
      <c r="Q140" s="68">
        <f>InCF_Q!C20/10^9</f>
        <v>-4.4497287019999998</v>
      </c>
      <c r="R140" s="68">
        <f>InCF_Q!D20/10^9</f>
        <v>4.4497287019999998</v>
      </c>
      <c r="S140" s="68">
        <f>InCF_Q!E20/10^9</f>
        <v>-20.406345495</v>
      </c>
      <c r="T140" s="68">
        <f>InCF_Q!F20/10^9</f>
        <v>-20.406345495</v>
      </c>
      <c r="U140" s="68">
        <f>InCF_Q!G20/10^9</f>
        <v>14.244382853999999</v>
      </c>
      <c r="V140" s="68">
        <f>InCF_Q!H20/10^9</f>
        <v>-4.8639094529999998</v>
      </c>
      <c r="W140" s="68">
        <f>InCF_Q!I20/10^9</f>
        <v>-2.9943812489999999</v>
      </c>
      <c r="X140" s="68">
        <f>InCF_Q!J20/10^9</f>
        <v>-3.3381376110000001</v>
      </c>
      <c r="Y140" s="68">
        <f>InCF_Q!K20/10^9</f>
        <v>0</v>
      </c>
      <c r="Z140" s="68">
        <f>InCF_Q!L20/10^9</f>
        <v>-4.9434339400000002</v>
      </c>
      <c r="AA140" s="68">
        <f>InCF_Q!M20/10^9</f>
        <v>-3.2284688610000001</v>
      </c>
      <c r="AB140" s="68">
        <f>InCF_Q!N20/10^9</f>
        <v>-3.7905894849999999</v>
      </c>
      <c r="AC140" s="68">
        <f>InCF_Q!O20/10^9</f>
        <v>-28.571894223000001</v>
      </c>
      <c r="AD140" s="68">
        <f>InCF_Q!P20/10^9</f>
        <v>-8.8811761570000005</v>
      </c>
      <c r="AE140" s="68">
        <f>InCF_Q!Q20/10^9</f>
        <v>-5.5130330890000003</v>
      </c>
      <c r="AF140" s="68">
        <f>InCF_Q!R20/10^9</f>
        <v>-5.39898072</v>
      </c>
      <c r="AG140" s="68">
        <f>InCF_Q!S20/10^9</f>
        <v>-6.85400923</v>
      </c>
      <c r="AH140" s="68">
        <f>InCF_Q!T20/10^9</f>
        <v>-7.2935419939999999</v>
      </c>
      <c r="AI140" s="68">
        <f>InCF_Q!U20/10^9</f>
        <v>-6.4538506020000002</v>
      </c>
      <c r="AJ140" s="68">
        <f>InCF_Q!V20/10^9</f>
        <v>-3.9888766119999999</v>
      </c>
      <c r="AK140" s="68">
        <f>InCF_Q!W20/10^9</f>
        <v>-6.8215354640000001</v>
      </c>
      <c r="AL140" s="68">
        <f>InCF_Q!X20/10^9</f>
        <v>-5.5859271100000001</v>
      </c>
      <c r="AM140" s="68">
        <f>InCF_Q!Y20/10^9</f>
        <v>-9.0917545260000008</v>
      </c>
      <c r="AN140" s="68">
        <f>InCF_Q!Z20/10^9</f>
        <v>-4.2469921340000001</v>
      </c>
    </row>
    <row r="141" spans="2:40" x14ac:dyDescent="0.3">
      <c r="B141" s="67" t="s">
        <v>145</v>
      </c>
      <c r="C141" s="68">
        <f>InCF!C21/10^9</f>
        <v>0</v>
      </c>
      <c r="D141" s="68">
        <f>InCF!D21/10^9</f>
        <v>0</v>
      </c>
      <c r="E141" s="68">
        <f>InCF!E21/10^9</f>
        <v>0.67547561499999997</v>
      </c>
      <c r="F141" s="68">
        <f>InCF!F21/10^9</f>
        <v>0.50582808800000001</v>
      </c>
      <c r="G141" s="68">
        <f>InCF!G21/10^9</f>
        <v>0</v>
      </c>
      <c r="H141" s="68">
        <f>InCF!H21/10^9</f>
        <v>0</v>
      </c>
      <c r="I141" s="68">
        <f>InCF!I21/10^9</f>
        <v>0</v>
      </c>
      <c r="J141" s="68">
        <f>InCF!J21/10^9</f>
        <v>2.881350147</v>
      </c>
      <c r="K141" s="68">
        <f>InCF!K21/10^9</f>
        <v>0</v>
      </c>
      <c r="L141" s="68">
        <f>InCF!L21/10^9</f>
        <v>0</v>
      </c>
      <c r="Q141" s="68">
        <f>InCF_Q!C21/10^9</f>
        <v>0</v>
      </c>
      <c r="R141" s="68">
        <f>InCF_Q!D21/10^9</f>
        <v>0.50582808800000001</v>
      </c>
      <c r="S141" s="68">
        <f>InCF_Q!E21/10^9</f>
        <v>-0.50582808800000001</v>
      </c>
      <c r="T141" s="68">
        <f>InCF_Q!F21/10^9</f>
        <v>0</v>
      </c>
      <c r="U141" s="68">
        <f>InCF_Q!G21/10^9</f>
        <v>0</v>
      </c>
      <c r="V141" s="68">
        <f>InCF_Q!H21/10^9</f>
        <v>0</v>
      </c>
      <c r="W141" s="68">
        <f>InCF_Q!I21/10^9</f>
        <v>0</v>
      </c>
      <c r="X141" s="68">
        <f>InCF_Q!J21/10^9</f>
        <v>0</v>
      </c>
      <c r="Y141" s="68">
        <f>InCF_Q!K21/10^9</f>
        <v>0</v>
      </c>
      <c r="Z141" s="68">
        <f>InCF_Q!L21/10^9</f>
        <v>0</v>
      </c>
      <c r="AA141" s="68">
        <f>InCF_Q!M21/10^9</f>
        <v>0</v>
      </c>
      <c r="AB141" s="68">
        <f>InCF_Q!N21/10^9</f>
        <v>0</v>
      </c>
      <c r="AC141" s="68">
        <f>InCF_Q!O21/10^9</f>
        <v>0</v>
      </c>
      <c r="AD141" s="68">
        <f>InCF_Q!P21/10^9</f>
        <v>0</v>
      </c>
      <c r="AE141" s="68">
        <f>InCF_Q!Q21/10^9</f>
        <v>0</v>
      </c>
      <c r="AF141" s="68">
        <f>InCF_Q!R21/10^9</f>
        <v>0</v>
      </c>
      <c r="AG141" s="68">
        <f>InCF_Q!S21/10^9</f>
        <v>0</v>
      </c>
      <c r="AH141" s="68">
        <f>InCF_Q!T21/10^9</f>
        <v>0</v>
      </c>
      <c r="AI141" s="68">
        <f>InCF_Q!U21/10^9</f>
        <v>0</v>
      </c>
      <c r="AJ141" s="68">
        <f>InCF_Q!V21/10^9</f>
        <v>0</v>
      </c>
      <c r="AK141" s="68">
        <f>InCF_Q!W21/10^9</f>
        <v>0</v>
      </c>
      <c r="AL141" s="68">
        <f>InCF_Q!X21/10^9</f>
        <v>0</v>
      </c>
      <c r="AM141" s="68">
        <f>InCF_Q!Y21/10^9</f>
        <v>0</v>
      </c>
      <c r="AN141" s="68">
        <f>InCF_Q!Z21/10^9</f>
        <v>0</v>
      </c>
    </row>
    <row r="142" spans="2:40" x14ac:dyDescent="0.3">
      <c r="B142" s="67" t="s">
        <v>146</v>
      </c>
      <c r="C142" s="68">
        <f>InCF!C22/10^9</f>
        <v>-3.0265E-2</v>
      </c>
      <c r="D142" s="68">
        <f>InCF!D22/10^9</f>
        <v>-0.26560593100000002</v>
      </c>
      <c r="E142" s="68">
        <f>InCF!E22/10^9</f>
        <v>0</v>
      </c>
      <c r="F142" s="68">
        <f>InCF!F22/10^9</f>
        <v>-3.788124356</v>
      </c>
      <c r="G142" s="68">
        <f>InCF!G22/10^9</f>
        <v>-6.9628144929999998</v>
      </c>
      <c r="H142" s="68">
        <f>InCF!H22/10^9</f>
        <v>-4.3666718710000003</v>
      </c>
      <c r="I142" s="68">
        <f>InCF!I22/10^9</f>
        <v>-0.95030806000000001</v>
      </c>
      <c r="J142" s="68">
        <f>InCF!J22/10^9</f>
        <v>0</v>
      </c>
      <c r="K142" s="68">
        <f>InCF!K22/10^9</f>
        <v>0</v>
      </c>
      <c r="L142" s="68">
        <f>InCF!L22/10^9</f>
        <v>0</v>
      </c>
      <c r="Q142" s="68">
        <f>InCF_Q!C22/10^9</f>
        <v>-2.1697429480000001</v>
      </c>
      <c r="R142" s="68">
        <f>InCF_Q!D22/10^9</f>
        <v>-3.2079253300000001</v>
      </c>
      <c r="S142" s="68">
        <f>InCF_Q!E22/10^9</f>
        <v>-2.3928757909999998</v>
      </c>
      <c r="T142" s="68">
        <f>InCF_Q!F22/10^9</f>
        <v>0</v>
      </c>
      <c r="U142" s="68">
        <f>InCF_Q!G22/10^9</f>
        <v>-4.3442010929999997</v>
      </c>
      <c r="V142" s="68">
        <f>InCF_Q!H22/10^9</f>
        <v>-2.3900000000000001E-2</v>
      </c>
      <c r="W142" s="68">
        <f>InCF_Q!I22/10^9</f>
        <v>1.429222E-3</v>
      </c>
      <c r="X142" s="68">
        <f>InCF_Q!J22/10^9</f>
        <v>-1.8E-3</v>
      </c>
      <c r="Y142" s="68">
        <f>InCF_Q!K22/10^9</f>
        <v>0</v>
      </c>
      <c r="Z142" s="68">
        <f>InCF_Q!L22/10^9</f>
        <v>0.21071999999999999</v>
      </c>
      <c r="AA142" s="68">
        <f>InCF_Q!M22/10^9</f>
        <v>0</v>
      </c>
      <c r="AB142" s="68">
        <f>InCF_Q!N22/10^9</f>
        <v>0</v>
      </c>
      <c r="AC142" s="68">
        <f>InCF_Q!O22/10^9</f>
        <v>-13.482739222999999</v>
      </c>
      <c r="AD142" s="68">
        <f>InCF_Q!P22/10^9</f>
        <v>0</v>
      </c>
      <c r="AE142" s="68">
        <f>InCF_Q!Q22/10^9</f>
        <v>0</v>
      </c>
      <c r="AF142" s="68">
        <f>InCF_Q!R22/10^9</f>
        <v>0</v>
      </c>
      <c r="AG142" s="68">
        <f>InCF_Q!S22/10^9</f>
        <v>-0.50002722099999997</v>
      </c>
      <c r="AH142" s="68">
        <f>InCF_Q!T22/10^9</f>
        <v>-2.0483294289999998</v>
      </c>
      <c r="AI142" s="68">
        <f>InCF_Q!U22/10^9</f>
        <v>-6.2736460000000003</v>
      </c>
      <c r="AJ142" s="68">
        <f>InCF_Q!V22/10^9</f>
        <v>-5.4533559</v>
      </c>
      <c r="AK142" s="68">
        <f>InCF_Q!W22/10^9</f>
        <v>2.2619520999999998</v>
      </c>
      <c r="AL142" s="68">
        <f>InCF_Q!X22/10^9</f>
        <v>1.6284038000000001</v>
      </c>
      <c r="AM142" s="68">
        <f>InCF_Q!Y22/10^9</f>
        <v>-2.9207382329999998</v>
      </c>
      <c r="AN142" s="68">
        <f>InCF_Q!Z22/10^9</f>
        <v>-5.080632767</v>
      </c>
    </row>
    <row r="143" spans="2:40" s="81" customFormat="1" x14ac:dyDescent="0.3">
      <c r="B143" s="73" t="s">
        <v>147</v>
      </c>
      <c r="C143" s="74">
        <f>InCF!C23/10^9</f>
        <v>-1.235318811</v>
      </c>
      <c r="D143" s="74">
        <f>InCF!D23/10^9</f>
        <v>1.253909594</v>
      </c>
      <c r="E143" s="74">
        <f>InCF!E23/10^9</f>
        <v>4.8165496660000002</v>
      </c>
      <c r="F143" s="74">
        <f>InCF!F23/10^9</f>
        <v>78.983619731000005</v>
      </c>
      <c r="G143" s="74">
        <f>InCF!G23/10^9</f>
        <v>250.14538170099999</v>
      </c>
      <c r="H143" s="74">
        <f>InCF!H23/10^9</f>
        <v>176.38411338</v>
      </c>
      <c r="I143" s="74">
        <f>InCF!I23/10^9</f>
        <v>210.36728159</v>
      </c>
      <c r="J143" s="74">
        <f>InCF!J23/10^9</f>
        <v>189.57594306199999</v>
      </c>
      <c r="K143" s="74">
        <f>InCF!K23/10^9</f>
        <v>161.76432364799999</v>
      </c>
      <c r="L143" s="74">
        <f>InCF!L23/10^9</f>
        <v>181.44480482500001</v>
      </c>
      <c r="N143" s="96"/>
      <c r="O143" s="96"/>
      <c r="P143" s="96"/>
      <c r="Q143" s="74">
        <f>InCF_Q!C23/10^9</f>
        <v>78.295154535999998</v>
      </c>
      <c r="R143" s="74">
        <f>InCF_Q!D23/10^9</f>
        <v>154.34145194000001</v>
      </c>
      <c r="S143" s="74">
        <f>InCF_Q!E23/10^9</f>
        <v>-16.806974460999999</v>
      </c>
      <c r="T143" s="74">
        <f>InCF_Q!F23/10^9</f>
        <v>-29.215066302</v>
      </c>
      <c r="U143" s="74">
        <f>InCF_Q!G23/10^9</f>
        <v>117.16268732</v>
      </c>
      <c r="V143" s="74">
        <f>InCF_Q!H23/10^9</f>
        <v>53.707479589000002</v>
      </c>
      <c r="W143" s="74">
        <f>InCF_Q!I23/10^9</f>
        <v>38.673424893000004</v>
      </c>
      <c r="X143" s="74">
        <f>InCF_Q!J23/10^9</f>
        <v>53.995566345</v>
      </c>
      <c r="Y143" s="74">
        <f>InCF_Q!K23/10^9</f>
        <v>0</v>
      </c>
      <c r="Z143" s="74">
        <f>InCF_Q!L23/10^9</f>
        <v>38.601990442999998</v>
      </c>
      <c r="AA143" s="74">
        <f>InCF_Q!M23/10^9</f>
        <v>47.321198676000002</v>
      </c>
      <c r="AB143" s="74">
        <f>InCF_Q!N23/10^9</f>
        <v>33.932943901000002</v>
      </c>
      <c r="AC143" s="74">
        <f>InCF_Q!O23/10^9</f>
        <v>6.9619492540000003</v>
      </c>
      <c r="AD143" s="74">
        <f>InCF_Q!P23/10^9</f>
        <v>33.762494650000001</v>
      </c>
      <c r="AE143" s="74">
        <f>InCF_Q!Q23/10^9</f>
        <v>38.096694085000003</v>
      </c>
      <c r="AF143" s="74">
        <f>InCF_Q!R23/10^9</f>
        <v>26.858151357000001</v>
      </c>
      <c r="AG143" s="74">
        <f>InCF_Q!S23/10^9</f>
        <v>16.993657094</v>
      </c>
      <c r="AH143" s="74">
        <f>InCF_Q!T23/10^9</f>
        <v>82.043004448000005</v>
      </c>
      <c r="AI143" s="74">
        <f>InCF_Q!U23/10^9</f>
        <v>22.608288832</v>
      </c>
      <c r="AJ143" s="74">
        <f>InCF_Q!V23/10^9</f>
        <v>61.049910597</v>
      </c>
      <c r="AK143" s="74">
        <f>InCF_Q!W23/10^9</f>
        <v>44.663773906999999</v>
      </c>
      <c r="AL143" s="74">
        <f>InCF_Q!X23/10^9</f>
        <v>53.459900640999997</v>
      </c>
      <c r="AM143" s="74">
        <f>InCF_Q!Y23/10^9</f>
        <v>16.011485989000001</v>
      </c>
      <c r="AN143" s="74">
        <f>InCF_Q!Z23/10^9</f>
        <v>52.577388509000002</v>
      </c>
    </row>
    <row r="144" spans="2:40" s="81" customFormat="1" x14ac:dyDescent="0.3">
      <c r="B144" s="75" t="s">
        <v>148</v>
      </c>
      <c r="C144" s="77"/>
      <c r="D144" s="77"/>
      <c r="E144" s="77"/>
      <c r="F144" s="77"/>
      <c r="G144" s="77"/>
      <c r="H144" s="77"/>
      <c r="I144" s="77"/>
      <c r="J144" s="77"/>
      <c r="K144" s="77"/>
      <c r="L144" s="77"/>
      <c r="N144" s="94"/>
      <c r="O144" s="94"/>
      <c r="P144" s="94"/>
      <c r="Q144" s="77"/>
      <c r="R144" s="77"/>
      <c r="S144" s="77"/>
      <c r="T144" s="77"/>
      <c r="U144" s="77"/>
      <c r="V144" s="77"/>
      <c r="W144" s="77"/>
      <c r="X144" s="77"/>
      <c r="Y144" s="77"/>
      <c r="Z144" s="77"/>
      <c r="AA144" s="77"/>
      <c r="AB144" s="77"/>
      <c r="AC144" s="77"/>
      <c r="AD144" s="77"/>
      <c r="AE144" s="77"/>
      <c r="AF144" s="77"/>
      <c r="AG144" s="77"/>
      <c r="AH144" s="77"/>
      <c r="AI144" s="77"/>
      <c r="AJ144" s="77"/>
      <c r="AK144" s="77"/>
      <c r="AL144" s="77"/>
      <c r="AM144" s="77"/>
      <c r="AN144" s="77"/>
    </row>
    <row r="145" spans="2:40" x14ac:dyDescent="0.3">
      <c r="B145" s="67" t="s">
        <v>149</v>
      </c>
      <c r="C145" s="68">
        <f>InCF!C25/10^9</f>
        <v>-1.3847950440000001</v>
      </c>
      <c r="D145" s="68">
        <f>InCF!D25/10^9</f>
        <v>-74.228031927000004</v>
      </c>
      <c r="E145" s="68">
        <f>InCF!E25/10^9</f>
        <v>-37.392170219</v>
      </c>
      <c r="F145" s="68">
        <f>InCF!F25/10^9</f>
        <v>-76.238155000000006</v>
      </c>
      <c r="G145" s="68">
        <f>InCF!G25/10^9</f>
        <v>-208.81538049599999</v>
      </c>
      <c r="H145" s="68">
        <f>InCF!H25/10^9</f>
        <v>-48.393234714999998</v>
      </c>
      <c r="I145" s="68">
        <f>InCF!I25/10^9</f>
        <v>-5.8650082049999996</v>
      </c>
      <c r="J145" s="68">
        <f>InCF!J25/10^9</f>
        <v>-89.309139549999998</v>
      </c>
      <c r="K145" s="68">
        <f>InCF!K25/10^9</f>
        <v>-122.59183730700001</v>
      </c>
      <c r="L145" s="68">
        <f>InCF!L25/10^9</f>
        <v>-32.670468849000002</v>
      </c>
      <c r="Q145" s="68">
        <f>InCF_Q!C25/10^9</f>
        <v>-25.259771752999999</v>
      </c>
      <c r="R145" s="68">
        <f>InCF_Q!D25/10^9</f>
        <v>-172.54762109500001</v>
      </c>
      <c r="S145" s="68">
        <f>InCF_Q!E25/10^9</f>
        <v>111.782950141</v>
      </c>
      <c r="T145" s="68">
        <f>InCF_Q!F25/10^9</f>
        <v>0.47454749499999999</v>
      </c>
      <c r="U145" s="68">
        <f>InCF_Q!G25/10^9</f>
        <v>-5.6994326859999997</v>
      </c>
      <c r="V145" s="68">
        <f>InCF_Q!H25/10^9</f>
        <v>-4.7057226979999998</v>
      </c>
      <c r="W145" s="68">
        <f>InCF_Q!I25/10^9</f>
        <v>-41.892962181000001</v>
      </c>
      <c r="X145" s="68">
        <f>InCF_Q!J25/10^9</f>
        <v>-5.255417499</v>
      </c>
      <c r="Y145" s="68">
        <f>InCF_Q!K25/10^9</f>
        <v>0</v>
      </c>
      <c r="Z145" s="68">
        <f>InCF_Q!L25/10^9</f>
        <v>-8.8728977919999998</v>
      </c>
      <c r="AA145" s="68">
        <f>InCF_Q!M25/10^9</f>
        <v>-3.2545455000000001E-2</v>
      </c>
      <c r="AB145" s="68">
        <f>InCF_Q!N25/10^9</f>
        <v>5.2594737949999999</v>
      </c>
      <c r="AC145" s="68">
        <f>InCF_Q!O25/10^9</f>
        <v>-70.186909176</v>
      </c>
      <c r="AD145" s="68">
        <f>InCF_Q!P25/10^9</f>
        <v>-5.9521955049999997</v>
      </c>
      <c r="AE145" s="68">
        <f>InCF_Q!Q25/10^9</f>
        <v>-9.0894601119999994</v>
      </c>
      <c r="AF145" s="68">
        <f>InCF_Q!R25/10^9</f>
        <v>-53.157347952000002</v>
      </c>
      <c r="AG145" s="68">
        <f>InCF_Q!S25/10^9</f>
        <v>-55.771992591999997</v>
      </c>
      <c r="AH145" s="68">
        <f>InCF_Q!T25/10^9</f>
        <v>-4.5730366509999998</v>
      </c>
      <c r="AI145" s="68">
        <f>InCF_Q!U25/10^9</f>
        <v>-26.734844499000001</v>
      </c>
      <c r="AJ145" s="68">
        <f>InCF_Q!V25/10^9</f>
        <v>-1.1514194550000001</v>
      </c>
      <c r="AK145" s="68">
        <f>InCF_Q!W25/10^9</f>
        <v>-2.4035681819999999</v>
      </c>
      <c r="AL145" s="68">
        <f>InCF_Q!X25/10^9</f>
        <v>-2.3806367129999999</v>
      </c>
      <c r="AM145" s="68">
        <f>InCF_Q!Y25/10^9</f>
        <v>-39.798000000000002</v>
      </c>
      <c r="AN145" s="68">
        <f>InCF_Q!Z25/10^9</f>
        <v>-0.24967272800000001</v>
      </c>
    </row>
    <row r="146" spans="2:40" x14ac:dyDescent="0.3">
      <c r="B146" s="67" t="s">
        <v>150</v>
      </c>
      <c r="C146" s="68">
        <f>InCF!C26/10^9</f>
        <v>0</v>
      </c>
      <c r="D146" s="68">
        <f>InCF!D26/10^9</f>
        <v>0</v>
      </c>
      <c r="E146" s="68">
        <f>InCF!E26/10^9</f>
        <v>0</v>
      </c>
      <c r="F146" s="68">
        <f>InCF!F26/10^9</f>
        <v>0</v>
      </c>
      <c r="G146" s="68">
        <f>InCF!G26/10^9</f>
        <v>0</v>
      </c>
      <c r="H146" s="68">
        <f>InCF!H26/10^9</f>
        <v>0</v>
      </c>
      <c r="I146" s="68">
        <f>InCF!I26/10^9</f>
        <v>0</v>
      </c>
      <c r="J146" s="68">
        <f>InCF!J26/10^9</f>
        <v>0</v>
      </c>
      <c r="K146" s="68">
        <f>InCF!K26/10^9</f>
        <v>0</v>
      </c>
      <c r="L146" s="68">
        <f>InCF!L26/10^9</f>
        <v>6.1499999999999999E-2</v>
      </c>
      <c r="Q146" s="68">
        <f>InCF_Q!C26/10^9</f>
        <v>0</v>
      </c>
      <c r="R146" s="68">
        <f>InCF_Q!D26/10^9</f>
        <v>0</v>
      </c>
      <c r="S146" s="68">
        <f>InCF_Q!E26/10^9</f>
        <v>0</v>
      </c>
      <c r="T146" s="68">
        <f>InCF_Q!F26/10^9</f>
        <v>0</v>
      </c>
      <c r="U146" s="68">
        <f>InCF_Q!G26/10^9</f>
        <v>0</v>
      </c>
      <c r="V146" s="68">
        <f>InCF_Q!H26/10^9</f>
        <v>0</v>
      </c>
      <c r="W146" s="68">
        <f>InCF_Q!I26/10^9</f>
        <v>0</v>
      </c>
      <c r="X146" s="68">
        <f>InCF_Q!J26/10^9</f>
        <v>0</v>
      </c>
      <c r="Y146" s="68">
        <f>InCF_Q!K26/10^9</f>
        <v>0</v>
      </c>
      <c r="Z146" s="68">
        <f>InCF_Q!L26/10^9</f>
        <v>0</v>
      </c>
      <c r="AA146" s="68">
        <f>InCF_Q!M26/10^9</f>
        <v>0</v>
      </c>
      <c r="AB146" s="68">
        <f>InCF_Q!N26/10^9</f>
        <v>0</v>
      </c>
      <c r="AC146" s="68">
        <f>InCF_Q!O26/10^9</f>
        <v>0</v>
      </c>
      <c r="AD146" s="68">
        <f>InCF_Q!P26/10^9</f>
        <v>0</v>
      </c>
      <c r="AE146" s="68">
        <f>InCF_Q!Q26/10^9</f>
        <v>0</v>
      </c>
      <c r="AF146" s="68">
        <f>InCF_Q!R26/10^9</f>
        <v>0</v>
      </c>
      <c r="AG146" s="68">
        <f>InCF_Q!S26/10^9</f>
        <v>0</v>
      </c>
      <c r="AH146" s="68">
        <f>InCF_Q!T26/10^9</f>
        <v>0</v>
      </c>
      <c r="AI146" s="68">
        <f>InCF_Q!U26/10^9</f>
        <v>0</v>
      </c>
      <c r="AJ146" s="68">
        <f>InCF_Q!V26/10^9</f>
        <v>0</v>
      </c>
      <c r="AK146" s="68">
        <f>InCF_Q!W26/10^9</f>
        <v>0</v>
      </c>
      <c r="AL146" s="68">
        <f>InCF_Q!X26/10^9</f>
        <v>0</v>
      </c>
      <c r="AM146" s="68">
        <f>InCF_Q!Y26/10^9</f>
        <v>0</v>
      </c>
      <c r="AN146" s="68">
        <f>InCF_Q!Z26/10^9</f>
        <v>0</v>
      </c>
    </row>
    <row r="147" spans="2:40" x14ac:dyDescent="0.3">
      <c r="B147" s="67" t="s">
        <v>151</v>
      </c>
      <c r="C147" s="68">
        <f>InCF!C27/10^9</f>
        <v>0</v>
      </c>
      <c r="D147" s="68">
        <f>InCF!D27/10^9</f>
        <v>0</v>
      </c>
      <c r="E147" s="68">
        <f>InCF!E27/10^9</f>
        <v>0</v>
      </c>
      <c r="F147" s="68">
        <f>InCF!F27/10^9</f>
        <v>0</v>
      </c>
      <c r="G147" s="68">
        <f>InCF!G27/10^9</f>
        <v>-57</v>
      </c>
      <c r="H147" s="68">
        <f>InCF!H27/10^9</f>
        <v>-52</v>
      </c>
      <c r="I147" s="68">
        <f>InCF!I27/10^9</f>
        <v>0</v>
      </c>
      <c r="J147" s="68">
        <f>InCF!J27/10^9</f>
        <v>0</v>
      </c>
      <c r="K147" s="68">
        <f>InCF!K27/10^9</f>
        <v>0</v>
      </c>
      <c r="L147" s="68">
        <f>InCF!L27/10^9</f>
        <v>0</v>
      </c>
      <c r="Q147" s="68">
        <f>InCF_Q!C27/10^9</f>
        <v>-57</v>
      </c>
      <c r="R147" s="68">
        <f>InCF_Q!D27/10^9</f>
        <v>57</v>
      </c>
      <c r="S147" s="68">
        <f>InCF_Q!E27/10^9</f>
        <v>-57</v>
      </c>
      <c r="T147" s="68">
        <f>InCF_Q!F27/10^9</f>
        <v>2.0117408120000002</v>
      </c>
      <c r="U147" s="68">
        <f>InCF_Q!G27/10^9</f>
        <v>-14.011740811999999</v>
      </c>
      <c r="V147" s="68">
        <f>InCF_Q!H27/10^9</f>
        <v>-15</v>
      </c>
      <c r="W147" s="68">
        <f>InCF_Q!I27/10^9</f>
        <v>-25</v>
      </c>
      <c r="X147" s="68">
        <f>InCF_Q!J27/10^9</f>
        <v>20</v>
      </c>
      <c r="Y147" s="68">
        <f>InCF_Q!K27/10^9</f>
        <v>0</v>
      </c>
      <c r="Z147" s="68">
        <f>InCF_Q!L27/10^9</f>
        <v>0</v>
      </c>
      <c r="AA147" s="68">
        <f>InCF_Q!M27/10^9</f>
        <v>0</v>
      </c>
      <c r="AB147" s="68">
        <f>InCF_Q!N27/10^9</f>
        <v>0</v>
      </c>
      <c r="AC147" s="68">
        <f>InCF_Q!O27/10^9</f>
        <v>0</v>
      </c>
      <c r="AD147" s="68">
        <f>InCF_Q!P27/10^9</f>
        <v>0</v>
      </c>
      <c r="AE147" s="68">
        <f>InCF_Q!Q27/10^9</f>
        <v>-13</v>
      </c>
      <c r="AF147" s="68">
        <f>InCF_Q!R27/10^9</f>
        <v>13</v>
      </c>
      <c r="AG147" s="68">
        <f>InCF_Q!S27/10^9</f>
        <v>0</v>
      </c>
      <c r="AH147" s="68">
        <f>InCF_Q!T27/10^9</f>
        <v>0</v>
      </c>
      <c r="AI147" s="68">
        <f>InCF_Q!U27/10^9</f>
        <v>0</v>
      </c>
      <c r="AJ147" s="68">
        <f>InCF_Q!V27/10^9</f>
        <v>0</v>
      </c>
      <c r="AK147" s="68">
        <f>InCF_Q!W27/10^9</f>
        <v>0</v>
      </c>
      <c r="AL147" s="68">
        <f>InCF_Q!X27/10^9</f>
        <v>0</v>
      </c>
      <c r="AM147" s="68">
        <f>InCF_Q!Y27/10^9</f>
        <v>0</v>
      </c>
      <c r="AN147" s="68">
        <f>InCF_Q!Z27/10^9</f>
        <v>0</v>
      </c>
    </row>
    <row r="148" spans="2:40" x14ac:dyDescent="0.3">
      <c r="B148" s="67" t="s">
        <v>152</v>
      </c>
      <c r="C148" s="68">
        <f>InCF!C28/10^9</f>
        <v>0</v>
      </c>
      <c r="D148" s="68">
        <f>InCF!D28/10^9</f>
        <v>0</v>
      </c>
      <c r="E148" s="68">
        <f>InCF!E28/10^9</f>
        <v>0</v>
      </c>
      <c r="F148" s="68">
        <f>InCF!F28/10^9</f>
        <v>0</v>
      </c>
      <c r="G148" s="68">
        <f>InCF!G28/10^9</f>
        <v>0</v>
      </c>
      <c r="H148" s="68">
        <f>InCF!H28/10^9</f>
        <v>0</v>
      </c>
      <c r="I148" s="68">
        <f>InCF!I28/10^9</f>
        <v>50.1</v>
      </c>
      <c r="J148" s="68">
        <f>InCF!J28/10^9</f>
        <v>25</v>
      </c>
      <c r="K148" s="68">
        <f>InCF!K28/10^9</f>
        <v>0</v>
      </c>
      <c r="L148" s="68">
        <f>InCF!L28/10^9</f>
        <v>0</v>
      </c>
      <c r="Q148" s="68">
        <f>InCF_Q!C28/10^9</f>
        <v>0</v>
      </c>
      <c r="R148" s="68">
        <f>InCF_Q!D28/10^9</f>
        <v>0</v>
      </c>
      <c r="S148" s="68">
        <f>InCF_Q!E28/10^9</f>
        <v>0</v>
      </c>
      <c r="T148" s="68">
        <f>InCF_Q!F28/10^9</f>
        <v>0</v>
      </c>
      <c r="U148" s="68">
        <f>InCF_Q!G28/10^9</f>
        <v>0</v>
      </c>
      <c r="V148" s="68">
        <f>InCF_Q!H28/10^9</f>
        <v>0</v>
      </c>
      <c r="W148" s="68">
        <f>InCF_Q!I28/10^9</f>
        <v>0</v>
      </c>
      <c r="X148" s="68">
        <f>InCF_Q!J28/10^9</f>
        <v>0</v>
      </c>
      <c r="Y148" s="68">
        <f>InCF_Q!K28/10^9</f>
        <v>0</v>
      </c>
      <c r="Z148" s="68">
        <f>InCF_Q!L28/10^9</f>
        <v>-5</v>
      </c>
      <c r="AA148" s="68">
        <f>InCF_Q!M28/10^9</f>
        <v>-39.070959999999999</v>
      </c>
      <c r="AB148" s="68">
        <f>InCF_Q!N28/10^9</f>
        <v>0</v>
      </c>
      <c r="AC148" s="68">
        <f>InCF_Q!O28/10^9</f>
        <v>0</v>
      </c>
      <c r="AD148" s="68">
        <f>InCF_Q!P28/10^9</f>
        <v>25</v>
      </c>
      <c r="AE148" s="68">
        <f>InCF_Q!Q28/10^9</f>
        <v>0</v>
      </c>
      <c r="AF148" s="68">
        <f>InCF_Q!R28/10^9</f>
        <v>0</v>
      </c>
      <c r="AG148" s="68">
        <f>InCF_Q!S28/10^9</f>
        <v>0</v>
      </c>
      <c r="AH148" s="68">
        <f>InCF_Q!T28/10^9</f>
        <v>0</v>
      </c>
      <c r="AI148" s="68">
        <f>InCF_Q!U28/10^9</f>
        <v>0</v>
      </c>
      <c r="AJ148" s="68">
        <f>InCF_Q!V28/10^9</f>
        <v>0</v>
      </c>
      <c r="AK148" s="68">
        <f>InCF_Q!W28/10^9</f>
        <v>0</v>
      </c>
      <c r="AL148" s="68">
        <f>InCF_Q!X28/10^9</f>
        <v>0</v>
      </c>
      <c r="AM148" s="68">
        <f>InCF_Q!Y28/10^9</f>
        <v>0</v>
      </c>
      <c r="AN148" s="68">
        <f>InCF_Q!Z28/10^9</f>
        <v>0</v>
      </c>
    </row>
    <row r="149" spans="2:40" x14ac:dyDescent="0.3">
      <c r="B149" s="67" t="s">
        <v>153</v>
      </c>
      <c r="C149" s="68">
        <f>InCF!C29/10^9</f>
        <v>0</v>
      </c>
      <c r="D149" s="68">
        <f>InCF!D29/10^9</f>
        <v>0</v>
      </c>
      <c r="E149" s="68">
        <f>InCF!E29/10^9</f>
        <v>0</v>
      </c>
      <c r="F149" s="68">
        <f>InCF!F29/10^9</f>
        <v>-3.1</v>
      </c>
      <c r="G149" s="68">
        <f>InCF!G29/10^9</f>
        <v>0</v>
      </c>
      <c r="H149" s="68">
        <f>InCF!H29/10^9</f>
        <v>0</v>
      </c>
      <c r="I149" s="68">
        <f>InCF!I29/10^9</f>
        <v>0</v>
      </c>
      <c r="J149" s="68">
        <f>InCF!J29/10^9</f>
        <v>0</v>
      </c>
      <c r="K149" s="68">
        <f>InCF!K29/10^9</f>
        <v>0</v>
      </c>
      <c r="L149" s="68">
        <f>InCF!L29/10^9</f>
        <v>0</v>
      </c>
      <c r="Q149" s="68">
        <f>InCF_Q!C29/10^9</f>
        <v>0</v>
      </c>
      <c r="R149" s="68">
        <f>InCF_Q!D29/10^9</f>
        <v>0</v>
      </c>
      <c r="S149" s="68">
        <f>InCF_Q!E29/10^9</f>
        <v>0</v>
      </c>
      <c r="T149" s="68">
        <f>InCF_Q!F29/10^9</f>
        <v>0</v>
      </c>
      <c r="U149" s="68">
        <f>InCF_Q!G29/10^9</f>
        <v>0</v>
      </c>
      <c r="V149" s="68">
        <f>InCF_Q!H29/10^9</f>
        <v>0</v>
      </c>
      <c r="W149" s="68">
        <f>InCF_Q!I29/10^9</f>
        <v>0</v>
      </c>
      <c r="X149" s="68">
        <f>InCF_Q!J29/10^9</f>
        <v>0</v>
      </c>
      <c r="Y149" s="68">
        <f>InCF_Q!K29/10^9</f>
        <v>0</v>
      </c>
      <c r="Z149" s="68">
        <f>InCF_Q!L29/10^9</f>
        <v>0</v>
      </c>
      <c r="AA149" s="68">
        <f>InCF_Q!M29/10^9</f>
        <v>0</v>
      </c>
      <c r="AB149" s="68">
        <f>InCF_Q!N29/10^9</f>
        <v>0</v>
      </c>
      <c r="AC149" s="68">
        <f>InCF_Q!O29/10^9</f>
        <v>0</v>
      </c>
      <c r="AD149" s="68">
        <f>InCF_Q!P29/10^9</f>
        <v>0</v>
      </c>
      <c r="AE149" s="68">
        <f>InCF_Q!Q29/10^9</f>
        <v>0</v>
      </c>
      <c r="AF149" s="68">
        <f>InCF_Q!R29/10^9</f>
        <v>0</v>
      </c>
      <c r="AG149" s="68">
        <f>InCF_Q!S29/10^9</f>
        <v>0</v>
      </c>
      <c r="AH149" s="68">
        <f>InCF_Q!T29/10^9</f>
        <v>0</v>
      </c>
      <c r="AI149" s="68">
        <f>InCF_Q!U29/10^9</f>
        <v>0</v>
      </c>
      <c r="AJ149" s="68">
        <f>InCF_Q!V29/10^9</f>
        <v>0</v>
      </c>
      <c r="AK149" s="68">
        <f>InCF_Q!W29/10^9</f>
        <v>0</v>
      </c>
      <c r="AL149" s="68">
        <f>InCF_Q!X29/10^9</f>
        <v>0</v>
      </c>
      <c r="AM149" s="68">
        <f>InCF_Q!Y29/10^9</f>
        <v>0</v>
      </c>
      <c r="AN149" s="68">
        <f>InCF_Q!Z29/10^9</f>
        <v>0</v>
      </c>
    </row>
    <row r="150" spans="2:40" x14ac:dyDescent="0.3">
      <c r="B150" s="67" t="s">
        <v>154</v>
      </c>
      <c r="C150" s="68">
        <f>InCF!C30/10^9</f>
        <v>0</v>
      </c>
      <c r="D150" s="68">
        <f>InCF!D30/10^9</f>
        <v>0</v>
      </c>
      <c r="E150" s="68">
        <f>InCF!E30/10^9</f>
        <v>0</v>
      </c>
      <c r="F150" s="68">
        <f>InCF!F30/10^9</f>
        <v>4</v>
      </c>
      <c r="G150" s="68">
        <f>InCF!G30/10^9</f>
        <v>0</v>
      </c>
      <c r="H150" s="68">
        <f>InCF!H30/10^9</f>
        <v>0</v>
      </c>
      <c r="I150" s="68">
        <f>InCF!I30/10^9</f>
        <v>5.7619999999999996</v>
      </c>
      <c r="J150" s="68">
        <f>InCF!J30/10^9</f>
        <v>0</v>
      </c>
      <c r="K150" s="68">
        <f>InCF!K30/10^9</f>
        <v>27</v>
      </c>
      <c r="L150" s="68">
        <f>InCF!L30/10^9</f>
        <v>13</v>
      </c>
      <c r="Q150" s="68">
        <f>InCF_Q!C30/10^9</f>
        <v>0</v>
      </c>
      <c r="R150" s="68">
        <f>InCF_Q!D30/10^9</f>
        <v>0</v>
      </c>
      <c r="S150" s="68">
        <f>InCF_Q!E30/10^9</f>
        <v>0</v>
      </c>
      <c r="T150" s="68">
        <f>InCF_Q!F30/10^9</f>
        <v>0</v>
      </c>
      <c r="U150" s="68">
        <f>InCF_Q!G30/10^9</f>
        <v>0</v>
      </c>
      <c r="V150" s="68">
        <f>InCF_Q!H30/10^9</f>
        <v>0</v>
      </c>
      <c r="W150" s="68">
        <f>InCF_Q!I30/10^9</f>
        <v>0</v>
      </c>
      <c r="X150" s="68">
        <f>InCF_Q!J30/10^9</f>
        <v>0</v>
      </c>
      <c r="Y150" s="68">
        <f>InCF_Q!K30/10^9</f>
        <v>0</v>
      </c>
      <c r="Z150" s="68">
        <f>InCF_Q!L30/10^9</f>
        <v>0</v>
      </c>
      <c r="AA150" s="68">
        <f>InCF_Q!M30/10^9</f>
        <v>0</v>
      </c>
      <c r="AB150" s="68">
        <f>InCF_Q!N30/10^9</f>
        <v>5</v>
      </c>
      <c r="AC150" s="68">
        <f>InCF_Q!O30/10^9</f>
        <v>0</v>
      </c>
      <c r="AD150" s="68">
        <f>InCF_Q!P30/10^9</f>
        <v>-65</v>
      </c>
      <c r="AE150" s="68">
        <f>InCF_Q!Q30/10^9</f>
        <v>0</v>
      </c>
      <c r="AF150" s="68">
        <f>InCF_Q!R30/10^9</f>
        <v>27</v>
      </c>
      <c r="AG150" s="68">
        <f>InCF_Q!S30/10^9</f>
        <v>0</v>
      </c>
      <c r="AH150" s="68">
        <f>InCF_Q!T30/10^9</f>
        <v>0</v>
      </c>
      <c r="AI150" s="68">
        <f>InCF_Q!U30/10^9</f>
        <v>13</v>
      </c>
      <c r="AJ150" s="68">
        <f>InCF_Q!V30/10^9</f>
        <v>0</v>
      </c>
      <c r="AK150" s="68">
        <f>InCF_Q!W30/10^9</f>
        <v>0</v>
      </c>
      <c r="AL150" s="68">
        <f>InCF_Q!X30/10^9</f>
        <v>0</v>
      </c>
      <c r="AM150" s="68">
        <f>InCF_Q!Y30/10^9</f>
        <v>-33.9</v>
      </c>
      <c r="AN150" s="68">
        <f>InCF_Q!Z30/10^9</f>
        <v>0</v>
      </c>
    </row>
    <row r="151" spans="2:40" x14ac:dyDescent="0.3">
      <c r="B151" s="67" t="s">
        <v>155</v>
      </c>
      <c r="C151" s="68">
        <f>InCF!C31/10^9</f>
        <v>6.6758458000000007E-2</v>
      </c>
      <c r="D151" s="68">
        <f>InCF!D31/10^9</f>
        <v>1.405063454</v>
      </c>
      <c r="E151" s="68">
        <f>InCF!E31/10^9</f>
        <v>1.758293844</v>
      </c>
      <c r="F151" s="68">
        <f>InCF!F31/10^9</f>
        <v>3.5137510010000002</v>
      </c>
      <c r="G151" s="68">
        <f>InCF!G31/10^9</f>
        <v>12.522118724</v>
      </c>
      <c r="H151" s="68">
        <f>InCF!H31/10^9</f>
        <v>21.799973913999999</v>
      </c>
      <c r="I151" s="68">
        <f>InCF!I31/10^9</f>
        <v>17.946649730000001</v>
      </c>
      <c r="J151" s="68">
        <f>InCF!J31/10^9</f>
        <v>15.565704925</v>
      </c>
      <c r="K151" s="68">
        <f>InCF!K31/10^9</f>
        <v>8.6630113929999997</v>
      </c>
      <c r="L151" s="68">
        <f>InCF!L31/10^9</f>
        <v>7.4217072679999996</v>
      </c>
      <c r="Q151" s="68">
        <f>InCF_Q!C31/10^9</f>
        <v>1.552924129</v>
      </c>
      <c r="R151" s="68">
        <f>InCF_Q!D31/10^9</f>
        <v>7.2846162579999998</v>
      </c>
      <c r="S151" s="68">
        <f>InCF_Q!E31/10^9</f>
        <v>2.9709524979999999</v>
      </c>
      <c r="T151" s="68">
        <f>InCF_Q!F31/10^9</f>
        <v>-6.6745892680000001</v>
      </c>
      <c r="U151" s="68">
        <f>InCF_Q!G31/10^9</f>
        <v>20.442055572000001</v>
      </c>
      <c r="V151" s="68">
        <f>InCF_Q!H31/10^9</f>
        <v>-6.8300915000000004E-2</v>
      </c>
      <c r="W151" s="68">
        <f>InCF_Q!I31/10^9</f>
        <v>7.5913353480000003</v>
      </c>
      <c r="X151" s="68">
        <f>InCF_Q!J31/10^9</f>
        <v>3.4652178999999999</v>
      </c>
      <c r="Y151" s="68">
        <f>InCF_Q!K31/10^9</f>
        <v>0</v>
      </c>
      <c r="Z151" s="68">
        <f>InCF_Q!L31/10^9</f>
        <v>2.158235328</v>
      </c>
      <c r="AA151" s="68">
        <f>InCF_Q!M31/10^9</f>
        <v>5.6747621759999998</v>
      </c>
      <c r="AB151" s="68">
        <f>InCF_Q!N31/10^9</f>
        <v>4.0737428939999996</v>
      </c>
      <c r="AC151" s="68">
        <f>InCF_Q!O31/10^9</f>
        <v>3.0315139420000001</v>
      </c>
      <c r="AD151" s="68">
        <f>InCF_Q!P31/10^9</f>
        <v>2.503279998</v>
      </c>
      <c r="AE151" s="68">
        <f>InCF_Q!Q31/10^9</f>
        <v>1.614012878</v>
      </c>
      <c r="AF151" s="68">
        <f>InCF_Q!R31/10^9</f>
        <v>2.7850954849999998</v>
      </c>
      <c r="AG151" s="68">
        <f>InCF_Q!S31/10^9</f>
        <v>1.7134002800000001</v>
      </c>
      <c r="AH151" s="68">
        <f>InCF_Q!T31/10^9</f>
        <v>1.7671116680000001</v>
      </c>
      <c r="AI151" s="68">
        <f>InCF_Q!U31/10^9</f>
        <v>1.7110345140000001</v>
      </c>
      <c r="AJ151" s="68">
        <f>InCF_Q!V31/10^9</f>
        <v>1.8530689739999999</v>
      </c>
      <c r="AK151" s="68">
        <f>InCF_Q!W31/10^9</f>
        <v>1.2498076970000001</v>
      </c>
      <c r="AL151" s="68">
        <f>InCF_Q!X31/10^9</f>
        <v>2.632869962</v>
      </c>
      <c r="AM151" s="68">
        <f>InCF_Q!Y31/10^9</f>
        <v>2.1408016700000001</v>
      </c>
      <c r="AN151" s="68">
        <f>InCF_Q!Z31/10^9</f>
        <v>1.801833332</v>
      </c>
    </row>
    <row r="152" spans="2:40" s="81" customFormat="1" x14ac:dyDescent="0.3">
      <c r="B152" s="73" t="s">
        <v>156</v>
      </c>
      <c r="C152" s="74">
        <f>InCF!C32/10^9</f>
        <v>-1.3180365860000001</v>
      </c>
      <c r="D152" s="74">
        <f>InCF!D32/10^9</f>
        <v>-72.822968473000003</v>
      </c>
      <c r="E152" s="74">
        <f>InCF!E32/10^9</f>
        <v>-35.633876375</v>
      </c>
      <c r="F152" s="74">
        <f>InCF!F32/10^9</f>
        <v>-71.824403998999998</v>
      </c>
      <c r="G152" s="74">
        <f>InCF!G32/10^9</f>
        <v>-253.29326177199999</v>
      </c>
      <c r="H152" s="74">
        <f>InCF!H32/10^9</f>
        <v>-78.593260801</v>
      </c>
      <c r="I152" s="74">
        <f>InCF!I32/10^9</f>
        <v>67.943641525000004</v>
      </c>
      <c r="J152" s="74">
        <f>InCF!J32/10^9</f>
        <v>-48.743434624999999</v>
      </c>
      <c r="K152" s="74">
        <f>InCF!K32/10^9</f>
        <v>-86.928825914000001</v>
      </c>
      <c r="L152" s="74">
        <f>InCF!L32/10^9</f>
        <v>-12.187261581</v>
      </c>
      <c r="N152" s="96"/>
      <c r="O152" s="96"/>
      <c r="P152" s="96"/>
      <c r="Q152" s="74">
        <f>InCF_Q!C32/10^9</f>
        <v>-80.706847624000005</v>
      </c>
      <c r="R152" s="74">
        <f>InCF_Q!D32/10^9</f>
        <v>-108.263004837</v>
      </c>
      <c r="S152" s="74">
        <f>InCF_Q!E32/10^9</f>
        <v>57.753902639000003</v>
      </c>
      <c r="T152" s="74">
        <f>InCF_Q!F32/10^9</f>
        <v>-4.1883009610000004</v>
      </c>
      <c r="U152" s="74">
        <f>InCF_Q!G32/10^9</f>
        <v>0.73088207400000005</v>
      </c>
      <c r="V152" s="74">
        <f>InCF_Q!H32/10^9</f>
        <v>-19.774023613000001</v>
      </c>
      <c r="W152" s="74">
        <f>InCF_Q!I32/10^9</f>
        <v>-59.301626833</v>
      </c>
      <c r="X152" s="74">
        <f>InCF_Q!J32/10^9</f>
        <v>18.209800400999999</v>
      </c>
      <c r="Y152" s="74">
        <f>InCF_Q!K32/10^9</f>
        <v>0</v>
      </c>
      <c r="Z152" s="74">
        <f>InCF_Q!L32/10^9</f>
        <v>-11.714662464</v>
      </c>
      <c r="AA152" s="74">
        <f>InCF_Q!M32/10^9</f>
        <v>-33.428743279000003</v>
      </c>
      <c r="AB152" s="74">
        <f>InCF_Q!N32/10^9</f>
        <v>14.333216689</v>
      </c>
      <c r="AC152" s="74">
        <f>InCF_Q!O32/10^9</f>
        <v>-67.155395233999997</v>
      </c>
      <c r="AD152" s="74">
        <f>InCF_Q!P32/10^9</f>
        <v>-43.448915507000002</v>
      </c>
      <c r="AE152" s="74">
        <f>InCF_Q!Q32/10^9</f>
        <v>-20.475447234000001</v>
      </c>
      <c r="AF152" s="74">
        <f>InCF_Q!R32/10^9</f>
        <v>-10.372252466999999</v>
      </c>
      <c r="AG152" s="74">
        <f>InCF_Q!S32/10^9</f>
        <v>-54.058592312000002</v>
      </c>
      <c r="AH152" s="74">
        <f>InCF_Q!T32/10^9</f>
        <v>-2.8059249830000002</v>
      </c>
      <c r="AI152" s="74">
        <f>InCF_Q!U32/10^9</f>
        <v>-12.023809985</v>
      </c>
      <c r="AJ152" s="74">
        <f>InCF_Q!V32/10^9</f>
        <v>0.70164951900000005</v>
      </c>
      <c r="AK152" s="74">
        <f>InCF_Q!W32/10^9</f>
        <v>-1.1537604850000001</v>
      </c>
      <c r="AL152" s="74">
        <f>InCF_Q!X32/10^9</f>
        <v>0.25223324899999999</v>
      </c>
      <c r="AM152" s="74">
        <f>InCF_Q!Y32/10^9</f>
        <v>-71.557198330000006</v>
      </c>
      <c r="AN152" s="74">
        <f>InCF_Q!Z32/10^9</f>
        <v>1.552160604</v>
      </c>
    </row>
    <row r="153" spans="2:40" s="81" customFormat="1" x14ac:dyDescent="0.3">
      <c r="B153" s="75" t="s">
        <v>157</v>
      </c>
      <c r="C153" s="77"/>
      <c r="D153" s="77"/>
      <c r="E153" s="77"/>
      <c r="F153" s="77"/>
      <c r="G153" s="77"/>
      <c r="H153" s="77"/>
      <c r="I153" s="77"/>
      <c r="J153" s="77"/>
      <c r="K153" s="77"/>
      <c r="L153" s="77"/>
      <c r="N153" s="94"/>
      <c r="O153" s="94"/>
      <c r="P153" s="94"/>
      <c r="Q153" s="77"/>
      <c r="R153" s="77"/>
      <c r="S153" s="77"/>
      <c r="T153" s="77"/>
      <c r="U153" s="77"/>
      <c r="V153" s="77"/>
      <c r="W153" s="77"/>
      <c r="X153" s="77"/>
      <c r="Y153" s="77"/>
      <c r="Z153" s="77"/>
      <c r="AA153" s="77"/>
      <c r="AB153" s="77"/>
      <c r="AC153" s="77"/>
      <c r="AD153" s="77"/>
      <c r="AE153" s="77"/>
      <c r="AF153" s="77"/>
      <c r="AG153" s="77"/>
      <c r="AH153" s="77"/>
      <c r="AI153" s="77"/>
      <c r="AJ153" s="77"/>
      <c r="AK153" s="77"/>
      <c r="AL153" s="77"/>
      <c r="AM153" s="77"/>
      <c r="AN153" s="77"/>
    </row>
    <row r="154" spans="2:40" x14ac:dyDescent="0.3">
      <c r="B154" s="67" t="s">
        <v>158</v>
      </c>
      <c r="C154" s="68">
        <f>InCF!C34/10^9</f>
        <v>13.570320000000001</v>
      </c>
      <c r="D154" s="68">
        <f>InCF!D34/10^9</f>
        <v>53.62968</v>
      </c>
      <c r="E154" s="68">
        <f>InCF!E34/10^9</f>
        <v>0</v>
      </c>
      <c r="F154" s="68">
        <f>InCF!F34/10^9</f>
        <v>59.49568</v>
      </c>
      <c r="G154" s="68">
        <f>InCF!G34/10^9</f>
        <v>0</v>
      </c>
      <c r="H154" s="68">
        <f>InCF!H34/10^9</f>
        <v>10.156000000000001</v>
      </c>
      <c r="I154" s="68">
        <f>InCF!I34/10^9</f>
        <v>10.652659999999999</v>
      </c>
      <c r="J154" s="68">
        <f>InCF!J34/10^9</f>
        <v>0</v>
      </c>
      <c r="K154" s="68">
        <f>InCF!K34/10^9</f>
        <v>0</v>
      </c>
      <c r="L154" s="68">
        <f>InCF!L34/10^9</f>
        <v>0</v>
      </c>
      <c r="Q154" s="68">
        <f>InCF_Q!C34/10^9</f>
        <v>0</v>
      </c>
      <c r="R154" s="68">
        <f>InCF_Q!D34/10^9</f>
        <v>0</v>
      </c>
      <c r="S154" s="68">
        <f>InCF_Q!E34/10^9</f>
        <v>0</v>
      </c>
      <c r="T154" s="68">
        <f>InCF_Q!F34/10^9</f>
        <v>10.156000000000001</v>
      </c>
      <c r="U154" s="68">
        <f>InCF_Q!G34/10^9</f>
        <v>0</v>
      </c>
      <c r="V154" s="68">
        <f>InCF_Q!H34/10^9</f>
        <v>0</v>
      </c>
      <c r="W154" s="68">
        <f>InCF_Q!I34/10^9</f>
        <v>0</v>
      </c>
      <c r="X154" s="68">
        <f>InCF_Q!J34/10^9</f>
        <v>0</v>
      </c>
      <c r="Y154" s="68">
        <f>InCF_Q!K34/10^9</f>
        <v>0</v>
      </c>
      <c r="Z154" s="68">
        <f>InCF_Q!L34/10^9</f>
        <v>0</v>
      </c>
      <c r="AA154" s="68">
        <f>InCF_Q!M34/10^9</f>
        <v>56.723619999999997</v>
      </c>
      <c r="AB154" s="68">
        <f>InCF_Q!N34/10^9</f>
        <v>0</v>
      </c>
      <c r="AC154" s="68">
        <f>InCF_Q!O34/10^9</f>
        <v>0</v>
      </c>
      <c r="AD154" s="68">
        <f>InCF_Q!P34/10^9</f>
        <v>0</v>
      </c>
      <c r="AE154" s="68">
        <f>InCF_Q!Q34/10^9</f>
        <v>0</v>
      </c>
      <c r="AF154" s="68">
        <f>InCF_Q!R34/10^9</f>
        <v>0</v>
      </c>
      <c r="AG154" s="68">
        <f>InCF_Q!S34/10^9</f>
        <v>0</v>
      </c>
      <c r="AH154" s="68">
        <f>InCF_Q!T34/10^9</f>
        <v>0</v>
      </c>
      <c r="AI154" s="68">
        <f>InCF_Q!U34/10^9</f>
        <v>0</v>
      </c>
      <c r="AJ154" s="68">
        <f>InCF_Q!V34/10^9</f>
        <v>0</v>
      </c>
      <c r="AK154" s="68">
        <f>InCF_Q!W34/10^9</f>
        <v>0</v>
      </c>
      <c r="AL154" s="68">
        <f>InCF_Q!X34/10^9</f>
        <v>0</v>
      </c>
      <c r="AM154" s="68">
        <f>InCF_Q!Y34/10^9</f>
        <v>0</v>
      </c>
      <c r="AN154" s="68">
        <f>InCF_Q!Z34/10^9</f>
        <v>0</v>
      </c>
    </row>
    <row r="155" spans="2:40" x14ac:dyDescent="0.3">
      <c r="B155" s="67" t="s">
        <v>159</v>
      </c>
      <c r="C155" s="68">
        <f>InCF!C35/10^9</f>
        <v>0</v>
      </c>
      <c r="D155" s="68">
        <f>InCF!D35/10^9</f>
        <v>0</v>
      </c>
      <c r="E155" s="68">
        <f>InCF!E35/10^9</f>
        <v>0</v>
      </c>
      <c r="F155" s="68">
        <f>InCF!F35/10^9</f>
        <v>0</v>
      </c>
      <c r="G155" s="68">
        <f>InCF!G35/10^9</f>
        <v>0</v>
      </c>
      <c r="H155" s="68">
        <f>InCF!H35/10^9</f>
        <v>0</v>
      </c>
      <c r="I155" s="68">
        <f>InCF!I35/10^9</f>
        <v>0</v>
      </c>
      <c r="J155" s="68">
        <f>InCF!J35/10^9</f>
        <v>0</v>
      </c>
      <c r="K155" s="68">
        <f>InCF!K35/10^9</f>
        <v>0</v>
      </c>
      <c r="L155" s="68">
        <f>InCF!L35/10^9</f>
        <v>0</v>
      </c>
      <c r="Q155" s="68">
        <f>InCF_Q!C35/10^9</f>
        <v>0</v>
      </c>
      <c r="R155" s="68">
        <f>InCF_Q!D35/10^9</f>
        <v>0</v>
      </c>
      <c r="S155" s="68">
        <f>InCF_Q!E35/10^9</f>
        <v>0</v>
      </c>
      <c r="T155" s="68">
        <f>InCF_Q!F35/10^9</f>
        <v>0</v>
      </c>
      <c r="U155" s="68">
        <f>InCF_Q!G35/10^9</f>
        <v>0</v>
      </c>
      <c r="V155" s="68">
        <f>InCF_Q!H35/10^9</f>
        <v>0</v>
      </c>
      <c r="W155" s="68">
        <f>InCF_Q!I35/10^9</f>
        <v>0</v>
      </c>
      <c r="X155" s="68">
        <f>InCF_Q!J35/10^9</f>
        <v>-10.3959887</v>
      </c>
      <c r="Y155" s="68">
        <f>InCF_Q!K35/10^9</f>
        <v>0</v>
      </c>
      <c r="Z155" s="68">
        <f>InCF_Q!L35/10^9</f>
        <v>20.798777399999999</v>
      </c>
      <c r="AA155" s="68">
        <f>InCF_Q!M35/10^9</f>
        <v>0</v>
      </c>
      <c r="AB155" s="68">
        <f>InCF_Q!N35/10^9</f>
        <v>0</v>
      </c>
      <c r="AC155" s="68">
        <f>InCF_Q!O35/10^9</f>
        <v>0</v>
      </c>
      <c r="AD155" s="68">
        <f>InCF_Q!P35/10^9</f>
        <v>0</v>
      </c>
      <c r="AE155" s="68">
        <f>InCF_Q!Q35/10^9</f>
        <v>0</v>
      </c>
      <c r="AF155" s="68">
        <f>InCF_Q!R35/10^9</f>
        <v>0</v>
      </c>
      <c r="AG155" s="68">
        <f>InCF_Q!S35/10^9</f>
        <v>0</v>
      </c>
      <c r="AH155" s="68">
        <f>InCF_Q!T35/10^9</f>
        <v>0</v>
      </c>
      <c r="AI155" s="68">
        <f>InCF_Q!U35/10^9</f>
        <v>0</v>
      </c>
      <c r="AJ155" s="68">
        <f>InCF_Q!V35/10^9</f>
        <v>0</v>
      </c>
      <c r="AK155" s="68">
        <f>InCF_Q!W35/10^9</f>
        <v>0</v>
      </c>
      <c r="AL155" s="68">
        <f>InCF_Q!X35/10^9</f>
        <v>0</v>
      </c>
      <c r="AM155" s="68">
        <f>InCF_Q!Y35/10^9</f>
        <v>0</v>
      </c>
      <c r="AN155" s="68">
        <f>InCF_Q!Z35/10^9</f>
        <v>0</v>
      </c>
    </row>
    <row r="156" spans="2:40" x14ac:dyDescent="0.3">
      <c r="B156" s="67" t="s">
        <v>160</v>
      </c>
      <c r="C156" s="68">
        <f>InCF!C36/10^9</f>
        <v>0</v>
      </c>
      <c r="D156" s="68">
        <f>InCF!D36/10^9</f>
        <v>26.495007169000001</v>
      </c>
      <c r="E156" s="68">
        <f>InCF!E36/10^9</f>
        <v>80.073451192999997</v>
      </c>
      <c r="F156" s="68">
        <f>InCF!F36/10^9</f>
        <v>33.309982411999997</v>
      </c>
      <c r="G156" s="68">
        <f>InCF!G36/10^9</f>
        <v>190.63071829899999</v>
      </c>
      <c r="H156" s="68">
        <f>InCF!H36/10^9</f>
        <v>18.600000000000001</v>
      </c>
      <c r="I156" s="68">
        <f>InCF!I36/10^9</f>
        <v>0</v>
      </c>
      <c r="J156" s="68">
        <f>InCF!J36/10^9</f>
        <v>37.120608400000002</v>
      </c>
      <c r="K156" s="68">
        <f>InCF!K36/10^9</f>
        <v>92.721764163000003</v>
      </c>
      <c r="L156" s="68">
        <f>InCF!L36/10^9</f>
        <v>14.705181872000001</v>
      </c>
      <c r="Q156" s="68">
        <f>InCF_Q!C36/10^9</f>
        <v>15.401587598000001</v>
      </c>
      <c r="R156" s="68">
        <f>InCF_Q!D36/10^9</f>
        <v>10.608687719000001</v>
      </c>
      <c r="S156" s="68">
        <f>InCF_Q!E36/10^9</f>
        <v>-9.1674441999999995E-2</v>
      </c>
      <c r="T156" s="68">
        <f>InCF_Q!F36/10^9</f>
        <v>0</v>
      </c>
      <c r="U156" s="68">
        <f>InCF_Q!G36/10^9</f>
        <v>0</v>
      </c>
      <c r="V156" s="68">
        <f>InCF_Q!H36/10^9</f>
        <v>-17.420005085</v>
      </c>
      <c r="W156" s="68">
        <f>InCF_Q!I36/10^9</f>
        <v>36.020005085000001</v>
      </c>
      <c r="X156" s="68">
        <f>InCF_Q!J36/10^9</f>
        <v>0</v>
      </c>
      <c r="Y156" s="68">
        <f>InCF_Q!K36/10^9</f>
        <v>0</v>
      </c>
      <c r="Z156" s="68">
        <f>InCF_Q!L36/10^9</f>
        <v>0</v>
      </c>
      <c r="AA156" s="68">
        <f>InCF_Q!M36/10^9</f>
        <v>0</v>
      </c>
      <c r="AB156" s="68">
        <f>InCF_Q!N36/10^9</f>
        <v>6.4878083999999996</v>
      </c>
      <c r="AC156" s="68">
        <f>InCF_Q!O36/10^9</f>
        <v>24.979162259999999</v>
      </c>
      <c r="AD156" s="68">
        <f>InCF_Q!P36/10^9</f>
        <v>1.2320935200000001</v>
      </c>
      <c r="AE156" s="68">
        <f>InCF_Q!Q36/10^9</f>
        <v>-39.657081726000001</v>
      </c>
      <c r="AF156" s="68">
        <f>InCF_Q!R36/10^9</f>
        <v>98.882921401000004</v>
      </c>
      <c r="AG156" s="68">
        <f>InCF_Q!S36/10^9</f>
        <v>20.06489916</v>
      </c>
      <c r="AH156" s="68">
        <f>InCF_Q!T36/10^9</f>
        <v>13.431025328</v>
      </c>
      <c r="AI156" s="68">
        <f>InCF_Q!U36/10^9</f>
        <v>10.42536</v>
      </c>
      <c r="AJ156" s="68">
        <f>InCF_Q!V36/10^9</f>
        <v>2.3358218719999999</v>
      </c>
      <c r="AK156" s="68">
        <f>InCF_Q!W36/10^9</f>
        <v>1.944</v>
      </c>
      <c r="AL156" s="68">
        <f>InCF_Q!X36/10^9</f>
        <v>0</v>
      </c>
      <c r="AM156" s="68">
        <f>InCF_Q!Y36/10^9</f>
        <v>0</v>
      </c>
      <c r="AN156" s="68">
        <f>InCF_Q!Z36/10^9</f>
        <v>0</v>
      </c>
    </row>
    <row r="157" spans="2:40" x14ac:dyDescent="0.3">
      <c r="B157" s="67" t="s">
        <v>161</v>
      </c>
      <c r="C157" s="68">
        <f>InCF!C37/10^9</f>
        <v>0</v>
      </c>
      <c r="D157" s="68">
        <f>InCF!D37/10^9</f>
        <v>-4.9937414999999996</v>
      </c>
      <c r="E157" s="68">
        <f>InCF!E37/10^9</f>
        <v>-27.79304243</v>
      </c>
      <c r="F157" s="68">
        <f>InCF!F37/10^9</f>
        <v>-40.076345490000001</v>
      </c>
      <c r="G157" s="68">
        <f>InCF!G37/10^9</f>
        <v>-88.403687766999994</v>
      </c>
      <c r="H157" s="68">
        <f>InCF!H37/10^9</f>
        <v>-62.656923954</v>
      </c>
      <c r="I157" s="68">
        <f>InCF!I37/10^9</f>
        <v>-60.2215548</v>
      </c>
      <c r="J157" s="68">
        <f>InCF!J37/10^9</f>
        <v>-44.556226625999997</v>
      </c>
      <c r="K157" s="68">
        <f>InCF!K37/10^9</f>
        <v>-80.230753820000004</v>
      </c>
      <c r="L157" s="68">
        <f>InCF!L37/10^9</f>
        <v>-42.301689668000002</v>
      </c>
      <c r="Q157" s="68">
        <f>InCF_Q!C37/10^9</f>
        <v>-25.945848805000001</v>
      </c>
      <c r="R157" s="68">
        <f>InCF_Q!D37/10^9</f>
        <v>-12.922551037</v>
      </c>
      <c r="S157" s="68">
        <f>InCF_Q!E37/10^9</f>
        <v>19.361476232000001</v>
      </c>
      <c r="T157" s="68">
        <f>InCF_Q!F37/10^9</f>
        <v>-17.420005043</v>
      </c>
      <c r="U157" s="68">
        <f>InCF_Q!G37/10^9</f>
        <v>-17.420005126</v>
      </c>
      <c r="V157" s="68">
        <f>InCF_Q!H37/10^9</f>
        <v>0</v>
      </c>
      <c r="W157" s="68">
        <f>InCF_Q!I37/10^9</f>
        <v>-27.816913785000001</v>
      </c>
      <c r="X157" s="68">
        <f>InCF_Q!J37/10^9</f>
        <v>0</v>
      </c>
      <c r="Y157" s="68">
        <f>InCF_Q!K37/10^9</f>
        <v>0</v>
      </c>
      <c r="Z157" s="68">
        <f>InCF_Q!L37/10^9</f>
        <v>-31.211766099999998</v>
      </c>
      <c r="AA157" s="68">
        <f>InCF_Q!M37/10^9</f>
        <v>-29.062588699999999</v>
      </c>
      <c r="AB157" s="68">
        <f>InCF_Q!N37/10^9</f>
        <v>-10.4091887</v>
      </c>
      <c r="AC157" s="68">
        <f>InCF_Q!O37/10^9</f>
        <v>-10.737461427</v>
      </c>
      <c r="AD157" s="68">
        <f>InCF_Q!P37/10^9</f>
        <v>-11.916486399</v>
      </c>
      <c r="AE157" s="68">
        <f>InCF_Q!Q37/10^9</f>
        <v>-53.999346000000003</v>
      </c>
      <c r="AF157" s="68">
        <f>InCF_Q!R37/10^9</f>
        <v>6.8381351539999997</v>
      </c>
      <c r="AG157" s="68">
        <f>InCF_Q!S37/10^9</f>
        <v>25.398903915999998</v>
      </c>
      <c r="AH157" s="68">
        <f>InCF_Q!T37/10^9</f>
        <v>-59.910516135000002</v>
      </c>
      <c r="AI157" s="68">
        <f>InCF_Q!U37/10^9</f>
        <v>-10.270337421000001</v>
      </c>
      <c r="AJ157" s="68">
        <f>InCF_Q!V37/10^9</f>
        <v>-10.623228415</v>
      </c>
      <c r="AK157" s="68">
        <f>InCF_Q!W37/10^9</f>
        <v>-10.623228416</v>
      </c>
      <c r="AL157" s="68">
        <f>InCF_Q!X37/10^9</f>
        <v>-10.784895415999999</v>
      </c>
      <c r="AM157" s="68">
        <f>InCF_Q!Y37/10^9</f>
        <v>-10.784895415999999</v>
      </c>
      <c r="AN157" s="68">
        <f>InCF_Q!Z37/10^9</f>
        <v>-6.6848954159999998</v>
      </c>
    </row>
    <row r="158" spans="2:40" x14ac:dyDescent="0.3">
      <c r="B158" s="67" t="s">
        <v>162</v>
      </c>
      <c r="C158" s="68">
        <f>InCF!C38/10^9</f>
        <v>0</v>
      </c>
      <c r="D158" s="68">
        <f>InCF!D38/10^9</f>
        <v>0</v>
      </c>
      <c r="E158" s="68">
        <f>InCF!E38/10^9</f>
        <v>0</v>
      </c>
      <c r="F158" s="68">
        <f>InCF!F38/10^9</f>
        <v>0</v>
      </c>
      <c r="G158" s="68">
        <f>InCF!G38/10^9</f>
        <v>0</v>
      </c>
      <c r="H158" s="68">
        <f>InCF!H38/10^9</f>
        <v>0</v>
      </c>
      <c r="I158" s="68">
        <f>InCF!I38/10^9</f>
        <v>0</v>
      </c>
      <c r="J158" s="68">
        <f>InCF!J38/10^9</f>
        <v>0</v>
      </c>
      <c r="K158" s="68">
        <f>InCF!K38/10^9</f>
        <v>0</v>
      </c>
      <c r="L158" s="68">
        <f>InCF!L38/10^9</f>
        <v>0</v>
      </c>
      <c r="Q158" s="68">
        <f>InCF_Q!C38/10^9</f>
        <v>0</v>
      </c>
      <c r="R158" s="68">
        <f>InCF_Q!D38/10^9</f>
        <v>0</v>
      </c>
      <c r="S158" s="68">
        <f>InCF_Q!E38/10^9</f>
        <v>0</v>
      </c>
      <c r="T158" s="68">
        <f>InCF_Q!F38/10^9</f>
        <v>0</v>
      </c>
      <c r="U158" s="68">
        <f>InCF_Q!G38/10^9</f>
        <v>0</v>
      </c>
      <c r="V158" s="68">
        <f>InCF_Q!H38/10^9</f>
        <v>0</v>
      </c>
      <c r="W158" s="68">
        <f>InCF_Q!I38/10^9</f>
        <v>0</v>
      </c>
      <c r="X158" s="68">
        <f>InCF_Q!J38/10^9</f>
        <v>0</v>
      </c>
      <c r="Y158" s="68">
        <f>InCF_Q!K38/10^9</f>
        <v>0</v>
      </c>
      <c r="Z158" s="68">
        <f>InCF_Q!L38/10^9</f>
        <v>0</v>
      </c>
      <c r="AA158" s="68">
        <f>InCF_Q!M38/10^9</f>
        <v>0</v>
      </c>
      <c r="AB158" s="68">
        <f>InCF_Q!N38/10^9</f>
        <v>0</v>
      </c>
      <c r="AC158" s="68">
        <f>InCF_Q!O38/10^9</f>
        <v>0</v>
      </c>
      <c r="AD158" s="68">
        <f>InCF_Q!P38/10^9</f>
        <v>0</v>
      </c>
      <c r="AE158" s="68">
        <f>InCF_Q!Q38/10^9</f>
        <v>0</v>
      </c>
      <c r="AF158" s="68">
        <f>InCF_Q!R38/10^9</f>
        <v>0</v>
      </c>
      <c r="AG158" s="68">
        <f>InCF_Q!S38/10^9</f>
        <v>0</v>
      </c>
      <c r="AH158" s="68">
        <f>InCF_Q!T38/10^9</f>
        <v>0</v>
      </c>
      <c r="AI158" s="68">
        <f>InCF_Q!U38/10^9</f>
        <v>0</v>
      </c>
      <c r="AJ158" s="68">
        <f>InCF_Q!V38/10^9</f>
        <v>0</v>
      </c>
      <c r="AK158" s="68">
        <f>InCF_Q!W38/10^9</f>
        <v>0</v>
      </c>
      <c r="AL158" s="68">
        <f>InCF_Q!X38/10^9</f>
        <v>0</v>
      </c>
      <c r="AM158" s="68">
        <f>InCF_Q!Y38/10^9</f>
        <v>0</v>
      </c>
      <c r="AN158" s="68">
        <f>InCF_Q!Z38/10^9</f>
        <v>0</v>
      </c>
    </row>
    <row r="159" spans="2:40" x14ac:dyDescent="0.3">
      <c r="B159" s="67" t="s">
        <v>163</v>
      </c>
      <c r="C159" s="68">
        <f>InCF!C39/10^9</f>
        <v>0</v>
      </c>
      <c r="D159" s="68">
        <f>InCF!D39/10^9</f>
        <v>0</v>
      </c>
      <c r="E159" s="68">
        <f>InCF!E39/10^9</f>
        <v>0</v>
      </c>
      <c r="F159" s="68">
        <f>InCF!F39/10^9</f>
        <v>-3.36</v>
      </c>
      <c r="G159" s="68">
        <f>InCF!G39/10^9</f>
        <v>-12.5</v>
      </c>
      <c r="H159" s="68">
        <f>InCF!H39/10^9</f>
        <v>-157.883028</v>
      </c>
      <c r="I159" s="68">
        <f>InCF!I39/10^9</f>
        <v>-64.204178999999996</v>
      </c>
      <c r="J159" s="68">
        <f>InCF!J39/10^9</f>
        <v>-94.504331100000002</v>
      </c>
      <c r="K159" s="68">
        <f>InCF!K39/10^9</f>
        <v>-94.508169899999999</v>
      </c>
      <c r="L159" s="68">
        <f>InCF!L39/10^9</f>
        <v>-80.706354000000005</v>
      </c>
      <c r="Q159" s="68">
        <f>InCF_Q!C39/10^9</f>
        <v>-5.6999999999999998E-4</v>
      </c>
      <c r="R159" s="68">
        <f>InCF_Q!D39/10^9</f>
        <v>12.50057</v>
      </c>
      <c r="S159" s="68">
        <f>InCF_Q!E39/10^9</f>
        <v>-12.50057</v>
      </c>
      <c r="T159" s="68">
        <f>InCF_Q!F39/10^9</f>
        <v>30.2631975</v>
      </c>
      <c r="U159" s="68">
        <f>InCF_Q!G39/10^9</f>
        <v>-156.1589085</v>
      </c>
      <c r="V159" s="68">
        <f>InCF_Q!H39/10^9</f>
        <v>0</v>
      </c>
      <c r="W159" s="68">
        <f>InCF_Q!I39/10^9</f>
        <v>-31.987317000000001</v>
      </c>
      <c r="X159" s="68">
        <f>InCF_Q!J39/10^9</f>
        <v>-32.134073999999998</v>
      </c>
      <c r="Y159" s="68">
        <f>InCF_Q!K39/10^9</f>
        <v>0</v>
      </c>
      <c r="Z159" s="68">
        <f>InCF_Q!L39/10^9</f>
        <v>-0.91100250000000005</v>
      </c>
      <c r="AA159" s="68">
        <f>InCF_Q!M39/10^9</f>
        <v>-5.75805E-2</v>
      </c>
      <c r="AB159" s="68">
        <f>InCF_Q!N39/10^9</f>
        <v>-40.504984499999999</v>
      </c>
      <c r="AC159" s="68">
        <f>InCF_Q!O39/10^9</f>
        <v>0</v>
      </c>
      <c r="AD159" s="68">
        <f>InCF_Q!P39/10^9</f>
        <v>2.2439161749999998</v>
      </c>
      <c r="AE159" s="68">
        <f>InCF_Q!Q39/10^9</f>
        <v>0</v>
      </c>
      <c r="AF159" s="68">
        <f>InCF_Q!R39/10^9</f>
        <v>-51.50819465</v>
      </c>
      <c r="AG159" s="68">
        <f>InCF_Q!S39/10^9</f>
        <v>-42.999975849999998</v>
      </c>
      <c r="AH159" s="68">
        <f>InCF_Q!T39/10^9</f>
        <v>0</v>
      </c>
      <c r="AI159" s="68">
        <f>InCF_Q!U39/10^9</f>
        <v>-80.999019000000004</v>
      </c>
      <c r="AJ159" s="68">
        <f>InCF_Q!V39/10^9</f>
        <v>0.30803999999999998</v>
      </c>
      <c r="AK159" s="68">
        <f>InCF_Q!W39/10^9</f>
        <v>-0.30803999999999998</v>
      </c>
      <c r="AL159" s="68">
        <f>InCF_Q!X39/10^9</f>
        <v>0</v>
      </c>
      <c r="AM159" s="68">
        <f>InCF_Q!Y39/10^9</f>
        <v>0</v>
      </c>
      <c r="AN159" s="68">
        <f>InCF_Q!Z39/10^9</f>
        <v>-81.000882000000004</v>
      </c>
    </row>
    <row r="160" spans="2:40" x14ac:dyDescent="0.3">
      <c r="B160" s="67" t="s">
        <v>164</v>
      </c>
      <c r="C160" s="68">
        <f>InCF!C40/10^9</f>
        <v>0</v>
      </c>
      <c r="D160" s="68">
        <f>InCF!D40/10^9</f>
        <v>0</v>
      </c>
      <c r="E160" s="68">
        <f>InCF!E40/10^9</f>
        <v>0</v>
      </c>
      <c r="F160" s="68">
        <f>InCF!F40/10^9</f>
        <v>0</v>
      </c>
      <c r="G160" s="68">
        <f>InCF!G40/10^9</f>
        <v>0</v>
      </c>
      <c r="H160" s="68">
        <f>InCF!H40/10^9</f>
        <v>0</v>
      </c>
      <c r="I160" s="68">
        <f>InCF!I40/10^9</f>
        <v>0</v>
      </c>
      <c r="J160" s="68">
        <f>InCF!J40/10^9</f>
        <v>0</v>
      </c>
      <c r="K160" s="68">
        <f>InCF!K40/10^9</f>
        <v>0</v>
      </c>
      <c r="L160" s="68">
        <f>InCF!L40/10^9</f>
        <v>0</v>
      </c>
      <c r="Q160" s="68">
        <f>InCF_Q!C40/10^9</f>
        <v>0</v>
      </c>
      <c r="R160" s="68">
        <f>InCF_Q!D40/10^9</f>
        <v>0</v>
      </c>
      <c r="S160" s="68">
        <f>InCF_Q!E40/10^9</f>
        <v>0</v>
      </c>
      <c r="T160" s="68">
        <f>InCF_Q!F40/10^9</f>
        <v>0</v>
      </c>
      <c r="U160" s="68">
        <f>InCF_Q!G40/10^9</f>
        <v>0</v>
      </c>
      <c r="V160" s="68">
        <f>InCF_Q!H40/10^9</f>
        <v>0</v>
      </c>
      <c r="W160" s="68">
        <f>InCF_Q!I40/10^9</f>
        <v>0</v>
      </c>
      <c r="X160" s="68">
        <f>InCF_Q!J40/10^9</f>
        <v>0</v>
      </c>
      <c r="Y160" s="68">
        <f>InCF_Q!K40/10^9</f>
        <v>0</v>
      </c>
      <c r="Z160" s="68">
        <f>InCF_Q!L40/10^9</f>
        <v>0</v>
      </c>
      <c r="AA160" s="68">
        <f>InCF_Q!M40/10^9</f>
        <v>0</v>
      </c>
      <c r="AB160" s="68">
        <f>InCF_Q!N40/10^9</f>
        <v>0</v>
      </c>
      <c r="AC160" s="68">
        <f>InCF_Q!O40/10^9</f>
        <v>0</v>
      </c>
      <c r="AD160" s="68">
        <f>InCF_Q!P40/10^9</f>
        <v>0</v>
      </c>
      <c r="AE160" s="68">
        <f>InCF_Q!Q40/10^9</f>
        <v>0</v>
      </c>
      <c r="AF160" s="68">
        <f>InCF_Q!R40/10^9</f>
        <v>0</v>
      </c>
      <c r="AG160" s="68">
        <f>InCF_Q!S40/10^9</f>
        <v>0</v>
      </c>
      <c r="AH160" s="68">
        <f>InCF_Q!T40/10^9</f>
        <v>0</v>
      </c>
      <c r="AI160" s="68">
        <f>InCF_Q!U40/10^9</f>
        <v>0</v>
      </c>
      <c r="AJ160" s="68">
        <f>InCF_Q!V40/10^9</f>
        <v>0</v>
      </c>
      <c r="AK160" s="68">
        <f>InCF_Q!W40/10^9</f>
        <v>0</v>
      </c>
      <c r="AL160" s="68">
        <f>InCF_Q!X40/10^9</f>
        <v>0</v>
      </c>
      <c r="AM160" s="68">
        <f>InCF_Q!Y40/10^9</f>
        <v>0</v>
      </c>
      <c r="AN160" s="68">
        <f>InCF_Q!Z40/10^9</f>
        <v>0</v>
      </c>
    </row>
    <row r="161" spans="2:40" s="81" customFormat="1" x14ac:dyDescent="0.3">
      <c r="B161" s="73" t="s">
        <v>165</v>
      </c>
      <c r="C161" s="74">
        <f>InCF!C41/10^9</f>
        <v>13.570320000000001</v>
      </c>
      <c r="D161" s="74">
        <f>InCF!D41/10^9</f>
        <v>75.130945668999999</v>
      </c>
      <c r="E161" s="74">
        <f>InCF!E41/10^9</f>
        <v>52.280408762999997</v>
      </c>
      <c r="F161" s="74">
        <f>InCF!F41/10^9</f>
        <v>49.369316922000003</v>
      </c>
      <c r="G161" s="74">
        <f>InCF!G41/10^9</f>
        <v>89.727030532000001</v>
      </c>
      <c r="H161" s="74">
        <f>InCF!H41/10^9</f>
        <v>-191.783951954</v>
      </c>
      <c r="I161" s="74">
        <f>InCF!I41/10^9</f>
        <v>-113.77307380000001</v>
      </c>
      <c r="J161" s="74">
        <f>InCF!J41/10^9</f>
        <v>-101.939949326</v>
      </c>
      <c r="K161" s="74">
        <f>InCF!K41/10^9</f>
        <v>-82.017159556999999</v>
      </c>
      <c r="L161" s="74">
        <f>InCF!L41/10^9</f>
        <v>-108.302861796</v>
      </c>
      <c r="N161" s="96"/>
      <c r="O161" s="96"/>
      <c r="P161" s="96"/>
      <c r="Q161" s="74">
        <f>InCF_Q!C41/10^9</f>
        <v>-10.544831207</v>
      </c>
      <c r="R161" s="74">
        <f>InCF_Q!D41/10^9</f>
        <v>10.186706682000001</v>
      </c>
      <c r="S161" s="74">
        <f>InCF_Q!E41/10^9</f>
        <v>6.7692317900000001</v>
      </c>
      <c r="T161" s="74">
        <f>InCF_Q!F41/10^9</f>
        <v>22.999192456999999</v>
      </c>
      <c r="U161" s="74">
        <f>InCF_Q!G41/10^9</f>
        <v>-173.578913626</v>
      </c>
      <c r="V161" s="74">
        <f>InCF_Q!H41/10^9</f>
        <v>-17.420005085</v>
      </c>
      <c r="W161" s="74">
        <f>InCF_Q!I41/10^9</f>
        <v>-23.7842257</v>
      </c>
      <c r="X161" s="74">
        <f>InCF_Q!J41/10^9</f>
        <v>-42.530062700000002</v>
      </c>
      <c r="Y161" s="74">
        <f>InCF_Q!K41/10^9</f>
        <v>0</v>
      </c>
      <c r="Z161" s="74">
        <f>InCF_Q!L41/10^9</f>
        <v>-11.3239912</v>
      </c>
      <c r="AA161" s="74">
        <f>InCF_Q!M41/10^9</f>
        <v>27.603450800000001</v>
      </c>
      <c r="AB161" s="74">
        <f>InCF_Q!N41/10^9</f>
        <v>-44.426364800000002</v>
      </c>
      <c r="AC161" s="74">
        <f>InCF_Q!O41/10^9</f>
        <v>14.241700832999999</v>
      </c>
      <c r="AD161" s="74">
        <f>InCF_Q!P41/10^9</f>
        <v>-8.4404767039999999</v>
      </c>
      <c r="AE161" s="74">
        <f>InCF_Q!Q41/10^9</f>
        <v>-93.656427726000004</v>
      </c>
      <c r="AF161" s="74">
        <f>InCF_Q!R41/10^9</f>
        <v>54.212861904999997</v>
      </c>
      <c r="AG161" s="74">
        <f>InCF_Q!S41/10^9</f>
        <v>2.4638272259999998</v>
      </c>
      <c r="AH161" s="74">
        <f>InCF_Q!T41/10^9</f>
        <v>-46.479490806999998</v>
      </c>
      <c r="AI161" s="74">
        <f>InCF_Q!U41/10^9</f>
        <v>-80.843996421</v>
      </c>
      <c r="AJ161" s="74">
        <f>InCF_Q!V41/10^9</f>
        <v>-7.9793665430000003</v>
      </c>
      <c r="AK161" s="74">
        <f>InCF_Q!W41/10^9</f>
        <v>-8.9872684159999991</v>
      </c>
      <c r="AL161" s="74">
        <f>InCF_Q!X41/10^9</f>
        <v>-10.784895415999999</v>
      </c>
      <c r="AM161" s="74">
        <f>InCF_Q!Y41/10^9</f>
        <v>-10.784895415999999</v>
      </c>
      <c r="AN161" s="74">
        <f>InCF_Q!Z41/10^9</f>
        <v>-87.685777415999993</v>
      </c>
    </row>
    <row r="162" spans="2:40" s="81" customFormat="1" x14ac:dyDescent="0.3">
      <c r="B162" s="75" t="s">
        <v>166</v>
      </c>
      <c r="C162" s="77">
        <f>InCF!C42/10^9</f>
        <v>11.016964603</v>
      </c>
      <c r="D162" s="77">
        <f>InCF!D42/10^9</f>
        <v>3.56188679</v>
      </c>
      <c r="E162" s="77">
        <f>InCF!E42/10^9</f>
        <v>21.463082054000001</v>
      </c>
      <c r="F162" s="77">
        <f>InCF!F42/10^9</f>
        <v>56.528532654000003</v>
      </c>
      <c r="G162" s="77">
        <f>InCF!G42/10^9</f>
        <v>86.579150460999998</v>
      </c>
      <c r="H162" s="77">
        <f>InCF!H42/10^9</f>
        <v>-93.993099375</v>
      </c>
      <c r="I162" s="77">
        <f>InCF!I42/10^9</f>
        <v>164.53784931499999</v>
      </c>
      <c r="J162" s="77">
        <f>InCF!J42/10^9</f>
        <v>38.892559110999997</v>
      </c>
      <c r="K162" s="77">
        <f>InCF!K42/10^9</f>
        <v>-7.1816618229999998</v>
      </c>
      <c r="L162" s="77">
        <f>InCF!L42/10^9</f>
        <v>60.954681448000002</v>
      </c>
      <c r="N162" s="94"/>
      <c r="O162" s="94"/>
      <c r="P162" s="94"/>
      <c r="Q162" s="77">
        <f>InCF_Q!C42/10^9</f>
        <v>-12.956524294999999</v>
      </c>
      <c r="R162" s="77">
        <f>InCF_Q!D42/10^9</f>
        <v>56.265153785000003</v>
      </c>
      <c r="S162" s="77">
        <f>InCF_Q!E42/10^9</f>
        <v>47.716159967999999</v>
      </c>
      <c r="T162" s="77">
        <f>InCF_Q!F42/10^9</f>
        <v>-10.404174806</v>
      </c>
      <c r="U162" s="77">
        <f>InCF_Q!G42/10^9</f>
        <v>-55.685344231999998</v>
      </c>
      <c r="V162" s="77">
        <f>InCF_Q!H42/10^9</f>
        <v>16.513450891000002</v>
      </c>
      <c r="W162" s="77">
        <f>InCF_Q!I42/10^9</f>
        <v>-44.412427639999997</v>
      </c>
      <c r="X162" s="77">
        <f>InCF_Q!J42/10^9</f>
        <v>29.675304046000001</v>
      </c>
      <c r="Y162" s="77">
        <f>InCF_Q!K42/10^9</f>
        <v>0</v>
      </c>
      <c r="Z162" s="77">
        <f>InCF_Q!L42/10^9</f>
        <v>15.563336779</v>
      </c>
      <c r="AA162" s="77">
        <f>InCF_Q!M42/10^9</f>
        <v>41.495906196999996</v>
      </c>
      <c r="AB162" s="77">
        <f>InCF_Q!N42/10^9</f>
        <v>3.8397957900000002</v>
      </c>
      <c r="AC162" s="77">
        <f>InCF_Q!O42/10^9</f>
        <v>-45.951745146999997</v>
      </c>
      <c r="AD162" s="77">
        <f>InCF_Q!P42/10^9</f>
        <v>-18.126897561</v>
      </c>
      <c r="AE162" s="77">
        <f>InCF_Q!Q42/10^9</f>
        <v>-76.035180874999995</v>
      </c>
      <c r="AF162" s="77">
        <f>InCF_Q!R42/10^9</f>
        <v>70.698760794999998</v>
      </c>
      <c r="AG162" s="77">
        <f>InCF_Q!S42/10^9</f>
        <v>-34.601107992000003</v>
      </c>
      <c r="AH162" s="77">
        <f>InCF_Q!T42/10^9</f>
        <v>32.757588658000003</v>
      </c>
      <c r="AI162" s="77">
        <f>InCF_Q!U42/10^9</f>
        <v>-70.259517574</v>
      </c>
      <c r="AJ162" s="77">
        <f>InCF_Q!V42/10^9</f>
        <v>53.772193573000003</v>
      </c>
      <c r="AK162" s="77">
        <f>InCF_Q!W42/10^9</f>
        <v>34.522745006000001</v>
      </c>
      <c r="AL162" s="77">
        <f>InCF_Q!X42/10^9</f>
        <v>42.927238473999999</v>
      </c>
      <c r="AM162" s="77">
        <f>InCF_Q!Y42/10^9</f>
        <v>-66.330607756999996</v>
      </c>
      <c r="AN162" s="77">
        <f>InCF_Q!Z42/10^9</f>
        <v>-33.556228302999997</v>
      </c>
    </row>
    <row r="163" spans="2:40" x14ac:dyDescent="0.3">
      <c r="B163" s="67" t="s">
        <v>167</v>
      </c>
      <c r="C163" s="68">
        <f>InCF!C43/10^9</f>
        <v>0</v>
      </c>
      <c r="D163" s="68">
        <f>InCF!D43/10^9</f>
        <v>11.016964603</v>
      </c>
      <c r="E163" s="68">
        <f>InCF!E43/10^9</f>
        <v>14.589526362000001</v>
      </c>
      <c r="F163" s="68">
        <f>InCF!F43/10^9</f>
        <v>36.053940394999998</v>
      </c>
      <c r="G163" s="68">
        <f>InCF!G43/10^9</f>
        <v>92.714464441999993</v>
      </c>
      <c r="H163" s="68">
        <f>InCF!H43/10^9</f>
        <v>179.29361490299999</v>
      </c>
      <c r="I163" s="68">
        <f>InCF!I43/10^9</f>
        <v>85.305119116</v>
      </c>
      <c r="J163" s="68">
        <f>InCF!J43/10^9</f>
        <v>249.84184841499999</v>
      </c>
      <c r="K163" s="68">
        <f>InCF!K43/10^9</f>
        <v>288.73489282100002</v>
      </c>
      <c r="L163" s="68">
        <f>InCF!L43/10^9</f>
        <v>281.71081347000001</v>
      </c>
      <c r="Q163" s="68">
        <f>InCF_Q!C43/10^9</f>
        <v>88.269010445999996</v>
      </c>
      <c r="R163" s="68">
        <f>InCF_Q!D43/10^9</f>
        <v>75.312301149999996</v>
      </c>
      <c r="S163" s="68">
        <f>InCF_Q!E43/10^9</f>
        <v>131.57745493499999</v>
      </c>
      <c r="T163" s="68">
        <f>InCF_Q!F43/10^9</f>
        <v>179.29361490299999</v>
      </c>
      <c r="U163" s="68">
        <f>InCF_Q!G43/10^9</f>
        <v>168.889440097</v>
      </c>
      <c r="V163" s="68">
        <f>InCF_Q!H43/10^9</f>
        <v>113.204095865</v>
      </c>
      <c r="W163" s="68">
        <f>InCF_Q!I43/10^9</f>
        <v>129.71754675599999</v>
      </c>
      <c r="X163" s="68">
        <f>InCF_Q!J43/10^9</f>
        <v>85.305119116</v>
      </c>
      <c r="Y163" s="68">
        <f>InCF_Q!K43/10^9</f>
        <v>0</v>
      </c>
      <c r="Z163" s="68">
        <f>InCF_Q!L43/10^9</f>
        <v>192.588487112</v>
      </c>
      <c r="AA163" s="68">
        <f>InCF_Q!M43/10^9</f>
        <v>208.29795673800001</v>
      </c>
      <c r="AB163" s="68">
        <f>InCF_Q!N43/10^9</f>
        <v>249.84184841499999</v>
      </c>
      <c r="AC163" s="68">
        <f>InCF_Q!O43/10^9</f>
        <v>352.76394407999999</v>
      </c>
      <c r="AD163" s="68">
        <f>InCF_Q!P43/10^9</f>
        <v>306.781904822</v>
      </c>
      <c r="AE163" s="68">
        <f>InCF_Q!Q43/10^9</f>
        <v>288.73489282100002</v>
      </c>
      <c r="AF163" s="68">
        <f>InCF_Q!R43/10^9</f>
        <v>212.67914738600001</v>
      </c>
      <c r="AG163" s="68">
        <f>InCF_Q!S43/10^9</f>
        <v>283.45182312399999</v>
      </c>
      <c r="AH163" s="68">
        <f>InCF_Q!T43/10^9</f>
        <v>248.797364749</v>
      </c>
      <c r="AI163" s="68">
        <f>InCF_Q!U43/10^9</f>
        <v>281.71081347000001</v>
      </c>
      <c r="AJ163" s="68">
        <f>InCF_Q!V43/10^9</f>
        <v>211.451295896</v>
      </c>
      <c r="AK163" s="68">
        <f>InCF_Q!W43/10^9</f>
        <v>265.230120704</v>
      </c>
      <c r="AL163" s="68">
        <f>InCF_Q!X43/10^9</f>
        <v>299.74623447499999</v>
      </c>
      <c r="AM163" s="68">
        <f>InCF_Q!Y43/10^9</f>
        <v>342.67347294899997</v>
      </c>
      <c r="AN163" s="68">
        <f>InCF_Q!Z43/10^9</f>
        <v>276.34286519199998</v>
      </c>
    </row>
    <row r="164" spans="2:40" x14ac:dyDescent="0.3">
      <c r="B164" s="67" t="s">
        <v>168</v>
      </c>
      <c r="C164" s="68">
        <f>InCF!C44/10^9</f>
        <v>0</v>
      </c>
      <c r="D164" s="68">
        <f>InCF!D44/10^9</f>
        <v>1.0674968999999999E-2</v>
      </c>
      <c r="E164" s="68">
        <f>InCF!E44/10^9</f>
        <v>1.3319790000000001E-3</v>
      </c>
      <c r="F164" s="68">
        <f>InCF!F44/10^9</f>
        <v>0.13199139300000001</v>
      </c>
      <c r="G164" s="68">
        <f>InCF!G44/10^9</f>
        <v>0</v>
      </c>
      <c r="H164" s="68">
        <f>InCF!H44/10^9</f>
        <v>4.6035879999999996E-3</v>
      </c>
      <c r="I164" s="68">
        <f>InCF!I44/10^9</f>
        <v>-1.1200159999999999E-3</v>
      </c>
      <c r="J164" s="68">
        <f>InCF!J44/10^9</f>
        <v>4.8529500000000001E-4</v>
      </c>
      <c r="K164" s="68">
        <f>InCF!K44/10^9</f>
        <v>0.157582472</v>
      </c>
      <c r="L164" s="68">
        <f>InCF!L44/10^9</f>
        <v>7.978031E-3</v>
      </c>
      <c r="Q164" s="68">
        <f>InCF_Q!C44/10^9</f>
        <v>0</v>
      </c>
      <c r="R164" s="68">
        <f>InCF_Q!D44/10^9</f>
        <v>0</v>
      </c>
      <c r="S164" s="68">
        <f>InCF_Q!E44/10^9</f>
        <v>0</v>
      </c>
      <c r="T164" s="68">
        <f>InCF_Q!F44/10^9</f>
        <v>0</v>
      </c>
      <c r="U164" s="68">
        <f>InCF_Q!G44/10^9</f>
        <v>0</v>
      </c>
      <c r="V164" s="68">
        <f>InCF_Q!H44/10^9</f>
        <v>0</v>
      </c>
      <c r="W164" s="68">
        <f>InCF_Q!I44/10^9</f>
        <v>0</v>
      </c>
      <c r="X164" s="68">
        <f>InCF_Q!J44/10^9</f>
        <v>7.496456E-2</v>
      </c>
      <c r="Y164" s="68">
        <f>InCF_Q!K44/10^9</f>
        <v>0</v>
      </c>
      <c r="Z164" s="68">
        <f>InCF_Q!L44/10^9</f>
        <v>0.14613284700000001</v>
      </c>
      <c r="AA164" s="68">
        <f>InCF_Q!M44/10^9</f>
        <v>4.7985479999999997E-2</v>
      </c>
      <c r="AB164" s="68">
        <f>InCF_Q!N44/10^9</f>
        <v>2.8096800000000002E-3</v>
      </c>
      <c r="AC164" s="68">
        <f>InCF_Q!O44/10^9</f>
        <v>-3.0294110999999999E-2</v>
      </c>
      <c r="AD164" s="68">
        <f>InCF_Q!P44/10^9</f>
        <v>7.9885559999999994E-2</v>
      </c>
      <c r="AE164" s="68">
        <f>InCF_Q!Q44/10^9</f>
        <v>-2.0564559999999999E-2</v>
      </c>
      <c r="AF164" s="68">
        <f>InCF_Q!R44/10^9</f>
        <v>7.3914942999999997E-2</v>
      </c>
      <c r="AG164" s="68">
        <f>InCF_Q!S44/10^9</f>
        <v>-5.3350383000000001E-2</v>
      </c>
      <c r="AH164" s="68">
        <f>InCF_Q!T44/10^9</f>
        <v>0.15566096600000001</v>
      </c>
      <c r="AI164" s="68">
        <f>InCF_Q!U44/10^9</f>
        <v>0</v>
      </c>
      <c r="AJ164" s="68">
        <f>InCF_Q!V44/10^9</f>
        <v>6.6312350000000001E-3</v>
      </c>
      <c r="AK164" s="68">
        <f>InCF_Q!W44/10^9</f>
        <v>-6.6312350000000001E-3</v>
      </c>
      <c r="AL164" s="68">
        <f>InCF_Q!X44/10^9</f>
        <v>0</v>
      </c>
      <c r="AM164" s="68">
        <f>InCF_Q!Y44/10^9</f>
        <v>0</v>
      </c>
      <c r="AN164" s="68">
        <f>InCF_Q!Z44/10^9</f>
        <v>0</v>
      </c>
    </row>
    <row r="165" spans="2:40" s="81" customFormat="1" x14ac:dyDescent="0.3">
      <c r="B165" s="75" t="s">
        <v>169</v>
      </c>
      <c r="C165" s="77">
        <f>InCF!C45/10^9</f>
        <v>11.016964603</v>
      </c>
      <c r="D165" s="77">
        <f>InCF!D45/10^9</f>
        <v>14.589526362000001</v>
      </c>
      <c r="E165" s="77">
        <f>InCF!E45/10^9</f>
        <v>36.053940394999998</v>
      </c>
      <c r="F165" s="77">
        <f>InCF!F45/10^9</f>
        <v>92.714464441999993</v>
      </c>
      <c r="G165" s="77">
        <f>InCF!G45/10^9</f>
        <v>179.29361490299999</v>
      </c>
      <c r="H165" s="77">
        <f>InCF!H45/10^9</f>
        <v>85.305119116</v>
      </c>
      <c r="I165" s="77">
        <f>InCF!I45/10^9</f>
        <v>249.84184841499999</v>
      </c>
      <c r="J165" s="77">
        <f>InCF!J45/10^9</f>
        <v>288.73489282100002</v>
      </c>
      <c r="K165" s="77">
        <f>InCF!K45/10^9</f>
        <v>281.71081347000001</v>
      </c>
      <c r="L165" s="77">
        <f>InCF!L45/10^9</f>
        <v>342.67347294899997</v>
      </c>
      <c r="N165" s="94"/>
      <c r="O165" s="94"/>
      <c r="P165" s="94"/>
      <c r="Q165" s="77">
        <f>InCF_Q!C45/10^9</f>
        <v>75.312486151000002</v>
      </c>
      <c r="R165" s="77">
        <f>InCF_Q!D45/10^9</f>
        <v>131.57745493499999</v>
      </c>
      <c r="S165" s="77">
        <f>InCF_Q!E45/10^9</f>
        <v>179.29361490299999</v>
      </c>
      <c r="T165" s="77">
        <f>InCF_Q!F45/10^9</f>
        <v>168.889440097</v>
      </c>
      <c r="U165" s="77">
        <f>InCF_Q!G45/10^9</f>
        <v>113.204095865</v>
      </c>
      <c r="V165" s="77">
        <f>InCF_Q!H45/10^9</f>
        <v>129.71754675599999</v>
      </c>
      <c r="W165" s="77">
        <f>InCF_Q!I45/10^9</f>
        <v>85.305119116</v>
      </c>
      <c r="X165" s="77">
        <f>InCF_Q!J45/10^9</f>
        <v>115.05538772200001</v>
      </c>
      <c r="Y165" s="77">
        <f>InCF_Q!K45/10^9</f>
        <v>0</v>
      </c>
      <c r="Z165" s="77">
        <f>InCF_Q!L45/10^9</f>
        <v>208.29795673800001</v>
      </c>
      <c r="AA165" s="77">
        <f>InCF_Q!M45/10^9</f>
        <v>249.84184841499999</v>
      </c>
      <c r="AB165" s="77">
        <f>InCF_Q!N45/10^9</f>
        <v>253.68445388500001</v>
      </c>
      <c r="AC165" s="77">
        <f>InCF_Q!O45/10^9</f>
        <v>306.781904822</v>
      </c>
      <c r="AD165" s="77">
        <f>InCF_Q!P45/10^9</f>
        <v>288.73489282100002</v>
      </c>
      <c r="AE165" s="77">
        <f>InCF_Q!Q45/10^9</f>
        <v>212.67914738600001</v>
      </c>
      <c r="AF165" s="77">
        <f>InCF_Q!R45/10^9</f>
        <v>283.45182312399999</v>
      </c>
      <c r="AG165" s="77">
        <f>InCF_Q!S45/10^9</f>
        <v>248.797364749</v>
      </c>
      <c r="AH165" s="77">
        <f>InCF_Q!T45/10^9</f>
        <v>281.710614373</v>
      </c>
      <c r="AI165" s="77">
        <f>InCF_Q!U45/10^9</f>
        <v>211.451295896</v>
      </c>
      <c r="AJ165" s="77">
        <f>InCF_Q!V45/10^9</f>
        <v>265.230120704</v>
      </c>
      <c r="AK165" s="77">
        <f>InCF_Q!W45/10^9</f>
        <v>299.74623447499999</v>
      </c>
      <c r="AL165" s="77">
        <f>InCF_Q!X45/10^9</f>
        <v>342.67347294899997</v>
      </c>
      <c r="AM165" s="77">
        <f>InCF_Q!Y45/10^9</f>
        <v>276.34286519199998</v>
      </c>
      <c r="AN165" s="77">
        <f>InCF_Q!Z45/10^9</f>
        <v>242.78663688899999</v>
      </c>
    </row>
  </sheetData>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8CB4D2"/>
  </sheetPr>
  <dimension ref="B2:AE129"/>
  <sheetViews>
    <sheetView zoomScale="115" zoomScaleNormal="115" zoomScalePageLayoutView="115" workbookViewId="0">
      <pane xSplit="2" ySplit="3" topLeftCell="I32" activePane="bottomRight" state="frozen"/>
      <selection pane="topRight" activeCell="C1" sqref="C1"/>
      <selection pane="bottomLeft" activeCell="A4" sqref="A4"/>
      <selection pane="bottomRight" activeCell="N55" sqref="N55"/>
    </sheetView>
  </sheetViews>
  <sheetFormatPr defaultColWidth="8.88671875" defaultRowHeight="14.4" x14ac:dyDescent="0.3"/>
  <cols>
    <col min="1" max="1" width="5.33203125" style="54" customWidth="1"/>
    <col min="2" max="2" width="44.6640625" style="54" bestFit="1" customWidth="1"/>
    <col min="3" max="3" width="8.88671875" style="54"/>
    <col min="4" max="10" width="10.6640625" style="54" bestFit="1" customWidth="1"/>
    <col min="11" max="12" width="11.33203125" style="54" bestFit="1" customWidth="1"/>
    <col min="13" max="19" width="10.6640625" style="54" bestFit="1" customWidth="1"/>
    <col min="20" max="20" width="10.44140625" style="54" customWidth="1"/>
    <col min="21" max="21" width="33" style="54" bestFit="1" customWidth="1"/>
    <col min="22" max="22" width="8.44140625" style="54" bestFit="1" customWidth="1"/>
    <col min="23" max="23" width="6.109375" style="54" bestFit="1" customWidth="1"/>
    <col min="24" max="29" width="9" style="54" bestFit="1" customWidth="1"/>
    <col min="30" max="30" width="9.6640625" style="54" customWidth="1"/>
    <col min="31" max="16384" width="8.88671875" style="54"/>
  </cols>
  <sheetData>
    <row r="2" spans="2:20" x14ac:dyDescent="0.3">
      <c r="B2" s="56"/>
      <c r="C2" s="56"/>
      <c r="D2" s="56"/>
      <c r="E2" s="56"/>
      <c r="F2" s="56"/>
      <c r="G2" s="56"/>
      <c r="H2" s="56"/>
      <c r="I2" s="56"/>
      <c r="J2" s="56"/>
      <c r="K2" s="56"/>
      <c r="L2" s="56"/>
      <c r="M2" s="56"/>
      <c r="N2" s="224" t="str">
        <f t="shared" ref="N2:S2" ca="1" si="0">IF(TODAY()&lt;N3,"Proj","")</f>
        <v/>
      </c>
      <c r="O2" s="224" t="str">
        <f t="shared" ca="1" si="0"/>
        <v/>
      </c>
      <c r="P2" s="224" t="str">
        <f t="shared" ca="1" si="0"/>
        <v/>
      </c>
      <c r="Q2" s="224" t="str">
        <f t="shared" ca="1" si="0"/>
        <v/>
      </c>
      <c r="R2" s="224" t="str">
        <f t="shared" ca="1" si="0"/>
        <v/>
      </c>
      <c r="S2" s="224" t="str">
        <f t="shared" ca="1" si="0"/>
        <v>Proj</v>
      </c>
    </row>
    <row r="3" spans="2:20" s="55" customFormat="1" x14ac:dyDescent="0.3">
      <c r="B3" s="100"/>
      <c r="C3" s="100"/>
      <c r="D3" s="225">
        <v>39447</v>
      </c>
      <c r="E3" s="225">
        <v>39813</v>
      </c>
      <c r="F3" s="225">
        <v>40178</v>
      </c>
      <c r="G3" s="225">
        <v>40543</v>
      </c>
      <c r="H3" s="225">
        <v>40908</v>
      </c>
      <c r="I3" s="225">
        <v>41274</v>
      </c>
      <c r="J3" s="225">
        <v>41639</v>
      </c>
      <c r="K3" s="225">
        <v>42004</v>
      </c>
      <c r="L3" s="225">
        <v>42369</v>
      </c>
      <c r="M3" s="225">
        <v>42735</v>
      </c>
      <c r="N3" s="225">
        <v>43100</v>
      </c>
      <c r="O3" s="225">
        <v>43465</v>
      </c>
      <c r="P3" s="225">
        <v>43830</v>
      </c>
      <c r="Q3" s="225">
        <v>44196</v>
      </c>
      <c r="R3" s="225">
        <v>44561</v>
      </c>
      <c r="S3" s="225">
        <v>44926</v>
      </c>
      <c r="T3" s="226"/>
    </row>
    <row r="4" spans="2:20" s="55" customFormat="1" x14ac:dyDescent="0.3">
      <c r="B4" s="224"/>
      <c r="C4" s="224"/>
      <c r="D4" s="302"/>
      <c r="E4" s="210"/>
      <c r="F4" s="210"/>
      <c r="G4" s="210"/>
      <c r="H4" s="210"/>
      <c r="I4" s="210"/>
      <c r="J4" s="210"/>
      <c r="K4" s="210"/>
      <c r="L4" s="210"/>
      <c r="M4" s="210"/>
      <c r="N4" s="210"/>
      <c r="O4" s="210"/>
      <c r="P4" s="210"/>
      <c r="Q4" s="210"/>
      <c r="R4" s="210"/>
      <c r="S4" s="210"/>
      <c r="T4" s="226"/>
    </row>
    <row r="5" spans="2:20" s="303" customFormat="1" x14ac:dyDescent="0.3">
      <c r="B5" s="220" t="s">
        <v>588</v>
      </c>
      <c r="E5" s="304">
        <v>100.03</v>
      </c>
      <c r="F5" s="304">
        <v>61.91</v>
      </c>
      <c r="G5" s="304">
        <v>79.5</v>
      </c>
      <c r="H5" s="304">
        <v>95.02</v>
      </c>
      <c r="I5" s="304">
        <v>94.18</v>
      </c>
      <c r="J5" s="304">
        <v>98.12</v>
      </c>
      <c r="K5" s="304">
        <v>93.08</v>
      </c>
      <c r="L5" s="304">
        <v>48.95</v>
      </c>
      <c r="M5" s="304">
        <v>43.48</v>
      </c>
      <c r="N5" s="246">
        <v>52</v>
      </c>
      <c r="O5" s="246">
        <v>55</v>
      </c>
      <c r="P5" s="246">
        <v>55</v>
      </c>
      <c r="Q5" s="246">
        <v>55</v>
      </c>
      <c r="R5" s="246">
        <v>60</v>
      </c>
      <c r="S5" s="246">
        <v>60</v>
      </c>
    </row>
    <row r="6" spans="2:20" s="228" customFormat="1" x14ac:dyDescent="0.3">
      <c r="B6" s="228" t="s">
        <v>308</v>
      </c>
      <c r="F6" s="229">
        <f t="shared" ref="F6" si="1">F5/E5-1</f>
        <v>-0.38108567429771067</v>
      </c>
      <c r="G6" s="229">
        <f t="shared" ref="G6" si="2">G5/F5-1</f>
        <v>0.28412211274430632</v>
      </c>
      <c r="H6" s="229">
        <f t="shared" ref="H6" si="3">H5/G5-1</f>
        <v>0.19522012578616343</v>
      </c>
      <c r="I6" s="229">
        <f t="shared" ref="I6:J6" si="4">I5/H5-1</f>
        <v>-8.8402441591243219E-3</v>
      </c>
      <c r="J6" s="229">
        <f t="shared" si="4"/>
        <v>4.1834784455298424E-2</v>
      </c>
      <c r="K6" s="229">
        <f t="shared" ref="K6:Q6" si="5">K5/J5-1</f>
        <v>-5.1365674684060392E-2</v>
      </c>
      <c r="L6" s="229">
        <f t="shared" si="5"/>
        <v>-0.47410829394069609</v>
      </c>
      <c r="M6" s="229">
        <f t="shared" si="5"/>
        <v>-0.11174668028600621</v>
      </c>
      <c r="N6" s="235">
        <f t="shared" si="5"/>
        <v>0.1959521619135236</v>
      </c>
      <c r="O6" s="235">
        <f t="shared" si="5"/>
        <v>5.7692307692307709E-2</v>
      </c>
      <c r="P6" s="235">
        <f t="shared" si="5"/>
        <v>0</v>
      </c>
      <c r="Q6" s="235">
        <f t="shared" si="5"/>
        <v>0</v>
      </c>
      <c r="R6" s="235">
        <f t="shared" ref="R6:S6" si="6">R5/Q5-1</f>
        <v>9.0909090909090828E-2</v>
      </c>
      <c r="S6" s="235">
        <f t="shared" si="6"/>
        <v>0</v>
      </c>
    </row>
    <row r="8" spans="2:20" x14ac:dyDescent="0.3">
      <c r="B8" s="220" t="s">
        <v>694</v>
      </c>
      <c r="E8" s="575">
        <v>9625</v>
      </c>
      <c r="F8" s="575">
        <v>10800</v>
      </c>
      <c r="G8" s="575">
        <v>13227.142857142901</v>
      </c>
      <c r="H8" s="575">
        <v>16272.5</v>
      </c>
      <c r="I8" s="575">
        <v>18276.9230769231</v>
      </c>
      <c r="J8" s="575">
        <v>18468</v>
      </c>
      <c r="K8" s="575">
        <v>16974.916666666701</v>
      </c>
      <c r="L8" s="575">
        <v>10730</v>
      </c>
      <c r="M8" s="575">
        <v>9031</v>
      </c>
      <c r="N8" s="642">
        <v>11102</v>
      </c>
      <c r="O8" s="642">
        <v>11742.5</v>
      </c>
      <c r="P8" s="642">
        <v>11742.5</v>
      </c>
      <c r="Q8" s="642">
        <v>11742.5</v>
      </c>
      <c r="R8" s="642">
        <v>12809.999999999998</v>
      </c>
      <c r="S8" s="642">
        <v>12809.999999999998</v>
      </c>
    </row>
    <row r="9" spans="2:20" x14ac:dyDescent="0.3">
      <c r="B9" s="228" t="s">
        <v>308</v>
      </c>
      <c r="E9" s="575"/>
      <c r="F9" s="229">
        <f>F8/E8-1</f>
        <v>0.12207792207792201</v>
      </c>
      <c r="G9" s="229">
        <f t="shared" ref="G9:S9" si="7">G8/F8-1</f>
        <v>0.22473544973545367</v>
      </c>
      <c r="H9" s="229">
        <f t="shared" si="7"/>
        <v>0.2302354465925005</v>
      </c>
      <c r="I9" s="229">
        <f t="shared" si="7"/>
        <v>0.12317855750026729</v>
      </c>
      <c r="J9" s="229">
        <f t="shared" si="7"/>
        <v>1.0454545454544162E-2</v>
      </c>
      <c r="K9" s="229">
        <f t="shared" si="7"/>
        <v>-8.0847050754456307E-2</v>
      </c>
      <c r="L9" s="229">
        <f t="shared" si="7"/>
        <v>-0.36789085857073556</v>
      </c>
      <c r="M9" s="229">
        <f t="shared" si="7"/>
        <v>-0.15834109972041011</v>
      </c>
      <c r="N9" s="235">
        <f t="shared" si="7"/>
        <v>0.2293212268851732</v>
      </c>
      <c r="O9" s="235">
        <f t="shared" si="7"/>
        <v>5.7692307692307709E-2</v>
      </c>
      <c r="P9" s="235">
        <f t="shared" si="7"/>
        <v>0</v>
      </c>
      <c r="Q9" s="235">
        <f t="shared" si="7"/>
        <v>0</v>
      </c>
      <c r="R9" s="235">
        <f t="shared" si="7"/>
        <v>9.0909090909090828E-2</v>
      </c>
      <c r="S9" s="235">
        <f t="shared" si="7"/>
        <v>0</v>
      </c>
    </row>
    <row r="11" spans="2:20" s="55" customFormat="1" x14ac:dyDescent="0.3">
      <c r="B11" s="40" t="s">
        <v>400</v>
      </c>
      <c r="N11" s="153">
        <v>89.397199999999998</v>
      </c>
      <c r="O11" s="153">
        <v>80.192099999999996</v>
      </c>
      <c r="P11" s="153">
        <v>74.383899999999997</v>
      </c>
      <c r="Q11" s="153">
        <v>69.821399999999997</v>
      </c>
      <c r="R11" s="145"/>
      <c r="S11" s="145"/>
    </row>
    <row r="12" spans="2:20" s="228" customFormat="1" x14ac:dyDescent="0.3">
      <c r="B12" s="228" t="s">
        <v>308</v>
      </c>
      <c r="N12" s="235"/>
      <c r="O12" s="235">
        <f t="shared" ref="O12:P12" si="8">O11/N11-1</f>
        <v>-0.10296854935053901</v>
      </c>
      <c r="P12" s="235">
        <f t="shared" si="8"/>
        <v>-7.2428580870185444E-2</v>
      </c>
      <c r="Q12" s="235">
        <f>Q11/P11-1</f>
        <v>-6.1337197968915347E-2</v>
      </c>
      <c r="R12" s="344"/>
      <c r="S12" s="344"/>
    </row>
    <row r="14" spans="2:20" s="55" customFormat="1" x14ac:dyDescent="0.3">
      <c r="B14" s="40" t="s">
        <v>309</v>
      </c>
      <c r="D14" s="303"/>
      <c r="E14" s="303">
        <v>16318</v>
      </c>
      <c r="F14" s="303">
        <v>17072</v>
      </c>
      <c r="G14" s="303">
        <v>18618</v>
      </c>
      <c r="H14" s="303">
        <v>20544</v>
      </c>
      <c r="I14" s="303">
        <v>20828</v>
      </c>
      <c r="J14" s="303">
        <v>20940</v>
      </c>
      <c r="K14" s="303">
        <v>21153</v>
      </c>
      <c r="L14" s="303">
        <v>21689</v>
      </c>
      <c r="M14" s="303">
        <v>21935</v>
      </c>
      <c r="N14" s="345">
        <v>22797</v>
      </c>
      <c r="O14" s="345">
        <v>23252.94</v>
      </c>
      <c r="P14" s="345">
        <v>23717.998799999998</v>
      </c>
      <c r="Q14" s="345">
        <v>24192.358775999997</v>
      </c>
      <c r="R14" s="345">
        <v>24676.205951519998</v>
      </c>
      <c r="S14" s="345">
        <v>25169.730070550399</v>
      </c>
    </row>
    <row r="15" spans="2:20" s="228" customFormat="1" x14ac:dyDescent="0.3">
      <c r="B15" s="228" t="s">
        <v>308</v>
      </c>
      <c r="H15" s="305"/>
      <c r="I15" s="305"/>
      <c r="J15" s="229"/>
      <c r="K15" s="229">
        <f t="shared" ref="K15" si="9">K14/J14-1</f>
        <v>1.0171919770773696E-2</v>
      </c>
      <c r="L15" s="229">
        <f t="shared" ref="L15" si="10">L14/K14-1</f>
        <v>2.533919538599716E-2</v>
      </c>
      <c r="M15" s="229">
        <f>M14/L14-1</f>
        <v>1.1342155009451904E-2</v>
      </c>
      <c r="N15" s="235">
        <f t="shared" ref="N15:R15" si="11">N14/M14-1</f>
        <v>3.9297925689537161E-2</v>
      </c>
      <c r="O15" s="235">
        <f t="shared" si="11"/>
        <v>2.0000000000000018E-2</v>
      </c>
      <c r="P15" s="235">
        <f t="shared" si="11"/>
        <v>2.0000000000000018E-2</v>
      </c>
      <c r="Q15" s="235">
        <f t="shared" si="11"/>
        <v>2.0000000000000018E-2</v>
      </c>
      <c r="R15" s="235">
        <f t="shared" si="11"/>
        <v>2.0000000000000018E-2</v>
      </c>
      <c r="S15" s="235">
        <f>S14/R14-1</f>
        <v>2.0000000000000018E-2</v>
      </c>
    </row>
    <row r="16" spans="2:20" s="56" customFormat="1" x14ac:dyDescent="0.3">
      <c r="D16" s="81"/>
      <c r="E16" s="81"/>
      <c r="F16" s="81"/>
      <c r="G16" s="81"/>
      <c r="H16" s="81"/>
      <c r="I16" s="81"/>
      <c r="J16" s="81"/>
      <c r="K16" s="81"/>
      <c r="L16" s="81"/>
      <c r="M16" s="81"/>
      <c r="N16" s="619"/>
      <c r="O16" s="619"/>
      <c r="P16" s="619"/>
      <c r="Q16" s="619"/>
      <c r="R16" s="619"/>
      <c r="S16" s="619"/>
    </row>
    <row r="17" spans="2:28" x14ac:dyDescent="0.3">
      <c r="B17" s="30" t="s">
        <v>310</v>
      </c>
    </row>
    <row r="18" spans="2:28" s="55" customFormat="1" x14ac:dyDescent="0.3">
      <c r="B18" s="221" t="s">
        <v>311</v>
      </c>
      <c r="C18" s="100"/>
      <c r="D18" s="306"/>
      <c r="E18" s="306">
        <f>InIS!D7/10^9</f>
        <v>7.8663824360000003</v>
      </c>
      <c r="F18" s="306">
        <f>InIS!E7/10^9</f>
        <v>75.687354268999997</v>
      </c>
      <c r="G18" s="306">
        <f>InIS!F7/10^9</f>
        <v>285.40842659899999</v>
      </c>
      <c r="H18" s="306">
        <f>InIS!G7/10^9</f>
        <v>731.81939765599998</v>
      </c>
      <c r="I18" s="306">
        <f>InIS!H7/10^9</f>
        <v>801.188394926</v>
      </c>
      <c r="J18" s="306">
        <f>InIS!I7/10^9</f>
        <v>949.78055784599997</v>
      </c>
      <c r="K18" s="306">
        <f>InIS!J7/10^9</f>
        <v>1085.5814541719999</v>
      </c>
      <c r="L18" s="306">
        <f>InIS!K7/10^9</f>
        <v>950.20789748599998</v>
      </c>
      <c r="M18" s="306">
        <f>InIS!L7/10^9</f>
        <v>890.56689622900001</v>
      </c>
      <c r="N18" s="306">
        <f>N52</f>
        <v>1121.1689489322985</v>
      </c>
      <c r="O18" s="306">
        <f>O52</f>
        <v>1278.0186963731614</v>
      </c>
      <c r="P18" s="306">
        <f t="shared" ref="P18:S18" si="12">P52</f>
        <v>1330.1872125925233</v>
      </c>
      <c r="Q18" s="306">
        <f t="shared" si="12"/>
        <v>1371.5386846361603</v>
      </c>
      <c r="R18" s="306">
        <f t="shared" si="12"/>
        <v>1542.5586989198246</v>
      </c>
      <c r="S18" s="306">
        <f t="shared" si="12"/>
        <v>1590.1482758013935</v>
      </c>
    </row>
    <row r="19" spans="2:28" s="228" customFormat="1" x14ac:dyDescent="0.3">
      <c r="B19" s="643" t="s">
        <v>316</v>
      </c>
      <c r="F19" s="229">
        <f t="shared" ref="F19:L19" si="13">F18/E18-1</f>
        <v>8.6216214867232512</v>
      </c>
      <c r="G19" s="229">
        <f t="shared" si="13"/>
        <v>2.7708865550331105</v>
      </c>
      <c r="H19" s="229">
        <f t="shared" si="13"/>
        <v>1.5641127922414473</v>
      </c>
      <c r="I19" s="229">
        <f t="shared" si="13"/>
        <v>9.4789776674664816E-2</v>
      </c>
      <c r="J19" s="229">
        <f t="shared" si="13"/>
        <v>0.18546469701888824</v>
      </c>
      <c r="K19" s="229">
        <f t="shared" si="13"/>
        <v>0.14298133943063829</v>
      </c>
      <c r="L19" s="229">
        <f t="shared" si="13"/>
        <v>-0.12470142720819855</v>
      </c>
      <c r="M19" s="229">
        <f>M18/L18-1</f>
        <v>-6.2766265587556491E-2</v>
      </c>
      <c r="N19" s="229">
        <f>N18/M18-1</f>
        <v>0.25893849600715635</v>
      </c>
      <c r="O19" s="229">
        <f>O18/N18-1</f>
        <v>0.13989840477675797</v>
      </c>
      <c r="P19" s="229">
        <f t="shared" ref="P19:S19" si="14">P18/O18-1</f>
        <v>4.0819838056680213E-2</v>
      </c>
      <c r="Q19" s="229">
        <f t="shared" si="14"/>
        <v>3.1086956521738873E-2</v>
      </c>
      <c r="R19" s="229">
        <f t="shared" si="14"/>
        <v>0.12469208211143701</v>
      </c>
      <c r="S19" s="229">
        <f t="shared" si="14"/>
        <v>3.0851063829787195E-2</v>
      </c>
    </row>
    <row r="20" spans="2:28" x14ac:dyDescent="0.3">
      <c r="R20" s="102"/>
      <c r="V20" s="228"/>
      <c r="W20" s="228"/>
      <c r="X20" s="228"/>
      <c r="Y20" s="228"/>
      <c r="Z20" s="228"/>
      <c r="AA20" s="228"/>
      <c r="AB20" s="228"/>
    </row>
    <row r="21" spans="2:28" x14ac:dyDescent="0.3">
      <c r="B21" s="158" t="s">
        <v>312</v>
      </c>
      <c r="C21" s="56"/>
      <c r="D21" s="56"/>
      <c r="E21" s="56"/>
      <c r="F21" s="56"/>
      <c r="G21" s="56"/>
      <c r="H21" s="56"/>
      <c r="I21" s="56"/>
      <c r="J21" s="56"/>
      <c r="K21" s="56"/>
      <c r="L21" s="56"/>
      <c r="M21" s="56"/>
      <c r="N21" s="56"/>
      <c r="O21" s="56"/>
      <c r="P21" s="56"/>
      <c r="Q21" s="56"/>
      <c r="R21" s="56"/>
      <c r="S21" s="56"/>
      <c r="V21" s="228"/>
      <c r="W21" s="228"/>
      <c r="X21" s="228"/>
      <c r="Y21" s="228"/>
      <c r="Z21" s="228"/>
      <c r="AA21" s="228"/>
      <c r="AB21" s="228"/>
    </row>
    <row r="22" spans="2:28" s="55" customFormat="1" x14ac:dyDescent="0.3">
      <c r="B22" s="224" t="s">
        <v>318</v>
      </c>
      <c r="C22" s="224"/>
      <c r="D22" s="224"/>
      <c r="E22" s="224">
        <f>E23</f>
        <v>30</v>
      </c>
      <c r="F22" s="224">
        <f t="shared" ref="F22:S22" si="15">F23</f>
        <v>30</v>
      </c>
      <c r="G22" s="224">
        <f t="shared" si="15"/>
        <v>30</v>
      </c>
      <c r="H22" s="224">
        <f t="shared" si="15"/>
        <v>70</v>
      </c>
      <c r="I22" s="224">
        <f t="shared" si="15"/>
        <v>70</v>
      </c>
      <c r="J22" s="224">
        <f t="shared" si="15"/>
        <v>70</v>
      </c>
      <c r="K22" s="224">
        <f t="shared" si="15"/>
        <v>70</v>
      </c>
      <c r="L22" s="224">
        <f t="shared" si="15"/>
        <v>95</v>
      </c>
      <c r="M22" s="224">
        <f>M23</f>
        <v>95</v>
      </c>
      <c r="N22" s="283">
        <f>N23</f>
        <v>110</v>
      </c>
      <c r="O22" s="283">
        <f>O23</f>
        <v>130</v>
      </c>
      <c r="P22" s="283">
        <f t="shared" si="15"/>
        <v>130</v>
      </c>
      <c r="Q22" s="283">
        <f t="shared" si="15"/>
        <v>130</v>
      </c>
      <c r="R22" s="283">
        <f t="shared" si="15"/>
        <v>130</v>
      </c>
      <c r="S22" s="283">
        <f t="shared" si="15"/>
        <v>130</v>
      </c>
      <c r="U22" s="121"/>
      <c r="V22" s="228"/>
      <c r="W22" s="228"/>
      <c r="X22" s="228"/>
      <c r="Y22" s="228"/>
      <c r="Z22" s="228"/>
      <c r="AA22" s="228"/>
      <c r="AB22" s="228"/>
    </row>
    <row r="23" spans="2:28" x14ac:dyDescent="0.3">
      <c r="B23" s="308" t="s">
        <v>314</v>
      </c>
      <c r="C23" s="56"/>
      <c r="D23" s="309"/>
      <c r="E23" s="309">
        <v>30</v>
      </c>
      <c r="F23" s="309">
        <v>30</v>
      </c>
      <c r="G23" s="309">
        <v>30</v>
      </c>
      <c r="H23" s="309">
        <v>70</v>
      </c>
      <c r="I23" s="309">
        <v>70</v>
      </c>
      <c r="J23" s="309">
        <v>70</v>
      </c>
      <c r="K23" s="309">
        <v>70</v>
      </c>
      <c r="L23" s="309">
        <v>95</v>
      </c>
      <c r="M23" s="309">
        <v>95</v>
      </c>
      <c r="N23" s="284">
        <v>110</v>
      </c>
      <c r="O23" s="284">
        <v>130</v>
      </c>
      <c r="P23" s="284">
        <v>130</v>
      </c>
      <c r="Q23" s="284">
        <v>130</v>
      </c>
      <c r="R23" s="284">
        <v>130</v>
      </c>
      <c r="S23" s="284">
        <v>130</v>
      </c>
      <c r="U23" s="121"/>
      <c r="V23" s="228"/>
      <c r="W23" s="228"/>
      <c r="X23" s="228"/>
      <c r="Y23" s="228"/>
      <c r="Z23" s="228"/>
      <c r="AA23" s="228"/>
      <c r="AB23" s="228"/>
    </row>
    <row r="24" spans="2:28" s="55" customFormat="1" x14ac:dyDescent="0.3">
      <c r="B24" s="224" t="s">
        <v>691</v>
      </c>
      <c r="C24" s="224"/>
      <c r="D24" s="224"/>
      <c r="E24" s="224"/>
      <c r="F24" s="224"/>
      <c r="G24" s="224"/>
      <c r="H24" s="224"/>
      <c r="I24" s="224"/>
      <c r="J24" s="224"/>
      <c r="K24" s="224"/>
      <c r="L24" s="224">
        <f t="shared" ref="L24:M24" si="16">L25</f>
        <v>30</v>
      </c>
      <c r="M24" s="224">
        <f t="shared" si="16"/>
        <v>30</v>
      </c>
      <c r="N24" s="283">
        <f>N25</f>
        <v>30</v>
      </c>
      <c r="O24" s="283">
        <f t="shared" ref="O24:S24" si="17">O25</f>
        <v>30</v>
      </c>
      <c r="P24" s="283">
        <f t="shared" si="17"/>
        <v>30</v>
      </c>
      <c r="Q24" s="283">
        <f t="shared" si="17"/>
        <v>30</v>
      </c>
      <c r="R24" s="283">
        <f t="shared" si="17"/>
        <v>30</v>
      </c>
      <c r="S24" s="283">
        <f t="shared" si="17"/>
        <v>30</v>
      </c>
      <c r="U24" s="121"/>
      <c r="V24" s="228"/>
      <c r="W24" s="228"/>
      <c r="X24" s="228"/>
      <c r="Y24" s="228"/>
      <c r="Z24" s="228"/>
      <c r="AA24" s="228"/>
      <c r="AB24" s="228"/>
    </row>
    <row r="25" spans="2:28" x14ac:dyDescent="0.3">
      <c r="B25" s="311" t="s">
        <v>314</v>
      </c>
      <c r="C25" s="232"/>
      <c r="D25" s="232"/>
      <c r="E25" s="232"/>
      <c r="F25" s="232"/>
      <c r="G25" s="232"/>
      <c r="H25" s="232"/>
      <c r="I25" s="232"/>
      <c r="J25" s="232"/>
      <c r="K25" s="232"/>
      <c r="L25" s="312">
        <v>30</v>
      </c>
      <c r="M25" s="312">
        <v>30</v>
      </c>
      <c r="N25" s="155">
        <v>30</v>
      </c>
      <c r="O25" s="155">
        <v>30</v>
      </c>
      <c r="P25" s="155">
        <v>30</v>
      </c>
      <c r="Q25" s="155">
        <v>30</v>
      </c>
      <c r="R25" s="155">
        <v>30</v>
      </c>
      <c r="S25" s="155">
        <v>30</v>
      </c>
    </row>
    <row r="26" spans="2:28" s="55" customFormat="1" x14ac:dyDescent="0.3">
      <c r="B26" s="55" t="s">
        <v>702</v>
      </c>
      <c r="E26" s="55">
        <f>E22+E24</f>
        <v>30</v>
      </c>
      <c r="F26" s="55">
        <f t="shared" ref="F26:S26" si="18">F22+F24</f>
        <v>30</v>
      </c>
      <c r="G26" s="55">
        <f t="shared" si="18"/>
        <v>30</v>
      </c>
      <c r="H26" s="55">
        <f t="shared" si="18"/>
        <v>70</v>
      </c>
      <c r="I26" s="55">
        <f t="shared" si="18"/>
        <v>70</v>
      </c>
      <c r="J26" s="55">
        <f t="shared" si="18"/>
        <v>70</v>
      </c>
      <c r="K26" s="55">
        <f t="shared" si="18"/>
        <v>70</v>
      </c>
      <c r="L26" s="55">
        <f t="shared" si="18"/>
        <v>125</v>
      </c>
      <c r="M26" s="55">
        <f t="shared" si="18"/>
        <v>125</v>
      </c>
      <c r="N26" s="145">
        <f t="shared" si="18"/>
        <v>140</v>
      </c>
      <c r="O26" s="145">
        <f t="shared" si="18"/>
        <v>160</v>
      </c>
      <c r="P26" s="145">
        <f t="shared" si="18"/>
        <v>160</v>
      </c>
      <c r="Q26" s="145">
        <f t="shared" si="18"/>
        <v>160</v>
      </c>
      <c r="R26" s="145">
        <f t="shared" si="18"/>
        <v>160</v>
      </c>
      <c r="S26" s="145">
        <f t="shared" si="18"/>
        <v>160</v>
      </c>
    </row>
    <row r="28" spans="2:28" hidden="1" x14ac:dyDescent="0.3"/>
    <row r="29" spans="2:28" x14ac:dyDescent="0.3">
      <c r="B29" s="158" t="s">
        <v>315</v>
      </c>
      <c r="C29" s="56"/>
      <c r="D29" s="56"/>
      <c r="E29" s="56"/>
      <c r="F29" s="56"/>
      <c r="G29" s="56"/>
      <c r="H29" s="56"/>
      <c r="I29" s="56"/>
      <c r="J29" s="56"/>
      <c r="K29" s="56"/>
      <c r="L29" s="56"/>
      <c r="M29" s="56"/>
      <c r="N29" s="56"/>
      <c r="O29" s="56"/>
      <c r="P29" s="56"/>
      <c r="Q29" s="56"/>
      <c r="R29" s="56"/>
      <c r="S29" s="56"/>
    </row>
    <row r="30" spans="2:28" x14ac:dyDescent="0.3">
      <c r="B30" s="224" t="s">
        <v>318</v>
      </c>
      <c r="C30" s="56"/>
      <c r="D30" s="56"/>
      <c r="E30" s="313">
        <f t="shared" ref="E30:L30" si="19">E31</f>
        <v>1.4333333333333331E-3</v>
      </c>
      <c r="F30" s="313">
        <f t="shared" si="19"/>
        <v>0.30666666666666664</v>
      </c>
      <c r="G30" s="313">
        <f t="shared" si="19"/>
        <v>0.879</v>
      </c>
      <c r="H30" s="313">
        <f t="shared" si="19"/>
        <v>0.76571428571428568</v>
      </c>
      <c r="I30" s="313">
        <f t="shared" si="19"/>
        <v>0.75714285714285712</v>
      </c>
      <c r="J30" s="313">
        <f t="shared" si="19"/>
        <v>0.89</v>
      </c>
      <c r="K30" s="313">
        <f t="shared" si="19"/>
        <v>1.0657142857142856</v>
      </c>
      <c r="L30" s="313">
        <f t="shared" si="19"/>
        <v>0.89789473684210519</v>
      </c>
      <c r="M30" s="313">
        <f>M31</f>
        <v>0.97263157894736851</v>
      </c>
      <c r="N30" s="285">
        <f>N31</f>
        <v>0.98</v>
      </c>
      <c r="O30" s="285">
        <f t="shared" ref="O30:S30" si="20">O31</f>
        <v>0.9</v>
      </c>
      <c r="P30" s="285">
        <f t="shared" si="20"/>
        <v>0.92</v>
      </c>
      <c r="Q30" s="285">
        <f t="shared" si="20"/>
        <v>0.93</v>
      </c>
      <c r="R30" s="285">
        <f t="shared" si="20"/>
        <v>0.94</v>
      </c>
      <c r="S30" s="285">
        <f t="shared" si="20"/>
        <v>0.95</v>
      </c>
    </row>
    <row r="31" spans="2:28" x14ac:dyDescent="0.3">
      <c r="B31" s="308" t="s">
        <v>314</v>
      </c>
      <c r="C31" s="56"/>
      <c r="D31" s="56"/>
      <c r="E31" s="230">
        <f t="shared" ref="E31:L31" si="21">E39/E23</f>
        <v>1.4333333333333331E-3</v>
      </c>
      <c r="F31" s="230">
        <f t="shared" si="21"/>
        <v>0.30666666666666664</v>
      </c>
      <c r="G31" s="230">
        <f t="shared" si="21"/>
        <v>0.879</v>
      </c>
      <c r="H31" s="230">
        <f t="shared" si="21"/>
        <v>0.76571428571428568</v>
      </c>
      <c r="I31" s="230">
        <f t="shared" si="21"/>
        <v>0.75714285714285712</v>
      </c>
      <c r="J31" s="230">
        <f t="shared" si="21"/>
        <v>0.89</v>
      </c>
      <c r="K31" s="230">
        <f t="shared" si="21"/>
        <v>1.0657142857142856</v>
      </c>
      <c r="L31" s="230">
        <f t="shared" si="21"/>
        <v>0.89789473684210519</v>
      </c>
      <c r="M31" s="230">
        <f>M39/M23</f>
        <v>0.97263157894736851</v>
      </c>
      <c r="N31" s="218">
        <v>0.98</v>
      </c>
      <c r="O31" s="218">
        <v>0.9</v>
      </c>
      <c r="P31" s="218">
        <v>0.92</v>
      </c>
      <c r="Q31" s="218">
        <v>0.93</v>
      </c>
      <c r="R31" s="218">
        <v>0.94</v>
      </c>
      <c r="S31" s="218">
        <v>0.95</v>
      </c>
    </row>
    <row r="32" spans="2:28" x14ac:dyDescent="0.3">
      <c r="B32" s="224" t="s">
        <v>691</v>
      </c>
      <c r="C32" s="56"/>
      <c r="D32" s="56"/>
      <c r="E32" s="277"/>
      <c r="F32" s="277"/>
      <c r="G32" s="277"/>
      <c r="H32" s="277"/>
      <c r="I32" s="277"/>
      <c r="J32" s="277"/>
      <c r="K32" s="277"/>
      <c r="L32" s="314">
        <f t="shared" ref="L32:S32" si="22">L33</f>
        <v>0.3</v>
      </c>
      <c r="M32" s="314">
        <f t="shared" si="22"/>
        <v>0.90666666666666662</v>
      </c>
      <c r="N32" s="286">
        <f t="shared" si="22"/>
        <v>0.98</v>
      </c>
      <c r="O32" s="286">
        <f t="shared" si="22"/>
        <v>0.91</v>
      </c>
      <c r="P32" s="286">
        <f t="shared" si="22"/>
        <v>0.92</v>
      </c>
      <c r="Q32" s="286">
        <f t="shared" si="22"/>
        <v>0.93</v>
      </c>
      <c r="R32" s="286">
        <f t="shared" si="22"/>
        <v>0.94</v>
      </c>
      <c r="S32" s="286">
        <f t="shared" si="22"/>
        <v>0.95</v>
      </c>
    </row>
    <row r="33" spans="2:31" x14ac:dyDescent="0.3">
      <c r="B33" s="311" t="s">
        <v>314</v>
      </c>
      <c r="C33" s="232"/>
      <c r="D33" s="232"/>
      <c r="E33" s="315"/>
      <c r="F33" s="278"/>
      <c r="G33" s="278"/>
      <c r="H33" s="278"/>
      <c r="I33" s="278"/>
      <c r="J33" s="278"/>
      <c r="K33" s="278"/>
      <c r="L33" s="278">
        <f>L41/L25</f>
        <v>0.3</v>
      </c>
      <c r="M33" s="278">
        <f>M41/M25</f>
        <v>0.90666666666666662</v>
      </c>
      <c r="N33" s="287">
        <v>0.98</v>
      </c>
      <c r="O33" s="287">
        <v>0.91</v>
      </c>
      <c r="P33" s="287">
        <v>0.92</v>
      </c>
      <c r="Q33" s="287">
        <v>0.93</v>
      </c>
      <c r="R33" s="287">
        <v>0.94</v>
      </c>
      <c r="S33" s="287">
        <v>0.95</v>
      </c>
    </row>
    <row r="34" spans="2:31" s="55" customFormat="1" x14ac:dyDescent="0.3">
      <c r="B34" s="316" t="s">
        <v>701</v>
      </c>
      <c r="E34" s="310">
        <f>E42/E26</f>
        <v>1.4333333333333331E-3</v>
      </c>
      <c r="F34" s="310">
        <f t="shared" ref="F34:R34" si="23">F42/F26</f>
        <v>0.30666666666666664</v>
      </c>
      <c r="G34" s="310">
        <f t="shared" si="23"/>
        <v>0.879</v>
      </c>
      <c r="H34" s="310">
        <f t="shared" si="23"/>
        <v>0.76571428571428568</v>
      </c>
      <c r="I34" s="310">
        <f t="shared" si="23"/>
        <v>0.75714285714285712</v>
      </c>
      <c r="J34" s="310">
        <f t="shared" si="23"/>
        <v>0.89</v>
      </c>
      <c r="K34" s="310">
        <f t="shared" si="23"/>
        <v>1.0657142857142856</v>
      </c>
      <c r="L34" s="310">
        <f>L42/L26</f>
        <v>0.75439999999999996</v>
      </c>
      <c r="M34" s="310">
        <f t="shared" si="23"/>
        <v>0.95680000000000009</v>
      </c>
      <c r="N34" s="288">
        <f>N42/N26</f>
        <v>0.97999999999999987</v>
      </c>
      <c r="O34" s="288">
        <f t="shared" si="23"/>
        <v>0.90187500000000009</v>
      </c>
      <c r="P34" s="288">
        <f t="shared" si="23"/>
        <v>0.92000000000000015</v>
      </c>
      <c r="Q34" s="288">
        <f t="shared" si="23"/>
        <v>0.93</v>
      </c>
      <c r="R34" s="288">
        <f t="shared" si="23"/>
        <v>0.93999999999999984</v>
      </c>
      <c r="S34" s="288">
        <f>S42/S26</f>
        <v>0.95</v>
      </c>
      <c r="U34" s="224"/>
      <c r="V34" s="224"/>
      <c r="W34" s="224"/>
      <c r="X34" s="224"/>
      <c r="Y34" s="224"/>
      <c r="Z34" s="224"/>
      <c r="AA34" s="224"/>
      <c r="AB34" s="224"/>
      <c r="AC34" s="224"/>
      <c r="AD34" s="224"/>
      <c r="AE34" s="224"/>
    </row>
    <row r="35" spans="2:31" x14ac:dyDescent="0.3">
      <c r="U35" s="56"/>
      <c r="V35" s="56"/>
      <c r="W35" s="56"/>
      <c r="X35" s="56"/>
      <c r="Y35" s="56"/>
      <c r="Z35" s="56"/>
      <c r="AA35" s="56"/>
      <c r="AB35" s="56"/>
      <c r="AC35" s="56"/>
      <c r="AD35" s="56"/>
      <c r="AE35" s="56"/>
    </row>
    <row r="36" spans="2:31" hidden="1" x14ac:dyDescent="0.3">
      <c r="U36" s="56"/>
      <c r="V36" s="56"/>
      <c r="W36" s="56"/>
      <c r="X36" s="56"/>
      <c r="Y36" s="56"/>
      <c r="Z36" s="56"/>
      <c r="AA36" s="56"/>
      <c r="AB36" s="56"/>
      <c r="AC36" s="56"/>
      <c r="AD36" s="56"/>
      <c r="AE36" s="56"/>
    </row>
    <row r="37" spans="2:31" x14ac:dyDescent="0.3">
      <c r="B37" s="158" t="s">
        <v>319</v>
      </c>
      <c r="C37" s="317"/>
      <c r="D37" s="318"/>
      <c r="E37" s="318">
        <f t="shared" ref="E37:L37" si="24">E42</f>
        <v>4.2999999999999997E-2</v>
      </c>
      <c r="F37" s="318">
        <f t="shared" si="24"/>
        <v>9.1999999999999993</v>
      </c>
      <c r="G37" s="318">
        <f t="shared" si="24"/>
        <v>26.37</v>
      </c>
      <c r="H37" s="318">
        <f t="shared" si="24"/>
        <v>53.6</v>
      </c>
      <c r="I37" s="318">
        <f t="shared" si="24"/>
        <v>53</v>
      </c>
      <c r="J37" s="318">
        <f t="shared" si="24"/>
        <v>62.3</v>
      </c>
      <c r="K37" s="319">
        <f>K42</f>
        <v>74.599999999999994</v>
      </c>
      <c r="L37" s="318">
        <f t="shared" si="24"/>
        <v>94.3</v>
      </c>
      <c r="M37" s="318">
        <f>M42</f>
        <v>119.60000000000001</v>
      </c>
      <c r="N37" s="289">
        <f>N42</f>
        <v>137.19999999999999</v>
      </c>
      <c r="O37" s="289">
        <f t="shared" ref="O37:S37" si="25">O42</f>
        <v>144.30000000000001</v>
      </c>
      <c r="P37" s="289">
        <f t="shared" si="25"/>
        <v>147.20000000000002</v>
      </c>
      <c r="Q37" s="289">
        <f t="shared" si="25"/>
        <v>148.80000000000001</v>
      </c>
      <c r="R37" s="289">
        <f t="shared" si="25"/>
        <v>150.39999999999998</v>
      </c>
      <c r="S37" s="289">
        <f t="shared" si="25"/>
        <v>152</v>
      </c>
      <c r="U37" s="606"/>
      <c r="V37" s="607"/>
      <c r="W37" s="607"/>
      <c r="X37" s="607"/>
      <c r="Y37" s="607"/>
      <c r="Z37" s="607"/>
      <c r="AA37" s="607"/>
      <c r="AB37" s="607"/>
      <c r="AC37" s="607"/>
      <c r="AD37" s="608"/>
      <c r="AE37" s="56"/>
    </row>
    <row r="38" spans="2:31" s="55" customFormat="1" x14ac:dyDescent="0.3">
      <c r="B38" s="224" t="s">
        <v>318</v>
      </c>
      <c r="C38" s="318"/>
      <c r="D38" s="318"/>
      <c r="E38" s="318">
        <f t="shared" ref="E38:L38" si="26">E39</f>
        <v>4.2999999999999997E-2</v>
      </c>
      <c r="F38" s="318">
        <f t="shared" si="26"/>
        <v>9.1999999999999993</v>
      </c>
      <c r="G38" s="318">
        <f t="shared" si="26"/>
        <v>26.37</v>
      </c>
      <c r="H38" s="318">
        <f t="shared" si="26"/>
        <v>53.6</v>
      </c>
      <c r="I38" s="318">
        <f t="shared" si="26"/>
        <v>53</v>
      </c>
      <c r="J38" s="318">
        <f t="shared" si="26"/>
        <v>62.3</v>
      </c>
      <c r="K38" s="318">
        <f t="shared" si="26"/>
        <v>74.599999999999994</v>
      </c>
      <c r="L38" s="318">
        <f t="shared" si="26"/>
        <v>85.3</v>
      </c>
      <c r="M38" s="318">
        <f>M39</f>
        <v>92.4</v>
      </c>
      <c r="N38" s="289">
        <f>N39</f>
        <v>107.8</v>
      </c>
      <c r="O38" s="289">
        <f t="shared" ref="O38:S38" si="27">O39</f>
        <v>117</v>
      </c>
      <c r="P38" s="289">
        <f t="shared" si="27"/>
        <v>119.60000000000001</v>
      </c>
      <c r="Q38" s="289">
        <f t="shared" si="27"/>
        <v>120.9</v>
      </c>
      <c r="R38" s="289">
        <f t="shared" si="27"/>
        <v>122.19999999999999</v>
      </c>
      <c r="S38" s="289">
        <f t="shared" si="27"/>
        <v>123.5</v>
      </c>
      <c r="U38" s="583"/>
      <c r="V38" s="609"/>
      <c r="W38" s="609"/>
      <c r="X38" s="609"/>
      <c r="Y38" s="609"/>
      <c r="Z38" s="609"/>
      <c r="AA38" s="609"/>
      <c r="AB38" s="609"/>
      <c r="AC38" s="609"/>
      <c r="AD38" s="610"/>
      <c r="AE38" s="224"/>
    </row>
    <row r="39" spans="2:31" x14ac:dyDescent="0.3">
      <c r="B39" s="308" t="s">
        <v>314</v>
      </c>
      <c r="C39" s="317"/>
      <c r="D39" s="317"/>
      <c r="E39" s="317">
        <v>4.2999999999999997E-2</v>
      </c>
      <c r="F39" s="317">
        <v>9.1999999999999993</v>
      </c>
      <c r="G39" s="317">
        <v>26.37</v>
      </c>
      <c r="H39" s="317">
        <v>53.6</v>
      </c>
      <c r="I39" s="317">
        <v>53</v>
      </c>
      <c r="J39" s="317">
        <v>62.3</v>
      </c>
      <c r="K39" s="317">
        <v>74.599999999999994</v>
      </c>
      <c r="L39" s="317">
        <v>85.3</v>
      </c>
      <c r="M39" s="317">
        <v>92.4</v>
      </c>
      <c r="N39" s="290">
        <f>N31*N23</f>
        <v>107.8</v>
      </c>
      <c r="O39" s="290">
        <f t="shared" ref="O39:R39" si="28">O31*O23</f>
        <v>117</v>
      </c>
      <c r="P39" s="290">
        <f t="shared" si="28"/>
        <v>119.60000000000001</v>
      </c>
      <c r="Q39" s="290">
        <f t="shared" si="28"/>
        <v>120.9</v>
      </c>
      <c r="R39" s="290">
        <f t="shared" si="28"/>
        <v>122.19999999999999</v>
      </c>
      <c r="S39" s="290">
        <f>S31*S23</f>
        <v>123.5</v>
      </c>
      <c r="U39" s="583"/>
      <c r="V39" s="609"/>
      <c r="W39" s="609"/>
      <c r="X39" s="609"/>
      <c r="Y39" s="609"/>
      <c r="Z39" s="609"/>
      <c r="AA39" s="609"/>
      <c r="AB39" s="609"/>
      <c r="AC39" s="609"/>
      <c r="AD39" s="610"/>
      <c r="AE39" s="56"/>
    </row>
    <row r="40" spans="2:31" s="55" customFormat="1" x14ac:dyDescent="0.3">
      <c r="B40" s="224" t="s">
        <v>691</v>
      </c>
      <c r="C40" s="318"/>
      <c r="D40" s="318"/>
      <c r="E40" s="318">
        <f t="shared" ref="E40:L40" si="29">E41</f>
        <v>0</v>
      </c>
      <c r="F40" s="318">
        <f t="shared" si="29"/>
        <v>0</v>
      </c>
      <c r="G40" s="318">
        <f t="shared" si="29"/>
        <v>0</v>
      </c>
      <c r="H40" s="318">
        <f t="shared" si="29"/>
        <v>0</v>
      </c>
      <c r="I40" s="318">
        <f t="shared" si="29"/>
        <v>0</v>
      </c>
      <c r="J40" s="318">
        <f t="shared" si="29"/>
        <v>0</v>
      </c>
      <c r="K40" s="318">
        <f t="shared" si="29"/>
        <v>0</v>
      </c>
      <c r="L40" s="318">
        <f t="shared" si="29"/>
        <v>9</v>
      </c>
      <c r="M40" s="318">
        <f>M41</f>
        <v>27.2</v>
      </c>
      <c r="N40" s="289">
        <f>N41</f>
        <v>29.4</v>
      </c>
      <c r="O40" s="289">
        <f t="shared" ref="O40:S40" si="30">O41</f>
        <v>27.3</v>
      </c>
      <c r="P40" s="289">
        <f t="shared" si="30"/>
        <v>27.6</v>
      </c>
      <c r="Q40" s="289">
        <f t="shared" si="30"/>
        <v>27.900000000000002</v>
      </c>
      <c r="R40" s="289">
        <f t="shared" si="30"/>
        <v>28.2</v>
      </c>
      <c r="S40" s="289">
        <f t="shared" si="30"/>
        <v>28.5</v>
      </c>
      <c r="U40" s="611"/>
      <c r="V40" s="609"/>
      <c r="W40" s="609"/>
      <c r="X40" s="609"/>
      <c r="Y40" s="609"/>
      <c r="Z40" s="609"/>
      <c r="AA40" s="609"/>
      <c r="AB40" s="609"/>
      <c r="AC40" s="609"/>
      <c r="AD40" s="610"/>
      <c r="AE40" s="224"/>
    </row>
    <row r="41" spans="2:31" x14ac:dyDescent="0.3">
      <c r="B41" s="311" t="s">
        <v>314</v>
      </c>
      <c r="C41" s="321"/>
      <c r="D41" s="321"/>
      <c r="E41" s="322">
        <v>0</v>
      </c>
      <c r="F41" s="322">
        <v>0</v>
      </c>
      <c r="G41" s="322">
        <v>0</v>
      </c>
      <c r="H41" s="322">
        <v>0</v>
      </c>
      <c r="I41" s="322">
        <v>0</v>
      </c>
      <c r="J41" s="322">
        <v>0</v>
      </c>
      <c r="K41" s="322">
        <v>0</v>
      </c>
      <c r="L41" s="321">
        <v>9</v>
      </c>
      <c r="M41" s="321">
        <v>27.2</v>
      </c>
      <c r="N41" s="292">
        <f>N33*N25</f>
        <v>29.4</v>
      </c>
      <c r="O41" s="292">
        <f t="shared" ref="O41:R41" si="31">O33*O25</f>
        <v>27.3</v>
      </c>
      <c r="P41" s="292">
        <f t="shared" si="31"/>
        <v>27.6</v>
      </c>
      <c r="Q41" s="292">
        <f t="shared" si="31"/>
        <v>27.900000000000002</v>
      </c>
      <c r="R41" s="292">
        <f t="shared" si="31"/>
        <v>28.2</v>
      </c>
      <c r="S41" s="292">
        <f>S33*S25</f>
        <v>28.5</v>
      </c>
      <c r="U41" s="612"/>
      <c r="V41" s="613"/>
      <c r="W41" s="613"/>
      <c r="X41" s="613"/>
      <c r="Y41" s="613"/>
      <c r="Z41" s="613"/>
      <c r="AA41" s="613"/>
      <c r="AB41" s="613"/>
      <c r="AC41" s="613"/>
      <c r="AD41" s="614"/>
      <c r="AE41" s="56"/>
    </row>
    <row r="42" spans="2:31" s="55" customFormat="1" x14ac:dyDescent="0.3">
      <c r="B42" s="316" t="s">
        <v>320</v>
      </c>
      <c r="C42" s="323"/>
      <c r="D42" s="323"/>
      <c r="E42" s="323">
        <f t="shared" ref="E42:L42" si="32">E38+E40</f>
        <v>4.2999999999999997E-2</v>
      </c>
      <c r="F42" s="323">
        <f t="shared" si="32"/>
        <v>9.1999999999999993</v>
      </c>
      <c r="G42" s="323">
        <f t="shared" si="32"/>
        <v>26.37</v>
      </c>
      <c r="H42" s="323">
        <f t="shared" si="32"/>
        <v>53.6</v>
      </c>
      <c r="I42" s="323">
        <f t="shared" si="32"/>
        <v>53</v>
      </c>
      <c r="J42" s="323">
        <f t="shared" si="32"/>
        <v>62.3</v>
      </c>
      <c r="K42" s="323">
        <f t="shared" si="32"/>
        <v>74.599999999999994</v>
      </c>
      <c r="L42" s="323">
        <f t="shared" si="32"/>
        <v>94.3</v>
      </c>
      <c r="M42" s="323">
        <f>M38+M40</f>
        <v>119.60000000000001</v>
      </c>
      <c r="N42" s="293">
        <f>N38+N40</f>
        <v>137.19999999999999</v>
      </c>
      <c r="O42" s="293">
        <f t="shared" ref="O42:S42" si="33">O38+O40</f>
        <v>144.30000000000001</v>
      </c>
      <c r="P42" s="293">
        <f t="shared" si="33"/>
        <v>147.20000000000002</v>
      </c>
      <c r="Q42" s="293">
        <f t="shared" si="33"/>
        <v>148.80000000000001</v>
      </c>
      <c r="R42" s="293">
        <f t="shared" si="33"/>
        <v>150.39999999999998</v>
      </c>
      <c r="S42" s="293">
        <f t="shared" si="33"/>
        <v>152</v>
      </c>
      <c r="U42" s="56"/>
      <c r="V42" s="56"/>
      <c r="W42" s="230"/>
      <c r="X42" s="230"/>
      <c r="Y42" s="230"/>
      <c r="Z42" s="230"/>
      <c r="AA42" s="230"/>
      <c r="AB42" s="230"/>
      <c r="AC42" s="230"/>
      <c r="AD42" s="610"/>
      <c r="AE42" s="224"/>
    </row>
    <row r="43" spans="2:31" x14ac:dyDescent="0.3">
      <c r="C43" s="324"/>
      <c r="D43" s="324"/>
      <c r="E43" s="324"/>
      <c r="F43" s="324"/>
      <c r="G43" s="324"/>
      <c r="H43" s="324"/>
      <c r="I43" s="324"/>
      <c r="J43" s="324"/>
      <c r="K43" s="324"/>
      <c r="L43" s="324"/>
      <c r="M43" s="324"/>
      <c r="N43" s="227"/>
      <c r="R43" s="102"/>
      <c r="S43" s="102">
        <f>((S42/N42)^(1/5))-1</f>
        <v>2.0699484223663189E-2</v>
      </c>
      <c r="U43" s="56"/>
      <c r="V43" s="56"/>
      <c r="W43" s="56"/>
      <c r="X43" s="56"/>
      <c r="Y43" s="56"/>
      <c r="Z43" s="56"/>
      <c r="AA43" s="56"/>
      <c r="AB43" s="56"/>
      <c r="AC43" s="56"/>
      <c r="AD43" s="610"/>
      <c r="AE43" s="56"/>
    </row>
    <row r="44" spans="2:31" hidden="1" x14ac:dyDescent="0.3">
      <c r="C44" s="227"/>
      <c r="D44" s="227"/>
      <c r="E44" s="227"/>
      <c r="F44" s="227"/>
      <c r="G44" s="227"/>
      <c r="H44" s="227"/>
      <c r="I44" s="227"/>
      <c r="J44" s="227"/>
      <c r="K44" s="227"/>
      <c r="L44" s="227"/>
      <c r="M44" s="357"/>
      <c r="N44" s="357"/>
      <c r="O44" s="102"/>
      <c r="P44" s="102"/>
      <c r="S44" s="357"/>
      <c r="U44" s="56"/>
      <c r="V44" s="56"/>
      <c r="W44" s="56"/>
      <c r="X44" s="56"/>
      <c r="Y44" s="56"/>
      <c r="Z44" s="56"/>
      <c r="AA44" s="56"/>
      <c r="AB44" s="56"/>
      <c r="AC44" s="56"/>
      <c r="AD44" s="56"/>
      <c r="AE44" s="56"/>
    </row>
    <row r="45" spans="2:31" x14ac:dyDescent="0.3">
      <c r="B45" s="159" t="s">
        <v>321</v>
      </c>
      <c r="C45" s="227"/>
      <c r="D45" s="227"/>
      <c r="E45" s="227"/>
      <c r="F45" s="227"/>
      <c r="G45" s="227"/>
      <c r="H45" s="227"/>
      <c r="I45" s="227"/>
      <c r="J45" s="227"/>
      <c r="K45" s="227"/>
      <c r="L45" s="227"/>
      <c r="M45" s="227"/>
      <c r="N45" s="102"/>
      <c r="O45" s="102"/>
      <c r="P45" s="102"/>
      <c r="Q45" s="102"/>
      <c r="R45" s="102"/>
      <c r="S45" s="102"/>
    </row>
    <row r="46" spans="2:31" x14ac:dyDescent="0.3">
      <c r="B46" s="55" t="s">
        <v>318</v>
      </c>
      <c r="C46" s="227"/>
      <c r="D46" s="227"/>
      <c r="E46" s="323"/>
      <c r="F46" s="323">
        <f t="shared" ref="F46:L46" si="34">F47</f>
        <v>13.503335370882375</v>
      </c>
      <c r="G46" s="323">
        <f t="shared" si="34"/>
        <v>16.289719076159304</v>
      </c>
      <c r="H46" s="323">
        <f t="shared" si="34"/>
        <v>18.622761434275937</v>
      </c>
      <c r="I46" s="323">
        <f>I47</f>
        <v>20.337668798802049</v>
      </c>
      <c r="J46" s="323">
        <f>J47</f>
        <v>20.400861637834783</v>
      </c>
      <c r="K46" s="323">
        <f t="shared" si="34"/>
        <v>19.277094554582799</v>
      </c>
      <c r="L46" s="323">
        <f t="shared" si="34"/>
        <v>16.442347197158096</v>
      </c>
      <c r="M46" s="323">
        <f>M47</f>
        <v>9.9875297619604257</v>
      </c>
      <c r="N46" s="576">
        <f>N47</f>
        <v>10.439283324857188</v>
      </c>
      <c r="O46" s="293">
        <f t="shared" ref="O46:S46" si="35">O47</f>
        <v>11.041549670522027</v>
      </c>
      <c r="P46" s="293">
        <f t="shared" si="35"/>
        <v>11.041549670522027</v>
      </c>
      <c r="Q46" s="293">
        <f t="shared" si="35"/>
        <v>11.041549670522027</v>
      </c>
      <c r="R46" s="293">
        <f t="shared" si="35"/>
        <v>12.045326913296755</v>
      </c>
      <c r="S46" s="293">
        <f t="shared" si="35"/>
        <v>12.045326913296755</v>
      </c>
    </row>
    <row r="47" spans="2:31" x14ac:dyDescent="0.3">
      <c r="B47" s="307" t="s">
        <v>314</v>
      </c>
      <c r="C47" s="227"/>
      <c r="D47" s="227"/>
      <c r="E47" s="325"/>
      <c r="F47" s="325">
        <f t="shared" ref="F47:L47" si="36">F54/F39*10^9/(35687*F14)</f>
        <v>13.503335370882375</v>
      </c>
      <c r="G47" s="325">
        <f t="shared" si="36"/>
        <v>16.289719076159304</v>
      </c>
      <c r="H47" s="325">
        <f t="shared" si="36"/>
        <v>18.622761434275937</v>
      </c>
      <c r="I47" s="325">
        <f t="shared" si="36"/>
        <v>20.337668798802049</v>
      </c>
      <c r="J47" s="325">
        <f t="shared" si="36"/>
        <v>20.400861637834783</v>
      </c>
      <c r="K47" s="325">
        <f t="shared" si="36"/>
        <v>19.277094554582799</v>
      </c>
      <c r="L47" s="325">
        <f t="shared" si="36"/>
        <v>16.442347197158096</v>
      </c>
      <c r="M47" s="325">
        <f>M54/M39*10^9/(35687*M14)</f>
        <v>9.9875297619604257</v>
      </c>
      <c r="N47" s="559">
        <f>N8*85%/(0.039652608749*$N$14)</f>
        <v>10.439283324857188</v>
      </c>
      <c r="O47" s="559">
        <f t="shared" ref="O47:S47" si="37">O8*85%/(0.039652608749*$N$14)</f>
        <v>11.041549670522027</v>
      </c>
      <c r="P47" s="559">
        <f t="shared" si="37"/>
        <v>11.041549670522027</v>
      </c>
      <c r="Q47" s="559">
        <f t="shared" si="37"/>
        <v>11.041549670522027</v>
      </c>
      <c r="R47" s="559">
        <f t="shared" si="37"/>
        <v>12.045326913296755</v>
      </c>
      <c r="S47" s="559">
        <f t="shared" si="37"/>
        <v>12.045326913296755</v>
      </c>
    </row>
    <row r="48" spans="2:31" x14ac:dyDescent="0.3">
      <c r="B48" s="224" t="s">
        <v>691</v>
      </c>
      <c r="C48" s="227"/>
      <c r="D48" s="227"/>
      <c r="E48" s="324"/>
      <c r="F48" s="324"/>
      <c r="G48" s="324"/>
      <c r="H48" s="324"/>
      <c r="I48" s="324"/>
      <c r="J48" s="324"/>
      <c r="K48" s="324"/>
      <c r="L48" s="323">
        <f>L49</f>
        <v>0</v>
      </c>
      <c r="M48" s="323">
        <f>M49</f>
        <v>8.2472266108937919</v>
      </c>
      <c r="N48" s="576">
        <f>N49</f>
        <v>8.5970568557647447</v>
      </c>
      <c r="O48" s="293">
        <f t="shared" ref="O48:S48" si="38">O49</f>
        <v>9.093040905135787</v>
      </c>
      <c r="P48" s="293">
        <f t="shared" si="38"/>
        <v>9.093040905135787</v>
      </c>
      <c r="Q48" s="293">
        <f t="shared" si="38"/>
        <v>9.093040905135787</v>
      </c>
      <c r="R48" s="293">
        <f t="shared" si="38"/>
        <v>9.9196809874208576</v>
      </c>
      <c r="S48" s="293">
        <f t="shared" si="38"/>
        <v>9.9196809874208576</v>
      </c>
    </row>
    <row r="49" spans="2:30" x14ac:dyDescent="0.3">
      <c r="B49" s="307" t="s">
        <v>314</v>
      </c>
      <c r="C49" s="227"/>
      <c r="D49" s="227"/>
      <c r="E49" s="324"/>
      <c r="F49" s="324"/>
      <c r="G49" s="324"/>
      <c r="H49" s="324"/>
      <c r="I49" s="324"/>
      <c r="J49" s="324"/>
      <c r="K49" s="324"/>
      <c r="L49" s="324">
        <f>(L56/L41)*10^9/(35687*L14)</f>
        <v>0</v>
      </c>
      <c r="M49" s="324">
        <f>(M56/M41)*10^9/(35687*M14)</f>
        <v>8.2472266108937919</v>
      </c>
      <c r="N49" s="559">
        <f>N8*70%/(0.039652608749*$N$14)</f>
        <v>8.5970568557647447</v>
      </c>
      <c r="O49" s="559">
        <f t="shared" ref="O49:S49" si="39">O8*70%/(0.039652608749*$N$14)</f>
        <v>9.093040905135787</v>
      </c>
      <c r="P49" s="559">
        <f t="shared" si="39"/>
        <v>9.093040905135787</v>
      </c>
      <c r="Q49" s="559">
        <f t="shared" si="39"/>
        <v>9.093040905135787</v>
      </c>
      <c r="R49" s="559">
        <f t="shared" si="39"/>
        <v>9.9196809874208576</v>
      </c>
      <c r="S49" s="559">
        <f t="shared" si="39"/>
        <v>9.9196809874208576</v>
      </c>
    </row>
    <row r="50" spans="2:30" x14ac:dyDescent="0.3">
      <c r="N50" s="102"/>
      <c r="O50" s="102"/>
      <c r="P50" s="102"/>
      <c r="Q50" s="102"/>
      <c r="R50" s="102"/>
      <c r="S50" s="102"/>
    </row>
    <row r="51" spans="2:30" hidden="1" x14ac:dyDescent="0.3">
      <c r="N51" s="569"/>
      <c r="O51" s="569"/>
    </row>
    <row r="52" spans="2:30" x14ac:dyDescent="0.3">
      <c r="B52" s="158" t="s">
        <v>317</v>
      </c>
      <c r="C52" s="56"/>
      <c r="D52" s="56"/>
      <c r="E52" s="326">
        <f t="shared" ref="E52:L52" si="40">E57</f>
        <v>7.8663824360000003</v>
      </c>
      <c r="F52" s="326">
        <f t="shared" si="40"/>
        <v>75.687354268999997</v>
      </c>
      <c r="G52" s="326">
        <f t="shared" si="40"/>
        <v>285.40842659899999</v>
      </c>
      <c r="H52" s="326">
        <f t="shared" si="40"/>
        <v>731.81939765599998</v>
      </c>
      <c r="I52" s="326">
        <f t="shared" si="40"/>
        <v>801.188394926</v>
      </c>
      <c r="J52" s="326">
        <f t="shared" si="40"/>
        <v>949.78055784599997</v>
      </c>
      <c r="K52" s="326">
        <f t="shared" si="40"/>
        <v>1085.5814541719999</v>
      </c>
      <c r="L52" s="326">
        <f t="shared" si="40"/>
        <v>1085.5814541719999</v>
      </c>
      <c r="M52" s="326">
        <f>M57</f>
        <v>898</v>
      </c>
      <c r="N52" s="294">
        <f>N57</f>
        <v>1121.1689489322985</v>
      </c>
      <c r="O52" s="294">
        <f>O57</f>
        <v>1278.0186963731614</v>
      </c>
      <c r="P52" s="294">
        <f t="shared" ref="P52:S52" si="41">P57</f>
        <v>1330.1872125925233</v>
      </c>
      <c r="Q52" s="294">
        <f t="shared" si="41"/>
        <v>1371.5386846361603</v>
      </c>
      <c r="R52" s="294">
        <f t="shared" si="41"/>
        <v>1542.5586989198246</v>
      </c>
      <c r="S52" s="294">
        <f t="shared" si="41"/>
        <v>1590.1482758013935</v>
      </c>
    </row>
    <row r="53" spans="2:30" x14ac:dyDescent="0.3">
      <c r="B53" s="224" t="s">
        <v>318</v>
      </c>
      <c r="C53" s="56"/>
      <c r="D53" s="327"/>
      <c r="E53" s="326">
        <f t="shared" ref="E53" si="42">E54</f>
        <v>7.8663824360000003</v>
      </c>
      <c r="F53" s="326">
        <f t="shared" ref="F53" si="43">F54</f>
        <v>75.687354268999997</v>
      </c>
      <c r="G53" s="326">
        <f t="shared" ref="G53" si="44">G54</f>
        <v>285.40842659899999</v>
      </c>
      <c r="H53" s="326">
        <f t="shared" ref="H53" si="45">H54</f>
        <v>731.81939765599998</v>
      </c>
      <c r="I53" s="326">
        <f t="shared" ref="I53" si="46">I54</f>
        <v>801.188394926</v>
      </c>
      <c r="J53" s="326">
        <f t="shared" ref="J53" si="47">J54</f>
        <v>949.78055784599997</v>
      </c>
      <c r="K53" s="326">
        <f t="shared" ref="K53" si="48">K54</f>
        <v>1085.5814541719999</v>
      </c>
      <c r="L53" s="326">
        <f t="shared" ref="L53" si="49">L54</f>
        <v>1085.5814541719999</v>
      </c>
      <c r="M53" s="326">
        <f t="shared" ref="M53" si="50">M54</f>
        <v>722.4</v>
      </c>
      <c r="N53" s="294">
        <f>N54</f>
        <v>915.53970939013027</v>
      </c>
      <c r="O53" s="294">
        <f>O54</f>
        <v>1072.0222617603822</v>
      </c>
      <c r="P53" s="294">
        <f t="shared" ref="P53:S53" si="51">P54</f>
        <v>1117.7618782621585</v>
      </c>
      <c r="Q53" s="294">
        <f t="shared" si="51"/>
        <v>1152.5096931733515</v>
      </c>
      <c r="R53" s="294">
        <f t="shared" si="51"/>
        <v>1296.2185264687498</v>
      </c>
      <c r="S53" s="294">
        <f t="shared" si="51"/>
        <v>1336.20824696619</v>
      </c>
    </row>
    <row r="54" spans="2:30" x14ac:dyDescent="0.3">
      <c r="B54" s="308" t="s">
        <v>314</v>
      </c>
      <c r="C54" s="56"/>
      <c r="D54" s="56"/>
      <c r="E54" s="328">
        <v>7.8663824360000003</v>
      </c>
      <c r="F54" s="328">
        <v>75.687354268999997</v>
      </c>
      <c r="G54" s="328">
        <v>285.40842659899999</v>
      </c>
      <c r="H54" s="328">
        <v>731.81939765599998</v>
      </c>
      <c r="I54" s="328">
        <v>801.188394926</v>
      </c>
      <c r="J54" s="328">
        <v>949.78055784599997</v>
      </c>
      <c r="K54" s="328">
        <v>1085.5814541719999</v>
      </c>
      <c r="L54" s="328">
        <v>1085.5814541719999</v>
      </c>
      <c r="M54" s="329">
        <v>722.4</v>
      </c>
      <c r="N54" s="295">
        <f>N47*N39*(N14*35687)/10^9</f>
        <v>915.53970939013027</v>
      </c>
      <c r="O54" s="295">
        <f t="shared" ref="O54:S54" si="52">O47*O39*(O14*35687)/10^9</f>
        <v>1072.0222617603822</v>
      </c>
      <c r="P54" s="295">
        <f t="shared" si="52"/>
        <v>1117.7618782621585</v>
      </c>
      <c r="Q54" s="295">
        <f t="shared" si="52"/>
        <v>1152.5096931733515</v>
      </c>
      <c r="R54" s="295">
        <f t="shared" si="52"/>
        <v>1296.2185264687498</v>
      </c>
      <c r="S54" s="295">
        <f t="shared" si="52"/>
        <v>1336.20824696619</v>
      </c>
    </row>
    <row r="55" spans="2:30" x14ac:dyDescent="0.3">
      <c r="B55" s="224" t="s">
        <v>691</v>
      </c>
      <c r="C55" s="56"/>
      <c r="D55" s="327"/>
      <c r="E55" s="327">
        <f t="shared" ref="E55:M55" si="53">E56</f>
        <v>0</v>
      </c>
      <c r="F55" s="327">
        <f t="shared" si="53"/>
        <v>0</v>
      </c>
      <c r="G55" s="327">
        <f t="shared" si="53"/>
        <v>0</v>
      </c>
      <c r="H55" s="327">
        <f t="shared" si="53"/>
        <v>0</v>
      </c>
      <c r="I55" s="327">
        <f t="shared" si="53"/>
        <v>0</v>
      </c>
      <c r="J55" s="327">
        <f t="shared" si="53"/>
        <v>0</v>
      </c>
      <c r="K55" s="327">
        <f t="shared" si="53"/>
        <v>0</v>
      </c>
      <c r="L55" s="327">
        <f t="shared" si="53"/>
        <v>0</v>
      </c>
      <c r="M55" s="326">
        <f t="shared" si="53"/>
        <v>175.6</v>
      </c>
      <c r="N55" s="294">
        <f>N56</f>
        <v>205.62923954216831</v>
      </c>
      <c r="O55" s="294">
        <f t="shared" ref="O55" si="54">O56</f>
        <v>205.99643461277932</v>
      </c>
      <c r="P55" s="294">
        <f t="shared" ref="P55" si="55">P56</f>
        <v>212.42533433036496</v>
      </c>
      <c r="Q55" s="294">
        <f t="shared" ref="Q55" si="56">Q56</f>
        <v>219.0289914628089</v>
      </c>
      <c r="R55" s="294">
        <f t="shared" ref="R55" si="57">R56</f>
        <v>246.34017245107466</v>
      </c>
      <c r="S55" s="294">
        <f t="shared" ref="S55" si="58">S56</f>
        <v>253.94002883520355</v>
      </c>
      <c r="U55" s="55"/>
      <c r="V55" s="55"/>
      <c r="W55" s="55"/>
      <c r="X55" s="55"/>
      <c r="Y55" s="55"/>
      <c r="Z55" s="55"/>
      <c r="AA55" s="55"/>
      <c r="AB55" s="55"/>
      <c r="AC55" s="55"/>
      <c r="AD55" s="55"/>
    </row>
    <row r="56" spans="2:30" x14ac:dyDescent="0.3">
      <c r="B56" s="311" t="s">
        <v>314</v>
      </c>
      <c r="C56" s="232"/>
      <c r="D56" s="232"/>
      <c r="E56" s="232"/>
      <c r="F56" s="232"/>
      <c r="G56" s="232"/>
      <c r="H56" s="232"/>
      <c r="I56" s="232"/>
      <c r="J56" s="232"/>
      <c r="K56" s="232"/>
      <c r="L56" s="232"/>
      <c r="M56" s="330">
        <v>175.6</v>
      </c>
      <c r="N56" s="296">
        <f>N49*N41*(N14*35687)/10^9</f>
        <v>205.62923954216831</v>
      </c>
      <c r="O56" s="296">
        <f t="shared" ref="O56:S56" si="59">O49*O41*(O14*35687)/10^9</f>
        <v>205.99643461277932</v>
      </c>
      <c r="P56" s="296">
        <f t="shared" si="59"/>
        <v>212.42533433036496</v>
      </c>
      <c r="Q56" s="296">
        <f t="shared" si="59"/>
        <v>219.0289914628089</v>
      </c>
      <c r="R56" s="296">
        <f t="shared" si="59"/>
        <v>246.34017245107466</v>
      </c>
      <c r="S56" s="296">
        <f t="shared" si="59"/>
        <v>253.94002883520355</v>
      </c>
    </row>
    <row r="57" spans="2:30" s="55" customFormat="1" x14ac:dyDescent="0.3">
      <c r="B57" s="55" t="s">
        <v>317</v>
      </c>
      <c r="D57" s="331"/>
      <c r="E57" s="331">
        <f t="shared" ref="E57:K57" si="60">E53+E55</f>
        <v>7.8663824360000003</v>
      </c>
      <c r="F57" s="331">
        <f t="shared" si="60"/>
        <v>75.687354268999997</v>
      </c>
      <c r="G57" s="331">
        <f t="shared" si="60"/>
        <v>285.40842659899999</v>
      </c>
      <c r="H57" s="331">
        <f t="shared" si="60"/>
        <v>731.81939765599998</v>
      </c>
      <c r="I57" s="331">
        <f t="shared" si="60"/>
        <v>801.188394926</v>
      </c>
      <c r="J57" s="331">
        <f t="shared" si="60"/>
        <v>949.78055784599997</v>
      </c>
      <c r="K57" s="331">
        <f t="shared" si="60"/>
        <v>1085.5814541719999</v>
      </c>
      <c r="L57" s="331">
        <f>L53+L55</f>
        <v>1085.5814541719999</v>
      </c>
      <c r="M57" s="231">
        <f>M53+M55</f>
        <v>898</v>
      </c>
      <c r="N57" s="236">
        <f>N53+N55</f>
        <v>1121.1689489322985</v>
      </c>
      <c r="O57" s="236">
        <f t="shared" ref="O57:S57" si="61">O53+O55</f>
        <v>1278.0186963731614</v>
      </c>
      <c r="P57" s="236">
        <f t="shared" si="61"/>
        <v>1330.1872125925233</v>
      </c>
      <c r="Q57" s="236">
        <f t="shared" si="61"/>
        <v>1371.5386846361603</v>
      </c>
      <c r="R57" s="236">
        <f t="shared" si="61"/>
        <v>1542.5586989198246</v>
      </c>
      <c r="S57" s="236">
        <f t="shared" si="61"/>
        <v>1590.1482758013935</v>
      </c>
      <c r="U57" s="54"/>
      <c r="V57" s="54"/>
      <c r="W57" s="54"/>
      <c r="X57" s="54"/>
      <c r="Y57" s="54"/>
      <c r="Z57" s="54"/>
      <c r="AA57" s="54"/>
      <c r="AB57" s="54"/>
      <c r="AC57" s="54"/>
      <c r="AD57" s="54"/>
    </row>
    <row r="58" spans="2:30" x14ac:dyDescent="0.3">
      <c r="N58" s="102"/>
      <c r="O58" s="102"/>
      <c r="P58" s="102"/>
    </row>
    <row r="59" spans="2:30" x14ac:dyDescent="0.3">
      <c r="M59" s="332"/>
      <c r="N59" s="102"/>
      <c r="O59" s="102"/>
    </row>
    <row r="60" spans="2:30" x14ac:dyDescent="0.3">
      <c r="B60" s="30" t="s">
        <v>122</v>
      </c>
      <c r="N60" s="102"/>
      <c r="O60" s="102"/>
    </row>
    <row r="61" spans="2:30" hidden="1" x14ac:dyDescent="0.3">
      <c r="N61" s="234"/>
      <c r="O61" s="582"/>
      <c r="U61" s="55"/>
      <c r="V61" s="55"/>
      <c r="W61" s="55"/>
      <c r="X61" s="55"/>
      <c r="Y61" s="55"/>
      <c r="Z61" s="55"/>
      <c r="AA61" s="55"/>
      <c r="AB61" s="55"/>
      <c r="AC61" s="55"/>
      <c r="AD61" s="55"/>
    </row>
    <row r="62" spans="2:30" s="55" customFormat="1" x14ac:dyDescent="0.3">
      <c r="B62" s="55" t="s">
        <v>311</v>
      </c>
      <c r="E62" s="358">
        <f t="shared" ref="E62:S62" si="62">E18</f>
        <v>7.8663824360000003</v>
      </c>
      <c r="F62" s="358">
        <f t="shared" si="62"/>
        <v>75.687354268999997</v>
      </c>
      <c r="G62" s="358">
        <f t="shared" si="62"/>
        <v>285.40842659899999</v>
      </c>
      <c r="H62" s="358">
        <f t="shared" si="62"/>
        <v>731.81939765599998</v>
      </c>
      <c r="I62" s="358">
        <f t="shared" si="62"/>
        <v>801.188394926</v>
      </c>
      <c r="J62" s="358">
        <f t="shared" si="62"/>
        <v>949.78055784599997</v>
      </c>
      <c r="K62" s="358">
        <f t="shared" si="62"/>
        <v>1085.5814541719999</v>
      </c>
      <c r="L62" s="358">
        <f t="shared" si="62"/>
        <v>950.20789748599998</v>
      </c>
      <c r="M62" s="358">
        <f t="shared" si="62"/>
        <v>890.56689622900001</v>
      </c>
      <c r="N62" s="517">
        <f t="shared" si="62"/>
        <v>1121.1689489322985</v>
      </c>
      <c r="O62" s="517">
        <f t="shared" si="62"/>
        <v>1278.0186963731614</v>
      </c>
      <c r="P62" s="517">
        <f t="shared" si="62"/>
        <v>1330.1872125925233</v>
      </c>
      <c r="Q62" s="517">
        <f t="shared" si="62"/>
        <v>1371.5386846361603</v>
      </c>
      <c r="R62" s="517">
        <f t="shared" si="62"/>
        <v>1542.5586989198246</v>
      </c>
      <c r="S62" s="517">
        <f t="shared" si="62"/>
        <v>1590.1482758013935</v>
      </c>
      <c r="U62" s="54"/>
      <c r="V62" s="54"/>
      <c r="W62" s="54"/>
      <c r="X62" s="54"/>
      <c r="Y62" s="54"/>
      <c r="Z62" s="54"/>
      <c r="AA62" s="54"/>
      <c r="AB62" s="54"/>
      <c r="AC62" s="54"/>
      <c r="AD62" s="54"/>
    </row>
    <row r="63" spans="2:30" x14ac:dyDescent="0.3">
      <c r="B63" s="160" t="s">
        <v>322</v>
      </c>
      <c r="U63" s="55"/>
      <c r="V63" s="55"/>
      <c r="W63" s="55"/>
      <c r="X63" s="55"/>
      <c r="Y63" s="55"/>
      <c r="Z63" s="55"/>
      <c r="AA63" s="55"/>
      <c r="AB63" s="55"/>
      <c r="AC63" s="55"/>
      <c r="AD63" s="55"/>
    </row>
    <row r="64" spans="2:30" s="55" customFormat="1" x14ac:dyDescent="0.3">
      <c r="B64" s="385" t="s">
        <v>716</v>
      </c>
      <c r="D64" s="233"/>
      <c r="E64" s="358"/>
      <c r="F64" s="358"/>
      <c r="G64" s="532">
        <v>2.5260932885714373</v>
      </c>
      <c r="H64" s="532">
        <v>3.1076895049999997</v>
      </c>
      <c r="I64" s="532">
        <v>3.4904902153846202</v>
      </c>
      <c r="J64" s="532">
        <v>3.5269817040000007</v>
      </c>
      <c r="K64" s="532">
        <v>3.2418356351666739</v>
      </c>
      <c r="L64" s="532">
        <v>2.2217603313043481</v>
      </c>
      <c r="M64" s="532">
        <v>2.0708204420133782</v>
      </c>
      <c r="N64" s="526">
        <v>2.5211230460000005</v>
      </c>
      <c r="O64" s="526">
        <v>2.6169132386486487</v>
      </c>
      <c r="P64" s="526">
        <v>2.6135707915625002</v>
      </c>
      <c r="Q64" s="526">
        <v>2.6135707915625002</v>
      </c>
      <c r="R64" s="526">
        <v>2.8511681362500005</v>
      </c>
      <c r="S64" s="526">
        <v>2.8511681362500001</v>
      </c>
      <c r="U64" s="54"/>
      <c r="V64" s="54"/>
      <c r="W64" s="54"/>
      <c r="X64" s="54"/>
      <c r="Y64" s="54"/>
      <c r="Z64" s="54"/>
      <c r="AA64" s="54"/>
      <c r="AB64" s="54"/>
      <c r="AC64" s="54"/>
      <c r="AD64" s="54"/>
    </row>
    <row r="65" spans="2:30" s="55" customFormat="1" x14ac:dyDescent="0.3">
      <c r="B65" s="55" t="s">
        <v>122</v>
      </c>
      <c r="D65" s="233">
        <f>-InIS!C8/10^9</f>
        <v>0</v>
      </c>
      <c r="E65" s="358">
        <f>-InIS!D8/10^9</f>
        <v>7.1021019570000004</v>
      </c>
      <c r="F65" s="358">
        <f>-InIS!E8/10^9</f>
        <v>50.606568004000003</v>
      </c>
      <c r="G65" s="358">
        <f>-InIS!F8/10^9</f>
        <v>153.935070048</v>
      </c>
      <c r="H65" s="358">
        <f>-InIS!G8/10^9</f>
        <v>455.53848665100003</v>
      </c>
      <c r="I65" s="358">
        <f>-InIS!H8/10^9</f>
        <v>616.16746400500006</v>
      </c>
      <c r="J65" s="358">
        <f>-InIS!I8/10^9</f>
        <v>744.29081562099998</v>
      </c>
      <c r="K65" s="358">
        <f>-InIS!J8/10^9</f>
        <v>856.05329601000005</v>
      </c>
      <c r="L65" s="358">
        <f>-InIS!K8/10^9</f>
        <v>717.53476447699995</v>
      </c>
      <c r="M65" s="358">
        <f>-InIS!L8/10^9</f>
        <v>652.06300767100004</v>
      </c>
      <c r="N65" s="557"/>
      <c r="O65" s="517"/>
      <c r="P65" s="517"/>
      <c r="Q65" s="517"/>
      <c r="R65" s="517"/>
      <c r="S65" s="517"/>
      <c r="U65" s="54"/>
      <c r="V65" s="54"/>
      <c r="W65" s="54"/>
      <c r="X65" s="54"/>
      <c r="Y65" s="54"/>
      <c r="Z65" s="54"/>
      <c r="AA65" s="54"/>
      <c r="AB65" s="54"/>
      <c r="AC65" s="54"/>
      <c r="AD65" s="54"/>
    </row>
    <row r="66" spans="2:30" x14ac:dyDescent="0.3">
      <c r="B66" s="307" t="s">
        <v>323</v>
      </c>
      <c r="D66" s="227"/>
      <c r="E66" s="354"/>
      <c r="F66" s="354"/>
      <c r="G66" s="354">
        <v>117.679758827</v>
      </c>
      <c r="H66" s="354">
        <v>342.55681364200001</v>
      </c>
      <c r="I66" s="354">
        <v>419.329611812</v>
      </c>
      <c r="J66" s="354">
        <v>514.79213163999998</v>
      </c>
      <c r="K66" s="354">
        <f>K65-SUM(K67:K70)</f>
        <v>546.55243296200001</v>
      </c>
      <c r="L66" s="577">
        <f>L8*0.0011234*(32%*'Revenue Forecast'!L39+42%*'Revenue Forecast'!L41)</f>
        <v>374.59265223200003</v>
      </c>
      <c r="M66" s="577">
        <f>M8*0.0011234*(32%*'Revenue Forecast'!M39+42%*'Revenue Forecast'!M41)</f>
        <v>415.88127799680007</v>
      </c>
      <c r="N66" s="559">
        <f>N8*0.0011234*(24%*'Revenue Forecast'!N39+42%*'Revenue Forecast'!N41)</f>
        <v>476.67933549600002</v>
      </c>
      <c r="O66" s="559">
        <f>O8*0.0011234*(24%*'Revenue Forecast'!O39+42%*'Revenue Forecast'!O41)</f>
        <v>521.672027877</v>
      </c>
      <c r="P66" s="559">
        <f>P8*0.0011234*(24%*'Revenue Forecast'!P39+42%*'Revenue Forecast'!P41)</f>
        <v>531.56567125200002</v>
      </c>
      <c r="Q66" s="559">
        <f>Q8*0.0011234*(24%*'Revenue Forecast'!Q39+42%*'Revenue Forecast'!Q41)</f>
        <v>537.34355898300009</v>
      </c>
      <c r="R66" s="559">
        <f>R8*0.0011234*(24%*'Revenue Forecast'!R39+42%*'Revenue Forecast'!R41)</f>
        <v>592.4961236879999</v>
      </c>
      <c r="S66" s="559">
        <f>S8*0.0011234*(24%*'Revenue Forecast'!S39+42%*'Revenue Forecast'!S41)</f>
        <v>598.79927393999992</v>
      </c>
    </row>
    <row r="67" spans="2:30" x14ac:dyDescent="0.3">
      <c r="B67" s="307" t="s">
        <v>324</v>
      </c>
      <c r="D67" s="227"/>
      <c r="E67" s="354"/>
      <c r="F67" s="354"/>
      <c r="G67" s="354">
        <v>18.207673225000001</v>
      </c>
      <c r="H67" s="354">
        <v>17.915512793000001</v>
      </c>
      <c r="I67" s="354">
        <v>39.157126712</v>
      </c>
      <c r="J67" s="354">
        <v>40.136859876999999</v>
      </c>
      <c r="K67" s="354">
        <v>49.439680308</v>
      </c>
      <c r="L67" s="354">
        <v>57.048555546999999</v>
      </c>
      <c r="M67" s="354">
        <v>62.468927377</v>
      </c>
      <c r="N67" s="557">
        <f t="shared" ref="N67:S67" si="63">SUM(K67:M67)/SUM(K62:M62)*N62</f>
        <v>64.732216131300959</v>
      </c>
      <c r="O67" s="557">
        <f t="shared" si="63"/>
        <v>79.500011024295418</v>
      </c>
      <c r="P67" s="557">
        <f t="shared" si="63"/>
        <v>83.578038761251648</v>
      </c>
      <c r="Q67" s="557">
        <f t="shared" si="63"/>
        <v>83.78095642504455</v>
      </c>
      <c r="R67" s="557">
        <f t="shared" si="63"/>
        <v>95.683152142237148</v>
      </c>
      <c r="S67" s="557">
        <f t="shared" si="63"/>
        <v>98.550417051940755</v>
      </c>
    </row>
    <row r="68" spans="2:30" x14ac:dyDescent="0.3">
      <c r="B68" s="307" t="s">
        <v>325</v>
      </c>
      <c r="D68" s="227"/>
      <c r="E68" s="354"/>
      <c r="F68" s="354"/>
      <c r="G68" s="354">
        <v>19.409103867999999</v>
      </c>
      <c r="H68" s="354">
        <v>78.644630065000001</v>
      </c>
      <c r="I68" s="354">
        <v>118.35500525499999</v>
      </c>
      <c r="J68" s="354">
        <v>131.92369000100001</v>
      </c>
      <c r="K68" s="354">
        <v>80.013272516000001</v>
      </c>
      <c r="L68" s="354">
        <v>63.125628243999998</v>
      </c>
      <c r="M68" s="354">
        <v>59.792985086999998</v>
      </c>
      <c r="N68" s="557">
        <f>N121*N122</f>
        <v>56.116663097262176</v>
      </c>
      <c r="O68" s="557">
        <f t="shared" ref="O68:S68" si="64">O121*O122</f>
        <v>64.534044226883097</v>
      </c>
      <c r="P68" s="557">
        <f t="shared" si="64"/>
        <v>54.910615021336461</v>
      </c>
      <c r="Q68" s="557">
        <f t="shared" si="64"/>
        <v>62.106336909277687</v>
      </c>
      <c r="R68" s="557">
        <f t="shared" si="64"/>
        <v>46.755475848024652</v>
      </c>
      <c r="S68" s="557">
        <f t="shared" si="64"/>
        <v>44.695438828477855</v>
      </c>
    </row>
    <row r="69" spans="2:30" x14ac:dyDescent="0.3">
      <c r="B69" s="307" t="s">
        <v>326</v>
      </c>
      <c r="D69" s="227"/>
      <c r="E69" s="354"/>
      <c r="F69" s="354"/>
      <c r="G69" s="354">
        <v>14.538873241999999</v>
      </c>
      <c r="H69" s="354">
        <v>47.041864181000001</v>
      </c>
      <c r="I69" s="354">
        <v>67.558205772999997</v>
      </c>
      <c r="J69" s="354">
        <v>120.25291686200001</v>
      </c>
      <c r="K69" s="354">
        <v>171.81608398200001</v>
      </c>
      <c r="L69" s="354">
        <v>204.109429519</v>
      </c>
      <c r="M69" s="354">
        <v>274.54098195300003</v>
      </c>
      <c r="N69" s="557">
        <f t="shared" ref="N69:S69" si="65">SUM(K69:M69)/SUM(K62:M62)*N62</f>
        <v>249.21191244245188</v>
      </c>
      <c r="O69" s="557">
        <f t="shared" si="65"/>
        <v>314.05784146220236</v>
      </c>
      <c r="P69" s="557">
        <f t="shared" si="65"/>
        <v>338.762394987307</v>
      </c>
      <c r="Q69" s="557">
        <f t="shared" si="65"/>
        <v>331.73709646557933</v>
      </c>
      <c r="R69" s="557">
        <f t="shared" si="65"/>
        <v>381.61682056559988</v>
      </c>
      <c r="S69" s="557">
        <f t="shared" si="65"/>
        <v>394.18208218574836</v>
      </c>
      <c r="U69" s="55"/>
      <c r="V69" s="55"/>
      <c r="W69" s="55"/>
      <c r="X69" s="55"/>
      <c r="Y69" s="55"/>
      <c r="Z69" s="55"/>
      <c r="AA69" s="55"/>
      <c r="AB69" s="55"/>
      <c r="AC69" s="55"/>
      <c r="AD69" s="55"/>
    </row>
    <row r="70" spans="2:30" x14ac:dyDescent="0.3">
      <c r="B70" s="311" t="s">
        <v>327</v>
      </c>
      <c r="C70" s="232"/>
      <c r="D70" s="281"/>
      <c r="E70" s="490"/>
      <c r="F70" s="490"/>
      <c r="G70" s="490">
        <v>4.97922917</v>
      </c>
      <c r="H70" s="490">
        <v>2.870835993</v>
      </c>
      <c r="I70" s="490">
        <v>21.346949555999998</v>
      </c>
      <c r="J70" s="490">
        <v>7.6433158380000004</v>
      </c>
      <c r="K70" s="490">
        <v>8.2318262420000003</v>
      </c>
      <c r="L70" s="490">
        <v>21.316116706999999</v>
      </c>
      <c r="M70" s="490">
        <v>11.913456261</v>
      </c>
      <c r="N70" s="558">
        <f t="shared" ref="N70:S70" si="66">SUM(K70:M70)/SUM(K62:M62)*N62</f>
        <v>15.88502199863847</v>
      </c>
      <c r="O70" s="558">
        <f t="shared" si="66"/>
        <v>21.191952341423509</v>
      </c>
      <c r="P70" s="558">
        <f t="shared" si="66"/>
        <v>19.808907777824089</v>
      </c>
      <c r="Q70" s="558">
        <f t="shared" si="66"/>
        <v>20.920714840210195</v>
      </c>
      <c r="R70" s="558">
        <f t="shared" si="66"/>
        <v>24.000953291849285</v>
      </c>
      <c r="S70" s="558">
        <f t="shared" si="66"/>
        <v>24.2517228387884</v>
      </c>
    </row>
    <row r="71" spans="2:30" s="55" customFormat="1" x14ac:dyDescent="0.3">
      <c r="B71" s="316" t="s">
        <v>122</v>
      </c>
      <c r="D71" s="233"/>
      <c r="E71" s="358"/>
      <c r="F71" s="358"/>
      <c r="G71" s="358">
        <f t="shared" ref="G71" si="67">SUM(G66:G70)</f>
        <v>174.81463833199999</v>
      </c>
      <c r="H71" s="358">
        <f t="shared" ref="H71" si="68">SUM(H66:H70)</f>
        <v>489.02965667400002</v>
      </c>
      <c r="I71" s="358">
        <f t="shared" ref="I71" si="69">SUM(I66:I70)</f>
        <v>665.74689910799998</v>
      </c>
      <c r="J71" s="358">
        <f t="shared" ref="J71" si="70">SUM(J66:J70)</f>
        <v>814.7489142180001</v>
      </c>
      <c r="K71" s="358">
        <f t="shared" ref="K71" si="71">SUM(K66:K70)</f>
        <v>856.05329601000005</v>
      </c>
      <c r="L71" s="358">
        <f>SUM(L66:L70)</f>
        <v>720.19238224900005</v>
      </c>
      <c r="M71" s="358">
        <f>SUM(M66:M70)</f>
        <v>824.59762867480003</v>
      </c>
      <c r="N71" s="517">
        <f>SUM(N66:N70)</f>
        <v>862.6251491656534</v>
      </c>
      <c r="O71" s="517">
        <f t="shared" ref="O71:S71" si="72">SUM(O66:O70)</f>
        <v>1000.9558769318044</v>
      </c>
      <c r="P71" s="517">
        <f t="shared" si="72"/>
        <v>1028.625627799719</v>
      </c>
      <c r="Q71" s="517">
        <f t="shared" si="72"/>
        <v>1035.8886636231118</v>
      </c>
      <c r="R71" s="517">
        <f t="shared" si="72"/>
        <v>1140.5525255357109</v>
      </c>
      <c r="S71" s="517">
        <f t="shared" si="72"/>
        <v>1160.4789348449553</v>
      </c>
      <c r="U71" s="54"/>
      <c r="V71" s="54"/>
      <c r="W71" s="54"/>
      <c r="X71" s="54"/>
      <c r="Y71" s="54"/>
      <c r="Z71" s="54"/>
      <c r="AA71" s="54"/>
      <c r="AB71" s="54"/>
      <c r="AC71" s="54"/>
      <c r="AD71" s="54"/>
    </row>
    <row r="72" spans="2:30" x14ac:dyDescent="0.3">
      <c r="B72" s="307" t="s">
        <v>621</v>
      </c>
      <c r="D72" s="227"/>
      <c r="E72" s="227"/>
      <c r="F72" s="227"/>
      <c r="G72" s="102">
        <f t="shared" ref="G72:S72" si="73">G71/G62</f>
        <v>0.61250692705585486</v>
      </c>
      <c r="H72" s="102">
        <f t="shared" si="73"/>
        <v>0.66823817220526038</v>
      </c>
      <c r="I72" s="102">
        <f t="shared" si="73"/>
        <v>0.83094925403842157</v>
      </c>
      <c r="J72" s="102">
        <f t="shared" si="73"/>
        <v>0.85782858733786138</v>
      </c>
      <c r="K72" s="102">
        <f t="shared" si="73"/>
        <v>0.78856661811981055</v>
      </c>
      <c r="L72" s="102">
        <f t="shared" si="73"/>
        <v>0.75793137917969278</v>
      </c>
      <c r="M72" s="102">
        <f t="shared" si="73"/>
        <v>0.92592441080671306</v>
      </c>
      <c r="N72" s="217">
        <f t="shared" si="73"/>
        <v>0.76939800195781449</v>
      </c>
      <c r="O72" s="217">
        <f t="shared" si="73"/>
        <v>0.78320910310027336</v>
      </c>
      <c r="P72" s="217">
        <f t="shared" si="73"/>
        <v>0.77329387778050929</v>
      </c>
      <c r="Q72" s="217">
        <f t="shared" si="73"/>
        <v>0.75527484220972652</v>
      </c>
      <c r="R72" s="217">
        <f t="shared" si="73"/>
        <v>0.73939003185705787</v>
      </c>
      <c r="S72" s="217">
        <f t="shared" si="73"/>
        <v>0.72979290831234211</v>
      </c>
      <c r="U72" s="55"/>
      <c r="V72" s="55"/>
      <c r="W72" s="55"/>
      <c r="X72" s="55"/>
      <c r="Y72" s="55"/>
      <c r="Z72" s="55"/>
      <c r="AA72" s="55"/>
      <c r="AB72" s="55"/>
      <c r="AC72" s="55"/>
      <c r="AD72" s="55"/>
    </row>
    <row r="73" spans="2:30" x14ac:dyDescent="0.3">
      <c r="B73" s="307"/>
      <c r="D73" s="227"/>
      <c r="E73" s="227"/>
      <c r="F73" s="227"/>
      <c r="G73" s="227"/>
      <c r="H73" s="227"/>
      <c r="I73" s="227"/>
      <c r="J73" s="227"/>
      <c r="K73" s="227"/>
      <c r="L73" s="102"/>
      <c r="M73" s="102"/>
      <c r="N73" s="107"/>
      <c r="O73" s="107"/>
      <c r="P73" s="107"/>
      <c r="Q73" s="107"/>
      <c r="R73" s="107"/>
      <c r="S73" s="107"/>
    </row>
    <row r="74" spans="2:30" s="55" customFormat="1" x14ac:dyDescent="0.3">
      <c r="B74" s="160" t="s">
        <v>631</v>
      </c>
      <c r="D74" s="233"/>
      <c r="E74" s="233"/>
      <c r="F74" s="233"/>
      <c r="G74" s="233"/>
      <c r="H74" s="233"/>
      <c r="I74" s="233"/>
      <c r="J74" s="233"/>
      <c r="K74" s="233"/>
      <c r="L74" s="581"/>
      <c r="M74" s="581"/>
      <c r="N74" s="304"/>
      <c r="O74" s="304"/>
      <c r="P74" s="304"/>
      <c r="Q74" s="304"/>
      <c r="R74" s="304"/>
      <c r="S74" s="304"/>
    </row>
    <row r="75" spans="2:30" x14ac:dyDescent="0.3">
      <c r="B75" s="307"/>
      <c r="D75" s="227"/>
      <c r="E75" s="227"/>
      <c r="F75" s="227"/>
      <c r="G75" s="227"/>
      <c r="H75" s="227"/>
      <c r="I75" s="227"/>
      <c r="J75" s="227"/>
      <c r="K75" s="227"/>
      <c r="L75" s="227"/>
      <c r="M75" s="227"/>
      <c r="N75" s="107"/>
      <c r="O75" s="107"/>
      <c r="P75" s="107"/>
      <c r="Q75" s="107"/>
      <c r="R75" s="107"/>
      <c r="S75" s="107"/>
    </row>
    <row r="76" spans="2:30" s="55" customFormat="1" x14ac:dyDescent="0.3">
      <c r="B76" s="316" t="s">
        <v>632</v>
      </c>
      <c r="D76" s="233"/>
      <c r="E76" s="233"/>
      <c r="F76" s="233"/>
      <c r="G76" s="233"/>
      <c r="H76" s="233"/>
      <c r="I76" s="233"/>
      <c r="J76" s="233"/>
      <c r="K76" s="233"/>
      <c r="L76" s="233"/>
      <c r="M76" s="233"/>
      <c r="N76" s="304"/>
      <c r="O76" s="304"/>
      <c r="P76" s="304"/>
      <c r="Q76" s="304"/>
      <c r="R76" s="304"/>
      <c r="S76" s="304"/>
      <c r="U76" s="54"/>
      <c r="V76" s="54"/>
      <c r="W76" s="54"/>
      <c r="X76" s="54"/>
      <c r="Y76" s="54"/>
      <c r="Z76" s="54"/>
      <c r="AA76" s="54"/>
      <c r="AB76" s="54"/>
      <c r="AC76" s="54"/>
      <c r="AD76" s="54"/>
    </row>
    <row r="77" spans="2:30" x14ac:dyDescent="0.3">
      <c r="B77" s="307"/>
      <c r="D77" s="227"/>
      <c r="E77" s="227"/>
      <c r="F77" s="227"/>
      <c r="G77" s="227"/>
      <c r="H77" s="227"/>
      <c r="I77" s="227"/>
      <c r="J77" s="227"/>
      <c r="K77" s="227"/>
      <c r="L77" s="227"/>
      <c r="M77" s="107"/>
      <c r="N77" s="107"/>
      <c r="O77" s="107"/>
      <c r="P77" s="107"/>
      <c r="Q77" s="107"/>
      <c r="R77" s="107"/>
      <c r="S77" s="107"/>
    </row>
    <row r="78" spans="2:30" x14ac:dyDescent="0.3">
      <c r="B78" s="224" t="s">
        <v>318</v>
      </c>
      <c r="D78" s="227"/>
      <c r="E78" s="227"/>
      <c r="F78" s="227"/>
      <c r="G78" s="227"/>
      <c r="H78" s="227"/>
      <c r="I78" s="227"/>
      <c r="J78" s="227"/>
      <c r="K78" s="227"/>
      <c r="L78" s="227"/>
      <c r="M78" s="227"/>
      <c r="N78" s="107"/>
      <c r="O78" s="107"/>
      <c r="P78" s="107"/>
      <c r="Q78" s="107"/>
      <c r="R78" s="107"/>
      <c r="S78" s="107"/>
    </row>
    <row r="79" spans="2:30" x14ac:dyDescent="0.3">
      <c r="B79" s="308" t="s">
        <v>314</v>
      </c>
      <c r="D79" s="227"/>
      <c r="E79" s="227"/>
      <c r="F79" s="227"/>
      <c r="G79" s="227"/>
      <c r="H79" s="227"/>
      <c r="I79" s="227"/>
      <c r="J79" s="227"/>
      <c r="K79" s="227"/>
      <c r="L79" s="227"/>
      <c r="M79" s="102">
        <f>Assumption!D52</f>
        <v>0.33560000000000001</v>
      </c>
      <c r="N79" s="217">
        <f>Assumption!E52</f>
        <v>0.31881999999999999</v>
      </c>
      <c r="O79" s="217">
        <f>Assumption!F52</f>
        <v>0.28693800000000003</v>
      </c>
      <c r="P79" s="217">
        <f>Assumption!G52</f>
        <v>0.25824420000000003</v>
      </c>
      <c r="Q79" s="217">
        <f>Assumption!H52</f>
        <v>0.23241978000000005</v>
      </c>
      <c r="R79" s="217">
        <f>Assumption!I52</f>
        <v>0.20917780200000005</v>
      </c>
      <c r="S79" s="217">
        <f>Assumption!J52</f>
        <v>0.18826002180000004</v>
      </c>
    </row>
    <row r="80" spans="2:30" x14ac:dyDescent="0.3">
      <c r="B80" s="224" t="s">
        <v>691</v>
      </c>
      <c r="D80" s="227"/>
      <c r="E80" s="227"/>
      <c r="F80" s="227"/>
      <c r="G80" s="227"/>
      <c r="H80" s="227"/>
      <c r="I80" s="227"/>
      <c r="J80" s="227"/>
      <c r="K80" s="227"/>
      <c r="L80" s="227"/>
      <c r="M80" s="102"/>
      <c r="N80" s="102"/>
      <c r="O80" s="102"/>
      <c r="P80" s="102"/>
      <c r="Q80" s="102"/>
      <c r="R80" s="102"/>
      <c r="S80" s="102"/>
      <c r="U80" s="55"/>
      <c r="V80" s="55"/>
      <c r="W80" s="55"/>
      <c r="X80" s="55"/>
      <c r="Y80" s="55"/>
      <c r="Z80" s="55"/>
      <c r="AA80" s="55"/>
      <c r="AB80" s="55"/>
      <c r="AC80" s="55"/>
      <c r="AD80" s="55"/>
    </row>
    <row r="81" spans="2:30" x14ac:dyDescent="0.3">
      <c r="B81" s="311" t="s">
        <v>314</v>
      </c>
      <c r="C81" s="232"/>
      <c r="D81" s="281"/>
      <c r="E81" s="281"/>
      <c r="F81" s="281"/>
      <c r="G81" s="281"/>
      <c r="H81" s="281"/>
      <c r="I81" s="281"/>
      <c r="J81" s="281"/>
      <c r="K81" s="281"/>
      <c r="L81" s="281"/>
      <c r="M81" s="278">
        <f>Assumption!D54</f>
        <v>8.2400000000000001E-2</v>
      </c>
      <c r="N81" s="287">
        <f>Assumption!E54</f>
        <v>7.8280000000000002E-2</v>
      </c>
      <c r="O81" s="287">
        <f>Assumption!F54</f>
        <v>7.4366000000000002E-2</v>
      </c>
      <c r="P81" s="287">
        <f>Assumption!G54</f>
        <v>7.0647699999999994E-2</v>
      </c>
      <c r="Q81" s="287">
        <f>Assumption!H54</f>
        <v>6.7115314999999995E-2</v>
      </c>
      <c r="R81" s="287">
        <f>Assumption!I54</f>
        <v>6.3759549249999992E-2</v>
      </c>
      <c r="S81" s="287">
        <f>Assumption!J54</f>
        <v>6.0571571787499986E-2</v>
      </c>
      <c r="U81" s="55"/>
      <c r="V81" s="55"/>
      <c r="W81" s="55"/>
      <c r="X81" s="55"/>
      <c r="Y81" s="55"/>
      <c r="Z81" s="55"/>
      <c r="AA81" s="55"/>
      <c r="AB81" s="55"/>
      <c r="AC81" s="55"/>
      <c r="AD81" s="55"/>
    </row>
    <row r="82" spans="2:30" s="55" customFormat="1" x14ac:dyDescent="0.3">
      <c r="B82" s="210" t="s">
        <v>653</v>
      </c>
      <c r="D82" s="233"/>
      <c r="E82" s="233"/>
      <c r="F82" s="233"/>
      <c r="G82" s="233"/>
      <c r="H82" s="233"/>
      <c r="I82" s="233"/>
      <c r="J82" s="233"/>
      <c r="K82" s="233"/>
      <c r="L82" s="233"/>
      <c r="M82" s="233"/>
      <c r="N82" s="246">
        <f t="shared" ref="N82:S82" si="74">SUMPRODUCT(N78:N81,N53:N56)</f>
        <v>307.98902701912226</v>
      </c>
      <c r="O82" s="246">
        <f t="shared" si="74"/>
        <v>322.92305460141455</v>
      </c>
      <c r="P82" s="246">
        <f t="shared" si="74"/>
        <v>303.66288333447983</v>
      </c>
      <c r="Q82" s="246">
        <f t="shared" si="74"/>
        <v>282.56624909137662</v>
      </c>
      <c r="R82" s="246">
        <f t="shared" si="74"/>
        <v>286.84668063605977</v>
      </c>
      <c r="S82" s="246">
        <f t="shared" si="74"/>
        <v>266.93614038950614</v>
      </c>
      <c r="U82" s="54"/>
      <c r="V82" s="54"/>
      <c r="W82" s="54"/>
      <c r="X82" s="54"/>
      <c r="Y82" s="54"/>
      <c r="Z82" s="54"/>
      <c r="AA82" s="54"/>
      <c r="AB82" s="54"/>
      <c r="AC82" s="54"/>
      <c r="AD82" s="54"/>
    </row>
    <row r="83" spans="2:30" s="55" customFormat="1" x14ac:dyDescent="0.3">
      <c r="B83" s="115" t="s">
        <v>654</v>
      </c>
      <c r="D83" s="233"/>
      <c r="E83" s="233"/>
      <c r="F83" s="233"/>
      <c r="G83" s="233"/>
      <c r="H83" s="233"/>
      <c r="I83" s="233"/>
      <c r="J83" s="233"/>
      <c r="K83" s="233"/>
      <c r="L83" s="233"/>
      <c r="M83" s="233"/>
      <c r="N83" s="517">
        <f t="shared" ref="N83:S83" si="75">N57-N82</f>
        <v>813.17992191317626</v>
      </c>
      <c r="O83" s="517">
        <f t="shared" si="75"/>
        <v>955.09564177174684</v>
      </c>
      <c r="P83" s="517">
        <f t="shared" si="75"/>
        <v>1026.5243292580435</v>
      </c>
      <c r="Q83" s="517">
        <f t="shared" si="75"/>
        <v>1088.9724355447836</v>
      </c>
      <c r="R83" s="517">
        <f t="shared" si="75"/>
        <v>1255.7120182837648</v>
      </c>
      <c r="S83" s="517">
        <f t="shared" si="75"/>
        <v>1323.2121354118874</v>
      </c>
      <c r="U83" s="54"/>
      <c r="V83" s="54"/>
      <c r="W83" s="54"/>
      <c r="X83" s="54"/>
      <c r="Y83" s="54"/>
      <c r="Z83" s="54"/>
      <c r="AA83" s="54"/>
      <c r="AB83" s="54"/>
      <c r="AC83" s="54"/>
      <c r="AD83" s="54"/>
    </row>
    <row r="84" spans="2:30" x14ac:dyDescent="0.3">
      <c r="B84" s="508" t="s">
        <v>655</v>
      </c>
      <c r="C84" s="232"/>
      <c r="D84" s="281"/>
      <c r="E84" s="281"/>
      <c r="F84" s="281"/>
      <c r="G84" s="281"/>
      <c r="H84" s="281"/>
      <c r="I84" s="281"/>
      <c r="J84" s="281"/>
      <c r="K84" s="281"/>
      <c r="L84" s="281"/>
      <c r="M84" s="278"/>
      <c r="N84" s="282">
        <f t="shared" ref="N84:S84" si="76">N68</f>
        <v>56.116663097262176</v>
      </c>
      <c r="O84" s="282">
        <f t="shared" si="76"/>
        <v>64.534044226883097</v>
      </c>
      <c r="P84" s="282">
        <f t="shared" si="76"/>
        <v>54.910615021336461</v>
      </c>
      <c r="Q84" s="282">
        <f t="shared" si="76"/>
        <v>62.106336909277687</v>
      </c>
      <c r="R84" s="282">
        <f t="shared" si="76"/>
        <v>46.755475848024652</v>
      </c>
      <c r="S84" s="282">
        <f t="shared" si="76"/>
        <v>44.695438828477855</v>
      </c>
    </row>
    <row r="85" spans="2:30" x14ac:dyDescent="0.3">
      <c r="B85" s="210" t="s">
        <v>656</v>
      </c>
      <c r="D85" s="227"/>
      <c r="E85" s="227"/>
      <c r="F85" s="227"/>
      <c r="G85" s="227"/>
      <c r="H85" s="227"/>
      <c r="I85" s="227"/>
      <c r="J85" s="227"/>
      <c r="K85" s="227"/>
      <c r="L85" s="227"/>
      <c r="M85" s="227"/>
      <c r="N85" s="517">
        <f>N83+N84</f>
        <v>869.29658501043843</v>
      </c>
      <c r="O85" s="517">
        <f t="shared" ref="O85:S85" si="77">O83+O84</f>
        <v>1019.62968599863</v>
      </c>
      <c r="P85" s="517">
        <f t="shared" si="77"/>
        <v>1081.43494427938</v>
      </c>
      <c r="Q85" s="517">
        <f t="shared" si="77"/>
        <v>1151.0787724540612</v>
      </c>
      <c r="R85" s="517">
        <f t="shared" si="77"/>
        <v>1302.4674941317894</v>
      </c>
      <c r="S85" s="517">
        <f t="shared" si="77"/>
        <v>1367.9075742403652</v>
      </c>
    </row>
    <row r="86" spans="2:30" x14ac:dyDescent="0.3">
      <c r="B86" s="507" t="s">
        <v>657</v>
      </c>
      <c r="D86" s="227"/>
      <c r="E86" s="227"/>
      <c r="F86" s="227"/>
      <c r="G86" s="227"/>
      <c r="H86" s="227"/>
      <c r="I86" s="227"/>
      <c r="J86" s="227"/>
      <c r="K86" s="227"/>
      <c r="L86" s="227"/>
      <c r="M86" s="227"/>
      <c r="N86" s="217">
        <f t="shared" ref="N86:S86" si="78">N84/N62</f>
        <v>5.0051924066129988E-2</v>
      </c>
      <c r="O86" s="217">
        <f t="shared" si="78"/>
        <v>5.0495383526095276E-2</v>
      </c>
      <c r="P86" s="217">
        <f t="shared" si="78"/>
        <v>4.1280366027813598E-2</v>
      </c>
      <c r="Q86" s="217">
        <f t="shared" si="78"/>
        <v>4.5282234912501329E-2</v>
      </c>
      <c r="R86" s="217">
        <f t="shared" si="78"/>
        <v>3.0310338193784869E-2</v>
      </c>
      <c r="S86" s="217">
        <f t="shared" si="78"/>
        <v>2.8107717694409669E-2</v>
      </c>
    </row>
    <row r="87" spans="2:30" x14ac:dyDescent="0.3">
      <c r="B87" s="307"/>
      <c r="D87" s="227"/>
      <c r="E87" s="227"/>
      <c r="F87" s="227"/>
      <c r="G87" s="227"/>
      <c r="H87" s="227"/>
      <c r="I87" s="227"/>
      <c r="J87" s="227"/>
      <c r="K87" s="227"/>
      <c r="L87" s="227"/>
      <c r="M87" s="227"/>
      <c r="N87" s="107"/>
      <c r="O87" s="107"/>
      <c r="P87" s="107"/>
      <c r="Q87" s="107"/>
      <c r="R87" s="107"/>
      <c r="S87" s="107"/>
    </row>
    <row r="88" spans="2:30" x14ac:dyDescent="0.3">
      <c r="S88" s="644"/>
    </row>
    <row r="89" spans="2:30" x14ac:dyDescent="0.3">
      <c r="B89" s="30" t="s">
        <v>126</v>
      </c>
      <c r="U89" s="55"/>
      <c r="V89" s="55"/>
      <c r="W89" s="55"/>
      <c r="X89" s="55"/>
      <c r="Y89" s="55"/>
      <c r="Z89" s="55"/>
      <c r="AA89" s="55"/>
      <c r="AB89" s="55"/>
      <c r="AC89" s="55"/>
      <c r="AD89" s="55"/>
    </row>
    <row r="91" spans="2:30" s="55" customFormat="1" x14ac:dyDescent="0.3">
      <c r="B91" s="55" t="s">
        <v>311</v>
      </c>
      <c r="D91" s="231">
        <f t="shared" ref="D91:M91" si="79">D18</f>
        <v>0</v>
      </c>
      <c r="E91" s="231">
        <f t="shared" si="79"/>
        <v>7.8663824360000003</v>
      </c>
      <c r="F91" s="231">
        <f t="shared" si="79"/>
        <v>75.687354268999997</v>
      </c>
      <c r="G91" s="231">
        <f t="shared" si="79"/>
        <v>285.40842659899999</v>
      </c>
      <c r="H91" s="231">
        <f t="shared" si="79"/>
        <v>731.81939765599998</v>
      </c>
      <c r="I91" s="231">
        <f t="shared" si="79"/>
        <v>801.188394926</v>
      </c>
      <c r="J91" s="231">
        <f t="shared" si="79"/>
        <v>949.78055784599997</v>
      </c>
      <c r="K91" s="231">
        <f t="shared" si="79"/>
        <v>1085.5814541719999</v>
      </c>
      <c r="L91" s="231">
        <f t="shared" si="79"/>
        <v>950.20789748599998</v>
      </c>
      <c r="M91" s="231">
        <f t="shared" si="79"/>
        <v>890.56689622900001</v>
      </c>
      <c r="N91" s="236">
        <f t="shared" ref="N91:S91" si="80">N57</f>
        <v>1121.1689489322985</v>
      </c>
      <c r="O91" s="236">
        <f t="shared" si="80"/>
        <v>1278.0186963731614</v>
      </c>
      <c r="P91" s="236">
        <f t="shared" si="80"/>
        <v>1330.1872125925233</v>
      </c>
      <c r="Q91" s="236">
        <f t="shared" si="80"/>
        <v>1371.5386846361603</v>
      </c>
      <c r="R91" s="236">
        <f t="shared" si="80"/>
        <v>1542.5586989198246</v>
      </c>
      <c r="S91" s="236">
        <f t="shared" si="80"/>
        <v>1590.1482758013935</v>
      </c>
    </row>
    <row r="93" spans="2:30" s="55" customFormat="1" x14ac:dyDescent="0.3">
      <c r="B93" s="224" t="s">
        <v>328</v>
      </c>
      <c r="C93" s="224"/>
      <c r="D93" s="224"/>
      <c r="E93" s="224"/>
      <c r="F93" s="224"/>
      <c r="G93" s="224"/>
      <c r="H93" s="224"/>
      <c r="I93" s="224"/>
      <c r="J93" s="326"/>
      <c r="K93" s="578"/>
      <c r="L93" s="578"/>
      <c r="M93" s="578"/>
      <c r="N93" s="578"/>
      <c r="O93" s="224"/>
      <c r="P93" s="224"/>
      <c r="Q93" s="224"/>
      <c r="R93" s="224"/>
      <c r="S93" s="224"/>
      <c r="U93" s="121"/>
      <c r="V93" s="121"/>
      <c r="W93" s="121"/>
      <c r="X93" s="121"/>
      <c r="Y93" s="121"/>
      <c r="Z93" s="121"/>
      <c r="AA93" s="121"/>
      <c r="AB93" s="121"/>
      <c r="AC93" s="121"/>
      <c r="AD93" s="121"/>
    </row>
    <row r="94" spans="2:30" x14ac:dyDescent="0.3">
      <c r="B94" s="308" t="s">
        <v>334</v>
      </c>
      <c r="C94" s="56"/>
      <c r="D94" s="56"/>
      <c r="E94" s="56"/>
      <c r="F94" s="56"/>
      <c r="G94" s="56"/>
      <c r="H94" s="56"/>
      <c r="I94" s="56"/>
      <c r="J94" s="329"/>
      <c r="K94" s="329">
        <v>20.204050162000001</v>
      </c>
      <c r="L94" s="329">
        <v>18.283945814999999</v>
      </c>
      <c r="M94" s="329">
        <v>23.556548457000002</v>
      </c>
      <c r="N94" s="295">
        <f>SUM(K94:M94)/SUM(K$91:M$91)*N$91</f>
        <v>23.771000786482915</v>
      </c>
      <c r="O94" s="295">
        <f t="shared" ref="O94:S94" si="81">SUM(L94:N94)/SUM(L$91:N$91)*O$91</f>
        <v>28.310030394699986</v>
      </c>
      <c r="P94" s="295">
        <f t="shared" si="81"/>
        <v>30.583479696096223</v>
      </c>
      <c r="Q94" s="295">
        <f t="shared" si="81"/>
        <v>30.401227775375432</v>
      </c>
      <c r="R94" s="295">
        <f t="shared" si="81"/>
        <v>34.610857914016428</v>
      </c>
      <c r="S94" s="295">
        <f t="shared" si="81"/>
        <v>35.815487870426097</v>
      </c>
      <c r="T94" s="272"/>
    </row>
    <row r="95" spans="2:30" s="121" customFormat="1" x14ac:dyDescent="0.3">
      <c r="B95" s="333" t="s">
        <v>335</v>
      </c>
      <c r="C95" s="309"/>
      <c r="D95" s="309"/>
      <c r="E95" s="309"/>
      <c r="F95" s="309"/>
      <c r="G95" s="309"/>
      <c r="H95" s="309"/>
      <c r="I95" s="309"/>
      <c r="J95" s="329"/>
      <c r="K95" s="329">
        <v>5.9093231810000004</v>
      </c>
      <c r="L95" s="329">
        <v>0.488418095</v>
      </c>
      <c r="M95" s="329">
        <v>1.378317029</v>
      </c>
      <c r="N95" s="295">
        <f t="shared" ref="N95:N99" si="82">SUM(K95:M95)/SUM(K$91:M$91)*N$91</f>
        <v>2.9792254866263206</v>
      </c>
      <c r="O95" s="295">
        <f t="shared" ref="O95:O99" si="83">SUM(L95:N95)/SUM(L$91:N$91)*O$91</f>
        <v>2.09093379225799</v>
      </c>
      <c r="P95" s="295">
        <f t="shared" ref="P95:P99" si="84">SUM(M95:O95)/SUM(M$91:O$91)*P$91</f>
        <v>2.6073923197481528</v>
      </c>
      <c r="Q95" s="295">
        <f t="shared" ref="Q95:Q99" si="85">SUM(N95:P95)/SUM(N$91:P$91)*Q$91</f>
        <v>2.8235453452779904</v>
      </c>
      <c r="R95" s="295">
        <f t="shared" ref="R95:R99" si="86">SUM(O95:Q95)/SUM(O$91:Q$91)*R$91</f>
        <v>2.9154956997100192</v>
      </c>
      <c r="S95" s="295">
        <f t="shared" ref="S95:S99" si="87">SUM(P95:R95)/SUM(P$91:R$91)*S$91</f>
        <v>3.1270444578740593</v>
      </c>
      <c r="T95" s="272"/>
    </row>
    <row r="96" spans="2:30" x14ac:dyDescent="0.3">
      <c r="B96" s="308" t="s">
        <v>336</v>
      </c>
      <c r="C96" s="56"/>
      <c r="D96" s="56"/>
      <c r="E96" s="56"/>
      <c r="F96" s="56"/>
      <c r="G96" s="56"/>
      <c r="H96" s="56"/>
      <c r="I96" s="56"/>
      <c r="J96" s="329"/>
      <c r="K96" s="329"/>
      <c r="L96" s="329">
        <v>1.322818284</v>
      </c>
      <c r="M96" s="329">
        <v>1.4205074630000001</v>
      </c>
      <c r="N96" s="295">
        <f>N123*N121</f>
        <v>1.2810145064378473</v>
      </c>
      <c r="O96" s="295">
        <f t="shared" ref="O96:S96" si="88">O123*O121</f>
        <v>1.4731639810880366</v>
      </c>
      <c r="P96" s="295">
        <f t="shared" si="88"/>
        <v>1.2534831994168909</v>
      </c>
      <c r="Q96" s="295">
        <f t="shared" si="88"/>
        <v>1.4177449999941738</v>
      </c>
      <c r="R96" s="295">
        <f t="shared" si="88"/>
        <v>1.0673201062029314</v>
      </c>
      <c r="S96" s="295">
        <f t="shared" si="88"/>
        <v>1.0202941933958103</v>
      </c>
      <c r="T96" s="272"/>
      <c r="U96" s="121"/>
      <c r="V96" s="121"/>
      <c r="W96" s="121"/>
      <c r="X96" s="121"/>
      <c r="Y96" s="121"/>
      <c r="Z96" s="121"/>
      <c r="AA96" s="121"/>
      <c r="AB96" s="121"/>
      <c r="AC96" s="121"/>
      <c r="AD96" s="121"/>
    </row>
    <row r="97" spans="2:30" s="121" customFormat="1" x14ac:dyDescent="0.3">
      <c r="B97" s="333" t="s">
        <v>337</v>
      </c>
      <c r="C97" s="309"/>
      <c r="D97" s="309"/>
      <c r="E97" s="309"/>
      <c r="F97" s="309"/>
      <c r="G97" s="309"/>
      <c r="H97" s="309"/>
      <c r="I97" s="309"/>
      <c r="J97" s="329"/>
      <c r="K97" s="329">
        <v>24.097193544</v>
      </c>
      <c r="L97" s="329">
        <v>14.164395319</v>
      </c>
      <c r="M97" s="329">
        <v>13.832673095000001</v>
      </c>
      <c r="N97" s="295">
        <f t="shared" si="82"/>
        <v>19.958769191901212</v>
      </c>
      <c r="O97" s="295">
        <f t="shared" si="83"/>
        <v>20.691972024356907</v>
      </c>
      <c r="P97" s="295">
        <f t="shared" si="84"/>
        <v>22.029953937357266</v>
      </c>
      <c r="Q97" s="295">
        <f t="shared" si="85"/>
        <v>23.05185224301243</v>
      </c>
      <c r="R97" s="295">
        <f t="shared" si="86"/>
        <v>25.494076653471492</v>
      </c>
      <c r="S97" s="295">
        <f t="shared" si="87"/>
        <v>26.44170433416123</v>
      </c>
      <c r="T97" s="272"/>
    </row>
    <row r="98" spans="2:30" s="121" customFormat="1" x14ac:dyDescent="0.3">
      <c r="B98" s="333" t="s">
        <v>330</v>
      </c>
      <c r="C98" s="309"/>
      <c r="D98" s="309"/>
      <c r="E98" s="309"/>
      <c r="F98" s="309"/>
      <c r="G98" s="309"/>
      <c r="H98" s="309"/>
      <c r="I98" s="309"/>
      <c r="J98" s="230"/>
      <c r="K98" s="329">
        <v>39.198165271000001</v>
      </c>
      <c r="L98" s="329">
        <v>39.738505218999997</v>
      </c>
      <c r="M98" s="329">
        <v>22.783296037</v>
      </c>
      <c r="N98" s="295">
        <f t="shared" si="82"/>
        <v>38.971764985501167</v>
      </c>
      <c r="O98" s="295">
        <f t="shared" si="83"/>
        <v>43.792416901981674</v>
      </c>
      <c r="P98" s="295">
        <f t="shared" si="84"/>
        <v>42.677319442517458</v>
      </c>
      <c r="Q98" s="295">
        <f t="shared" si="85"/>
        <v>46.133166626726933</v>
      </c>
      <c r="R98" s="295">
        <f t="shared" si="86"/>
        <v>51.397208205052529</v>
      </c>
      <c r="S98" s="295">
        <f t="shared" si="87"/>
        <v>52.529706303549929</v>
      </c>
      <c r="T98" s="272"/>
      <c r="U98" s="55"/>
      <c r="V98" s="55"/>
      <c r="W98" s="55"/>
      <c r="X98" s="55"/>
      <c r="Y98" s="55"/>
      <c r="Z98" s="55"/>
      <c r="AA98" s="55"/>
      <c r="AB98" s="55"/>
      <c r="AC98" s="55"/>
      <c r="AD98" s="55"/>
    </row>
    <row r="99" spans="2:30" s="121" customFormat="1" x14ac:dyDescent="0.3">
      <c r="B99" s="334" t="s">
        <v>333</v>
      </c>
      <c r="C99" s="312"/>
      <c r="D99" s="312"/>
      <c r="E99" s="312"/>
      <c r="F99" s="312"/>
      <c r="G99" s="312"/>
      <c r="H99" s="312"/>
      <c r="I99" s="312"/>
      <c r="J99" s="330"/>
      <c r="K99" s="330">
        <v>0</v>
      </c>
      <c r="L99" s="330">
        <v>-3.7774069130000001</v>
      </c>
      <c r="M99" s="330">
        <v>0</v>
      </c>
      <c r="N99" s="296">
        <f t="shared" si="82"/>
        <v>-1.4472302684937304</v>
      </c>
      <c r="O99" s="296">
        <f t="shared" si="83"/>
        <v>-2.254325058094282</v>
      </c>
      <c r="P99" s="296">
        <f t="shared" si="84"/>
        <v>-1.4966957260691236</v>
      </c>
      <c r="Q99" s="296">
        <f t="shared" si="85"/>
        <v>-1.9117419628844758</v>
      </c>
      <c r="R99" s="296">
        <f t="shared" si="86"/>
        <v>-2.1949006349355047</v>
      </c>
      <c r="S99" s="296">
        <f t="shared" si="87"/>
        <v>-2.0993264171186041</v>
      </c>
      <c r="T99" s="272"/>
    </row>
    <row r="100" spans="2:30" s="55" customFormat="1" x14ac:dyDescent="0.3">
      <c r="B100" s="55" t="s">
        <v>328</v>
      </c>
      <c r="J100" s="231"/>
      <c r="K100" s="231">
        <f>SUM(K94:K99)</f>
        <v>89.408732157999992</v>
      </c>
      <c r="L100" s="231">
        <f>SUM(L94:L99)</f>
        <v>70.220675819000007</v>
      </c>
      <c r="M100" s="231">
        <f>SUM(M94:M99)</f>
        <v>62.971342081000003</v>
      </c>
      <c r="N100" s="223">
        <f>N101*N91</f>
        <v>83.70745860237902</v>
      </c>
      <c r="O100" s="223">
        <f t="shared" ref="O100:S100" si="89">O101*O91</f>
        <v>92.138029169536907</v>
      </c>
      <c r="P100" s="223">
        <f t="shared" si="89"/>
        <v>95.715627793350293</v>
      </c>
      <c r="Q100" s="223">
        <f t="shared" si="89"/>
        <v>99.990572584556304</v>
      </c>
      <c r="R100" s="223">
        <f t="shared" si="89"/>
        <v>111.55521119540364</v>
      </c>
      <c r="S100" s="223">
        <f t="shared" si="89"/>
        <v>115.11546644290669</v>
      </c>
      <c r="U100" s="121"/>
      <c r="V100" s="121"/>
      <c r="W100" s="121"/>
      <c r="X100" s="121"/>
      <c r="Y100" s="121"/>
      <c r="Z100" s="121"/>
      <c r="AA100" s="121"/>
      <c r="AB100" s="121"/>
      <c r="AC100" s="121"/>
      <c r="AD100" s="121"/>
    </row>
    <row r="101" spans="2:30" s="121" customFormat="1" x14ac:dyDescent="0.3">
      <c r="B101" s="335" t="s">
        <v>331</v>
      </c>
      <c r="J101" s="336"/>
      <c r="K101" s="102">
        <f>(K100-K96)/K91</f>
        <v>8.2360224388868419E-2</v>
      </c>
      <c r="L101" s="102">
        <f>(L100-L96)/L91</f>
        <v>7.250819290945236E-2</v>
      </c>
      <c r="M101" s="102">
        <f>(M100-M96)/M91</f>
        <v>6.9114218009483308E-2</v>
      </c>
      <c r="N101" s="297">
        <f>AVERAGE(K101:M101)</f>
        <v>7.4660878435934705E-2</v>
      </c>
      <c r="O101" s="297">
        <f t="shared" ref="O101:P101" si="90">AVERAGE(L101:N101)</f>
        <v>7.2094429784956796E-2</v>
      </c>
      <c r="P101" s="297">
        <f t="shared" si="90"/>
        <v>7.195650874345827E-2</v>
      </c>
      <c r="Q101" s="297">
        <f>AVERAGE(N101:P101)</f>
        <v>7.290393898811659E-2</v>
      </c>
      <c r="R101" s="297">
        <f t="shared" ref="R101:R102" si="91">AVERAGE(O101:Q101)</f>
        <v>7.2318292505510542E-2</v>
      </c>
      <c r="S101" s="297">
        <f t="shared" ref="S101" si="92">AVERAGE(P101:R101)</f>
        <v>7.2392913412361801E-2</v>
      </c>
      <c r="U101" s="54"/>
      <c r="V101" s="54"/>
      <c r="W101" s="54"/>
      <c r="X101" s="54"/>
      <c r="Y101" s="54"/>
      <c r="Z101" s="54"/>
      <c r="AA101" s="54"/>
      <c r="AB101" s="54"/>
      <c r="AC101" s="54"/>
      <c r="AD101" s="54"/>
    </row>
    <row r="102" spans="2:30" s="121" customFormat="1" x14ac:dyDescent="0.3">
      <c r="B102" s="335" t="s">
        <v>332</v>
      </c>
      <c r="J102" s="336"/>
      <c r="K102" s="102">
        <f>K100/K91</f>
        <v>8.2360224388868419E-2</v>
      </c>
      <c r="L102" s="102">
        <f>L100/L91</f>
        <v>7.3900328554188446E-2</v>
      </c>
      <c r="M102" s="102">
        <f>M100/M91</f>
        <v>7.0709277818033309E-2</v>
      </c>
      <c r="N102" s="297">
        <f>AVERAGE(K102:M102)</f>
        <v>7.5656610253696729E-2</v>
      </c>
      <c r="O102" s="297">
        <f t="shared" ref="O102" si="93">AVERAGE(L102:N102)</f>
        <v>7.3422072208639499E-2</v>
      </c>
      <c r="P102" s="297">
        <f>AVERAGE(M102:O102)</f>
        <v>7.326265342678985E-2</v>
      </c>
      <c r="Q102" s="297">
        <f>AVERAGE(N102:P102)</f>
        <v>7.4113778629708693E-2</v>
      </c>
      <c r="R102" s="297">
        <f t="shared" si="91"/>
        <v>7.3599501421712676E-2</v>
      </c>
      <c r="S102" s="297">
        <f>AVERAGE(P102:R102)</f>
        <v>7.3658644492737069E-2</v>
      </c>
      <c r="U102" s="55"/>
      <c r="V102" s="55"/>
      <c r="W102" s="55"/>
      <c r="X102" s="55"/>
      <c r="Y102" s="55"/>
      <c r="Z102" s="55"/>
      <c r="AA102" s="55"/>
      <c r="AB102" s="55"/>
      <c r="AC102" s="55"/>
      <c r="AD102" s="55"/>
    </row>
    <row r="103" spans="2:30" x14ac:dyDescent="0.3">
      <c r="J103" s="336"/>
      <c r="K103" s="336"/>
      <c r="L103" s="336"/>
      <c r="M103" s="336"/>
    </row>
    <row r="104" spans="2:30" s="55" customFormat="1" x14ac:dyDescent="0.3">
      <c r="B104" s="224" t="s">
        <v>329</v>
      </c>
      <c r="C104" s="224"/>
      <c r="D104" s="224"/>
      <c r="E104" s="224"/>
      <c r="F104" s="224"/>
      <c r="G104" s="224"/>
      <c r="H104" s="224"/>
      <c r="I104" s="224"/>
      <c r="J104" s="326"/>
      <c r="K104" s="326"/>
      <c r="L104" s="326"/>
      <c r="M104" s="326"/>
      <c r="N104" s="224"/>
      <c r="O104" s="224"/>
      <c r="P104" s="224"/>
      <c r="Q104" s="224"/>
      <c r="R104" s="224"/>
      <c r="S104" s="224"/>
      <c r="U104" s="54"/>
      <c r="V104" s="54"/>
      <c r="W104" s="54"/>
      <c r="X104" s="54"/>
      <c r="Y104" s="54"/>
      <c r="Z104" s="54"/>
      <c r="AA104" s="54"/>
      <c r="AB104" s="54"/>
      <c r="AC104" s="54"/>
      <c r="AD104" s="54"/>
    </row>
    <row r="105" spans="2:30" x14ac:dyDescent="0.3">
      <c r="B105" s="308" t="s">
        <v>334</v>
      </c>
      <c r="C105" s="56"/>
      <c r="D105" s="56"/>
      <c r="E105" s="56"/>
      <c r="F105" s="56"/>
      <c r="G105" s="56"/>
      <c r="H105" s="56"/>
      <c r="I105" s="56"/>
      <c r="J105" s="329"/>
      <c r="K105" s="329">
        <v>2.8083375880000001</v>
      </c>
      <c r="L105" s="329">
        <v>2.756741398</v>
      </c>
      <c r="M105" s="329">
        <v>2.615360978</v>
      </c>
      <c r="N105" s="295">
        <f>SUM(K105:M105)/SUM(K$91:M$91)*N$91</f>
        <v>3.1341554135331675</v>
      </c>
      <c r="O105" s="295">
        <f t="shared" ref="O105" si="94">SUM(L105:N105)/SUM(L$91:N$91)*O$91</f>
        <v>3.6702778431155845</v>
      </c>
      <c r="P105" s="295">
        <f t="shared" ref="P105" si="95">SUM(M105:O105)/SUM(M$91:O$91)*P$91</f>
        <v>3.808822110581557</v>
      </c>
      <c r="Q105" s="295">
        <f t="shared" ref="Q105" si="96">SUM(N105:P105)/SUM(N$91:P$91)*Q$91</f>
        <v>3.9031984878782913</v>
      </c>
      <c r="R105" s="295">
        <f t="shared" ref="R105" si="97">SUM(O105:Q105)/SUM(O$91:Q$91)*R$91</f>
        <v>4.4118066026099179</v>
      </c>
      <c r="S105" s="295">
        <f t="shared" ref="S105" si="98">SUM(P105:R105)/SUM(P$91:R$91)*S$91</f>
        <v>4.5422691346828241</v>
      </c>
    </row>
    <row r="106" spans="2:30" x14ac:dyDescent="0.3">
      <c r="B106" s="308" t="s">
        <v>337</v>
      </c>
      <c r="C106" s="56"/>
      <c r="D106" s="56"/>
      <c r="E106" s="56"/>
      <c r="F106" s="56"/>
      <c r="G106" s="56"/>
      <c r="H106" s="56"/>
      <c r="I106" s="56"/>
      <c r="J106" s="329"/>
      <c r="K106" s="329">
        <v>4.4758153480000002</v>
      </c>
      <c r="L106" s="329">
        <v>9.6006646149999995</v>
      </c>
      <c r="M106" s="329">
        <v>16.681048673999999</v>
      </c>
      <c r="N106" s="295">
        <f t="shared" ref="N106:N107" si="99">SUM(K106:M106)/SUM(K$91:M$91)*N$91</f>
        <v>11.784069721039637</v>
      </c>
      <c r="O106" s="295">
        <f t="shared" ref="O106:O107" si="100">SUM(L106:N106)/SUM(L$91:N$91)*O$91</f>
        <v>16.424613904190373</v>
      </c>
      <c r="P106" s="295">
        <f t="shared" ref="P106:P107" si="101">SUM(M106:O106)/SUM(M$91:O$91)*P$91</f>
        <v>18.150821627344154</v>
      </c>
      <c r="Q106" s="295">
        <f t="shared" ref="Q106:Q107" si="102">SUM(N106:P106)/SUM(N$91:P$91)*Q$91</f>
        <v>17.049467344330466</v>
      </c>
      <c r="R106" s="295">
        <f t="shared" ref="R106:R107" si="103">SUM(O106:Q106)/SUM(O$91:Q$91)*R$91</f>
        <v>20.009938110119752</v>
      </c>
      <c r="S106" s="295">
        <f t="shared" ref="S106:S107" si="104">SUM(P106:R106)/SUM(P$91:R$91)*S$91</f>
        <v>20.6848634703682</v>
      </c>
    </row>
    <row r="107" spans="2:30" x14ac:dyDescent="0.3">
      <c r="B107" s="311" t="s">
        <v>330</v>
      </c>
      <c r="C107" s="232"/>
      <c r="D107" s="232"/>
      <c r="E107" s="232"/>
      <c r="F107" s="232"/>
      <c r="G107" s="232"/>
      <c r="H107" s="232"/>
      <c r="I107" s="232"/>
      <c r="J107" s="330"/>
      <c r="K107" s="330">
        <v>3.483797129</v>
      </c>
      <c r="L107" s="330">
        <v>6.4270620870000004</v>
      </c>
      <c r="M107" s="330">
        <v>7.0356928679999999</v>
      </c>
      <c r="N107" s="296">
        <f t="shared" si="99"/>
        <v>6.492698215319411</v>
      </c>
      <c r="O107" s="296">
        <f t="shared" si="100"/>
        <v>8.6103736134681128</v>
      </c>
      <c r="P107" s="296">
        <f t="shared" si="101"/>
        <v>8.9516410207691735</v>
      </c>
      <c r="Q107" s="296">
        <f t="shared" si="102"/>
        <v>8.846514624592352</v>
      </c>
      <c r="R107" s="296">
        <f t="shared" si="103"/>
        <v>10.236010270452516</v>
      </c>
      <c r="S107" s="296">
        <f t="shared" si="104"/>
        <v>10.503178942103649</v>
      </c>
    </row>
    <row r="108" spans="2:30" x14ac:dyDescent="0.3">
      <c r="B108" s="55" t="s">
        <v>329</v>
      </c>
      <c r="J108" s="336"/>
      <c r="K108" s="231">
        <f>SUM(K105:K107)</f>
        <v>10.767950065000001</v>
      </c>
      <c r="L108" s="231">
        <f>SUM(L105:L107)</f>
        <v>18.784468099999998</v>
      </c>
      <c r="M108" s="231">
        <f>SUM(M105:M107)</f>
        <v>26.332102519999999</v>
      </c>
      <c r="N108" s="223">
        <f>N91*N109</f>
        <v>22.14520159946705</v>
      </c>
      <c r="O108" s="223">
        <f t="shared" ref="O108:S108" si="105">O91*O109</f>
        <v>29.432124283141452</v>
      </c>
      <c r="P108" s="223">
        <f t="shared" si="105"/>
        <v>32.079317616343062</v>
      </c>
      <c r="Q108" s="223">
        <f t="shared" si="105"/>
        <v>30.584294813161609</v>
      </c>
      <c r="R108" s="223">
        <f t="shared" si="105"/>
        <v>35.707737608398574</v>
      </c>
      <c r="S108" s="223">
        <f t="shared" si="105"/>
        <v>36.872375516304274</v>
      </c>
    </row>
    <row r="109" spans="2:30" x14ac:dyDescent="0.3">
      <c r="B109" s="335" t="s">
        <v>338</v>
      </c>
      <c r="J109" s="336"/>
      <c r="K109" s="102">
        <f>K108/K91</f>
        <v>9.919062290183453E-3</v>
      </c>
      <c r="L109" s="102">
        <f t="shared" ref="L109" si="106">L108/L91</f>
        <v>1.9768798122704261E-2</v>
      </c>
      <c r="M109" s="102">
        <f>M108/M91</f>
        <v>2.9567798479260981E-2</v>
      </c>
      <c r="N109" s="298">
        <f>AVERAGE(K109:M109)</f>
        <v>1.9751886297382896E-2</v>
      </c>
      <c r="O109" s="298">
        <f t="shared" ref="O109:S109" si="107">AVERAGE(L109:N109)</f>
        <v>2.302949429978271E-2</v>
      </c>
      <c r="P109" s="298">
        <f t="shared" si="107"/>
        <v>2.4116393025475528E-2</v>
      </c>
      <c r="Q109" s="298">
        <f t="shared" si="107"/>
        <v>2.2299257874213708E-2</v>
      </c>
      <c r="R109" s="298">
        <f t="shared" si="107"/>
        <v>2.3148381733157312E-2</v>
      </c>
      <c r="S109" s="298">
        <f t="shared" si="107"/>
        <v>2.3188010877615517E-2</v>
      </c>
    </row>
    <row r="110" spans="2:30" x14ac:dyDescent="0.3">
      <c r="J110" s="336"/>
      <c r="K110" s="336"/>
      <c r="L110" s="336"/>
      <c r="M110" s="336"/>
    </row>
    <row r="111" spans="2:30" hidden="1" x14ac:dyDescent="0.3"/>
    <row r="112" spans="2:30" hidden="1" x14ac:dyDescent="0.3">
      <c r="B112" s="115" t="s">
        <v>622</v>
      </c>
    </row>
    <row r="113" spans="2:30" hidden="1" x14ac:dyDescent="0.3">
      <c r="B113" s="116" t="s">
        <v>623</v>
      </c>
      <c r="F113" s="56"/>
      <c r="G113" s="320">
        <v>117.679758827</v>
      </c>
      <c r="H113" s="320">
        <v>342.55681364200001</v>
      </c>
      <c r="I113" s="320">
        <v>419.329611812</v>
      </c>
      <c r="J113" s="320">
        <v>514.79213163999998</v>
      </c>
      <c r="K113" s="320"/>
      <c r="L113" s="320"/>
      <c r="M113" s="320"/>
      <c r="N113" s="219"/>
      <c r="O113" s="144"/>
      <c r="P113" s="144"/>
      <c r="Q113" s="144"/>
      <c r="R113" s="144"/>
      <c r="S113" s="144"/>
      <c r="U113" s="55"/>
      <c r="V113" s="55"/>
      <c r="W113" s="55"/>
      <c r="X113" s="55"/>
      <c r="Y113" s="55"/>
      <c r="Z113" s="55"/>
      <c r="AA113" s="55"/>
      <c r="AB113" s="55"/>
      <c r="AC113" s="55"/>
      <c r="AD113" s="55"/>
    </row>
    <row r="114" spans="2:30" hidden="1" x14ac:dyDescent="0.3">
      <c r="B114" s="116" t="s">
        <v>624</v>
      </c>
      <c r="F114" s="56"/>
      <c r="G114" s="320">
        <v>18.207673225000001</v>
      </c>
      <c r="H114" s="320">
        <v>17.915512793000001</v>
      </c>
      <c r="I114" s="320">
        <v>39.157126712</v>
      </c>
      <c r="J114" s="320">
        <v>40.136859876999999</v>
      </c>
      <c r="K114" s="320">
        <v>49.439680308</v>
      </c>
      <c r="L114" s="320">
        <v>57.048555546999999</v>
      </c>
      <c r="M114" s="320">
        <v>62.468927377</v>
      </c>
      <c r="N114" s="219"/>
      <c r="O114" s="144"/>
      <c r="P114" s="144"/>
      <c r="Q114" s="144"/>
      <c r="R114" s="144"/>
      <c r="S114" s="144"/>
    </row>
    <row r="115" spans="2:30" s="55" customFormat="1" hidden="1" x14ac:dyDescent="0.3">
      <c r="B115" s="299" t="s">
        <v>336</v>
      </c>
      <c r="C115" s="337"/>
      <c r="D115" s="337"/>
      <c r="E115" s="337"/>
      <c r="F115" s="338"/>
      <c r="G115" s="339">
        <v>19.409103867999999</v>
      </c>
      <c r="H115" s="339">
        <v>78.644630065000001</v>
      </c>
      <c r="I115" s="339">
        <v>118.35500525499999</v>
      </c>
      <c r="J115" s="339">
        <v>131.92369000100001</v>
      </c>
      <c r="K115" s="339">
        <v>80.013272516000001</v>
      </c>
      <c r="L115" s="339">
        <v>63.125628243999998</v>
      </c>
      <c r="M115" s="339">
        <v>59.792985086999998</v>
      </c>
      <c r="N115" s="219"/>
      <c r="O115" s="145"/>
      <c r="P115" s="145"/>
      <c r="Q115" s="145"/>
      <c r="R115" s="145"/>
      <c r="S115" s="145"/>
      <c r="U115" s="54"/>
      <c r="V115" s="54"/>
      <c r="W115" s="54"/>
      <c r="X115" s="54"/>
      <c r="Y115" s="54"/>
      <c r="Z115" s="54"/>
      <c r="AA115" s="54"/>
      <c r="AB115" s="54"/>
      <c r="AC115" s="54"/>
      <c r="AD115" s="54"/>
    </row>
    <row r="116" spans="2:30" hidden="1" x14ac:dyDescent="0.3">
      <c r="B116" s="300" t="s">
        <v>337</v>
      </c>
      <c r="C116" s="56"/>
      <c r="D116" s="56"/>
      <c r="E116" s="56"/>
      <c r="F116" s="56"/>
      <c r="G116" s="320">
        <v>14.538873241999999</v>
      </c>
      <c r="H116" s="320">
        <v>47.041864181000001</v>
      </c>
      <c r="I116" s="320">
        <v>67.558205772999997</v>
      </c>
      <c r="J116" s="320">
        <v>120.25291686200001</v>
      </c>
      <c r="K116" s="320">
        <v>171.81608398200001</v>
      </c>
      <c r="L116" s="320">
        <v>204.109429519</v>
      </c>
      <c r="M116" s="320">
        <v>274.54098195300003</v>
      </c>
      <c r="N116" s="219"/>
      <c r="O116" s="219"/>
      <c r="P116" s="219"/>
      <c r="Q116" s="219"/>
      <c r="R116" s="219"/>
      <c r="S116" s="219"/>
    </row>
    <row r="117" spans="2:30" hidden="1" x14ac:dyDescent="0.3">
      <c r="B117" s="301" t="s">
        <v>625</v>
      </c>
      <c r="C117" s="232"/>
      <c r="D117" s="232"/>
      <c r="E117" s="232"/>
      <c r="F117" s="232"/>
      <c r="G117" s="281">
        <v>4.97922917</v>
      </c>
      <c r="H117" s="281">
        <v>2.870835993</v>
      </c>
      <c r="I117" s="281">
        <v>21.346949555999998</v>
      </c>
      <c r="J117" s="281">
        <v>7.6433158380000004</v>
      </c>
      <c r="K117" s="281">
        <v>8.2318262420000003</v>
      </c>
      <c r="L117" s="281">
        <v>21.316116706999999</v>
      </c>
      <c r="M117" s="281">
        <v>11.913456261</v>
      </c>
      <c r="N117" s="147"/>
      <c r="O117" s="147"/>
      <c r="P117" s="147"/>
      <c r="Q117" s="147"/>
      <c r="R117" s="147"/>
      <c r="S117" s="147"/>
    </row>
    <row r="118" spans="2:30" hidden="1" x14ac:dyDescent="0.3">
      <c r="B118" s="210" t="s">
        <v>622</v>
      </c>
      <c r="G118" s="233">
        <f>SUM(G113:G117)</f>
        <v>174.81463833199999</v>
      </c>
      <c r="H118" s="233">
        <f t="shared" ref="H118:J118" si="108">SUM(H113:H117)</f>
        <v>489.02965667400002</v>
      </c>
      <c r="I118" s="233">
        <f t="shared" si="108"/>
        <v>665.74689910799998</v>
      </c>
      <c r="J118" s="233">
        <f t="shared" si="108"/>
        <v>814.7489142180001</v>
      </c>
      <c r="K118" s="233">
        <f>SUM(K113:K117)</f>
        <v>309.50086304800004</v>
      </c>
      <c r="L118" s="233">
        <f>SUM(L113:L117)</f>
        <v>345.59973001699996</v>
      </c>
      <c r="M118" s="233">
        <f>SUM(M113:M117)</f>
        <v>408.71635067800008</v>
      </c>
      <c r="N118" s="246">
        <f t="shared" ref="N118:S118" si="109">SUM(N113:N117)</f>
        <v>0</v>
      </c>
      <c r="O118" s="246">
        <f t="shared" si="109"/>
        <v>0</v>
      </c>
      <c r="P118" s="246">
        <f t="shared" si="109"/>
        <v>0</v>
      </c>
      <c r="Q118" s="246">
        <f t="shared" si="109"/>
        <v>0</v>
      </c>
      <c r="R118" s="246">
        <f t="shared" si="109"/>
        <v>0</v>
      </c>
      <c r="S118" s="246">
        <f t="shared" si="109"/>
        <v>0</v>
      </c>
    </row>
    <row r="119" spans="2:30" hidden="1" x14ac:dyDescent="0.3">
      <c r="U119" s="55"/>
      <c r="V119" s="55"/>
      <c r="W119" s="55"/>
      <c r="X119" s="55"/>
      <c r="Y119" s="55"/>
      <c r="Z119" s="55"/>
      <c r="AA119" s="55"/>
      <c r="AB119" s="55"/>
      <c r="AC119" s="55"/>
      <c r="AD119" s="55"/>
    </row>
    <row r="120" spans="2:30" hidden="1" x14ac:dyDescent="0.3"/>
    <row r="121" spans="2:30" s="55" customFormat="1" x14ac:dyDescent="0.3">
      <c r="B121" s="115" t="s">
        <v>626</v>
      </c>
      <c r="L121" s="233">
        <f>L115</f>
        <v>63.125628243999998</v>
      </c>
      <c r="M121" s="233">
        <f>M115</f>
        <v>59.792985086999998</v>
      </c>
      <c r="N121" s="246">
        <f>'Fixed Assets (F)'!N7</f>
        <v>57.397677603700025</v>
      </c>
      <c r="O121" s="246">
        <f>'Fixed Assets (F)'!O7</f>
        <v>66.007208207971132</v>
      </c>
      <c r="P121" s="246">
        <f>'Fixed Assets (F)'!P7</f>
        <v>56.164098220753353</v>
      </c>
      <c r="Q121" s="246">
        <f>'Fixed Assets (F)'!Q7</f>
        <v>63.524081909271857</v>
      </c>
      <c r="R121" s="246">
        <f>'Fixed Assets (F)'!R7</f>
        <v>47.82279595422758</v>
      </c>
      <c r="S121" s="246">
        <f>'Fixed Assets (F)'!S7</f>
        <v>45.71573302187366</v>
      </c>
      <c r="U121" s="54"/>
      <c r="V121" s="54"/>
      <c r="W121" s="54"/>
      <c r="X121" s="54"/>
      <c r="Y121" s="54"/>
      <c r="Z121" s="54"/>
      <c r="AA121" s="54"/>
      <c r="AB121" s="54"/>
      <c r="AC121" s="54"/>
      <c r="AD121" s="54"/>
    </row>
    <row r="122" spans="2:30" x14ac:dyDescent="0.3">
      <c r="B122" s="116" t="s">
        <v>628</v>
      </c>
      <c r="K122" s="272"/>
      <c r="L122" s="272">
        <f t="shared" ref="L122" si="110">1-L123</f>
        <v>0.97904467138312035</v>
      </c>
      <c r="M122" s="272">
        <f>1-M123</f>
        <v>0.9762429077435566</v>
      </c>
      <c r="N122" s="154">
        <f>1-N123</f>
        <v>0.97768177111132337</v>
      </c>
      <c r="O122" s="154">
        <f t="shared" ref="O122:S122" si="111">1-O123</f>
        <v>0.97768177111132337</v>
      </c>
      <c r="P122" s="154">
        <f t="shared" si="111"/>
        <v>0.97768177111132337</v>
      </c>
      <c r="Q122" s="154">
        <f t="shared" si="111"/>
        <v>0.97768177111132337</v>
      </c>
      <c r="R122" s="154">
        <f t="shared" si="111"/>
        <v>0.97768177111132337</v>
      </c>
      <c r="S122" s="154">
        <f t="shared" si="111"/>
        <v>0.97768177111132337</v>
      </c>
    </row>
    <row r="123" spans="2:30" x14ac:dyDescent="0.3">
      <c r="B123" s="116" t="s">
        <v>627</v>
      </c>
      <c r="K123" s="102"/>
      <c r="L123" s="102">
        <f>L96/L115</f>
        <v>2.0955328616879661E-2</v>
      </c>
      <c r="M123" s="102">
        <f>M96/M115</f>
        <v>2.3757092256443346E-2</v>
      </c>
      <c r="N123" s="217">
        <f>SUM(L96:M96)/SUM(L115:M115)</f>
        <v>2.2318228888676662E-2</v>
      </c>
      <c r="O123" s="217">
        <f>N123</f>
        <v>2.2318228888676662E-2</v>
      </c>
      <c r="P123" s="217">
        <f t="shared" ref="P123:S123" si="112">O123</f>
        <v>2.2318228888676662E-2</v>
      </c>
      <c r="Q123" s="217">
        <f t="shared" si="112"/>
        <v>2.2318228888676662E-2</v>
      </c>
      <c r="R123" s="217">
        <f t="shared" si="112"/>
        <v>2.2318228888676662E-2</v>
      </c>
      <c r="S123" s="217">
        <f t="shared" si="112"/>
        <v>2.2318228888676662E-2</v>
      </c>
    </row>
    <row r="129" spans="14:14" x14ac:dyDescent="0.3">
      <c r="N129" s="54" t="s">
        <v>629</v>
      </c>
    </row>
  </sheetData>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8CB4D2"/>
  </sheetPr>
  <dimension ref="B1:T293"/>
  <sheetViews>
    <sheetView tabSelected="1" zoomScale="130" zoomScaleNormal="130" zoomScalePageLayoutView="130" workbookViewId="0">
      <pane xSplit="2" ySplit="3" topLeftCell="M118" activePane="bottomRight" state="frozen"/>
      <selection pane="topRight" activeCell="C1" sqref="C1"/>
      <selection pane="bottomLeft" activeCell="A4" sqref="A4"/>
      <selection pane="bottomRight" activeCell="N133" sqref="N133"/>
    </sheetView>
  </sheetViews>
  <sheetFormatPr defaultColWidth="8.88671875" defaultRowHeight="14.4" x14ac:dyDescent="0.3"/>
  <cols>
    <col min="1" max="1" width="3.88671875" style="54" customWidth="1"/>
    <col min="2" max="2" width="48" style="54" bestFit="1" customWidth="1"/>
    <col min="3" max="3" width="17" style="54" bestFit="1" customWidth="1"/>
    <col min="4" max="12" width="10.6640625" style="54" bestFit="1" customWidth="1"/>
    <col min="13" max="13" width="11.109375" style="54" bestFit="1" customWidth="1"/>
    <col min="14" max="17" width="10.6640625" style="54" bestFit="1" customWidth="1"/>
    <col min="18" max="19" width="11.109375" style="54" bestFit="1" customWidth="1"/>
    <col min="20" max="20" width="24.88671875" style="54" customWidth="1"/>
    <col min="21" max="16384" width="8.88671875" style="54"/>
  </cols>
  <sheetData>
    <row r="1" spans="2:19" x14ac:dyDescent="0.3">
      <c r="L1" s="568"/>
    </row>
    <row r="2" spans="2:19" x14ac:dyDescent="0.3">
      <c r="C2" s="56"/>
      <c r="D2" s="56"/>
      <c r="E2" s="56"/>
      <c r="F2" s="56"/>
      <c r="G2" s="56"/>
      <c r="H2" s="56"/>
      <c r="I2" s="56"/>
      <c r="J2" s="56"/>
      <c r="K2" s="56"/>
      <c r="L2" s="56"/>
      <c r="M2" s="56"/>
      <c r="N2" s="224" t="str">
        <f ca="1">IF(TODAY()&lt;N3,"Proj","")</f>
        <v/>
      </c>
      <c r="O2" s="224" t="str">
        <f t="shared" ref="O2:S2" ca="1" si="0">IF(TODAY()&lt;O3,"Proj","")</f>
        <v/>
      </c>
      <c r="P2" s="224" t="str">
        <f t="shared" ca="1" si="0"/>
        <v/>
      </c>
      <c r="Q2" s="224" t="str">
        <f t="shared" ca="1" si="0"/>
        <v/>
      </c>
      <c r="R2" s="224" t="str">
        <f t="shared" ca="1" si="0"/>
        <v/>
      </c>
      <c r="S2" s="224" t="str">
        <f t="shared" ca="1" si="0"/>
        <v>Proj</v>
      </c>
    </row>
    <row r="3" spans="2:19" x14ac:dyDescent="0.3">
      <c r="B3" s="31" t="s">
        <v>339</v>
      </c>
      <c r="C3" s="100"/>
      <c r="D3" s="225">
        <v>39447</v>
      </c>
      <c r="E3" s="225">
        <v>39813</v>
      </c>
      <c r="F3" s="225">
        <v>40178</v>
      </c>
      <c r="G3" s="225">
        <v>40543</v>
      </c>
      <c r="H3" s="225">
        <v>40908</v>
      </c>
      <c r="I3" s="225">
        <v>41274</v>
      </c>
      <c r="J3" s="225">
        <v>41639</v>
      </c>
      <c r="K3" s="225">
        <v>42004</v>
      </c>
      <c r="L3" s="225">
        <v>42369</v>
      </c>
      <c r="M3" s="225">
        <v>42735</v>
      </c>
      <c r="N3" s="225">
        <v>43100</v>
      </c>
      <c r="O3" s="225">
        <v>43465</v>
      </c>
      <c r="P3" s="225">
        <v>43830</v>
      </c>
      <c r="Q3" s="225">
        <v>44196</v>
      </c>
      <c r="R3" s="225">
        <v>44561</v>
      </c>
      <c r="S3" s="225">
        <v>44926</v>
      </c>
    </row>
    <row r="4" spans="2:19" x14ac:dyDescent="0.3">
      <c r="C4" s="357"/>
      <c r="D4" s="357"/>
      <c r="E4" s="620"/>
      <c r="F4" s="620"/>
      <c r="G4" s="620"/>
      <c r="H4" s="620"/>
      <c r="I4" s="620"/>
      <c r="J4" s="620"/>
      <c r="K4" s="620"/>
      <c r="L4" s="620"/>
      <c r="M4" s="620"/>
      <c r="N4" s="357"/>
      <c r="O4" s="357"/>
      <c r="P4" s="357"/>
      <c r="Q4" s="357"/>
      <c r="R4" s="357"/>
      <c r="S4" s="357"/>
    </row>
    <row r="5" spans="2:19" s="55" customFormat="1" x14ac:dyDescent="0.3">
      <c r="B5" s="55" t="s">
        <v>340</v>
      </c>
      <c r="C5" s="331"/>
      <c r="D5" s="331"/>
      <c r="E5" s="331"/>
      <c r="F5" s="331"/>
      <c r="G5" s="331"/>
      <c r="H5" s="331"/>
      <c r="I5" s="331"/>
      <c r="J5" s="331"/>
      <c r="K5" s="331"/>
      <c r="L5" s="331"/>
      <c r="M5" s="331"/>
      <c r="N5" s="331"/>
      <c r="O5" s="331"/>
      <c r="P5" s="331"/>
      <c r="Q5" s="331"/>
      <c r="R5" s="331"/>
      <c r="S5" s="331"/>
    </row>
    <row r="6" spans="2:19" s="55" customFormat="1" x14ac:dyDescent="0.3">
      <c r="B6" s="403" t="s">
        <v>341</v>
      </c>
      <c r="C6" s="331"/>
      <c r="D6" s="331"/>
      <c r="E6" s="331">
        <f t="shared" ref="E6:M6" si="1">E15-E16+E19-E20</f>
        <v>62.862993493000012</v>
      </c>
      <c r="F6" s="331">
        <f t="shared" si="1"/>
        <v>103.84922738899999</v>
      </c>
      <c r="G6" s="331">
        <f t="shared" si="1"/>
        <v>157.91634692000002</v>
      </c>
      <c r="H6" s="331">
        <f t="shared" si="1"/>
        <v>248.98263921500003</v>
      </c>
      <c r="I6" s="331">
        <f t="shared" si="1"/>
        <v>191.85399100400002</v>
      </c>
      <c r="J6" s="331">
        <f t="shared" si="1"/>
        <v>82.10878416700001</v>
      </c>
      <c r="K6" s="331">
        <f t="shared" si="1"/>
        <v>109.82261725400004</v>
      </c>
      <c r="L6" s="331">
        <f t="shared" si="1"/>
        <v>170.81711606099987</v>
      </c>
      <c r="M6" s="331">
        <f t="shared" si="1"/>
        <v>142.67240491100006</v>
      </c>
      <c r="N6" s="331">
        <f>N15-N16+N19-N20</f>
        <v>146.74189070163334</v>
      </c>
      <c r="O6" s="32">
        <f t="shared" ref="O6:R6" si="2">O15-O16+O19-O20</f>
        <v>162.40622826477357</v>
      </c>
      <c r="P6" s="32">
        <f t="shared" si="2"/>
        <v>136.91459780550159</v>
      </c>
      <c r="Q6" s="32">
        <f t="shared" si="2"/>
        <v>124.03776127487163</v>
      </c>
      <c r="R6" s="32">
        <f t="shared" si="2"/>
        <v>106.87544939105553</v>
      </c>
      <c r="S6" s="32">
        <f>S15-S16+S19-S20</f>
        <v>111.81978210602693</v>
      </c>
    </row>
    <row r="7" spans="2:19" s="55" customFormat="1" x14ac:dyDescent="0.3">
      <c r="B7" s="403" t="s">
        <v>342</v>
      </c>
      <c r="C7" s="331"/>
      <c r="D7" s="331"/>
      <c r="E7" s="331">
        <f t="shared" ref="E7:M7" si="3">E17+E21</f>
        <v>2.2720071310000001</v>
      </c>
      <c r="F7" s="331">
        <f t="shared" si="3"/>
        <v>7.9598231359999998</v>
      </c>
      <c r="G7" s="331">
        <f t="shared" si="3"/>
        <v>20.385813118999998</v>
      </c>
      <c r="H7" s="331">
        <f t="shared" si="3"/>
        <v>82.396074884000001</v>
      </c>
      <c r="I7" s="331">
        <f t="shared" si="3"/>
        <v>106.24656847000001</v>
      </c>
      <c r="J7" s="331">
        <f t="shared" si="3"/>
        <v>119.00610696500001</v>
      </c>
      <c r="K7" s="331">
        <f t="shared" si="3"/>
        <v>68.375636463000006</v>
      </c>
      <c r="L7" s="331">
        <f t="shared" si="3"/>
        <v>64.229387505999995</v>
      </c>
      <c r="M7" s="331">
        <f t="shared" si="3"/>
        <v>60.815179998999994</v>
      </c>
      <c r="N7" s="331">
        <f>N17+N21</f>
        <v>57.397677603700025</v>
      </c>
      <c r="O7" s="32">
        <f>O17+O21</f>
        <v>66.007208207971132</v>
      </c>
      <c r="P7" s="32">
        <f t="shared" ref="P7:R7" si="4">P17+P21</f>
        <v>56.164098220753353</v>
      </c>
      <c r="Q7" s="32">
        <f t="shared" si="4"/>
        <v>63.524081909271857</v>
      </c>
      <c r="R7" s="32">
        <f t="shared" si="4"/>
        <v>47.82279595422758</v>
      </c>
      <c r="S7" s="32">
        <f>S17+S21</f>
        <v>45.71573302187366</v>
      </c>
    </row>
    <row r="8" spans="2:19" s="55" customFormat="1" x14ac:dyDescent="0.3">
      <c r="B8" s="403" t="s">
        <v>237</v>
      </c>
      <c r="C8" s="331"/>
      <c r="D8" s="331"/>
      <c r="E8" s="331">
        <f t="shared" ref="E8:S8" si="5">E37+E38+E63+E64+E89+E90+E115+E116+E141+E142+E167</f>
        <v>64.047334313000007</v>
      </c>
      <c r="F8" s="331">
        <f t="shared" si="5"/>
        <v>48.946057031999999</v>
      </c>
      <c r="G8" s="331">
        <f t="shared" si="5"/>
        <v>74.837877508999995</v>
      </c>
      <c r="H8" s="331">
        <f t="shared" si="5"/>
        <v>173.46549892899998</v>
      </c>
      <c r="I8" s="331">
        <f t="shared" si="5"/>
        <v>49.117920258999995</v>
      </c>
      <c r="J8" s="331">
        <f t="shared" si="5"/>
        <v>9.8011476370000015</v>
      </c>
      <c r="K8" s="331">
        <f t="shared" si="5"/>
        <v>93.789024992000009</v>
      </c>
      <c r="L8" s="331">
        <f t="shared" si="5"/>
        <v>125.259671486</v>
      </c>
      <c r="M8" s="331">
        <f t="shared" si="5"/>
        <v>32.670468849000002</v>
      </c>
      <c r="N8" s="331">
        <f t="shared" si="5"/>
        <v>61.467163394333333</v>
      </c>
      <c r="O8" s="32">
        <f t="shared" si="5"/>
        <v>81.671545771111127</v>
      </c>
      <c r="P8" s="32">
        <f t="shared" si="5"/>
        <v>30.672467761481482</v>
      </c>
      <c r="Q8" s="32">
        <f t="shared" si="5"/>
        <v>50.647245378641969</v>
      </c>
      <c r="R8" s="32">
        <f t="shared" si="5"/>
        <v>30.660484070411524</v>
      </c>
      <c r="S8" s="32">
        <f t="shared" si="5"/>
        <v>50.660065736844992</v>
      </c>
    </row>
    <row r="9" spans="2:19" x14ac:dyDescent="0.3">
      <c r="B9" s="307" t="s">
        <v>343</v>
      </c>
      <c r="C9" s="357"/>
      <c r="D9" s="357"/>
      <c r="E9" s="357"/>
      <c r="F9" s="357"/>
      <c r="G9" s="357"/>
      <c r="H9" s="357"/>
      <c r="I9" s="357"/>
      <c r="J9" s="357"/>
      <c r="K9" s="357"/>
      <c r="L9" s="357"/>
      <c r="M9" s="357"/>
      <c r="N9" s="357"/>
      <c r="O9" s="357"/>
      <c r="P9" s="357"/>
      <c r="Q9" s="357"/>
      <c r="R9" s="357"/>
      <c r="S9" s="357"/>
    </row>
    <row r="10" spans="2:19" x14ac:dyDescent="0.3">
      <c r="C10" s="357"/>
      <c r="D10" s="357"/>
      <c r="E10" s="357"/>
      <c r="F10" s="357"/>
      <c r="G10" s="357"/>
      <c r="H10" s="357"/>
      <c r="I10" s="357"/>
      <c r="J10" s="357"/>
      <c r="K10" s="357"/>
      <c r="L10" s="357"/>
      <c r="M10" s="357"/>
      <c r="N10" s="357"/>
      <c r="O10" s="357"/>
      <c r="P10" s="357"/>
      <c r="Q10" s="357"/>
      <c r="R10" s="357"/>
      <c r="S10" s="357"/>
    </row>
    <row r="11" spans="2:19" x14ac:dyDescent="0.3">
      <c r="B11" s="403" t="s">
        <v>344</v>
      </c>
      <c r="C11" s="357"/>
      <c r="D11" s="357"/>
      <c r="E11" s="357">
        <f>E171</f>
        <v>3.3602294079999999</v>
      </c>
      <c r="F11" s="357">
        <f t="shared" ref="F11:S11" si="6">F171</f>
        <v>0.62522704699999998</v>
      </c>
      <c r="G11" s="357">
        <f t="shared" si="6"/>
        <v>18.601136663999998</v>
      </c>
      <c r="H11" s="357">
        <f t="shared" si="6"/>
        <v>1.350386149</v>
      </c>
      <c r="I11" s="357">
        <f t="shared" si="6"/>
        <v>5.3610738800000002</v>
      </c>
      <c r="J11" s="357">
        <f t="shared" si="6"/>
        <v>1.4249344479999999</v>
      </c>
      <c r="K11" s="357">
        <f t="shared" si="6"/>
        <v>2.6320490059999999</v>
      </c>
      <c r="L11" s="357">
        <f t="shared" si="6"/>
        <v>0</v>
      </c>
      <c r="M11" s="357">
        <f t="shared" si="6"/>
        <v>0</v>
      </c>
      <c r="N11" s="357">
        <f t="shared" si="6"/>
        <v>0</v>
      </c>
      <c r="O11" s="33">
        <f t="shared" si="6"/>
        <v>0</v>
      </c>
      <c r="P11" s="33">
        <f t="shared" si="6"/>
        <v>0</v>
      </c>
      <c r="Q11" s="33">
        <f t="shared" si="6"/>
        <v>0</v>
      </c>
      <c r="R11" s="33">
        <f t="shared" si="6"/>
        <v>0</v>
      </c>
      <c r="S11" s="33">
        <f t="shared" si="6"/>
        <v>0</v>
      </c>
    </row>
    <row r="12" spans="2:19" x14ac:dyDescent="0.3">
      <c r="C12" s="357"/>
      <c r="D12" s="357"/>
      <c r="E12" s="357"/>
      <c r="F12" s="357"/>
      <c r="G12" s="357"/>
      <c r="H12" s="357"/>
      <c r="I12" s="357"/>
      <c r="J12" s="357"/>
      <c r="K12" s="357"/>
      <c r="L12" s="357"/>
      <c r="M12" s="357"/>
      <c r="N12" s="357"/>
      <c r="O12" s="357"/>
      <c r="P12" s="357"/>
      <c r="Q12" s="357"/>
      <c r="R12" s="357"/>
      <c r="S12" s="357"/>
    </row>
    <row r="13" spans="2:19" x14ac:dyDescent="0.3">
      <c r="B13" s="198"/>
      <c r="C13" s="404"/>
      <c r="D13" s="357"/>
      <c r="E13" s="357"/>
      <c r="F13" s="357"/>
      <c r="G13" s="357"/>
      <c r="H13" s="357"/>
      <c r="I13" s="357"/>
      <c r="J13" s="357"/>
      <c r="K13" s="357"/>
      <c r="L13" s="357"/>
      <c r="M13" s="357"/>
      <c r="N13" s="357"/>
      <c r="O13" s="357"/>
      <c r="P13" s="357"/>
      <c r="Q13" s="357"/>
      <c r="R13" s="357"/>
      <c r="S13" s="357"/>
    </row>
    <row r="14" spans="2:19" s="55" customFormat="1" x14ac:dyDescent="0.3">
      <c r="B14" s="405" t="s">
        <v>345</v>
      </c>
      <c r="C14" s="406"/>
      <c r="D14" s="331"/>
      <c r="E14" s="331">
        <f t="shared" ref="E14:R14" si="7">E15+E19</f>
        <v>65.182577114000011</v>
      </c>
      <c r="F14" s="331">
        <f t="shared" si="7"/>
        <v>114.128634146</v>
      </c>
      <c r="G14" s="331">
        <f t="shared" si="7"/>
        <v>188.581566796</v>
      </c>
      <c r="H14" s="331">
        <f t="shared" si="7"/>
        <v>362.03106953500003</v>
      </c>
      <c r="I14" s="331">
        <f t="shared" si="7"/>
        <v>411.14898979399999</v>
      </c>
      <c r="J14" s="331">
        <f t="shared" si="7"/>
        <v>419.362201481</v>
      </c>
      <c r="K14" s="331">
        <f t="shared" si="7"/>
        <v>555.23804808800003</v>
      </c>
      <c r="L14" s="331">
        <f t="shared" si="7"/>
        <v>680.46193440099989</v>
      </c>
      <c r="M14" s="331">
        <f t="shared" si="7"/>
        <v>712.63490519100003</v>
      </c>
      <c r="N14" s="331">
        <f t="shared" si="7"/>
        <v>774.10206858533331</v>
      </c>
      <c r="O14" s="331">
        <f t="shared" si="7"/>
        <v>855.77361435644457</v>
      </c>
      <c r="P14" s="331">
        <f t="shared" si="7"/>
        <v>886.44608211792604</v>
      </c>
      <c r="Q14" s="331">
        <f t="shared" si="7"/>
        <v>937.09332749656801</v>
      </c>
      <c r="R14" s="331">
        <f t="shared" si="7"/>
        <v>967.75381156697949</v>
      </c>
      <c r="S14" s="331">
        <f>S15+S19</f>
        <v>1018.4138773038245</v>
      </c>
    </row>
    <row r="15" spans="2:19" x14ac:dyDescent="0.3">
      <c r="B15" s="335" t="s">
        <v>346</v>
      </c>
      <c r="C15" s="404"/>
      <c r="D15" s="357"/>
      <c r="E15" s="357">
        <f>E42+E68+E94+E120</f>
        <v>65.148563414000009</v>
      </c>
      <c r="F15" s="357">
        <f t="shared" ref="F15:S15" si="8">F42+F68+F94+F120</f>
        <v>114.09462044599999</v>
      </c>
      <c r="G15" s="357">
        <f t="shared" si="8"/>
        <v>188.547553096</v>
      </c>
      <c r="H15" s="357">
        <f t="shared" si="8"/>
        <v>361.99705583500003</v>
      </c>
      <c r="I15" s="357">
        <f t="shared" si="8"/>
        <v>410.97893309400001</v>
      </c>
      <c r="J15" s="357">
        <f t="shared" si="8"/>
        <v>419.19214478100002</v>
      </c>
      <c r="K15" s="357">
        <f t="shared" si="8"/>
        <v>554.22824138800001</v>
      </c>
      <c r="L15" s="357">
        <f t="shared" si="8"/>
        <v>679.45212770099988</v>
      </c>
      <c r="M15" s="357">
        <f>M42+M68+M94+M120</f>
        <v>711.62509849100002</v>
      </c>
      <c r="N15" s="357">
        <f t="shared" si="8"/>
        <v>733.2942618853333</v>
      </c>
      <c r="O15" s="33">
        <f t="shared" si="8"/>
        <v>813.95600095644454</v>
      </c>
      <c r="P15" s="33">
        <f t="shared" si="8"/>
        <v>844.62846871792601</v>
      </c>
      <c r="Q15" s="33">
        <f t="shared" si="8"/>
        <v>895.27571409656798</v>
      </c>
      <c r="R15" s="33">
        <f>R42+R68+R94+R120</f>
        <v>925.93619816697947</v>
      </c>
      <c r="S15" s="33">
        <f t="shared" si="8"/>
        <v>976.59626390382448</v>
      </c>
    </row>
    <row r="16" spans="2:19" x14ac:dyDescent="0.3">
      <c r="B16" s="335" t="s">
        <v>347</v>
      </c>
      <c r="C16" s="404"/>
      <c r="D16" s="357"/>
      <c r="E16" s="357">
        <f>E49+E75+E101+E127</f>
        <v>2.3110801960000003</v>
      </c>
      <c r="F16" s="357">
        <f t="shared" ref="F16:S16" si="9">F49+F75+F101+F127</f>
        <v>10.264100591999998</v>
      </c>
      <c r="G16" s="357">
        <f t="shared" si="9"/>
        <v>30.634251587000001</v>
      </c>
      <c r="H16" s="357">
        <f t="shared" si="9"/>
        <v>113.01441661999999</v>
      </c>
      <c r="I16" s="357">
        <f t="shared" si="9"/>
        <v>219.22137103899999</v>
      </c>
      <c r="J16" s="357">
        <f t="shared" si="9"/>
        <v>337.13444189900002</v>
      </c>
      <c r="K16" s="357">
        <f t="shared" si="9"/>
        <v>445.11790867899998</v>
      </c>
      <c r="L16" s="357">
        <f t="shared" si="9"/>
        <v>509.06164589600002</v>
      </c>
      <c r="M16" s="357">
        <f t="shared" si="9"/>
        <v>569.09941116799996</v>
      </c>
      <c r="N16" s="357">
        <f t="shared" si="9"/>
        <v>625.38214774369999</v>
      </c>
      <c r="O16" s="33">
        <f t="shared" si="9"/>
        <v>690.27195543567098</v>
      </c>
      <c r="P16" s="33">
        <f t="shared" si="9"/>
        <v>745.32111262842443</v>
      </c>
      <c r="Q16" s="33">
        <f t="shared" si="9"/>
        <v>807.73025350969635</v>
      </c>
      <c r="R16" s="33">
        <f>R49+R75+R101+R127</f>
        <v>854.43810843592394</v>
      </c>
      <c r="S16" s="33">
        <f t="shared" si="9"/>
        <v>899.03890042979754</v>
      </c>
    </row>
    <row r="17" spans="2:19" x14ac:dyDescent="0.3">
      <c r="B17" s="335" t="s">
        <v>630</v>
      </c>
      <c r="C17" s="404"/>
      <c r="D17" s="357"/>
      <c r="E17" s="357">
        <f>E45+E71+E97+E123</f>
        <v>2.2652043910000002</v>
      </c>
      <c r="F17" s="357">
        <f t="shared" ref="F17:Q17" si="10">F45+F71+F97+F123</f>
        <v>7.9530203959999994</v>
      </c>
      <c r="G17" s="357">
        <f t="shared" si="10"/>
        <v>20.370150994999999</v>
      </c>
      <c r="H17" s="357">
        <f t="shared" si="10"/>
        <v>82.393029472999999</v>
      </c>
      <c r="I17" s="357">
        <f t="shared" si="10"/>
        <v>106.20695441900001</v>
      </c>
      <c r="J17" s="357">
        <f t="shared" si="10"/>
        <v>118.96075930100001</v>
      </c>
      <c r="K17" s="357">
        <f t="shared" si="10"/>
        <v>68.197089723000005</v>
      </c>
      <c r="L17" s="357">
        <f t="shared" si="10"/>
        <v>63.943737216999999</v>
      </c>
      <c r="M17" s="357">
        <f>M45+M71+M97+M123</f>
        <v>60.535263330999996</v>
      </c>
      <c r="N17" s="357">
        <f>N45+N71+N97+N123</f>
        <v>56.282736575700028</v>
      </c>
      <c r="O17" s="33">
        <f t="shared" si="10"/>
        <v>64.889807691971129</v>
      </c>
      <c r="P17" s="33">
        <f t="shared" si="10"/>
        <v>55.049157192753356</v>
      </c>
      <c r="Q17" s="33">
        <f t="shared" si="10"/>
        <v>62.40914088127186</v>
      </c>
      <c r="R17" s="33">
        <f>R45+R71+R97+R123</f>
        <v>46.707854926227583</v>
      </c>
      <c r="S17" s="33">
        <f>S45+S71+S97+S123</f>
        <v>44.600791993873663</v>
      </c>
    </row>
    <row r="18" spans="2:19" x14ac:dyDescent="0.3">
      <c r="B18" s="405" t="s">
        <v>348</v>
      </c>
      <c r="C18" s="404"/>
      <c r="D18" s="357"/>
      <c r="E18" s="357"/>
      <c r="F18" s="357"/>
      <c r="G18" s="357"/>
      <c r="H18" s="357"/>
      <c r="I18" s="357"/>
      <c r="J18" s="357"/>
      <c r="K18" s="357"/>
      <c r="L18" s="357"/>
      <c r="M18" s="357"/>
      <c r="N18" s="357"/>
      <c r="O18" s="357"/>
      <c r="P18" s="357"/>
      <c r="Q18" s="357"/>
      <c r="R18" s="357"/>
      <c r="S18" s="357"/>
    </row>
    <row r="19" spans="2:19" x14ac:dyDescent="0.3">
      <c r="B19" s="335" t="s">
        <v>346</v>
      </c>
      <c r="C19" s="404"/>
      <c r="D19" s="357"/>
      <c r="E19" s="357">
        <f>E146</f>
        <v>3.4013700000000001E-2</v>
      </c>
      <c r="F19" s="357">
        <f t="shared" ref="F19:S19" si="11">F146</f>
        <v>3.4013700000000001E-2</v>
      </c>
      <c r="G19" s="357">
        <f t="shared" si="11"/>
        <v>3.4013700000000001E-2</v>
      </c>
      <c r="H19" s="357">
        <f t="shared" si="11"/>
        <v>3.4013700000000001E-2</v>
      </c>
      <c r="I19" s="357">
        <f t="shared" si="11"/>
        <v>0.17005670000000001</v>
      </c>
      <c r="J19" s="357">
        <f t="shared" si="11"/>
        <v>0.17005670000000001</v>
      </c>
      <c r="K19" s="357">
        <f t="shared" si="11"/>
        <v>1.0098066999999999</v>
      </c>
      <c r="L19" s="357">
        <f t="shared" si="11"/>
        <v>1.0098066999999999</v>
      </c>
      <c r="M19" s="357">
        <f t="shared" si="11"/>
        <v>1.0098066999999999</v>
      </c>
      <c r="N19" s="357">
        <f t="shared" si="11"/>
        <v>40.8078067</v>
      </c>
      <c r="O19" s="33">
        <f t="shared" si="11"/>
        <v>41.817613399999999</v>
      </c>
      <c r="P19" s="33">
        <f t="shared" si="11"/>
        <v>41.817613399999999</v>
      </c>
      <c r="Q19" s="33">
        <f t="shared" si="11"/>
        <v>41.817613399999999</v>
      </c>
      <c r="R19" s="33">
        <f t="shared" si="11"/>
        <v>41.817613399999999</v>
      </c>
      <c r="S19" s="33">
        <f t="shared" si="11"/>
        <v>41.817613399999999</v>
      </c>
    </row>
    <row r="20" spans="2:19" x14ac:dyDescent="0.3">
      <c r="B20" s="335" t="s">
        <v>347</v>
      </c>
      <c r="C20" s="357"/>
      <c r="D20" s="357"/>
      <c r="E20" s="357">
        <f>E153</f>
        <v>8.5034250000000002E-3</v>
      </c>
      <c r="F20" s="357">
        <f t="shared" ref="F20:S20" si="12">F153</f>
        <v>1.5306165E-2</v>
      </c>
      <c r="G20" s="357">
        <f t="shared" si="12"/>
        <v>3.0968289E-2</v>
      </c>
      <c r="H20" s="357">
        <f t="shared" si="12"/>
        <v>3.4013700000000001E-2</v>
      </c>
      <c r="I20" s="357">
        <f t="shared" si="12"/>
        <v>7.3627750999999991E-2</v>
      </c>
      <c r="J20" s="357">
        <f t="shared" si="12"/>
        <v>0.118975415</v>
      </c>
      <c r="K20" s="357">
        <f t="shared" si="12"/>
        <v>0.29752215500000001</v>
      </c>
      <c r="L20" s="357">
        <f t="shared" si="12"/>
        <v>0.58317244400000001</v>
      </c>
      <c r="M20" s="357">
        <f t="shared" si="12"/>
        <v>0.86308911200000005</v>
      </c>
      <c r="N20" s="357">
        <f t="shared" si="12"/>
        <v>1.97803014</v>
      </c>
      <c r="O20" s="33">
        <f t="shared" si="12"/>
        <v>3.095430656</v>
      </c>
      <c r="P20" s="33">
        <f t="shared" si="12"/>
        <v>4.2103716840000001</v>
      </c>
      <c r="Q20" s="33">
        <f t="shared" si="12"/>
        <v>5.3253127120000006</v>
      </c>
      <c r="R20" s="33">
        <f t="shared" si="12"/>
        <v>6.4402537400000011</v>
      </c>
      <c r="S20" s="33">
        <f t="shared" si="12"/>
        <v>7.5551947680000016</v>
      </c>
    </row>
    <row r="21" spans="2:19" x14ac:dyDescent="0.3">
      <c r="B21" s="335" t="s">
        <v>630</v>
      </c>
      <c r="C21" s="357"/>
      <c r="D21" s="357"/>
      <c r="E21" s="357">
        <f>E149</f>
        <v>6.8027399999999998E-3</v>
      </c>
      <c r="F21" s="357">
        <f t="shared" ref="F21:S21" si="13">F149</f>
        <v>6.8027399999999998E-3</v>
      </c>
      <c r="G21" s="357">
        <f t="shared" si="13"/>
        <v>1.5662123999999999E-2</v>
      </c>
      <c r="H21" s="357">
        <f t="shared" si="13"/>
        <v>3.045411E-3</v>
      </c>
      <c r="I21" s="357">
        <f t="shared" si="13"/>
        <v>3.9614050999999997E-2</v>
      </c>
      <c r="J21" s="357">
        <f t="shared" si="13"/>
        <v>4.5347664000000003E-2</v>
      </c>
      <c r="K21" s="357">
        <f t="shared" si="13"/>
        <v>0.17854674000000001</v>
      </c>
      <c r="L21" s="357">
        <f t="shared" si="13"/>
        <v>0.285650289</v>
      </c>
      <c r="M21" s="357">
        <f t="shared" si="13"/>
        <v>0.27991666800000004</v>
      </c>
      <c r="N21" s="357">
        <f>N149</f>
        <v>1.1149410280000001</v>
      </c>
      <c r="O21" s="33">
        <f t="shared" si="13"/>
        <v>1.117400516</v>
      </c>
      <c r="P21" s="33">
        <f t="shared" si="13"/>
        <v>1.1149410280000001</v>
      </c>
      <c r="Q21" s="33">
        <f t="shared" si="13"/>
        <v>1.1149410280000001</v>
      </c>
      <c r="R21" s="33">
        <f t="shared" si="13"/>
        <v>1.1149410280000001</v>
      </c>
      <c r="S21" s="33">
        <f t="shared" si="13"/>
        <v>1.1149410280000001</v>
      </c>
    </row>
    <row r="22" spans="2:19" x14ac:dyDescent="0.3">
      <c r="B22" s="405"/>
      <c r="C22" s="357"/>
      <c r="D22" s="357"/>
      <c r="E22" s="357"/>
      <c r="F22" s="357"/>
      <c r="G22" s="357"/>
      <c r="H22" s="357"/>
      <c r="I22" s="357"/>
      <c r="J22" s="357"/>
      <c r="K22" s="357"/>
      <c r="L22" s="357"/>
      <c r="M22" s="357"/>
      <c r="N22" s="357"/>
      <c r="O22" s="357"/>
      <c r="P22" s="357"/>
      <c r="Q22" s="357"/>
      <c r="R22" s="357"/>
      <c r="S22" s="357"/>
    </row>
    <row r="23" spans="2:19" x14ac:dyDescent="0.3">
      <c r="B23" s="117" t="s">
        <v>349</v>
      </c>
      <c r="C23" s="357"/>
      <c r="D23" s="357"/>
      <c r="E23" s="357"/>
      <c r="F23" s="357"/>
      <c r="G23" s="357"/>
      <c r="H23" s="357"/>
      <c r="I23" s="357"/>
      <c r="J23" s="357"/>
      <c r="K23" s="357"/>
      <c r="L23" s="357"/>
      <c r="M23" s="357"/>
      <c r="N23" s="357"/>
      <c r="O23" s="357"/>
      <c r="P23" s="357"/>
      <c r="Q23" s="357"/>
      <c r="R23" s="357"/>
      <c r="S23" s="357"/>
    </row>
    <row r="24" spans="2:19" x14ac:dyDescent="0.3">
      <c r="B24" s="335" t="s">
        <v>350</v>
      </c>
      <c r="C24" s="357"/>
      <c r="D24" s="357"/>
      <c r="E24" s="357"/>
      <c r="F24" s="357"/>
      <c r="G24" s="357"/>
      <c r="H24" s="357"/>
      <c r="I24" s="357"/>
      <c r="J24" s="357"/>
      <c r="K24" s="357"/>
      <c r="L24" s="357"/>
      <c r="M24" s="357"/>
      <c r="N24" s="357"/>
      <c r="O24" s="357"/>
      <c r="P24" s="357"/>
      <c r="Q24" s="357"/>
      <c r="R24" s="357"/>
      <c r="S24" s="357"/>
    </row>
    <row r="25" spans="2:19" x14ac:dyDescent="0.3">
      <c r="B25" s="335" t="s">
        <v>351</v>
      </c>
      <c r="C25" s="357"/>
      <c r="D25" s="357"/>
      <c r="E25" s="357"/>
      <c r="F25" s="357"/>
      <c r="G25" s="357"/>
      <c r="H25" s="357"/>
      <c r="I25" s="357"/>
      <c r="J25" s="357"/>
      <c r="K25" s="357"/>
      <c r="L25" s="357"/>
      <c r="M25" s="357"/>
      <c r="N25" s="357"/>
      <c r="O25" s="357"/>
      <c r="P25" s="357"/>
      <c r="Q25" s="357"/>
      <c r="R25" s="357"/>
      <c r="S25" s="357"/>
    </row>
    <row r="26" spans="2:19" x14ac:dyDescent="0.3">
      <c r="B26" s="335" t="s">
        <v>352</v>
      </c>
      <c r="C26" s="357"/>
      <c r="D26" s="357"/>
      <c r="E26" s="357"/>
      <c r="F26" s="357"/>
      <c r="G26" s="357"/>
      <c r="H26" s="357"/>
      <c r="I26" s="357"/>
      <c r="J26" s="357"/>
      <c r="K26" s="357"/>
      <c r="L26" s="357"/>
      <c r="M26" s="357"/>
      <c r="N26" s="357"/>
      <c r="O26" s="357"/>
      <c r="P26" s="357"/>
      <c r="Q26" s="357"/>
      <c r="R26" s="357"/>
      <c r="S26" s="357"/>
    </row>
    <row r="27" spans="2:19" x14ac:dyDescent="0.3">
      <c r="B27" s="335" t="s">
        <v>353</v>
      </c>
      <c r="C27" s="357"/>
      <c r="D27" s="357"/>
      <c r="E27" s="357"/>
      <c r="F27" s="357"/>
      <c r="G27" s="357"/>
      <c r="H27" s="357"/>
      <c r="I27" s="357"/>
      <c r="J27" s="357"/>
      <c r="K27" s="357"/>
      <c r="L27" s="357"/>
      <c r="M27" s="357"/>
      <c r="N27" s="357"/>
      <c r="O27" s="357"/>
      <c r="P27" s="357"/>
      <c r="Q27" s="357"/>
      <c r="R27" s="357"/>
      <c r="S27" s="357"/>
    </row>
    <row r="28" spans="2:19" x14ac:dyDescent="0.3">
      <c r="B28" s="335" t="s">
        <v>354</v>
      </c>
      <c r="C28" s="357"/>
      <c r="D28" s="357"/>
      <c r="E28" s="357"/>
      <c r="F28" s="357"/>
      <c r="G28" s="357"/>
      <c r="H28" s="357"/>
      <c r="I28" s="357"/>
      <c r="J28" s="357"/>
      <c r="K28" s="357"/>
      <c r="L28" s="357"/>
      <c r="M28" s="357"/>
      <c r="N28" s="357"/>
      <c r="O28" s="357"/>
      <c r="P28" s="357"/>
      <c r="Q28" s="357"/>
      <c r="R28" s="357"/>
      <c r="S28" s="357"/>
    </row>
    <row r="29" spans="2:19" x14ac:dyDescent="0.3">
      <c r="B29" s="335" t="s">
        <v>355</v>
      </c>
      <c r="C29" s="357"/>
      <c r="D29" s="357"/>
      <c r="E29" s="357"/>
      <c r="F29" s="357"/>
      <c r="G29" s="357"/>
      <c r="H29" s="357"/>
      <c r="I29" s="357"/>
      <c r="J29" s="357"/>
      <c r="K29" s="357"/>
      <c r="L29" s="357"/>
      <c r="M29" s="357"/>
      <c r="N29" s="357"/>
      <c r="O29" s="357"/>
      <c r="P29" s="357"/>
      <c r="Q29" s="357"/>
      <c r="R29" s="357"/>
      <c r="S29" s="357"/>
    </row>
    <row r="30" spans="2:19" x14ac:dyDescent="0.3">
      <c r="B30" s="335" t="s">
        <v>356</v>
      </c>
      <c r="C30" s="357"/>
      <c r="D30" s="357"/>
      <c r="E30" s="357">
        <f t="shared" ref="E30:R30" si="14">E178</f>
        <v>0</v>
      </c>
      <c r="F30" s="357">
        <f t="shared" si="14"/>
        <v>0</v>
      </c>
      <c r="G30" s="357">
        <f t="shared" si="14"/>
        <v>0</v>
      </c>
      <c r="H30" s="357">
        <f t="shared" si="14"/>
        <v>0</v>
      </c>
      <c r="I30" s="357">
        <f t="shared" si="14"/>
        <v>0</v>
      </c>
      <c r="J30" s="357">
        <f t="shared" si="14"/>
        <v>0</v>
      </c>
      <c r="K30" s="357">
        <f t="shared" si="14"/>
        <v>0</v>
      </c>
      <c r="L30" s="357">
        <f t="shared" si="14"/>
        <v>0</v>
      </c>
      <c r="M30" s="357">
        <f t="shared" si="14"/>
        <v>0</v>
      </c>
      <c r="N30" s="357">
        <f t="shared" si="14"/>
        <v>0</v>
      </c>
      <c r="O30" s="357">
        <f t="shared" si="14"/>
        <v>0</v>
      </c>
      <c r="P30" s="357">
        <f t="shared" si="14"/>
        <v>0</v>
      </c>
      <c r="Q30" s="357">
        <f t="shared" si="14"/>
        <v>0</v>
      </c>
      <c r="R30" s="357">
        <f t="shared" si="14"/>
        <v>0</v>
      </c>
      <c r="S30" s="357">
        <f t="shared" ref="S30" si="15">S178</f>
        <v>0</v>
      </c>
    </row>
    <row r="31" spans="2:19" x14ac:dyDescent="0.3">
      <c r="B31" s="335"/>
      <c r="C31" s="357"/>
      <c r="D31" s="357"/>
      <c r="E31" s="357"/>
      <c r="F31" s="357"/>
      <c r="G31" s="357"/>
      <c r="H31" s="357"/>
      <c r="I31" s="357"/>
      <c r="J31" s="357"/>
      <c r="K31" s="357"/>
      <c r="L31" s="357"/>
      <c r="M31" s="357"/>
      <c r="N31" s="357"/>
      <c r="O31" s="357"/>
      <c r="P31" s="357"/>
      <c r="Q31" s="357"/>
      <c r="R31" s="357"/>
      <c r="S31" s="357"/>
    </row>
    <row r="32" spans="2:19" s="55" customFormat="1" x14ac:dyDescent="0.3">
      <c r="B32" s="117" t="s">
        <v>357</v>
      </c>
      <c r="C32" s="331"/>
      <c r="D32" s="331"/>
      <c r="E32" s="331"/>
      <c r="F32" s="331"/>
      <c r="G32" s="331"/>
      <c r="H32" s="331"/>
      <c r="I32" s="331"/>
      <c r="J32" s="331"/>
      <c r="K32" s="331"/>
      <c r="L32" s="331"/>
      <c r="M32" s="331"/>
      <c r="N32" s="331"/>
      <c r="O32" s="331"/>
      <c r="P32" s="331"/>
      <c r="Q32" s="331"/>
      <c r="R32" s="331"/>
      <c r="S32" s="331"/>
    </row>
    <row r="33" spans="2:19" x14ac:dyDescent="0.3">
      <c r="C33" s="357"/>
      <c r="D33" s="357"/>
      <c r="E33" s="357"/>
      <c r="F33" s="357"/>
      <c r="G33" s="357"/>
      <c r="H33" s="357"/>
      <c r="I33" s="357"/>
      <c r="J33" s="357"/>
      <c r="K33" s="357"/>
      <c r="L33" s="357"/>
      <c r="M33" s="357"/>
      <c r="N33" s="357"/>
      <c r="O33" s="357"/>
      <c r="P33" s="357"/>
      <c r="Q33" s="357"/>
      <c r="R33" s="357"/>
      <c r="S33" s="357"/>
    </row>
    <row r="34" spans="2:19" s="55" customFormat="1" x14ac:dyDescent="0.3">
      <c r="B34" s="117" t="s">
        <v>359</v>
      </c>
      <c r="C34" s="331"/>
      <c r="D34" s="331"/>
      <c r="E34" s="331"/>
      <c r="F34" s="331"/>
      <c r="G34" s="331"/>
      <c r="H34" s="331"/>
      <c r="I34" s="331"/>
      <c r="J34" s="331"/>
      <c r="K34" s="331"/>
      <c r="L34" s="331"/>
      <c r="M34" s="331"/>
      <c r="N34" s="331"/>
      <c r="O34" s="331"/>
      <c r="P34" s="331"/>
      <c r="Q34" s="331"/>
      <c r="R34" s="331"/>
      <c r="S34" s="331"/>
    </row>
    <row r="35" spans="2:19" x14ac:dyDescent="0.3">
      <c r="B35" s="316" t="s">
        <v>358</v>
      </c>
      <c r="C35" s="357"/>
      <c r="D35" s="357"/>
      <c r="E35" s="357"/>
      <c r="F35" s="357"/>
      <c r="G35" s="357"/>
      <c r="H35" s="357"/>
      <c r="I35" s="357"/>
      <c r="J35" s="357"/>
      <c r="K35" s="357"/>
      <c r="L35" s="357"/>
      <c r="M35" s="357"/>
      <c r="N35" s="357"/>
      <c r="O35" s="357"/>
      <c r="P35" s="357"/>
      <c r="Q35" s="357"/>
      <c r="R35" s="357"/>
      <c r="S35" s="357"/>
    </row>
    <row r="36" spans="2:19" x14ac:dyDescent="0.3">
      <c r="B36" s="335" t="s">
        <v>360</v>
      </c>
      <c r="C36" s="357"/>
      <c r="D36" s="357"/>
      <c r="E36" s="357">
        <v>0</v>
      </c>
      <c r="F36" s="357">
        <v>1.18846596</v>
      </c>
      <c r="G36" s="357">
        <v>1.18846596</v>
      </c>
      <c r="H36" s="357">
        <v>1.2757986020000001</v>
      </c>
      <c r="I36" s="357">
        <v>1.2757986020000001</v>
      </c>
      <c r="J36" s="357">
        <v>8.4283005430000006</v>
      </c>
      <c r="K36" s="357">
        <v>8.3796069610000004</v>
      </c>
      <c r="L36" s="357">
        <v>28.363208744000001</v>
      </c>
      <c r="M36" s="357">
        <v>28.327423571000001</v>
      </c>
      <c r="N36" s="357">
        <f>M42</f>
        <v>28.327423571000001</v>
      </c>
      <c r="O36" s="33">
        <f>N42</f>
        <v>28.327423571000001</v>
      </c>
      <c r="P36" s="33">
        <f t="shared" ref="P36:S36" si="16">O42</f>
        <v>28.327423571000001</v>
      </c>
      <c r="Q36" s="33">
        <f t="shared" si="16"/>
        <v>28.327423571000001</v>
      </c>
      <c r="R36" s="33">
        <f t="shared" si="16"/>
        <v>28.327423571000001</v>
      </c>
      <c r="S36" s="33">
        <f t="shared" si="16"/>
        <v>28.327423571000001</v>
      </c>
    </row>
    <row r="37" spans="2:19" x14ac:dyDescent="0.3">
      <c r="B37" s="335" t="s">
        <v>376</v>
      </c>
      <c r="C37" s="357"/>
      <c r="D37" s="357"/>
      <c r="E37" s="357"/>
      <c r="F37" s="357"/>
      <c r="G37" s="357"/>
      <c r="H37" s="357"/>
      <c r="I37" s="357">
        <v>7.1525019409999997</v>
      </c>
      <c r="J37" s="357"/>
      <c r="K37" s="357"/>
      <c r="L37" s="357"/>
      <c r="M37" s="357">
        <v>0</v>
      </c>
      <c r="N37" s="357"/>
      <c r="O37" s="33"/>
      <c r="P37" s="33"/>
      <c r="Q37" s="33"/>
      <c r="R37" s="33"/>
      <c r="S37" s="33"/>
    </row>
    <row r="38" spans="2:19" x14ac:dyDescent="0.3">
      <c r="B38" s="335" t="s">
        <v>377</v>
      </c>
      <c r="C38" s="357"/>
      <c r="D38" s="357"/>
      <c r="E38" s="357">
        <v>1.18846596</v>
      </c>
      <c r="F38" s="357"/>
      <c r="G38" s="357">
        <v>0.35136841099999999</v>
      </c>
      <c r="H38" s="357"/>
      <c r="I38" s="357"/>
      <c r="J38" s="357"/>
      <c r="K38" s="357">
        <v>19.983601783000001</v>
      </c>
      <c r="L38" s="357"/>
      <c r="M38" s="357"/>
      <c r="N38" s="357">
        <f>N263</f>
        <v>0</v>
      </c>
      <c r="O38" s="33">
        <f t="shared" ref="O38:S38" si="17">O263</f>
        <v>0</v>
      </c>
      <c r="P38" s="33">
        <f t="shared" si="17"/>
        <v>0</v>
      </c>
      <c r="Q38" s="33">
        <f t="shared" si="17"/>
        <v>0</v>
      </c>
      <c r="R38" s="33">
        <f t="shared" si="17"/>
        <v>0</v>
      </c>
      <c r="S38" s="33">
        <f t="shared" si="17"/>
        <v>0</v>
      </c>
    </row>
    <row r="39" spans="2:19" x14ac:dyDescent="0.3">
      <c r="B39" s="335" t="s">
        <v>378</v>
      </c>
      <c r="C39" s="357"/>
      <c r="D39" s="357"/>
      <c r="E39" s="357"/>
      <c r="F39" s="357"/>
      <c r="G39" s="357"/>
      <c r="H39" s="357"/>
      <c r="I39" s="357"/>
      <c r="J39" s="357"/>
      <c r="K39" s="357"/>
      <c r="L39" s="357"/>
      <c r="M39" s="357"/>
      <c r="N39" s="357"/>
      <c r="O39" s="33"/>
      <c r="P39" s="33"/>
      <c r="Q39" s="33"/>
      <c r="R39" s="33"/>
      <c r="S39" s="33"/>
    </row>
    <row r="40" spans="2:19" x14ac:dyDescent="0.3">
      <c r="B40" s="335" t="s">
        <v>361</v>
      </c>
      <c r="C40" s="357"/>
      <c r="D40" s="357"/>
      <c r="E40" s="357"/>
      <c r="F40" s="357"/>
      <c r="G40" s="357"/>
      <c r="H40" s="357"/>
      <c r="I40" s="357"/>
      <c r="J40" s="357"/>
      <c r="K40" s="357"/>
      <c r="L40" s="357"/>
      <c r="M40" s="357">
        <v>0</v>
      </c>
      <c r="N40" s="357"/>
      <c r="O40" s="33"/>
      <c r="P40" s="33"/>
      <c r="Q40" s="33"/>
      <c r="R40" s="33"/>
      <c r="S40" s="33"/>
    </row>
    <row r="41" spans="2:19" x14ac:dyDescent="0.3">
      <c r="B41" s="407" t="s">
        <v>362</v>
      </c>
      <c r="C41" s="408"/>
      <c r="D41" s="408"/>
      <c r="E41" s="408"/>
      <c r="F41" s="408"/>
      <c r="G41" s="408">
        <v>-0.26403576899999998</v>
      </c>
      <c r="H41" s="408"/>
      <c r="I41" s="408"/>
      <c r="J41" s="408">
        <v>-4.8693581999999999E-2</v>
      </c>
      <c r="K41" s="408"/>
      <c r="L41" s="408">
        <v>-3.5785173000000003E-2</v>
      </c>
      <c r="M41" s="408">
        <v>0</v>
      </c>
      <c r="N41" s="408"/>
      <c r="O41" s="400"/>
      <c r="P41" s="400"/>
      <c r="Q41" s="400"/>
      <c r="R41" s="400"/>
      <c r="S41" s="400"/>
    </row>
    <row r="42" spans="2:19" s="55" customFormat="1" x14ac:dyDescent="0.3">
      <c r="B42" s="409" t="s">
        <v>363</v>
      </c>
      <c r="C42" s="331"/>
      <c r="D42" s="331"/>
      <c r="E42" s="331">
        <f t="shared" ref="E42:L42" si="18">SUM(E36:E41)</f>
        <v>1.18846596</v>
      </c>
      <c r="F42" s="331">
        <f t="shared" si="18"/>
        <v>1.18846596</v>
      </c>
      <c r="G42" s="331">
        <f t="shared" si="18"/>
        <v>1.2757986020000001</v>
      </c>
      <c r="H42" s="331">
        <f t="shared" si="18"/>
        <v>1.2757986020000001</v>
      </c>
      <c r="I42" s="331">
        <f t="shared" si="18"/>
        <v>8.4283005429999989</v>
      </c>
      <c r="J42" s="331">
        <f t="shared" si="18"/>
        <v>8.3796069610000004</v>
      </c>
      <c r="K42" s="331">
        <f t="shared" si="18"/>
        <v>28.363208744000001</v>
      </c>
      <c r="L42" s="331">
        <f t="shared" si="18"/>
        <v>28.327423571000001</v>
      </c>
      <c r="M42" s="331">
        <f>SUM(M36:M41)</f>
        <v>28.327423571000001</v>
      </c>
      <c r="N42" s="331">
        <f>SUM(N36:N41)</f>
        <v>28.327423571000001</v>
      </c>
      <c r="O42" s="331">
        <f t="shared" ref="O42:S42" si="19">SUM(O36:O41)</f>
        <v>28.327423571000001</v>
      </c>
      <c r="P42" s="331">
        <f t="shared" si="19"/>
        <v>28.327423571000001</v>
      </c>
      <c r="Q42" s="331">
        <f t="shared" si="19"/>
        <v>28.327423571000001</v>
      </c>
      <c r="R42" s="331">
        <f t="shared" si="19"/>
        <v>28.327423571000001</v>
      </c>
      <c r="S42" s="331">
        <f t="shared" si="19"/>
        <v>28.327423571000001</v>
      </c>
    </row>
    <row r="43" spans="2:19" x14ac:dyDescent="0.3">
      <c r="B43" s="409" t="s">
        <v>364</v>
      </c>
      <c r="C43" s="357"/>
      <c r="D43" s="357"/>
      <c r="E43" s="357"/>
      <c r="F43" s="357"/>
      <c r="G43" s="357"/>
      <c r="H43" s="357"/>
      <c r="I43" s="357"/>
      <c r="J43" s="357"/>
      <c r="K43" s="357"/>
      <c r="L43" s="357"/>
      <c r="M43" s="357"/>
      <c r="N43" s="357"/>
      <c r="O43" s="357"/>
      <c r="P43" s="357"/>
      <c r="Q43" s="357"/>
      <c r="R43" s="357"/>
      <c r="S43" s="357"/>
    </row>
    <row r="44" spans="2:19" x14ac:dyDescent="0.3">
      <c r="B44" s="410" t="s">
        <v>360</v>
      </c>
      <c r="C44" s="357"/>
      <c r="D44" s="357"/>
      <c r="E44" s="357">
        <v>0</v>
      </c>
      <c r="F44" s="357">
        <v>3.9615532000000002E-2</v>
      </c>
      <c r="G44" s="357">
        <v>0.15846212800000001</v>
      </c>
      <c r="H44" s="357">
        <v>0.26554551900000001</v>
      </c>
      <c r="I44" s="357">
        <v>0.393125379</v>
      </c>
      <c r="J44" s="357">
        <v>3.2337428789999998</v>
      </c>
      <c r="K44" s="357">
        <v>4.2868620689999997</v>
      </c>
      <c r="L44" s="357">
        <v>8.0591071880000005</v>
      </c>
      <c r="M44" s="357">
        <v>9.5822462720000008</v>
      </c>
      <c r="N44" s="357">
        <f>M49</f>
        <v>10.507679156</v>
      </c>
      <c r="O44" s="33">
        <f>N49</f>
        <v>13.340421513100001</v>
      </c>
      <c r="P44" s="33">
        <f t="shared" ref="P44:S44" si="20">O49</f>
        <v>16.1731638702</v>
      </c>
      <c r="Q44" s="33">
        <f t="shared" si="20"/>
        <v>19.005906227299999</v>
      </c>
      <c r="R44" s="33">
        <f t="shared" si="20"/>
        <v>21.838648584399998</v>
      </c>
      <c r="S44" s="33">
        <f t="shared" si="20"/>
        <v>24.671390941499997</v>
      </c>
    </row>
    <row r="45" spans="2:19" x14ac:dyDescent="0.3">
      <c r="B45" s="410" t="s">
        <v>342</v>
      </c>
      <c r="C45" s="357"/>
      <c r="D45" s="357"/>
      <c r="E45" s="357">
        <v>3.9615532000000002E-2</v>
      </c>
      <c r="F45" s="357">
        <v>0.118846596</v>
      </c>
      <c r="G45" s="357">
        <v>0.107083391</v>
      </c>
      <c r="H45" s="357">
        <v>0.12757985999999999</v>
      </c>
      <c r="I45" s="357">
        <v>2.8406175</v>
      </c>
      <c r="J45" s="357">
        <v>3.0465570359999998</v>
      </c>
      <c r="K45" s="357">
        <v>3.7722451189999999</v>
      </c>
      <c r="L45" s="357">
        <v>1.5231390840000001</v>
      </c>
      <c r="M45" s="357">
        <v>0.92543288400000001</v>
      </c>
      <c r="N45" s="357">
        <f>N213</f>
        <v>2.8327423570999999</v>
      </c>
      <c r="O45" s="33">
        <f t="shared" ref="O45:S45" si="21">O213</f>
        <v>2.8327423570999999</v>
      </c>
      <c r="P45" s="33">
        <f t="shared" si="21"/>
        <v>2.8327423570999999</v>
      </c>
      <c r="Q45" s="33">
        <f t="shared" si="21"/>
        <v>2.8327423570999999</v>
      </c>
      <c r="R45" s="33">
        <f t="shared" si="21"/>
        <v>2.8327423570999999</v>
      </c>
      <c r="S45" s="33">
        <f t="shared" si="21"/>
        <v>2.8327423570999999</v>
      </c>
    </row>
    <row r="46" spans="2:19" x14ac:dyDescent="0.3">
      <c r="B46" s="410" t="s">
        <v>378</v>
      </c>
      <c r="C46" s="357"/>
      <c r="D46" s="357"/>
      <c r="E46" s="357"/>
      <c r="F46" s="357"/>
      <c r="G46" s="357"/>
      <c r="H46" s="357"/>
      <c r="I46" s="357"/>
      <c r="J46" s="357">
        <v>-1.9804528859999999</v>
      </c>
      <c r="K46" s="357"/>
      <c r="L46" s="357"/>
      <c r="M46" s="357"/>
      <c r="N46" s="357"/>
      <c r="O46" s="33"/>
      <c r="P46" s="33"/>
      <c r="Q46" s="33"/>
      <c r="R46" s="33"/>
      <c r="S46" s="33"/>
    </row>
    <row r="47" spans="2:19" x14ac:dyDescent="0.3">
      <c r="B47" s="410" t="s">
        <v>361</v>
      </c>
      <c r="C47" s="357"/>
      <c r="D47" s="357"/>
      <c r="E47" s="357"/>
      <c r="F47" s="357"/>
      <c r="G47" s="357"/>
      <c r="H47" s="357"/>
      <c r="I47" s="357"/>
      <c r="J47" s="357"/>
      <c r="K47" s="357"/>
      <c r="L47" s="357"/>
      <c r="M47" s="357"/>
      <c r="N47" s="357"/>
      <c r="O47" s="33"/>
      <c r="P47" s="33"/>
      <c r="Q47" s="33"/>
      <c r="R47" s="33"/>
      <c r="S47" s="33"/>
    </row>
    <row r="48" spans="2:19" x14ac:dyDescent="0.3">
      <c r="B48" s="411" t="s">
        <v>362</v>
      </c>
      <c r="C48" s="408"/>
      <c r="D48" s="408"/>
      <c r="E48" s="408"/>
      <c r="F48" s="408"/>
      <c r="G48" s="408"/>
      <c r="H48" s="408"/>
      <c r="I48" s="408"/>
      <c r="J48" s="408">
        <v>-1.298496E-2</v>
      </c>
      <c r="K48" s="408"/>
      <c r="L48" s="408"/>
      <c r="M48" s="408"/>
      <c r="N48" s="408"/>
      <c r="O48" s="400"/>
      <c r="P48" s="400"/>
      <c r="Q48" s="400"/>
      <c r="R48" s="400"/>
      <c r="S48" s="400"/>
    </row>
    <row r="49" spans="2:20" s="55" customFormat="1" x14ac:dyDescent="0.3">
      <c r="B49" s="409" t="s">
        <v>365</v>
      </c>
      <c r="C49" s="331"/>
      <c r="D49" s="331"/>
      <c r="E49" s="331">
        <f t="shared" ref="E49:G49" si="22">SUM(E44:E48)</f>
        <v>3.9615532000000002E-2</v>
      </c>
      <c r="F49" s="331">
        <f t="shared" si="22"/>
        <v>0.15846212800000001</v>
      </c>
      <c r="G49" s="331">
        <f t="shared" si="22"/>
        <v>0.26554551900000001</v>
      </c>
      <c r="H49" s="331">
        <f t="shared" ref="H49:I49" si="23">SUM(H44:H48)</f>
        <v>0.393125379</v>
      </c>
      <c r="I49" s="331">
        <f t="shared" si="23"/>
        <v>3.2337428790000002</v>
      </c>
      <c r="J49" s="331">
        <f t="shared" ref="J49:K49" si="24">SUM(J44:J48)</f>
        <v>4.2868620689999997</v>
      </c>
      <c r="K49" s="331">
        <f t="shared" si="24"/>
        <v>8.0591071879999987</v>
      </c>
      <c r="L49" s="331">
        <f>SUM(L44:L48)</f>
        <v>9.5822462720000008</v>
      </c>
      <c r="M49" s="331">
        <f>SUM(M44:M48)</f>
        <v>10.507679156</v>
      </c>
      <c r="N49" s="331">
        <f>SUM(N44:N48)</f>
        <v>13.340421513100001</v>
      </c>
      <c r="O49" s="331">
        <f t="shared" ref="O49:S49" si="25">SUM(O44:O48)</f>
        <v>16.1731638702</v>
      </c>
      <c r="P49" s="331">
        <f t="shared" si="25"/>
        <v>19.005906227299999</v>
      </c>
      <c r="Q49" s="331">
        <f t="shared" si="25"/>
        <v>21.838648584399998</v>
      </c>
      <c r="R49" s="331">
        <f t="shared" si="25"/>
        <v>24.671390941499997</v>
      </c>
      <c r="S49" s="331">
        <f t="shared" si="25"/>
        <v>27.504133298599996</v>
      </c>
    </row>
    <row r="50" spans="2:20" x14ac:dyDescent="0.3">
      <c r="B50" s="412" t="s">
        <v>366</v>
      </c>
      <c r="C50" s="357"/>
      <c r="D50" s="357"/>
      <c r="E50" s="357">
        <f t="shared" ref="E50:R50" si="26">E36-E44</f>
        <v>0</v>
      </c>
      <c r="F50" s="357">
        <f t="shared" si="26"/>
        <v>1.148850428</v>
      </c>
      <c r="G50" s="357">
        <f t="shared" si="26"/>
        <v>1.030003832</v>
      </c>
      <c r="H50" s="357">
        <f t="shared" si="26"/>
        <v>1.0102530830000001</v>
      </c>
      <c r="I50" s="357">
        <f t="shared" si="26"/>
        <v>0.88267322300000006</v>
      </c>
      <c r="J50" s="357">
        <f t="shared" si="26"/>
        <v>5.1945576640000013</v>
      </c>
      <c r="K50" s="357">
        <f t="shared" si="26"/>
        <v>4.0927448920000007</v>
      </c>
      <c r="L50" s="357">
        <f t="shared" si="26"/>
        <v>20.304101555999999</v>
      </c>
      <c r="M50" s="357">
        <f t="shared" si="26"/>
        <v>18.745177298999998</v>
      </c>
      <c r="N50" s="357">
        <f t="shared" si="26"/>
        <v>17.819744415000002</v>
      </c>
      <c r="O50" s="357">
        <f t="shared" si="26"/>
        <v>14.9870020579</v>
      </c>
      <c r="P50" s="357">
        <f t="shared" si="26"/>
        <v>12.154259700800001</v>
      </c>
      <c r="Q50" s="357">
        <f t="shared" si="26"/>
        <v>9.3215173437000018</v>
      </c>
      <c r="R50" s="357">
        <f t="shared" si="26"/>
        <v>6.4887749866000028</v>
      </c>
      <c r="S50" s="357">
        <f>S36-S44</f>
        <v>3.6560326295000038</v>
      </c>
    </row>
    <row r="51" spans="2:20" x14ac:dyDescent="0.3">
      <c r="B51" s="412" t="s">
        <v>367</v>
      </c>
      <c r="C51" s="357"/>
      <c r="D51" s="357"/>
      <c r="E51" s="357">
        <f t="shared" ref="E51:G51" si="27">E42-E49</f>
        <v>1.148850428</v>
      </c>
      <c r="F51" s="357">
        <f t="shared" si="27"/>
        <v>1.030003832</v>
      </c>
      <c r="G51" s="357">
        <f t="shared" si="27"/>
        <v>1.0102530830000001</v>
      </c>
      <c r="H51" s="357">
        <f t="shared" ref="H51:I51" si="28">H42-H49</f>
        <v>0.88267322300000006</v>
      </c>
      <c r="I51" s="357">
        <f t="shared" si="28"/>
        <v>5.1945576639999986</v>
      </c>
      <c r="J51" s="357">
        <f t="shared" ref="J51:K51" si="29">J42-J49</f>
        <v>4.0927448920000007</v>
      </c>
      <c r="K51" s="357">
        <f t="shared" si="29"/>
        <v>20.304101556000003</v>
      </c>
      <c r="L51" s="357">
        <f>L42-L49</f>
        <v>18.745177298999998</v>
      </c>
      <c r="M51" s="357">
        <f>M42-M49</f>
        <v>17.819744415000002</v>
      </c>
      <c r="N51" s="357">
        <f t="shared" ref="N51:S51" si="30">N42-N49</f>
        <v>14.9870020579</v>
      </c>
      <c r="O51" s="357">
        <f t="shared" si="30"/>
        <v>12.154259700800001</v>
      </c>
      <c r="P51" s="357">
        <f t="shared" si="30"/>
        <v>9.3215173437000018</v>
      </c>
      <c r="Q51" s="357">
        <f t="shared" si="30"/>
        <v>6.4887749866000028</v>
      </c>
      <c r="R51" s="357">
        <f t="shared" si="30"/>
        <v>3.6560326295000038</v>
      </c>
      <c r="S51" s="357">
        <f t="shared" si="30"/>
        <v>0.82329027240000485</v>
      </c>
    </row>
    <row r="52" spans="2:20" x14ac:dyDescent="0.3">
      <c r="B52" s="413" t="s">
        <v>368</v>
      </c>
      <c r="C52" s="357"/>
      <c r="D52" s="357"/>
      <c r="E52" s="357"/>
      <c r="F52" s="357"/>
      <c r="G52" s="357"/>
      <c r="H52" s="357"/>
      <c r="I52" s="357"/>
      <c r="J52" s="357"/>
      <c r="K52" s="357"/>
      <c r="L52" s="357"/>
      <c r="M52" s="357">
        <f>M51</f>
        <v>17.819744415000002</v>
      </c>
      <c r="N52" s="357">
        <f t="shared" ref="N52:S52" si="31">M52-N206</f>
        <v>14.987002057900003</v>
      </c>
      <c r="O52" s="357">
        <f t="shared" si="31"/>
        <v>12.154259700800004</v>
      </c>
      <c r="P52" s="357">
        <f t="shared" si="31"/>
        <v>9.3215173437000054</v>
      </c>
      <c r="Q52" s="357">
        <f t="shared" si="31"/>
        <v>6.4887749866000055</v>
      </c>
      <c r="R52" s="357">
        <f t="shared" si="31"/>
        <v>3.6560326295000056</v>
      </c>
      <c r="S52" s="357">
        <f t="shared" si="31"/>
        <v>0.82329027240000574</v>
      </c>
    </row>
    <row r="53" spans="2:20" x14ac:dyDescent="0.3">
      <c r="B53" s="413" t="s">
        <v>369</v>
      </c>
      <c r="C53" s="357"/>
      <c r="D53" s="357"/>
      <c r="E53" s="357"/>
      <c r="F53" s="357"/>
      <c r="G53" s="357"/>
      <c r="H53" s="357"/>
      <c r="I53" s="357"/>
      <c r="J53" s="357"/>
      <c r="K53" s="357"/>
      <c r="L53" s="357"/>
      <c r="M53" s="357"/>
      <c r="N53" s="357">
        <f>N$37+N$38-N207</f>
        <v>0</v>
      </c>
      <c r="O53" s="357">
        <f>N53-O207</f>
        <v>0</v>
      </c>
      <c r="P53" s="357">
        <f>O53-P207</f>
        <v>0</v>
      </c>
      <c r="Q53" s="357">
        <f>P53-Q207</f>
        <v>0</v>
      </c>
      <c r="R53" s="357">
        <f>Q53-R207</f>
        <v>0</v>
      </c>
      <c r="S53" s="357">
        <f>R53-S207</f>
        <v>0</v>
      </c>
    </row>
    <row r="54" spans="2:20" x14ac:dyDescent="0.3">
      <c r="B54" s="413" t="s">
        <v>370</v>
      </c>
      <c r="C54" s="357"/>
      <c r="D54" s="357"/>
      <c r="E54" s="357"/>
      <c r="F54" s="357"/>
      <c r="G54" s="357"/>
      <c r="H54" s="357"/>
      <c r="I54" s="357"/>
      <c r="J54" s="357"/>
      <c r="K54" s="357"/>
      <c r="L54" s="357"/>
      <c r="M54" s="357"/>
      <c r="N54" s="357"/>
      <c r="O54" s="357">
        <f>O$37+O$38-O208</f>
        <v>0</v>
      </c>
      <c r="P54" s="357">
        <f>O54-P208</f>
        <v>0</v>
      </c>
      <c r="Q54" s="357">
        <f>P54-Q208</f>
        <v>0</v>
      </c>
      <c r="R54" s="357">
        <f>Q54-R208</f>
        <v>0</v>
      </c>
      <c r="S54" s="357">
        <f>R54-S208</f>
        <v>0</v>
      </c>
    </row>
    <row r="55" spans="2:20" x14ac:dyDescent="0.3">
      <c r="B55" s="413" t="s">
        <v>371</v>
      </c>
      <c r="C55" s="357"/>
      <c r="D55" s="357"/>
      <c r="E55" s="357"/>
      <c r="F55" s="357"/>
      <c r="G55" s="357"/>
      <c r="H55" s="357"/>
      <c r="I55" s="357"/>
      <c r="J55" s="357"/>
      <c r="K55" s="357"/>
      <c r="L55" s="357"/>
      <c r="M55" s="357"/>
      <c r="N55" s="357"/>
      <c r="O55" s="357"/>
      <c r="P55" s="357">
        <f>P$37+P$38-P209</f>
        <v>0</v>
      </c>
      <c r="Q55" s="357">
        <f>P55-Q209</f>
        <v>0</v>
      </c>
      <c r="R55" s="357">
        <f>Q55-R209</f>
        <v>0</v>
      </c>
      <c r="S55" s="357">
        <f>R55-S209</f>
        <v>0</v>
      </c>
    </row>
    <row r="56" spans="2:20" x14ac:dyDescent="0.3">
      <c r="B56" s="413" t="s">
        <v>372</v>
      </c>
      <c r="C56" s="357"/>
      <c r="D56" s="357"/>
      <c r="E56" s="357"/>
      <c r="F56" s="357"/>
      <c r="G56" s="357"/>
      <c r="H56" s="357"/>
      <c r="I56" s="357"/>
      <c r="J56" s="357"/>
      <c r="K56" s="357"/>
      <c r="L56" s="357"/>
      <c r="M56" s="357"/>
      <c r="N56" s="357"/>
      <c r="O56" s="357"/>
      <c r="P56" s="357"/>
      <c r="Q56" s="357">
        <f>Q$37+Q$38-Q210</f>
        <v>0</v>
      </c>
      <c r="R56" s="357">
        <f>Q56-R210</f>
        <v>0</v>
      </c>
      <c r="S56" s="357">
        <f>R56-S210</f>
        <v>0</v>
      </c>
    </row>
    <row r="57" spans="2:20" x14ac:dyDescent="0.3">
      <c r="B57" s="413" t="s">
        <v>373</v>
      </c>
      <c r="C57" s="357"/>
      <c r="D57" s="357"/>
      <c r="E57" s="357"/>
      <c r="F57" s="357"/>
      <c r="G57" s="357"/>
      <c r="H57" s="357"/>
      <c r="I57" s="357"/>
      <c r="J57" s="357"/>
      <c r="K57" s="357"/>
      <c r="L57" s="357"/>
      <c r="M57" s="357"/>
      <c r="N57" s="357"/>
      <c r="O57" s="357"/>
      <c r="P57" s="357"/>
      <c r="Q57" s="357"/>
      <c r="R57" s="357">
        <f>R$37+R$38-R211</f>
        <v>0</v>
      </c>
      <c r="S57" s="357">
        <f>R57-S211</f>
        <v>0</v>
      </c>
    </row>
    <row r="58" spans="2:20" x14ac:dyDescent="0.3">
      <c r="B58" s="413" t="s">
        <v>374</v>
      </c>
      <c r="C58" s="357"/>
      <c r="D58" s="357"/>
      <c r="E58" s="357"/>
      <c r="F58" s="357"/>
      <c r="G58" s="357"/>
      <c r="H58" s="357"/>
      <c r="I58" s="357"/>
      <c r="J58" s="357"/>
      <c r="K58" s="357"/>
      <c r="L58" s="357"/>
      <c r="M58" s="357"/>
      <c r="N58" s="357"/>
      <c r="O58" s="357"/>
      <c r="P58" s="357"/>
      <c r="Q58" s="357"/>
      <c r="R58" s="357"/>
      <c r="S58" s="357">
        <f>S$37+S$38-S212</f>
        <v>0</v>
      </c>
    </row>
    <row r="59" spans="2:20" x14ac:dyDescent="0.3">
      <c r="C59" s="357"/>
      <c r="D59" s="357"/>
      <c r="E59" s="357"/>
      <c r="F59" s="357"/>
      <c r="G59" s="357"/>
      <c r="H59" s="357"/>
      <c r="I59" s="357"/>
      <c r="J59" s="357"/>
      <c r="K59" s="357"/>
      <c r="L59" s="357"/>
      <c r="M59" s="357"/>
      <c r="N59" s="357"/>
      <c r="O59" s="357"/>
      <c r="P59" s="357"/>
      <c r="Q59" s="357"/>
      <c r="R59" s="357"/>
      <c r="S59" s="357"/>
    </row>
    <row r="60" spans="2:20" s="55" customFormat="1" x14ac:dyDescent="0.3">
      <c r="B60" s="316" t="s">
        <v>375</v>
      </c>
      <c r="C60" s="331"/>
      <c r="D60" s="331"/>
      <c r="E60" s="331"/>
      <c r="F60" s="331"/>
      <c r="G60" s="331"/>
      <c r="H60" s="331"/>
      <c r="I60" s="331"/>
      <c r="J60" s="331"/>
      <c r="K60" s="331"/>
      <c r="L60" s="331"/>
      <c r="M60" s="331"/>
      <c r="N60" s="331"/>
      <c r="O60" s="331"/>
      <c r="P60" s="331"/>
      <c r="Q60" s="331"/>
      <c r="R60" s="331"/>
      <c r="S60" s="331"/>
    </row>
    <row r="61" spans="2:20" x14ac:dyDescent="0.3">
      <c r="B61" s="316" t="s">
        <v>358</v>
      </c>
      <c r="C61" s="357"/>
      <c r="D61" s="357"/>
      <c r="E61" s="357"/>
      <c r="F61" s="357"/>
      <c r="G61" s="357"/>
      <c r="H61" s="357"/>
      <c r="I61" s="357"/>
      <c r="J61" s="357"/>
      <c r="K61" s="357"/>
      <c r="L61" s="357"/>
      <c r="M61" s="357"/>
      <c r="N61" s="357"/>
      <c r="O61" s="357"/>
      <c r="P61" s="357"/>
      <c r="Q61" s="357"/>
      <c r="R61" s="357"/>
      <c r="S61" s="357"/>
    </row>
    <row r="62" spans="2:20" x14ac:dyDescent="0.3">
      <c r="B62" s="335" t="s">
        <v>360</v>
      </c>
      <c r="C62" s="357"/>
      <c r="D62" s="357"/>
      <c r="E62" s="357">
        <v>0</v>
      </c>
      <c r="F62" s="357">
        <v>35.946569832000002</v>
      </c>
      <c r="G62" s="357">
        <v>58.051638257999997</v>
      </c>
      <c r="H62" s="357">
        <v>70.979828979000004</v>
      </c>
      <c r="I62" s="357">
        <v>130.45398317300001</v>
      </c>
      <c r="J62" s="357">
        <v>143.03220803599999</v>
      </c>
      <c r="K62" s="357">
        <v>151.65539557400001</v>
      </c>
      <c r="L62" s="357">
        <v>179.26949855199999</v>
      </c>
      <c r="M62" s="357">
        <v>216.12619280300001</v>
      </c>
      <c r="N62" s="357">
        <f>M68</f>
        <v>247.90720101600002</v>
      </c>
      <c r="O62" s="33">
        <f t="shared" ref="O62:S62" si="32">N68</f>
        <v>269.16883510700001</v>
      </c>
      <c r="P62" s="33">
        <f t="shared" si="32"/>
        <v>329.368835107</v>
      </c>
      <c r="Q62" s="33">
        <f t="shared" si="32"/>
        <v>359.56883510699998</v>
      </c>
      <c r="R62" s="33">
        <f t="shared" si="32"/>
        <v>389.76883510699997</v>
      </c>
      <c r="S62" s="33">
        <f t="shared" si="32"/>
        <v>419.96883510699996</v>
      </c>
    </row>
    <row r="63" spans="2:20" x14ac:dyDescent="0.3">
      <c r="B63" s="335" t="s">
        <v>376</v>
      </c>
      <c r="C63" s="357"/>
      <c r="D63" s="357"/>
      <c r="E63" s="357"/>
      <c r="F63" s="357"/>
      <c r="G63" s="357">
        <v>0.26324578999999998</v>
      </c>
      <c r="H63" s="357">
        <v>5.3991844999999997E-2</v>
      </c>
      <c r="I63" s="357">
        <v>2.4568683830000002</v>
      </c>
      <c r="J63" s="357">
        <v>0.246</v>
      </c>
      <c r="K63" s="357">
        <v>0.115469455</v>
      </c>
      <c r="L63" s="357">
        <v>0.520625</v>
      </c>
      <c r="M63" s="357">
        <v>0.42730000000000001</v>
      </c>
      <c r="N63" s="357">
        <v>0.2</v>
      </c>
      <c r="O63" s="33">
        <v>0.2</v>
      </c>
      <c r="P63" s="33">
        <v>0.2</v>
      </c>
      <c r="Q63" s="33">
        <v>0.2</v>
      </c>
      <c r="R63" s="33">
        <v>0.2</v>
      </c>
      <c r="S63" s="33">
        <v>0.2</v>
      </c>
    </row>
    <row r="64" spans="2:20" x14ac:dyDescent="0.3">
      <c r="B64" s="335" t="s">
        <v>377</v>
      </c>
      <c r="C64" s="357"/>
      <c r="D64" s="357"/>
      <c r="E64" s="357">
        <v>54.371540412000002</v>
      </c>
      <c r="F64" s="357">
        <v>22.105068425999999</v>
      </c>
      <c r="G64" s="357">
        <v>12.785854021</v>
      </c>
      <c r="H64" s="357">
        <v>59.420162349000002</v>
      </c>
      <c r="I64" s="357">
        <v>10.121356479999999</v>
      </c>
      <c r="J64" s="357">
        <v>9.4302476350000006</v>
      </c>
      <c r="K64" s="357">
        <v>27.498633522999999</v>
      </c>
      <c r="L64" s="357">
        <v>36.336069250999998</v>
      </c>
      <c r="M64" s="357">
        <v>31.795033939</v>
      </c>
      <c r="N64" s="357">
        <f>N266</f>
        <v>21.061634090999998</v>
      </c>
      <c r="O64" s="33">
        <f>O266</f>
        <v>60</v>
      </c>
      <c r="P64" s="33">
        <f>P266</f>
        <v>30</v>
      </c>
      <c r="Q64" s="33">
        <f t="shared" ref="Q64" si="33">Q266</f>
        <v>30</v>
      </c>
      <c r="R64" s="33">
        <f>R266</f>
        <v>30</v>
      </c>
      <c r="S64" s="33">
        <f>S266</f>
        <v>30</v>
      </c>
      <c r="T64" s="646" t="s">
        <v>695</v>
      </c>
    </row>
    <row r="65" spans="2:20" x14ac:dyDescent="0.3">
      <c r="B65" s="335" t="s">
        <v>378</v>
      </c>
      <c r="C65" s="357"/>
      <c r="D65" s="357"/>
      <c r="E65" s="357"/>
      <c r="F65" s="357"/>
      <c r="G65" s="357"/>
      <c r="H65" s="357"/>
      <c r="I65" s="357"/>
      <c r="J65" s="357">
        <v>-0.65902701500000005</v>
      </c>
      <c r="K65" s="357"/>
      <c r="L65" s="357"/>
      <c r="M65" s="357">
        <v>5.6172332999999998E-2</v>
      </c>
      <c r="N65" s="357"/>
      <c r="O65" s="33"/>
      <c r="P65" s="33"/>
      <c r="Q65" s="33"/>
      <c r="R65" s="33"/>
      <c r="S65" s="33"/>
      <c r="T65" s="646"/>
    </row>
    <row r="66" spans="2:20" x14ac:dyDescent="0.3">
      <c r="B66" s="335" t="s">
        <v>361</v>
      </c>
      <c r="C66" s="357"/>
      <c r="D66" s="357"/>
      <c r="E66" s="357"/>
      <c r="F66" s="357"/>
      <c r="G66" s="357"/>
      <c r="H66" s="357"/>
      <c r="I66" s="357"/>
      <c r="J66" s="357"/>
      <c r="K66" s="357"/>
      <c r="L66" s="357"/>
      <c r="M66" s="357">
        <v>-0.49749805899999999</v>
      </c>
      <c r="N66" s="357"/>
      <c r="O66" s="33"/>
      <c r="P66" s="33"/>
      <c r="Q66" s="33"/>
      <c r="R66" s="33"/>
      <c r="S66" s="33"/>
      <c r="T66" s="646"/>
    </row>
    <row r="67" spans="2:20" x14ac:dyDescent="0.3">
      <c r="B67" s="407" t="s">
        <v>362</v>
      </c>
      <c r="C67" s="408"/>
      <c r="D67" s="408"/>
      <c r="E67" s="408"/>
      <c r="F67" s="408"/>
      <c r="G67" s="408">
        <v>-0.12090909</v>
      </c>
      <c r="H67" s="408"/>
      <c r="I67" s="408"/>
      <c r="J67" s="408">
        <v>-0.39403308199999998</v>
      </c>
      <c r="K67" s="408"/>
      <c r="L67" s="408"/>
      <c r="M67" s="408"/>
      <c r="N67" s="408"/>
      <c r="O67" s="400"/>
      <c r="P67" s="400"/>
      <c r="Q67" s="400"/>
      <c r="R67" s="400"/>
      <c r="S67" s="400"/>
      <c r="T67" s="646"/>
    </row>
    <row r="68" spans="2:20" s="55" customFormat="1" x14ac:dyDescent="0.3">
      <c r="B68" s="409" t="s">
        <v>363</v>
      </c>
      <c r="C68" s="331"/>
      <c r="D68" s="331"/>
      <c r="E68" s="331">
        <f t="shared" ref="E68:L68" si="34">SUM(E62:E67)</f>
        <v>54.371540412000002</v>
      </c>
      <c r="F68" s="331">
        <f t="shared" si="34"/>
        <v>58.051638257999997</v>
      </c>
      <c r="G68" s="331">
        <f t="shared" si="34"/>
        <v>70.979828979000004</v>
      </c>
      <c r="H68" s="331">
        <f t="shared" si="34"/>
        <v>130.45398317300001</v>
      </c>
      <c r="I68" s="331">
        <f t="shared" si="34"/>
        <v>143.03220803600001</v>
      </c>
      <c r="J68" s="331">
        <f t="shared" si="34"/>
        <v>151.65539557400001</v>
      </c>
      <c r="K68" s="331">
        <f t="shared" si="34"/>
        <v>179.26949855200002</v>
      </c>
      <c r="L68" s="331">
        <f t="shared" si="34"/>
        <v>216.12619280299998</v>
      </c>
      <c r="M68" s="331">
        <f>SUM(M62:M67)</f>
        <v>247.90720101600002</v>
      </c>
      <c r="N68" s="331">
        <f t="shared" ref="N68:S68" si="35">SUM(N62:N67)</f>
        <v>269.16883510700001</v>
      </c>
      <c r="O68" s="331">
        <f t="shared" si="35"/>
        <v>329.368835107</v>
      </c>
      <c r="P68" s="331">
        <f t="shared" si="35"/>
        <v>359.56883510699998</v>
      </c>
      <c r="Q68" s="331">
        <f t="shared" si="35"/>
        <v>389.76883510699997</v>
      </c>
      <c r="R68" s="331">
        <f t="shared" si="35"/>
        <v>419.96883510699996</v>
      </c>
      <c r="S68" s="331">
        <f t="shared" si="35"/>
        <v>450.16883510699995</v>
      </c>
    </row>
    <row r="69" spans="2:20" s="55" customFormat="1" x14ac:dyDescent="0.3">
      <c r="B69" s="409" t="s">
        <v>364</v>
      </c>
      <c r="C69" s="331"/>
      <c r="D69" s="331"/>
      <c r="E69" s="331"/>
      <c r="F69" s="331"/>
      <c r="G69" s="331"/>
      <c r="H69" s="331"/>
      <c r="I69" s="331"/>
      <c r="J69" s="331"/>
      <c r="K69" s="331"/>
      <c r="L69" s="331"/>
      <c r="M69" s="331"/>
      <c r="N69" s="331"/>
      <c r="O69" s="331"/>
      <c r="P69" s="331"/>
      <c r="Q69" s="331"/>
      <c r="R69" s="331"/>
      <c r="S69" s="331"/>
    </row>
    <row r="70" spans="2:20" x14ac:dyDescent="0.3">
      <c r="B70" s="410" t="s">
        <v>360</v>
      </c>
      <c r="C70" s="357"/>
      <c r="D70" s="357"/>
      <c r="E70" s="357">
        <v>0</v>
      </c>
      <c r="F70" s="357">
        <v>1.351760418</v>
      </c>
      <c r="G70" s="357">
        <v>5.6980461880000002</v>
      </c>
      <c r="H70" s="357">
        <v>15.069720874</v>
      </c>
      <c r="I70" s="357">
        <v>39.242421336</v>
      </c>
      <c r="J70" s="357">
        <v>73.846974630000005</v>
      </c>
      <c r="K70" s="357">
        <v>116.09796366400001</v>
      </c>
      <c r="L70" s="357">
        <v>142.82303755999999</v>
      </c>
      <c r="M70" s="357">
        <v>167.26723286699999</v>
      </c>
      <c r="N70" s="357">
        <f>M75</f>
        <v>191.84017819899998</v>
      </c>
      <c r="O70" s="33">
        <f t="shared" ref="O70:S70" si="36">N75</f>
        <v>217.61639716833332</v>
      </c>
      <c r="P70" s="33">
        <f t="shared" si="36"/>
        <v>254.86720981455557</v>
      </c>
      <c r="Q70" s="33">
        <f t="shared" si="36"/>
        <v>289.76775157870372</v>
      </c>
      <c r="R70" s="33">
        <f t="shared" si="36"/>
        <v>325.870187955642</v>
      </c>
      <c r="S70" s="33">
        <f t="shared" si="36"/>
        <v>362.77388740777371</v>
      </c>
    </row>
    <row r="71" spans="2:20" x14ac:dyDescent="0.3">
      <c r="B71" s="410" t="s">
        <v>342</v>
      </c>
      <c r="C71" s="357"/>
      <c r="D71" s="357"/>
      <c r="E71" s="357">
        <v>1.351760418</v>
      </c>
      <c r="F71" s="357">
        <v>4.3462857699999997</v>
      </c>
      <c r="G71" s="357">
        <v>9.3716746860000004</v>
      </c>
      <c r="H71" s="357">
        <v>24.172700462000002</v>
      </c>
      <c r="I71" s="357">
        <v>34.604553293999999</v>
      </c>
      <c r="J71" s="357">
        <v>40.591442852</v>
      </c>
      <c r="K71" s="357">
        <v>26.725073896000001</v>
      </c>
      <c r="L71" s="357">
        <v>24.444195307000001</v>
      </c>
      <c r="M71" s="357">
        <v>25.070443391000001</v>
      </c>
      <c r="N71" s="357">
        <f>N224</f>
        <v>25.776218969333343</v>
      </c>
      <c r="O71" s="33">
        <f t="shared" ref="O71:Q71" si="37">O224</f>
        <v>37.250812646222229</v>
      </c>
      <c r="P71" s="33">
        <f t="shared" si="37"/>
        <v>34.900541764148159</v>
      </c>
      <c r="Q71" s="33">
        <f t="shared" si="37"/>
        <v>36.102436376938272</v>
      </c>
      <c r="R71" s="33">
        <f>R224</f>
        <v>36.90369945213169</v>
      </c>
      <c r="S71" s="33">
        <f>S224</f>
        <v>29.131649233075446</v>
      </c>
    </row>
    <row r="72" spans="2:20" x14ac:dyDescent="0.3">
      <c r="B72" s="410" t="s">
        <v>378</v>
      </c>
      <c r="C72" s="357"/>
      <c r="D72" s="357"/>
      <c r="E72" s="357"/>
      <c r="F72" s="357"/>
      <c r="G72" s="357"/>
      <c r="H72" s="357"/>
      <c r="I72" s="357"/>
      <c r="J72" s="357">
        <v>1.8340056849999999</v>
      </c>
      <c r="K72" s="357"/>
      <c r="L72" s="357"/>
      <c r="M72" s="357"/>
      <c r="N72" s="357"/>
      <c r="O72" s="33"/>
      <c r="P72" s="33"/>
      <c r="Q72" s="33"/>
      <c r="R72" s="33"/>
      <c r="S72" s="33"/>
    </row>
    <row r="73" spans="2:20" x14ac:dyDescent="0.3">
      <c r="B73" s="410" t="s">
        <v>361</v>
      </c>
      <c r="C73" s="357"/>
      <c r="D73" s="357"/>
      <c r="E73" s="357"/>
      <c r="F73" s="357"/>
      <c r="G73" s="357"/>
      <c r="H73" s="357"/>
      <c r="I73" s="357"/>
      <c r="J73" s="357"/>
      <c r="K73" s="357"/>
      <c r="L73" s="357"/>
      <c r="M73" s="357">
        <v>-0.49749805899999999</v>
      </c>
      <c r="N73" s="357"/>
      <c r="O73" s="33"/>
      <c r="P73" s="33"/>
      <c r="Q73" s="33"/>
      <c r="R73" s="33"/>
      <c r="S73" s="33"/>
    </row>
    <row r="74" spans="2:20" x14ac:dyDescent="0.3">
      <c r="B74" s="411" t="s">
        <v>362</v>
      </c>
      <c r="C74" s="408"/>
      <c r="D74" s="408"/>
      <c r="E74" s="408"/>
      <c r="F74" s="408"/>
      <c r="G74" s="408"/>
      <c r="H74" s="408"/>
      <c r="I74" s="408"/>
      <c r="J74" s="408">
        <v>-0.17445950299999999</v>
      </c>
      <c r="K74" s="408"/>
      <c r="L74" s="408"/>
      <c r="M74" s="408"/>
      <c r="N74" s="408"/>
      <c r="O74" s="400"/>
      <c r="P74" s="400"/>
      <c r="Q74" s="400"/>
      <c r="R74" s="400"/>
      <c r="S74" s="400"/>
    </row>
    <row r="75" spans="2:20" s="55" customFormat="1" x14ac:dyDescent="0.3">
      <c r="B75" s="409" t="s">
        <v>365</v>
      </c>
      <c r="C75" s="331"/>
      <c r="D75" s="331"/>
      <c r="E75" s="331">
        <f t="shared" ref="E75:F75" si="38">SUM(E70:E74)</f>
        <v>1.351760418</v>
      </c>
      <c r="F75" s="331">
        <f t="shared" si="38"/>
        <v>5.6980461879999993</v>
      </c>
      <c r="G75" s="331">
        <f t="shared" ref="G75:H75" si="39">SUM(G70:G74)</f>
        <v>15.069720874000001</v>
      </c>
      <c r="H75" s="331">
        <f t="shared" si="39"/>
        <v>39.242421336</v>
      </c>
      <c r="I75" s="331">
        <f t="shared" ref="I75:J75" si="40">SUM(I70:I74)</f>
        <v>73.846974630000005</v>
      </c>
      <c r="J75" s="331">
        <f t="shared" si="40"/>
        <v>116.09796366400001</v>
      </c>
      <c r="K75" s="331">
        <f t="shared" ref="K75:L75" si="41">SUM(K70:K74)</f>
        <v>142.82303756000002</v>
      </c>
      <c r="L75" s="331">
        <f t="shared" si="41"/>
        <v>167.26723286699999</v>
      </c>
      <c r="M75" s="331">
        <f>SUM(M70:M74)</f>
        <v>191.84017819899998</v>
      </c>
      <c r="N75" s="331">
        <f t="shared" ref="N75:S75" si="42">SUM(N70:N74)</f>
        <v>217.61639716833332</v>
      </c>
      <c r="O75" s="331">
        <f t="shared" si="42"/>
        <v>254.86720981455557</v>
      </c>
      <c r="P75" s="331">
        <f t="shared" si="42"/>
        <v>289.76775157870372</v>
      </c>
      <c r="Q75" s="331">
        <f t="shared" si="42"/>
        <v>325.870187955642</v>
      </c>
      <c r="R75" s="331">
        <f>SUM(R70:R74)</f>
        <v>362.77388740777371</v>
      </c>
      <c r="S75" s="331">
        <f t="shared" si="42"/>
        <v>391.90553664084916</v>
      </c>
    </row>
    <row r="76" spans="2:20" x14ac:dyDescent="0.3">
      <c r="B76" s="412" t="s">
        <v>366</v>
      </c>
      <c r="C76" s="357"/>
      <c r="D76" s="357"/>
      <c r="E76" s="357">
        <f t="shared" ref="E76:F76" si="43">E62-E70</f>
        <v>0</v>
      </c>
      <c r="F76" s="357">
        <f t="shared" si="43"/>
        <v>34.594809414000004</v>
      </c>
      <c r="G76" s="357">
        <f t="shared" ref="G76:H76" si="44">G62-G70</f>
        <v>52.353592069999998</v>
      </c>
      <c r="H76" s="357">
        <f t="shared" si="44"/>
        <v>55.910108105000006</v>
      </c>
      <c r="I76" s="357">
        <f t="shared" ref="I76:J76" si="45">I62-I70</f>
        <v>91.211561837000005</v>
      </c>
      <c r="J76" s="357">
        <f t="shared" si="45"/>
        <v>69.185233405999981</v>
      </c>
      <c r="K76" s="357">
        <f t="shared" ref="K76:L76" si="46">K62-K70</f>
        <v>35.557431910000005</v>
      </c>
      <c r="L76" s="357">
        <f t="shared" si="46"/>
        <v>36.446460991999999</v>
      </c>
      <c r="M76" s="357">
        <f>M62-M70</f>
        <v>48.858959936000019</v>
      </c>
      <c r="N76" s="357">
        <f t="shared" ref="N76:S76" si="47">N62-N70</f>
        <v>56.067022817000037</v>
      </c>
      <c r="O76" s="357">
        <f t="shared" si="47"/>
        <v>51.552437938666685</v>
      </c>
      <c r="P76" s="357">
        <f t="shared" si="47"/>
        <v>74.50162529244443</v>
      </c>
      <c r="Q76" s="357">
        <f t="shared" si="47"/>
        <v>69.80108352829626</v>
      </c>
      <c r="R76" s="357">
        <f t="shared" si="47"/>
        <v>63.898647151357977</v>
      </c>
      <c r="S76" s="357">
        <f t="shared" si="47"/>
        <v>57.194947699226248</v>
      </c>
    </row>
    <row r="77" spans="2:20" x14ac:dyDescent="0.3">
      <c r="B77" s="412" t="s">
        <v>367</v>
      </c>
      <c r="C77" s="357"/>
      <c r="D77" s="357"/>
      <c r="E77" s="357">
        <f t="shared" ref="E77:F77" si="48">E68-E75</f>
        <v>53.019779994000004</v>
      </c>
      <c r="F77" s="357">
        <f t="shared" si="48"/>
        <v>52.353592069999998</v>
      </c>
      <c r="G77" s="357">
        <f t="shared" ref="G77:H77" si="49">G68-G75</f>
        <v>55.910108105000006</v>
      </c>
      <c r="H77" s="357">
        <f t="shared" si="49"/>
        <v>91.211561837000005</v>
      </c>
      <c r="I77" s="357">
        <f t="shared" ref="I77:J77" si="50">I68-I75</f>
        <v>69.185233406000009</v>
      </c>
      <c r="J77" s="357">
        <f t="shared" si="50"/>
        <v>35.557431910000005</v>
      </c>
      <c r="K77" s="357">
        <f t="shared" ref="K77:L77" si="51">K68-K75</f>
        <v>36.446460991999999</v>
      </c>
      <c r="L77" s="357">
        <f t="shared" si="51"/>
        <v>48.858959935999991</v>
      </c>
      <c r="M77" s="357">
        <f t="shared" ref="M77:S77" si="52">M68-M75</f>
        <v>56.067022817000037</v>
      </c>
      <c r="N77" s="357">
        <f t="shared" si="52"/>
        <v>51.552437938666685</v>
      </c>
      <c r="O77" s="357">
        <f t="shared" si="52"/>
        <v>74.50162529244443</v>
      </c>
      <c r="P77" s="357">
        <f t="shared" si="52"/>
        <v>69.80108352829626</v>
      </c>
      <c r="Q77" s="357">
        <f t="shared" si="52"/>
        <v>63.898647151357977</v>
      </c>
      <c r="R77" s="357">
        <f>R68-R75</f>
        <v>57.194947699226248</v>
      </c>
      <c r="S77" s="357">
        <f t="shared" si="52"/>
        <v>58.263298466150786</v>
      </c>
    </row>
    <row r="78" spans="2:20" x14ac:dyDescent="0.3">
      <c r="B78" s="413" t="s">
        <v>368</v>
      </c>
      <c r="C78" s="357"/>
      <c r="D78" s="357"/>
      <c r="E78" s="357"/>
      <c r="F78" s="357"/>
      <c r="G78" s="357"/>
      <c r="H78" s="357"/>
      <c r="I78" s="357"/>
      <c r="J78" s="357"/>
      <c r="K78" s="357"/>
      <c r="L78" s="357"/>
      <c r="M78" s="357">
        <f>M77</f>
        <v>56.067022817000037</v>
      </c>
      <c r="N78" s="357">
        <f t="shared" ref="N78:S78" si="53">M78-N217</f>
        <v>37.378015211333363</v>
      </c>
      <c r="O78" s="357">
        <f t="shared" si="53"/>
        <v>24.918676807555578</v>
      </c>
      <c r="P78" s="357">
        <f t="shared" si="53"/>
        <v>16.612451205037054</v>
      </c>
      <c r="Q78" s="357">
        <f t="shared" si="53"/>
        <v>8.306225602518527</v>
      </c>
      <c r="R78" s="357">
        <f t="shared" si="53"/>
        <v>0</v>
      </c>
      <c r="S78" s="357">
        <f t="shared" si="53"/>
        <v>0</v>
      </c>
    </row>
    <row r="79" spans="2:20" x14ac:dyDescent="0.3">
      <c r="B79" s="413" t="s">
        <v>369</v>
      </c>
      <c r="C79" s="357"/>
      <c r="D79" s="357"/>
      <c r="E79" s="357"/>
      <c r="F79" s="357"/>
      <c r="G79" s="357"/>
      <c r="H79" s="357"/>
      <c r="I79" s="357"/>
      <c r="J79" s="357"/>
      <c r="K79" s="357"/>
      <c r="L79" s="357"/>
      <c r="M79" s="357"/>
      <c r="N79" s="357">
        <f>$N63+$N64-N218</f>
        <v>14.174422727333333</v>
      </c>
      <c r="O79" s="357">
        <f>N79-O218</f>
        <v>9.4496151515555553</v>
      </c>
      <c r="P79" s="357">
        <f>O79-P218</f>
        <v>6.2997434343703702</v>
      </c>
      <c r="Q79" s="357">
        <f>P79-Q218</f>
        <v>4.1998289562469138</v>
      </c>
      <c r="R79" s="357">
        <f>Q79-R218</f>
        <v>2.799885970831276</v>
      </c>
      <c r="S79" s="357">
        <f>R79-S218</f>
        <v>1.8665906472208507</v>
      </c>
    </row>
    <row r="80" spans="2:20" x14ac:dyDescent="0.3">
      <c r="B80" s="413" t="s">
        <v>370</v>
      </c>
      <c r="C80" s="357"/>
      <c r="D80" s="357"/>
      <c r="E80" s="357"/>
      <c r="F80" s="357"/>
      <c r="G80" s="357"/>
      <c r="H80" s="357"/>
      <c r="I80" s="357"/>
      <c r="J80" s="357"/>
      <c r="K80" s="357"/>
      <c r="L80" s="357"/>
      <c r="M80" s="357"/>
      <c r="N80" s="357"/>
      <c r="O80" s="357">
        <f>O$63+O$64-O219</f>
        <v>40.13333333333334</v>
      </c>
      <c r="P80" s="357">
        <f>O80-P219</f>
        <v>26.75555555555556</v>
      </c>
      <c r="Q80" s="357">
        <f>P80-Q219</f>
        <v>17.837037037037042</v>
      </c>
      <c r="R80" s="357">
        <f>Q80-R219</f>
        <v>11.891358024691362</v>
      </c>
      <c r="S80" s="357">
        <f>R80-S219</f>
        <v>7.9275720164609087</v>
      </c>
    </row>
    <row r="81" spans="2:20" x14ac:dyDescent="0.3">
      <c r="B81" s="413" t="s">
        <v>371</v>
      </c>
      <c r="C81" s="357"/>
      <c r="D81" s="357"/>
      <c r="E81" s="357"/>
      <c r="F81" s="357"/>
      <c r="G81" s="357"/>
      <c r="H81" s="357"/>
      <c r="I81" s="357"/>
      <c r="J81" s="357"/>
      <c r="K81" s="357"/>
      <c r="L81" s="357"/>
      <c r="M81" s="357"/>
      <c r="N81" s="357"/>
      <c r="O81" s="357"/>
      <c r="P81" s="357">
        <f>P$63+P$64-P220</f>
        <v>20.133333333333333</v>
      </c>
      <c r="Q81" s="357">
        <f>P81-Q220</f>
        <v>13.422222222222222</v>
      </c>
      <c r="R81" s="357">
        <f>Q81-R220</f>
        <v>8.9481481481481495</v>
      </c>
      <c r="S81" s="357">
        <f>R81-S220</f>
        <v>5.965432098765433</v>
      </c>
    </row>
    <row r="82" spans="2:20" x14ac:dyDescent="0.3">
      <c r="B82" s="413" t="s">
        <v>372</v>
      </c>
      <c r="C82" s="357"/>
      <c r="D82" s="357"/>
      <c r="E82" s="357"/>
      <c r="F82" s="357"/>
      <c r="G82" s="357"/>
      <c r="H82" s="357"/>
      <c r="I82" s="357"/>
      <c r="J82" s="357"/>
      <c r="K82" s="357"/>
      <c r="L82" s="357"/>
      <c r="M82" s="357"/>
      <c r="N82" s="357"/>
      <c r="O82" s="357"/>
      <c r="P82" s="357"/>
      <c r="Q82" s="357">
        <f>Q$63+Q$64-Q221</f>
        <v>20.133333333333333</v>
      </c>
      <c r="R82" s="357">
        <f>Q82-R221</f>
        <v>13.422222222222222</v>
      </c>
      <c r="S82" s="357">
        <f>R82-S221</f>
        <v>8.9481481481481495</v>
      </c>
    </row>
    <row r="83" spans="2:20" x14ac:dyDescent="0.3">
      <c r="B83" s="413" t="s">
        <v>373</v>
      </c>
      <c r="C83" s="357"/>
      <c r="D83" s="357"/>
      <c r="E83" s="357"/>
      <c r="F83" s="357"/>
      <c r="G83" s="357"/>
      <c r="H83" s="357"/>
      <c r="I83" s="357"/>
      <c r="J83" s="357"/>
      <c r="K83" s="357"/>
      <c r="L83" s="357"/>
      <c r="M83" s="357"/>
      <c r="N83" s="357"/>
      <c r="O83" s="357"/>
      <c r="P83" s="357"/>
      <c r="Q83" s="357"/>
      <c r="R83" s="357">
        <f>R$63+R$64-R222</f>
        <v>20.133333333333333</v>
      </c>
      <c r="S83" s="357">
        <f>R83-S222</f>
        <v>13.422222222222222</v>
      </c>
    </row>
    <row r="84" spans="2:20" x14ac:dyDescent="0.3">
      <c r="B84" s="413" t="s">
        <v>374</v>
      </c>
      <c r="C84" s="357"/>
      <c r="D84" s="357"/>
      <c r="E84" s="357"/>
      <c r="F84" s="357"/>
      <c r="G84" s="357"/>
      <c r="H84" s="357"/>
      <c r="I84" s="357"/>
      <c r="J84" s="357"/>
      <c r="K84" s="357"/>
      <c r="L84" s="357"/>
      <c r="M84" s="357"/>
      <c r="N84" s="357"/>
      <c r="O84" s="357"/>
      <c r="P84" s="357"/>
      <c r="Q84" s="357"/>
      <c r="R84" s="357"/>
      <c r="S84" s="357">
        <f>S$63+S$64-S223</f>
        <v>20.133333333333333</v>
      </c>
    </row>
    <row r="85" spans="2:20" x14ac:dyDescent="0.3">
      <c r="C85" s="357"/>
      <c r="D85" s="357"/>
      <c r="E85" s="357"/>
      <c r="F85" s="357"/>
      <c r="G85" s="357"/>
      <c r="H85" s="357"/>
      <c r="I85" s="357"/>
      <c r="J85" s="357"/>
      <c r="K85" s="357"/>
      <c r="L85" s="357"/>
      <c r="M85" s="357"/>
      <c r="N85" s="357"/>
      <c r="O85" s="357"/>
      <c r="P85" s="357"/>
      <c r="Q85" s="357"/>
      <c r="R85" s="357"/>
      <c r="S85" s="357"/>
    </row>
    <row r="86" spans="2:20" x14ac:dyDescent="0.3">
      <c r="B86" s="316" t="s">
        <v>379</v>
      </c>
      <c r="C86" s="357"/>
      <c r="D86" s="357"/>
      <c r="E86" s="357"/>
      <c r="F86" s="357"/>
      <c r="G86" s="357"/>
      <c r="H86" s="357"/>
      <c r="I86" s="357"/>
      <c r="J86" s="357"/>
      <c r="K86" s="357"/>
      <c r="L86" s="357"/>
      <c r="M86" s="357"/>
      <c r="N86" s="357"/>
      <c r="O86" s="357"/>
      <c r="P86" s="357"/>
      <c r="Q86" s="357"/>
      <c r="R86" s="357"/>
      <c r="S86" s="357"/>
    </row>
    <row r="87" spans="2:20" x14ac:dyDescent="0.3">
      <c r="B87" s="316" t="s">
        <v>358</v>
      </c>
      <c r="C87" s="357"/>
      <c r="D87" s="357"/>
      <c r="E87" s="357"/>
      <c r="F87" s="357"/>
      <c r="G87" s="357"/>
      <c r="H87" s="357"/>
      <c r="I87" s="357"/>
      <c r="J87" s="357"/>
      <c r="K87" s="357"/>
      <c r="L87" s="357"/>
      <c r="M87" s="357"/>
      <c r="N87" s="357"/>
      <c r="O87" s="357"/>
      <c r="P87" s="357"/>
      <c r="Q87" s="357"/>
      <c r="R87" s="357"/>
      <c r="S87" s="357"/>
    </row>
    <row r="88" spans="2:20" x14ac:dyDescent="0.3">
      <c r="B88" s="335" t="s">
        <v>360</v>
      </c>
      <c r="C88" s="357"/>
      <c r="D88" s="357"/>
      <c r="E88" s="357">
        <v>0.879362062</v>
      </c>
      <c r="F88" s="357">
        <v>27.502880068</v>
      </c>
      <c r="G88" s="357">
        <v>54.161152483999999</v>
      </c>
      <c r="H88" s="357">
        <v>115.32827240500001</v>
      </c>
      <c r="I88" s="357">
        <v>228.99341461</v>
      </c>
      <c r="J88" s="357">
        <v>257.951848246</v>
      </c>
      <c r="K88" s="357">
        <v>258.61087526099999</v>
      </c>
      <c r="L88" s="357">
        <v>345.39105110700001</v>
      </c>
      <c r="M88" s="357">
        <v>433.46447534200001</v>
      </c>
      <c r="N88" s="357">
        <f>M94</f>
        <v>433.40830300900001</v>
      </c>
      <c r="O88" s="33">
        <f t="shared" ref="O88:S88" si="54">N94</f>
        <v>433.50830300900003</v>
      </c>
      <c r="P88" s="33">
        <f t="shared" si="54"/>
        <v>453.60830300900005</v>
      </c>
      <c r="Q88" s="33">
        <f t="shared" si="54"/>
        <v>453.70830300900008</v>
      </c>
      <c r="R88" s="33">
        <f t="shared" si="54"/>
        <v>473.8083030090001</v>
      </c>
      <c r="S88" s="33">
        <f t="shared" si="54"/>
        <v>473.90830300900012</v>
      </c>
    </row>
    <row r="89" spans="2:20" ht="15" customHeight="1" x14ac:dyDescent="0.3">
      <c r="B89" s="335" t="s">
        <v>376</v>
      </c>
      <c r="C89" s="357"/>
      <c r="D89" s="357"/>
      <c r="E89" s="357">
        <v>1.4664068750000001</v>
      </c>
      <c r="F89" s="357"/>
      <c r="G89" s="357"/>
      <c r="H89" s="357">
        <v>0.93363636400000005</v>
      </c>
      <c r="I89" s="357">
        <v>28.249342726999998</v>
      </c>
      <c r="J89" s="357"/>
      <c r="K89" s="357">
        <v>0.16156733700000001</v>
      </c>
      <c r="L89" s="357">
        <v>0.227532333</v>
      </c>
      <c r="M89" s="357"/>
      <c r="N89" s="357">
        <v>0.1</v>
      </c>
      <c r="O89" s="33">
        <v>0.1</v>
      </c>
      <c r="P89" s="33">
        <v>0.1</v>
      </c>
      <c r="Q89" s="33">
        <v>0.1</v>
      </c>
      <c r="R89" s="33">
        <v>0.1</v>
      </c>
      <c r="S89" s="33">
        <v>0.1</v>
      </c>
      <c r="T89" s="647" t="s">
        <v>697</v>
      </c>
    </row>
    <row r="90" spans="2:20" x14ac:dyDescent="0.3">
      <c r="B90" s="335" t="s">
        <v>377</v>
      </c>
      <c r="C90" s="357"/>
      <c r="D90" s="357"/>
      <c r="E90" s="357">
        <v>6.7321405509999996</v>
      </c>
      <c r="F90" s="357">
        <v>26.658272415999999</v>
      </c>
      <c r="G90" s="357">
        <v>61.167119921000001</v>
      </c>
      <c r="H90" s="357">
        <v>112.731505841</v>
      </c>
      <c r="I90" s="357">
        <v>0.70909090900000005</v>
      </c>
      <c r="J90" s="357"/>
      <c r="K90" s="357">
        <v>44.531786894</v>
      </c>
      <c r="L90" s="357">
        <v>87.845891902000005</v>
      </c>
      <c r="M90" s="357"/>
      <c r="N90" s="357">
        <f>N269</f>
        <v>0</v>
      </c>
      <c r="O90" s="33">
        <f>O269</f>
        <v>20</v>
      </c>
      <c r="P90" s="33">
        <f t="shared" ref="P90:S90" si="55">P269</f>
        <v>0</v>
      </c>
      <c r="Q90" s="33">
        <f t="shared" si="55"/>
        <v>20</v>
      </c>
      <c r="R90" s="33">
        <f t="shared" si="55"/>
        <v>0</v>
      </c>
      <c r="S90" s="33">
        <f t="shared" si="55"/>
        <v>20</v>
      </c>
      <c r="T90" s="647"/>
    </row>
    <row r="91" spans="2:20" x14ac:dyDescent="0.3">
      <c r="B91" s="335" t="s">
        <v>378</v>
      </c>
      <c r="C91" s="357"/>
      <c r="D91" s="357"/>
      <c r="E91" s="357"/>
      <c r="F91" s="357"/>
      <c r="G91" s="357"/>
      <c r="H91" s="357"/>
      <c r="I91" s="357"/>
      <c r="J91" s="357">
        <v>0.65902701500000005</v>
      </c>
      <c r="K91" s="357"/>
      <c r="L91" s="357"/>
      <c r="M91" s="357">
        <v>-5.6172332999999998E-2</v>
      </c>
      <c r="N91" s="357"/>
      <c r="O91" s="33"/>
      <c r="P91" s="33"/>
      <c r="Q91" s="33"/>
      <c r="R91" s="33"/>
      <c r="S91" s="33"/>
      <c r="T91" s="535"/>
    </row>
    <row r="92" spans="2:20" x14ac:dyDescent="0.3">
      <c r="B92" s="335" t="s">
        <v>361</v>
      </c>
      <c r="C92" s="357"/>
      <c r="D92" s="357"/>
      <c r="E92" s="357"/>
      <c r="F92" s="357"/>
      <c r="G92" s="357"/>
      <c r="H92" s="357"/>
      <c r="I92" s="357"/>
      <c r="J92" s="357"/>
      <c r="K92" s="357"/>
      <c r="L92" s="357"/>
      <c r="M92" s="357"/>
      <c r="N92" s="357"/>
      <c r="O92" s="33"/>
      <c r="P92" s="33"/>
      <c r="Q92" s="33"/>
      <c r="R92" s="33"/>
      <c r="S92" s="33"/>
    </row>
    <row r="93" spans="2:20" x14ac:dyDescent="0.3">
      <c r="B93" s="407" t="s">
        <v>362</v>
      </c>
      <c r="C93" s="408"/>
      <c r="D93" s="408"/>
      <c r="E93" s="408"/>
      <c r="F93" s="408"/>
      <c r="G93" s="408"/>
      <c r="H93" s="408"/>
      <c r="I93" s="408"/>
      <c r="J93" s="408"/>
      <c r="K93" s="408">
        <v>42.086821614999998</v>
      </c>
      <c r="L93" s="408"/>
      <c r="M93" s="408"/>
      <c r="N93" s="408"/>
      <c r="O93" s="400"/>
      <c r="P93" s="400"/>
      <c r="Q93" s="400"/>
      <c r="R93" s="400"/>
      <c r="S93" s="400"/>
    </row>
    <row r="94" spans="2:20" s="55" customFormat="1" x14ac:dyDescent="0.3">
      <c r="B94" s="409" t="s">
        <v>363</v>
      </c>
      <c r="C94" s="331"/>
      <c r="D94" s="331"/>
      <c r="E94" s="331">
        <f t="shared" ref="E94" si="56">SUM(E88:E93)</f>
        <v>9.0779094879999995</v>
      </c>
      <c r="F94" s="331">
        <f t="shared" ref="F94" si="57">SUM(F88:F93)</f>
        <v>54.161152483999999</v>
      </c>
      <c r="G94" s="331">
        <f t="shared" ref="G94:H94" si="58">SUM(G88:G93)</f>
        <v>115.32827240500001</v>
      </c>
      <c r="H94" s="331">
        <f t="shared" si="58"/>
        <v>228.99341461</v>
      </c>
      <c r="I94" s="331">
        <f>SUM(I88:I93)</f>
        <v>257.951848246</v>
      </c>
      <c r="J94" s="331">
        <f t="shared" ref="J94:L94" si="59">SUM(J88:J93)</f>
        <v>258.61087526099999</v>
      </c>
      <c r="K94" s="331">
        <f t="shared" si="59"/>
        <v>345.39105110700001</v>
      </c>
      <c r="L94" s="331">
        <f t="shared" si="59"/>
        <v>433.46447534200001</v>
      </c>
      <c r="M94" s="331">
        <f>SUM(M88:M93)</f>
        <v>433.40830300900001</v>
      </c>
      <c r="N94" s="331">
        <f t="shared" ref="N94:S94" si="60">SUM(N88:N93)</f>
        <v>433.50830300900003</v>
      </c>
      <c r="O94" s="331">
        <f t="shared" si="60"/>
        <v>453.60830300900005</v>
      </c>
      <c r="P94" s="331">
        <f t="shared" si="60"/>
        <v>453.70830300900008</v>
      </c>
      <c r="Q94" s="331">
        <f t="shared" si="60"/>
        <v>473.8083030090001</v>
      </c>
      <c r="R94" s="331">
        <f t="shared" si="60"/>
        <v>473.90830300900012</v>
      </c>
      <c r="S94" s="331">
        <f t="shared" si="60"/>
        <v>494.00830300900014</v>
      </c>
    </row>
    <row r="95" spans="2:20" s="55" customFormat="1" x14ac:dyDescent="0.3">
      <c r="B95" s="409" t="s">
        <v>364</v>
      </c>
      <c r="C95" s="331"/>
      <c r="D95" s="331"/>
      <c r="E95" s="331"/>
      <c r="F95" s="331"/>
      <c r="G95" s="331"/>
      <c r="H95" s="331"/>
      <c r="I95" s="331"/>
      <c r="J95" s="331"/>
      <c r="K95" s="331"/>
      <c r="L95" s="331"/>
      <c r="M95" s="331"/>
      <c r="N95" s="331"/>
      <c r="O95" s="331"/>
      <c r="P95" s="331"/>
      <c r="Q95" s="331"/>
      <c r="R95" s="331"/>
      <c r="S95" s="331"/>
    </row>
    <row r="96" spans="2:20" x14ac:dyDescent="0.3">
      <c r="B96" s="410" t="s">
        <v>360</v>
      </c>
      <c r="C96" s="357"/>
      <c r="D96" s="357"/>
      <c r="E96" s="357">
        <v>2.9312072000000002E-2</v>
      </c>
      <c r="F96" s="357">
        <v>0.80655041900000002</v>
      </c>
      <c r="G96" s="357">
        <v>4.1566350009999997</v>
      </c>
      <c r="H96" s="357">
        <v>14.768885554000001</v>
      </c>
      <c r="I96" s="357">
        <v>72.541149645000004</v>
      </c>
      <c r="J96" s="357">
        <v>141.01535475899999</v>
      </c>
      <c r="K96" s="357">
        <v>216.340088611</v>
      </c>
      <c r="L96" s="357">
        <v>293.60555854900002</v>
      </c>
      <c r="M96" s="357">
        <v>331.30456520799999</v>
      </c>
      <c r="N96" s="357">
        <f>M101</f>
        <v>365.46871498499996</v>
      </c>
      <c r="O96" s="33">
        <f>N101</f>
        <v>392.68455019459998</v>
      </c>
      <c r="P96" s="33">
        <f t="shared" ref="P96:S96" si="61">O101</f>
        <v>417.05405132035997</v>
      </c>
      <c r="Q96" s="33">
        <f t="shared" si="61"/>
        <v>434.16157716467995</v>
      </c>
      <c r="R96" s="33">
        <f t="shared" si="61"/>
        <v>457.35774300899993</v>
      </c>
      <c r="S96" s="33">
        <f t="shared" si="61"/>
        <v>463.97926300899991</v>
      </c>
    </row>
    <row r="97" spans="2:19" x14ac:dyDescent="0.3">
      <c r="B97" s="410" t="s">
        <v>342</v>
      </c>
      <c r="C97" s="357"/>
      <c r="D97" s="357"/>
      <c r="E97" s="357">
        <v>0.77723834700000005</v>
      </c>
      <c r="F97" s="357">
        <v>3.350084582</v>
      </c>
      <c r="G97" s="357">
        <v>10.612250553000001</v>
      </c>
      <c r="H97" s="357">
        <v>57.772264090999997</v>
      </c>
      <c r="I97" s="357">
        <v>68.474205114</v>
      </c>
      <c r="J97" s="357">
        <v>75.141788973999994</v>
      </c>
      <c r="K97" s="357">
        <v>37.479092881</v>
      </c>
      <c r="L97" s="357">
        <v>37.699006658999998</v>
      </c>
      <c r="M97" s="357">
        <v>34.164149776999999</v>
      </c>
      <c r="N97" s="357">
        <f>N235</f>
        <v>27.215835209600019</v>
      </c>
      <c r="O97" s="33">
        <f t="shared" ref="O97:R97" si="62">O235</f>
        <v>24.36950112576001</v>
      </c>
      <c r="P97" s="33">
        <f t="shared" si="62"/>
        <v>17.107525844320005</v>
      </c>
      <c r="Q97" s="33">
        <f>Q235</f>
        <v>23.196165844320006</v>
      </c>
      <c r="R97" s="33">
        <f t="shared" si="62"/>
        <v>6.6215200000000012</v>
      </c>
      <c r="S97" s="33">
        <f>S235</f>
        <v>12.276</v>
      </c>
    </row>
    <row r="98" spans="2:19" x14ac:dyDescent="0.3">
      <c r="B98" s="410" t="s">
        <v>378</v>
      </c>
      <c r="C98" s="357"/>
      <c r="D98" s="357"/>
      <c r="E98" s="357"/>
      <c r="F98" s="357"/>
      <c r="G98" s="357"/>
      <c r="H98" s="357"/>
      <c r="I98" s="357"/>
      <c r="J98" s="357">
        <v>0.18294487800000001</v>
      </c>
      <c r="K98" s="357"/>
      <c r="L98" s="357"/>
      <c r="M98" s="357"/>
      <c r="N98" s="357"/>
      <c r="O98" s="33"/>
      <c r="P98" s="33"/>
      <c r="Q98" s="33"/>
      <c r="R98" s="33"/>
      <c r="S98" s="33"/>
    </row>
    <row r="99" spans="2:19" x14ac:dyDescent="0.3">
      <c r="B99" s="410" t="s">
        <v>361</v>
      </c>
      <c r="C99" s="357"/>
      <c r="D99" s="357"/>
      <c r="E99" s="357"/>
      <c r="F99" s="357"/>
      <c r="G99" s="357"/>
      <c r="H99" s="357"/>
      <c r="I99" s="357"/>
      <c r="J99" s="357"/>
      <c r="K99" s="357"/>
      <c r="L99" s="357"/>
      <c r="M99" s="357"/>
      <c r="N99" s="357"/>
      <c r="O99" s="33"/>
      <c r="P99" s="33"/>
      <c r="Q99" s="33"/>
      <c r="R99" s="33"/>
      <c r="S99" s="33"/>
    </row>
    <row r="100" spans="2:19" x14ac:dyDescent="0.3">
      <c r="B100" s="411" t="s">
        <v>362</v>
      </c>
      <c r="C100" s="408"/>
      <c r="D100" s="408"/>
      <c r="E100" s="408"/>
      <c r="F100" s="408"/>
      <c r="G100" s="408"/>
      <c r="H100" s="408"/>
      <c r="I100" s="408"/>
      <c r="J100" s="408"/>
      <c r="K100" s="408">
        <v>39.786377057000003</v>
      </c>
      <c r="L100" s="408"/>
      <c r="M100" s="408"/>
      <c r="N100" s="408"/>
      <c r="O100" s="400"/>
      <c r="P100" s="400"/>
      <c r="Q100" s="400"/>
      <c r="R100" s="400"/>
      <c r="S100" s="400"/>
    </row>
    <row r="101" spans="2:19" s="55" customFormat="1" x14ac:dyDescent="0.3">
      <c r="B101" s="409" t="s">
        <v>365</v>
      </c>
      <c r="C101" s="331"/>
      <c r="D101" s="331"/>
      <c r="E101" s="331">
        <f t="shared" ref="E101:G101" si="63">SUM(E96:E100)</f>
        <v>0.80655041900000002</v>
      </c>
      <c r="F101" s="331">
        <f t="shared" si="63"/>
        <v>4.1566350009999997</v>
      </c>
      <c r="G101" s="331">
        <f t="shared" si="63"/>
        <v>14.768885554000001</v>
      </c>
      <c r="H101" s="331">
        <f t="shared" ref="H101:R101" si="64">SUM(H96:H100)</f>
        <v>72.54114964499999</v>
      </c>
      <c r="I101" s="331">
        <f t="shared" si="64"/>
        <v>141.01535475899999</v>
      </c>
      <c r="J101" s="331">
        <f t="shared" si="64"/>
        <v>216.340088611</v>
      </c>
      <c r="K101" s="331">
        <f t="shared" si="64"/>
        <v>293.60555854899997</v>
      </c>
      <c r="L101" s="331">
        <f t="shared" si="64"/>
        <v>331.30456520800004</v>
      </c>
      <c r="M101" s="331">
        <f t="shared" si="64"/>
        <v>365.46871498499996</v>
      </c>
      <c r="N101" s="331">
        <f>SUM(N96:N100)</f>
        <v>392.68455019459998</v>
      </c>
      <c r="O101" s="331">
        <f t="shared" si="64"/>
        <v>417.05405132035997</v>
      </c>
      <c r="P101" s="331">
        <f t="shared" si="64"/>
        <v>434.16157716467995</v>
      </c>
      <c r="Q101" s="331">
        <f t="shared" si="64"/>
        <v>457.35774300899993</v>
      </c>
      <c r="R101" s="331">
        <f t="shared" si="64"/>
        <v>463.97926300899991</v>
      </c>
      <c r="S101" s="331">
        <f>SUM(S96:S100)</f>
        <v>476.25526300899992</v>
      </c>
    </row>
    <row r="102" spans="2:19" x14ac:dyDescent="0.3">
      <c r="B102" s="412" t="s">
        <v>366</v>
      </c>
      <c r="C102" s="357"/>
      <c r="D102" s="357"/>
      <c r="E102" s="357">
        <f t="shared" ref="E102:G102" si="65">E88-E96</f>
        <v>0.85004999000000003</v>
      </c>
      <c r="F102" s="357">
        <f t="shared" si="65"/>
        <v>26.696329648999999</v>
      </c>
      <c r="G102" s="357">
        <f t="shared" si="65"/>
        <v>50.004517483000001</v>
      </c>
      <c r="H102" s="357">
        <f t="shared" ref="H102" si="66">H88-H96</f>
        <v>100.559386851</v>
      </c>
      <c r="I102" s="357">
        <f t="shared" ref="I102:J102" si="67">I88-I96</f>
        <v>156.45226496499998</v>
      </c>
      <c r="J102" s="357">
        <f t="shared" si="67"/>
        <v>116.93649348700001</v>
      </c>
      <c r="K102" s="357">
        <f t="shared" ref="K102:L102" si="68">K88-K96</f>
        <v>42.270786649999991</v>
      </c>
      <c r="L102" s="357">
        <f t="shared" si="68"/>
        <v>51.785492557999987</v>
      </c>
      <c r="M102" s="357">
        <f>M88-M96</f>
        <v>102.15991013400003</v>
      </c>
      <c r="N102" s="357">
        <f t="shared" ref="N102:S102" si="69">N88-N96</f>
        <v>67.939588024000045</v>
      </c>
      <c r="O102" s="357">
        <f t="shared" si="69"/>
        <v>40.823752814400052</v>
      </c>
      <c r="P102" s="357">
        <f t="shared" si="69"/>
        <v>36.554251688640079</v>
      </c>
      <c r="Q102" s="357">
        <f t="shared" si="69"/>
        <v>19.546725844320122</v>
      </c>
      <c r="R102" s="357">
        <f>R88-R96</f>
        <v>16.450560000000166</v>
      </c>
      <c r="S102" s="357">
        <f t="shared" si="69"/>
        <v>9.9290400000002137</v>
      </c>
    </row>
    <row r="103" spans="2:19" x14ac:dyDescent="0.3">
      <c r="B103" s="412" t="s">
        <v>367</v>
      </c>
      <c r="C103" s="357"/>
      <c r="D103" s="357"/>
      <c r="E103" s="357">
        <f t="shared" ref="E103:G103" si="70">E94-E101</f>
        <v>8.271359068999999</v>
      </c>
      <c r="F103" s="357">
        <f t="shared" si="70"/>
        <v>50.004517483000001</v>
      </c>
      <c r="G103" s="357">
        <f t="shared" si="70"/>
        <v>100.559386851</v>
      </c>
      <c r="H103" s="357">
        <f t="shared" ref="H103" si="71">H94-H101</f>
        <v>156.45226496500001</v>
      </c>
      <c r="I103" s="357">
        <f t="shared" ref="I103:J103" si="72">I94-I101</f>
        <v>116.93649348700001</v>
      </c>
      <c r="J103" s="357">
        <f t="shared" si="72"/>
        <v>42.270786649999991</v>
      </c>
      <c r="K103" s="357">
        <f t="shared" ref="K103:L103" si="73">K94-K101</f>
        <v>51.785492558000044</v>
      </c>
      <c r="L103" s="357">
        <f t="shared" si="73"/>
        <v>102.15991013399997</v>
      </c>
      <c r="M103" s="357">
        <f>M94-M101</f>
        <v>67.939588024000045</v>
      </c>
      <c r="N103" s="357">
        <f>N94-N101</f>
        <v>40.823752814400052</v>
      </c>
      <c r="O103" s="357">
        <f t="shared" ref="O103:S103" si="74">O94-O101</f>
        <v>36.554251688640079</v>
      </c>
      <c r="P103" s="357">
        <f t="shared" si="74"/>
        <v>19.546725844320122</v>
      </c>
      <c r="Q103" s="357">
        <f>Q94-Q101</f>
        <v>16.450560000000166</v>
      </c>
      <c r="R103" s="357">
        <f t="shared" si="74"/>
        <v>9.9290400000002137</v>
      </c>
      <c r="S103" s="357">
        <f t="shared" si="74"/>
        <v>17.753040000000226</v>
      </c>
    </row>
    <row r="104" spans="2:19" x14ac:dyDescent="0.3">
      <c r="B104" s="413" t="s">
        <v>368</v>
      </c>
      <c r="C104" s="357"/>
      <c r="D104" s="357"/>
      <c r="E104" s="357"/>
      <c r="F104" s="357"/>
      <c r="G104" s="357"/>
      <c r="H104" s="357"/>
      <c r="I104" s="357"/>
      <c r="J104" s="357"/>
      <c r="K104" s="357"/>
      <c r="L104" s="357"/>
      <c r="M104" s="357">
        <f>M103</f>
        <v>67.939588024000045</v>
      </c>
      <c r="N104" s="357">
        <f t="shared" ref="N104:S104" si="75">M104-N228</f>
        <v>40.763752814400021</v>
      </c>
      <c r="O104" s="357">
        <f t="shared" si="75"/>
        <v>24.458251688640011</v>
      </c>
      <c r="P104" s="357">
        <f t="shared" si="75"/>
        <v>12.229125844320006</v>
      </c>
      <c r="Q104" s="357">
        <f t="shared" si="75"/>
        <v>0</v>
      </c>
      <c r="R104" s="357">
        <f t="shared" si="75"/>
        <v>0</v>
      </c>
      <c r="S104" s="357">
        <f t="shared" si="75"/>
        <v>0</v>
      </c>
    </row>
    <row r="105" spans="2:19" x14ac:dyDescent="0.3">
      <c r="B105" s="413" t="s">
        <v>369</v>
      </c>
      <c r="C105" s="357"/>
      <c r="D105" s="357"/>
      <c r="E105" s="357"/>
      <c r="F105" s="357"/>
      <c r="G105" s="357"/>
      <c r="H105" s="357"/>
      <c r="I105" s="357"/>
      <c r="J105" s="357"/>
      <c r="K105" s="357"/>
      <c r="L105" s="357"/>
      <c r="M105" s="357"/>
      <c r="N105" s="357">
        <f>$N$89+$N$90-N229</f>
        <v>0.06</v>
      </c>
      <c r="O105" s="357">
        <f>N105-O229</f>
        <v>3.5999999999999997E-2</v>
      </c>
      <c r="P105" s="357">
        <f>O105-P229</f>
        <v>2.1599999999999998E-2</v>
      </c>
      <c r="Q105" s="357">
        <f>P105-Q229</f>
        <v>1.2959999999999998E-2</v>
      </c>
      <c r="R105" s="357">
        <f>Q105-R229</f>
        <v>6.4799999999999988E-3</v>
      </c>
      <c r="S105" s="357">
        <f>R105-S229</f>
        <v>0</v>
      </c>
    </row>
    <row r="106" spans="2:19" x14ac:dyDescent="0.3">
      <c r="B106" s="413" t="s">
        <v>370</v>
      </c>
      <c r="C106" s="357"/>
      <c r="D106" s="357"/>
      <c r="E106" s="357"/>
      <c r="F106" s="357"/>
      <c r="G106" s="357"/>
      <c r="H106" s="357"/>
      <c r="I106" s="357"/>
      <c r="J106" s="357"/>
      <c r="K106" s="357"/>
      <c r="L106" s="357"/>
      <c r="M106" s="357"/>
      <c r="N106" s="357"/>
      <c r="O106" s="357">
        <f>$O$89+$O$90-O230</f>
        <v>12.06</v>
      </c>
      <c r="P106" s="357">
        <f>O106-P230</f>
        <v>7.2359999999999998</v>
      </c>
      <c r="Q106" s="357">
        <f>P106-Q230</f>
        <v>4.3415999999999997</v>
      </c>
      <c r="R106" s="357">
        <f>Q106-R230</f>
        <v>2.6049599999999997</v>
      </c>
      <c r="S106" s="357">
        <f>R106-S230</f>
        <v>1.3024799999999999</v>
      </c>
    </row>
    <row r="107" spans="2:19" x14ac:dyDescent="0.3">
      <c r="B107" s="413" t="s">
        <v>371</v>
      </c>
      <c r="C107" s="357"/>
      <c r="D107" s="357"/>
      <c r="E107" s="357"/>
      <c r="F107" s="357"/>
      <c r="G107" s="357"/>
      <c r="H107" s="357"/>
      <c r="I107" s="357"/>
      <c r="J107" s="357"/>
      <c r="K107" s="357"/>
      <c r="L107" s="357"/>
      <c r="M107" s="357"/>
      <c r="N107" s="357"/>
      <c r="O107" s="357"/>
      <c r="P107" s="357">
        <f>$P$89+$P$90-P231</f>
        <v>0.06</v>
      </c>
      <c r="Q107" s="357">
        <f>P107-Q231</f>
        <v>3.5999999999999997E-2</v>
      </c>
      <c r="R107" s="357">
        <f>Q107-R231</f>
        <v>2.1599999999999998E-2</v>
      </c>
      <c r="S107" s="357">
        <f>R107-S231</f>
        <v>1.2959999999999998E-2</v>
      </c>
    </row>
    <row r="108" spans="2:19" x14ac:dyDescent="0.3">
      <c r="B108" s="413" t="s">
        <v>372</v>
      </c>
      <c r="C108" s="357"/>
      <c r="D108" s="357"/>
      <c r="E108" s="357"/>
      <c r="F108" s="357"/>
      <c r="G108" s="357"/>
      <c r="H108" s="357"/>
      <c r="I108" s="357"/>
      <c r="J108" s="357"/>
      <c r="K108" s="357"/>
      <c r="L108" s="357"/>
      <c r="M108" s="357"/>
      <c r="N108" s="357"/>
      <c r="O108" s="357"/>
      <c r="P108" s="357"/>
      <c r="Q108" s="357">
        <f>$Q$89+$Q$90-Q232</f>
        <v>12.06</v>
      </c>
      <c r="R108" s="357">
        <f>Q108-R232</f>
        <v>7.2359999999999998</v>
      </c>
      <c r="S108" s="357">
        <f>R108-S232</f>
        <v>4.3415999999999997</v>
      </c>
    </row>
    <row r="109" spans="2:19" x14ac:dyDescent="0.3">
      <c r="B109" s="413" t="s">
        <v>373</v>
      </c>
      <c r="C109" s="357"/>
      <c r="D109" s="357"/>
      <c r="E109" s="357"/>
      <c r="F109" s="357"/>
      <c r="G109" s="357"/>
      <c r="H109" s="357"/>
      <c r="I109" s="357"/>
      <c r="J109" s="357"/>
      <c r="K109" s="357"/>
      <c r="L109" s="357"/>
      <c r="M109" s="357"/>
      <c r="N109" s="357"/>
      <c r="O109" s="357"/>
      <c r="P109" s="357"/>
      <c r="Q109" s="357"/>
      <c r="R109" s="357">
        <f>$R$89+$R$90-R233</f>
        <v>0.06</v>
      </c>
      <c r="S109" s="357">
        <f>R109-S233</f>
        <v>3.5999999999999997E-2</v>
      </c>
    </row>
    <row r="110" spans="2:19" x14ac:dyDescent="0.3">
      <c r="B110" s="413" t="s">
        <v>374</v>
      </c>
      <c r="C110" s="357"/>
      <c r="D110" s="357"/>
      <c r="E110" s="357"/>
      <c r="F110" s="357"/>
      <c r="G110" s="357"/>
      <c r="H110" s="357"/>
      <c r="I110" s="357"/>
      <c r="J110" s="357"/>
      <c r="K110" s="357"/>
      <c r="L110" s="357"/>
      <c r="M110" s="357"/>
      <c r="N110" s="357"/>
      <c r="O110" s="357"/>
      <c r="P110" s="357"/>
      <c r="Q110" s="357"/>
      <c r="R110" s="357"/>
      <c r="S110" s="357">
        <f>$S$89+$S$90-S234</f>
        <v>12.06</v>
      </c>
    </row>
    <row r="111" spans="2:19" x14ac:dyDescent="0.3">
      <c r="C111" s="357"/>
      <c r="D111" s="357"/>
      <c r="E111" s="357"/>
      <c r="F111" s="357"/>
      <c r="G111" s="357"/>
      <c r="H111" s="357"/>
      <c r="I111" s="357"/>
      <c r="J111" s="357"/>
      <c r="K111" s="357"/>
      <c r="L111" s="357"/>
      <c r="M111" s="357"/>
      <c r="N111" s="357"/>
      <c r="O111" s="357"/>
      <c r="P111" s="357"/>
      <c r="Q111" s="357"/>
      <c r="R111" s="357"/>
      <c r="S111" s="357"/>
    </row>
    <row r="112" spans="2:19" x14ac:dyDescent="0.3">
      <c r="B112" s="316" t="s">
        <v>380</v>
      </c>
      <c r="C112" s="357"/>
      <c r="D112" s="357"/>
      <c r="E112" s="357"/>
      <c r="F112" s="357"/>
      <c r="G112" s="357"/>
      <c r="H112" s="357"/>
      <c r="I112" s="357"/>
      <c r="J112" s="357"/>
      <c r="K112" s="357"/>
      <c r="L112" s="357"/>
      <c r="M112" s="357"/>
      <c r="N112" s="357"/>
      <c r="O112" s="357"/>
      <c r="P112" s="357"/>
      <c r="Q112" s="357"/>
      <c r="R112" s="357"/>
      <c r="S112" s="357"/>
    </row>
    <row r="113" spans="2:19" x14ac:dyDescent="0.3">
      <c r="B113" s="316" t="s">
        <v>358</v>
      </c>
      <c r="C113" s="357"/>
      <c r="D113" s="357"/>
      <c r="E113" s="357"/>
      <c r="F113" s="357"/>
      <c r="G113" s="357"/>
      <c r="H113" s="357"/>
      <c r="I113" s="357"/>
      <c r="J113" s="357"/>
      <c r="K113" s="357"/>
      <c r="L113" s="357"/>
      <c r="M113" s="357"/>
      <c r="N113" s="357"/>
      <c r="O113" s="357"/>
      <c r="P113" s="357"/>
      <c r="Q113" s="357"/>
      <c r="R113" s="357"/>
      <c r="S113" s="357"/>
    </row>
    <row r="114" spans="2:19" x14ac:dyDescent="0.3">
      <c r="B114" s="335" t="s">
        <v>360</v>
      </c>
      <c r="C114" s="357"/>
      <c r="D114" s="357"/>
      <c r="E114" s="357">
        <v>0.22186703899999999</v>
      </c>
      <c r="F114" s="357">
        <v>0.51064755399999995</v>
      </c>
      <c r="G114" s="357">
        <v>0.693363744</v>
      </c>
      <c r="H114" s="357">
        <v>0.96365310999999998</v>
      </c>
      <c r="I114" s="357">
        <v>1.27385945</v>
      </c>
      <c r="J114" s="357">
        <v>1.566576269</v>
      </c>
      <c r="K114" s="357">
        <v>0.54626698500000004</v>
      </c>
      <c r="L114" s="357">
        <v>1.2044829850000001</v>
      </c>
      <c r="M114" s="357">
        <v>1.534035985</v>
      </c>
      <c r="N114" s="357">
        <f>M120</f>
        <v>1.9821708950000001</v>
      </c>
      <c r="O114" s="33">
        <f t="shared" ref="O114:S114" si="76">N120</f>
        <v>2.2897001983333336</v>
      </c>
      <c r="P114" s="33">
        <f t="shared" si="76"/>
        <v>2.6514392694444449</v>
      </c>
      <c r="Q114" s="33">
        <f t="shared" si="76"/>
        <v>3.0239070309259262</v>
      </c>
      <c r="R114" s="33">
        <f t="shared" si="76"/>
        <v>3.3711524095679013</v>
      </c>
      <c r="S114" s="33">
        <f t="shared" si="76"/>
        <v>3.7316364799794242</v>
      </c>
    </row>
    <row r="115" spans="2:19" x14ac:dyDescent="0.3">
      <c r="B115" s="335" t="s">
        <v>376</v>
      </c>
      <c r="C115" s="357"/>
      <c r="D115" s="357"/>
      <c r="E115" s="357">
        <v>0.28878051500000002</v>
      </c>
      <c r="F115" s="357">
        <v>0.18271619</v>
      </c>
      <c r="G115" s="357">
        <v>0.27028936599999998</v>
      </c>
      <c r="H115" s="357">
        <v>0.32620252999999999</v>
      </c>
      <c r="I115" s="357">
        <v>0.29271681900000002</v>
      </c>
      <c r="J115" s="357">
        <v>0.124900002</v>
      </c>
      <c r="K115" s="357">
        <v>0.1449</v>
      </c>
      <c r="L115" s="357">
        <v>0.32955299999999998</v>
      </c>
      <c r="M115" s="357">
        <v>0.44813491</v>
      </c>
      <c r="N115" s="357">
        <f>AVERAGE(K115:M115)</f>
        <v>0.30752930333333334</v>
      </c>
      <c r="O115" s="33">
        <f>AVERAGE(L115:N115)</f>
        <v>0.36173907111111109</v>
      </c>
      <c r="P115" s="33">
        <f t="shared" ref="P115:S115" si="77">AVERAGE(M115:O115)</f>
        <v>0.37246776148148147</v>
      </c>
      <c r="Q115" s="33">
        <f t="shared" si="77"/>
        <v>0.3472453786419753</v>
      </c>
      <c r="R115" s="33">
        <f t="shared" si="77"/>
        <v>0.36048407041152264</v>
      </c>
      <c r="S115" s="33">
        <f t="shared" si="77"/>
        <v>0.3600657368449931</v>
      </c>
    </row>
    <row r="116" spans="2:19" x14ac:dyDescent="0.3">
      <c r="B116" s="335" t="s">
        <v>377</v>
      </c>
      <c r="C116" s="357"/>
      <c r="D116" s="357"/>
      <c r="E116" s="357"/>
      <c r="F116" s="357"/>
      <c r="G116" s="357"/>
      <c r="H116" s="357"/>
      <c r="I116" s="357"/>
      <c r="J116" s="357"/>
      <c r="K116" s="357">
        <v>0.51331599999999999</v>
      </c>
      <c r="L116" s="357"/>
      <c r="M116" s="357"/>
      <c r="N116" s="357"/>
      <c r="O116" s="33"/>
      <c r="P116" s="33"/>
      <c r="Q116" s="33"/>
      <c r="R116" s="33"/>
      <c r="S116" s="33"/>
    </row>
    <row r="117" spans="2:19" x14ac:dyDescent="0.3">
      <c r="B117" s="335" t="s">
        <v>378</v>
      </c>
      <c r="C117" s="357"/>
      <c r="D117" s="357"/>
      <c r="E117" s="357"/>
      <c r="F117" s="357"/>
      <c r="G117" s="357"/>
      <c r="H117" s="357"/>
      <c r="I117" s="357"/>
      <c r="J117" s="357"/>
      <c r="K117" s="357"/>
      <c r="L117" s="357"/>
      <c r="M117" s="357"/>
      <c r="N117" s="357"/>
      <c r="O117" s="33"/>
      <c r="P117" s="33"/>
      <c r="Q117" s="33"/>
      <c r="R117" s="33"/>
      <c r="S117" s="33"/>
    </row>
    <row r="118" spans="2:19" x14ac:dyDescent="0.3">
      <c r="B118" s="335" t="s">
        <v>361</v>
      </c>
      <c r="C118" s="357"/>
      <c r="D118" s="357"/>
      <c r="E118" s="357"/>
      <c r="F118" s="357"/>
      <c r="G118" s="357"/>
      <c r="H118" s="357">
        <v>-1.599619E-2</v>
      </c>
      <c r="I118" s="357"/>
      <c r="J118" s="357"/>
      <c r="K118" s="357"/>
      <c r="L118" s="357"/>
      <c r="M118" s="357"/>
      <c r="N118" s="357"/>
      <c r="O118" s="33"/>
      <c r="P118" s="33"/>
      <c r="Q118" s="33"/>
      <c r="R118" s="33"/>
      <c r="S118" s="33"/>
    </row>
    <row r="119" spans="2:19" x14ac:dyDescent="0.3">
      <c r="B119" s="407" t="s">
        <v>362</v>
      </c>
      <c r="C119" s="408"/>
      <c r="D119" s="408"/>
      <c r="E119" s="408"/>
      <c r="F119" s="408"/>
      <c r="G119" s="408"/>
      <c r="H119" s="408"/>
      <c r="I119" s="408"/>
      <c r="J119" s="408">
        <v>-1.145209286</v>
      </c>
      <c r="K119" s="408"/>
      <c r="L119" s="408"/>
      <c r="M119" s="408"/>
      <c r="N119" s="408"/>
      <c r="O119" s="400"/>
      <c r="P119" s="400"/>
      <c r="Q119" s="400"/>
      <c r="R119" s="400"/>
      <c r="S119" s="400"/>
    </row>
    <row r="120" spans="2:19" s="55" customFormat="1" x14ac:dyDescent="0.3">
      <c r="B120" s="409" t="s">
        <v>363</v>
      </c>
      <c r="C120" s="331"/>
      <c r="D120" s="331"/>
      <c r="E120" s="331">
        <f t="shared" ref="E120:L120" si="78">SUM(E114:E119)</f>
        <v>0.51064755399999995</v>
      </c>
      <c r="F120" s="331">
        <f t="shared" si="78"/>
        <v>0.693363744</v>
      </c>
      <c r="G120" s="331">
        <f t="shared" si="78"/>
        <v>0.96365310999999998</v>
      </c>
      <c r="H120" s="331">
        <f t="shared" si="78"/>
        <v>1.2738594499999998</v>
      </c>
      <c r="I120" s="331">
        <f t="shared" si="78"/>
        <v>1.566576269</v>
      </c>
      <c r="J120" s="331">
        <f t="shared" si="78"/>
        <v>0.54626698499999993</v>
      </c>
      <c r="K120" s="331">
        <f t="shared" si="78"/>
        <v>1.2044829850000001</v>
      </c>
      <c r="L120" s="331">
        <f t="shared" si="78"/>
        <v>1.534035985</v>
      </c>
      <c r="M120" s="331">
        <f>SUM(M114:M119)</f>
        <v>1.9821708950000001</v>
      </c>
      <c r="N120" s="331">
        <f t="shared" ref="N120:S120" si="79">SUM(N114:N119)</f>
        <v>2.2897001983333336</v>
      </c>
      <c r="O120" s="331">
        <f t="shared" si="79"/>
        <v>2.6514392694444449</v>
      </c>
      <c r="P120" s="331">
        <f t="shared" si="79"/>
        <v>3.0239070309259262</v>
      </c>
      <c r="Q120" s="331">
        <f t="shared" si="79"/>
        <v>3.3711524095679013</v>
      </c>
      <c r="R120" s="331">
        <f t="shared" si="79"/>
        <v>3.7316364799794242</v>
      </c>
      <c r="S120" s="331">
        <f t="shared" si="79"/>
        <v>4.0917022168244177</v>
      </c>
    </row>
    <row r="121" spans="2:19" s="55" customFormat="1" x14ac:dyDescent="0.3">
      <c r="B121" s="409" t="s">
        <v>364</v>
      </c>
      <c r="C121" s="331"/>
      <c r="D121" s="331"/>
      <c r="E121" s="331"/>
      <c r="F121" s="331"/>
      <c r="G121" s="331"/>
      <c r="H121" s="331"/>
      <c r="I121" s="331"/>
      <c r="J121" s="331"/>
      <c r="K121" s="331"/>
      <c r="L121" s="331"/>
      <c r="M121" s="331"/>
      <c r="N121" s="331"/>
      <c r="O121" s="331"/>
      <c r="P121" s="331"/>
      <c r="Q121" s="331"/>
      <c r="R121" s="331"/>
      <c r="S121" s="331"/>
    </row>
    <row r="122" spans="2:19" x14ac:dyDescent="0.3">
      <c r="B122" s="410" t="s">
        <v>360</v>
      </c>
      <c r="C122" s="357"/>
      <c r="D122" s="357"/>
      <c r="E122" s="357">
        <v>1.6563733000000001E-2</v>
      </c>
      <c r="F122" s="357">
        <v>0.113153827</v>
      </c>
      <c r="G122" s="357">
        <v>0.25095727499999998</v>
      </c>
      <c r="H122" s="357">
        <v>0.53009963999999998</v>
      </c>
      <c r="I122" s="357">
        <v>0.83772025999999999</v>
      </c>
      <c r="J122" s="357">
        <v>1.125298771</v>
      </c>
      <c r="K122" s="357">
        <v>0.40952755499999999</v>
      </c>
      <c r="L122" s="357">
        <v>0.63020538199999998</v>
      </c>
      <c r="M122" s="357">
        <v>0.90760154900000001</v>
      </c>
      <c r="N122" s="357">
        <f>M127</f>
        <v>1.282838828</v>
      </c>
      <c r="O122" s="33">
        <f>N127</f>
        <v>1.7407788676666667</v>
      </c>
      <c r="P122" s="33">
        <f t="shared" ref="P122:S122" si="80">O127</f>
        <v>2.1775304305555556</v>
      </c>
      <c r="Q122" s="33">
        <f t="shared" si="80"/>
        <v>2.3858776577407408</v>
      </c>
      <c r="R122" s="33">
        <f t="shared" si="80"/>
        <v>2.6636739606543212</v>
      </c>
      <c r="S122" s="33">
        <f t="shared" si="80"/>
        <v>3.0135670776502059</v>
      </c>
    </row>
    <row r="123" spans="2:19" x14ac:dyDescent="0.3">
      <c r="B123" s="410" t="s">
        <v>342</v>
      </c>
      <c r="C123" s="357"/>
      <c r="D123" s="357"/>
      <c r="E123" s="357">
        <v>9.6590094000000001E-2</v>
      </c>
      <c r="F123" s="357">
        <v>0.137803448</v>
      </c>
      <c r="G123" s="357">
        <v>0.279142365</v>
      </c>
      <c r="H123" s="357">
        <v>0.32048505999999999</v>
      </c>
      <c r="I123" s="357">
        <v>0.28757851099999998</v>
      </c>
      <c r="J123" s="357">
        <v>0.18097043900000001</v>
      </c>
      <c r="K123" s="357">
        <v>0.22067782699999999</v>
      </c>
      <c r="L123" s="357">
        <v>0.27739616700000003</v>
      </c>
      <c r="M123" s="357">
        <v>0.37523727899999998</v>
      </c>
      <c r="N123" s="357">
        <f>N246</f>
        <v>0.45794003966666669</v>
      </c>
      <c r="O123" s="33">
        <f t="shared" ref="O123:S123" si="81">O246</f>
        <v>0.43675156288888894</v>
      </c>
      <c r="P123" s="33">
        <f t="shared" si="81"/>
        <v>0.20834722718518517</v>
      </c>
      <c r="Q123" s="33">
        <f t="shared" si="81"/>
        <v>0.27779630291358026</v>
      </c>
      <c r="R123" s="33">
        <f t="shared" si="81"/>
        <v>0.34989311699588477</v>
      </c>
      <c r="S123" s="33">
        <f t="shared" si="81"/>
        <v>0.36040040369821674</v>
      </c>
    </row>
    <row r="124" spans="2:19" x14ac:dyDescent="0.3">
      <c r="B124" s="410" t="s">
        <v>378</v>
      </c>
      <c r="C124" s="357"/>
      <c r="D124" s="357"/>
      <c r="E124" s="357"/>
      <c r="F124" s="357"/>
      <c r="G124" s="357"/>
      <c r="H124" s="357"/>
      <c r="I124" s="357"/>
      <c r="J124" s="357">
        <v>-3.6497676999999999E-2</v>
      </c>
      <c r="K124" s="357"/>
      <c r="L124" s="357"/>
      <c r="M124" s="357"/>
      <c r="N124" s="357"/>
      <c r="O124" s="33"/>
      <c r="P124" s="33"/>
      <c r="Q124" s="33"/>
      <c r="R124" s="33"/>
      <c r="S124" s="33"/>
    </row>
    <row r="125" spans="2:19" x14ac:dyDescent="0.3">
      <c r="B125" s="410" t="s">
        <v>361</v>
      </c>
      <c r="C125" s="357"/>
      <c r="D125" s="357"/>
      <c r="E125" s="357"/>
      <c r="F125" s="357"/>
      <c r="G125" s="357"/>
      <c r="H125" s="357">
        <v>-1.286444E-2</v>
      </c>
      <c r="I125" s="357"/>
      <c r="J125" s="357"/>
      <c r="K125" s="357"/>
      <c r="L125" s="357"/>
      <c r="M125" s="357"/>
      <c r="N125" s="357"/>
      <c r="O125" s="33"/>
      <c r="P125" s="33"/>
      <c r="Q125" s="33"/>
      <c r="R125" s="33"/>
      <c r="S125" s="33"/>
    </row>
    <row r="126" spans="2:19" x14ac:dyDescent="0.3">
      <c r="B126" s="411" t="s">
        <v>362</v>
      </c>
      <c r="C126" s="408"/>
      <c r="D126" s="408"/>
      <c r="E126" s="408"/>
      <c r="F126" s="408"/>
      <c r="G126" s="408"/>
      <c r="H126" s="408"/>
      <c r="I126" s="408"/>
      <c r="J126" s="408">
        <v>-0.86024397799999996</v>
      </c>
      <c r="K126" s="408"/>
      <c r="L126" s="408"/>
      <c r="M126" s="408"/>
      <c r="N126" s="408"/>
      <c r="O126" s="400"/>
      <c r="P126" s="400"/>
      <c r="Q126" s="400"/>
      <c r="R126" s="400"/>
      <c r="S126" s="400"/>
    </row>
    <row r="127" spans="2:19" s="55" customFormat="1" x14ac:dyDescent="0.3">
      <c r="B127" s="409" t="s">
        <v>365</v>
      </c>
      <c r="C127" s="331"/>
      <c r="D127" s="331"/>
      <c r="E127" s="331">
        <f t="shared" ref="E127:F127" si="82">SUM(E122:E126)</f>
        <v>0.113153827</v>
      </c>
      <c r="F127" s="331">
        <f t="shared" si="82"/>
        <v>0.25095727499999998</v>
      </c>
      <c r="G127" s="331">
        <f t="shared" ref="G127:H127" si="83">SUM(G122:G126)</f>
        <v>0.53009963999999998</v>
      </c>
      <c r="H127" s="331">
        <f t="shared" si="83"/>
        <v>0.83772025999999999</v>
      </c>
      <c r="I127" s="331">
        <f t="shared" ref="I127:J127" si="84">SUM(I122:I126)</f>
        <v>1.125298771</v>
      </c>
      <c r="J127" s="331">
        <f t="shared" si="84"/>
        <v>0.40952755499999993</v>
      </c>
      <c r="K127" s="331">
        <f t="shared" ref="K127:L127" si="85">SUM(K122:K126)</f>
        <v>0.63020538199999998</v>
      </c>
      <c r="L127" s="331">
        <f t="shared" si="85"/>
        <v>0.90760154900000001</v>
      </c>
      <c r="M127" s="331">
        <f>SUM(M122:M126)</f>
        <v>1.282838828</v>
      </c>
      <c r="N127" s="331">
        <f>SUM(N122:N126)</f>
        <v>1.7407788676666667</v>
      </c>
      <c r="O127" s="331">
        <f>SUM(O122:O126)</f>
        <v>2.1775304305555556</v>
      </c>
      <c r="P127" s="331">
        <f t="shared" ref="P127:S127" si="86">SUM(P122:P126)</f>
        <v>2.3858776577407408</v>
      </c>
      <c r="Q127" s="331">
        <f t="shared" si="86"/>
        <v>2.6636739606543212</v>
      </c>
      <c r="R127" s="331">
        <f t="shared" si="86"/>
        <v>3.0135670776502059</v>
      </c>
      <c r="S127" s="331">
        <f t="shared" si="86"/>
        <v>3.3739674813484228</v>
      </c>
    </row>
    <row r="128" spans="2:19" x14ac:dyDescent="0.3">
      <c r="B128" s="412" t="s">
        <v>366</v>
      </c>
      <c r="C128" s="357"/>
      <c r="D128" s="357"/>
      <c r="E128" s="357">
        <f t="shared" ref="E128:F128" si="87">E114-E122</f>
        <v>0.20530330599999999</v>
      </c>
      <c r="F128" s="357">
        <f t="shared" si="87"/>
        <v>0.39749372699999996</v>
      </c>
      <c r="G128" s="357">
        <f t="shared" ref="G128:H128" si="88">G114-G122</f>
        <v>0.44240646900000002</v>
      </c>
      <c r="H128" s="357">
        <f t="shared" si="88"/>
        <v>0.43355347</v>
      </c>
      <c r="I128" s="357">
        <f t="shared" ref="I128:J128" si="89">I114-I122</f>
        <v>0.43613919000000001</v>
      </c>
      <c r="J128" s="357">
        <f t="shared" si="89"/>
        <v>0.44127749800000005</v>
      </c>
      <c r="K128" s="357">
        <f t="shared" ref="K128:L128" si="90">K114-K122</f>
        <v>0.13673943000000005</v>
      </c>
      <c r="L128" s="357">
        <f t="shared" si="90"/>
        <v>0.57427760300000008</v>
      </c>
      <c r="M128" s="357">
        <f>M114-M122</f>
        <v>0.62643443600000004</v>
      </c>
      <c r="N128" s="357">
        <f t="shared" ref="N128:S128" si="91">N114-N122</f>
        <v>0.69933206700000006</v>
      </c>
      <c r="O128" s="357">
        <f t="shared" si="91"/>
        <v>0.54892133066666693</v>
      </c>
      <c r="P128" s="357">
        <f t="shared" si="91"/>
        <v>0.47390883888888924</v>
      </c>
      <c r="Q128" s="357">
        <f>Q114-Q122</f>
        <v>0.63802937318518538</v>
      </c>
      <c r="R128" s="357">
        <f>R114-R122</f>
        <v>0.70747844891358014</v>
      </c>
      <c r="S128" s="357">
        <f t="shared" si="91"/>
        <v>0.71806940232921823</v>
      </c>
    </row>
    <row r="129" spans="2:19" x14ac:dyDescent="0.3">
      <c r="B129" s="412" t="s">
        <v>367</v>
      </c>
      <c r="C129" s="357"/>
      <c r="D129" s="357"/>
      <c r="E129" s="357">
        <f t="shared" ref="E129:F129" si="92">E120-E127</f>
        <v>0.39749372699999996</v>
      </c>
      <c r="F129" s="357">
        <f t="shared" si="92"/>
        <v>0.44240646900000002</v>
      </c>
      <c r="G129" s="357">
        <f t="shared" ref="G129:H129" si="93">G120-G127</f>
        <v>0.43355347</v>
      </c>
      <c r="H129" s="357">
        <f t="shared" si="93"/>
        <v>0.43613918999999979</v>
      </c>
      <c r="I129" s="357">
        <f t="shared" ref="I129:J129" si="94">I120-I127</f>
        <v>0.44127749800000005</v>
      </c>
      <c r="J129" s="357">
        <f t="shared" si="94"/>
        <v>0.13673943</v>
      </c>
      <c r="K129" s="357">
        <f t="shared" ref="K129:L129" si="95">K120-K127</f>
        <v>0.57427760300000008</v>
      </c>
      <c r="L129" s="357">
        <f t="shared" si="95"/>
        <v>0.62643443600000004</v>
      </c>
      <c r="M129" s="357">
        <f>M120-M127</f>
        <v>0.69933206700000006</v>
      </c>
      <c r="N129" s="357">
        <f>N120-N127</f>
        <v>0.54892133066666693</v>
      </c>
      <c r="O129" s="357">
        <f t="shared" ref="O129:S129" si="96">O120-O127</f>
        <v>0.47390883888888924</v>
      </c>
      <c r="P129" s="357">
        <f t="shared" si="96"/>
        <v>0.63802937318518538</v>
      </c>
      <c r="Q129" s="357">
        <f t="shared" si="96"/>
        <v>0.70747844891358014</v>
      </c>
      <c r="R129" s="357">
        <f t="shared" si="96"/>
        <v>0.71806940232921823</v>
      </c>
      <c r="S129" s="357">
        <f t="shared" si="96"/>
        <v>0.71773473547599487</v>
      </c>
    </row>
    <row r="130" spans="2:19" x14ac:dyDescent="0.3">
      <c r="B130" s="413" t="s">
        <v>368</v>
      </c>
      <c r="C130" s="357"/>
      <c r="D130" s="357"/>
      <c r="E130" s="357"/>
      <c r="F130" s="357"/>
      <c r="G130" s="357"/>
      <c r="H130" s="357"/>
      <c r="I130" s="357"/>
      <c r="J130" s="357"/>
      <c r="K130" s="357"/>
      <c r="L130" s="357"/>
      <c r="M130" s="357">
        <f>M129</f>
        <v>0.69933206700000006</v>
      </c>
      <c r="N130" s="357">
        <f t="shared" ref="N130:S130" si="97">M130-N239</f>
        <v>0.30289788800000006</v>
      </c>
      <c r="O130" s="357">
        <f t="shared" si="97"/>
        <v>0</v>
      </c>
      <c r="P130" s="357">
        <f t="shared" si="97"/>
        <v>0</v>
      </c>
      <c r="Q130" s="357">
        <f t="shared" si="97"/>
        <v>0</v>
      </c>
      <c r="R130" s="357">
        <f t="shared" si="97"/>
        <v>0</v>
      </c>
      <c r="S130" s="357">
        <f t="shared" si="97"/>
        <v>0</v>
      </c>
    </row>
    <row r="131" spans="2:19" x14ac:dyDescent="0.3">
      <c r="B131" s="413" t="s">
        <v>369</v>
      </c>
      <c r="C131" s="357"/>
      <c r="D131" s="357"/>
      <c r="E131" s="357"/>
      <c r="F131" s="357"/>
      <c r="G131" s="357"/>
      <c r="H131" s="357"/>
      <c r="I131" s="357"/>
      <c r="J131" s="357"/>
      <c r="K131" s="357"/>
      <c r="L131" s="357"/>
      <c r="M131" s="357"/>
      <c r="N131" s="357">
        <f>N$115+N$116-N240</f>
        <v>0.24602344266666668</v>
      </c>
      <c r="O131" s="357">
        <f>N131-O240</f>
        <v>0.18451758200000001</v>
      </c>
      <c r="P131" s="357">
        <f>O131-P240</f>
        <v>0.12301172133333335</v>
      </c>
      <c r="Q131" s="357">
        <f>P131-Q240</f>
        <v>6.1505860666666683E-2</v>
      </c>
      <c r="R131" s="357">
        <f>Q131-R240</f>
        <v>0</v>
      </c>
      <c r="S131" s="357">
        <f>R131-S240</f>
        <v>0</v>
      </c>
    </row>
    <row r="132" spans="2:19" x14ac:dyDescent="0.3">
      <c r="B132" s="413" t="s">
        <v>370</v>
      </c>
      <c r="C132" s="357"/>
      <c r="D132" s="357"/>
      <c r="E132" s="357"/>
      <c r="F132" s="357"/>
      <c r="G132" s="357"/>
      <c r="H132" s="357"/>
      <c r="I132" s="357"/>
      <c r="J132" s="357"/>
      <c r="K132" s="357"/>
      <c r="L132" s="357"/>
      <c r="M132" s="357"/>
      <c r="N132" s="357"/>
      <c r="O132" s="357">
        <f>O$115+O$116-O241</f>
        <v>0.28939125688888889</v>
      </c>
      <c r="P132" s="357">
        <f>O132-P241</f>
        <v>0.21704344266666667</v>
      </c>
      <c r="Q132" s="357">
        <f>P132-Q241</f>
        <v>0.14469562844444445</v>
      </c>
      <c r="R132" s="357">
        <f>Q132-R241</f>
        <v>7.2347814222222223E-2</v>
      </c>
      <c r="S132" s="357">
        <f>R132-S241</f>
        <v>0</v>
      </c>
    </row>
    <row r="133" spans="2:19" x14ac:dyDescent="0.3">
      <c r="B133" s="413" t="s">
        <v>371</v>
      </c>
      <c r="C133" s="357"/>
      <c r="D133" s="357"/>
      <c r="E133" s="357"/>
      <c r="F133" s="357"/>
      <c r="G133" s="357"/>
      <c r="H133" s="357"/>
      <c r="I133" s="357"/>
      <c r="J133" s="357"/>
      <c r="K133" s="357"/>
      <c r="L133" s="357"/>
      <c r="M133" s="357"/>
      <c r="N133" s="357"/>
      <c r="O133" s="357"/>
      <c r="P133" s="357">
        <f>P$115+P$116-P242</f>
        <v>0.29797420918518519</v>
      </c>
      <c r="Q133" s="357">
        <f>P133-Q242</f>
        <v>0.22348065688888891</v>
      </c>
      <c r="R133" s="357">
        <f>Q133-R242</f>
        <v>0.14898710459259262</v>
      </c>
      <c r="S133" s="357">
        <f>R133-S242</f>
        <v>7.4493552296296325E-2</v>
      </c>
    </row>
    <row r="134" spans="2:19" x14ac:dyDescent="0.3">
      <c r="B134" s="413" t="s">
        <v>372</v>
      </c>
      <c r="C134" s="357"/>
      <c r="D134" s="357"/>
      <c r="E134" s="357"/>
      <c r="F134" s="357"/>
      <c r="G134" s="357"/>
      <c r="H134" s="357"/>
      <c r="I134" s="357"/>
      <c r="J134" s="357"/>
      <c r="K134" s="357"/>
      <c r="L134" s="357"/>
      <c r="M134" s="357"/>
      <c r="N134" s="357"/>
      <c r="O134" s="357"/>
      <c r="P134" s="357"/>
      <c r="Q134" s="357">
        <f>Q$115+Q$116-Q243</f>
        <v>0.27779630291358026</v>
      </c>
      <c r="R134" s="357">
        <f>Q134-R243</f>
        <v>0.2083472271851852</v>
      </c>
      <c r="S134" s="357">
        <f>R134-S243</f>
        <v>0.13889815145679013</v>
      </c>
    </row>
    <row r="135" spans="2:19" x14ac:dyDescent="0.3">
      <c r="B135" s="413" t="s">
        <v>373</v>
      </c>
      <c r="C135" s="357"/>
      <c r="D135" s="357"/>
      <c r="E135" s="357"/>
      <c r="F135" s="357"/>
      <c r="G135" s="357"/>
      <c r="H135" s="357"/>
      <c r="I135" s="357"/>
      <c r="J135" s="357"/>
      <c r="K135" s="357"/>
      <c r="L135" s="357"/>
      <c r="M135" s="357"/>
      <c r="N135" s="357"/>
      <c r="O135" s="357"/>
      <c r="P135" s="357"/>
      <c r="Q135" s="357"/>
      <c r="R135" s="357">
        <f>R$115+R$116-R244</f>
        <v>0.28838725632921813</v>
      </c>
      <c r="S135" s="357">
        <f>R135-S244</f>
        <v>0.2162904422469136</v>
      </c>
    </row>
    <row r="136" spans="2:19" x14ac:dyDescent="0.3">
      <c r="B136" s="413" t="s">
        <v>374</v>
      </c>
      <c r="C136" s="357"/>
      <c r="D136" s="357"/>
      <c r="E136" s="357"/>
      <c r="F136" s="357"/>
      <c r="G136" s="357"/>
      <c r="H136" s="357"/>
      <c r="I136" s="357"/>
      <c r="J136" s="357"/>
      <c r="K136" s="357"/>
      <c r="L136" s="357"/>
      <c r="M136" s="357"/>
      <c r="N136" s="357"/>
      <c r="O136" s="357"/>
      <c r="P136" s="357"/>
      <c r="Q136" s="357"/>
      <c r="R136" s="357"/>
      <c r="S136" s="357">
        <f>S$115+S$116-S245</f>
        <v>0.28805258947599449</v>
      </c>
    </row>
    <row r="137" spans="2:19" x14ac:dyDescent="0.3">
      <c r="C137" s="357"/>
      <c r="D137" s="357"/>
      <c r="E137" s="357"/>
      <c r="F137" s="357"/>
      <c r="G137" s="357"/>
      <c r="H137" s="357"/>
      <c r="I137" s="357"/>
      <c r="J137" s="357"/>
      <c r="K137" s="357"/>
      <c r="L137" s="357"/>
      <c r="M137" s="357"/>
      <c r="N137" s="357"/>
      <c r="O137" s="357"/>
      <c r="P137" s="357"/>
      <c r="Q137" s="357"/>
      <c r="R137" s="357"/>
      <c r="S137" s="357"/>
    </row>
    <row r="138" spans="2:19" s="55" customFormat="1" x14ac:dyDescent="0.3">
      <c r="B138" s="580" t="s">
        <v>381</v>
      </c>
      <c r="C138" s="331"/>
      <c r="D138" s="331"/>
      <c r="E138" s="331"/>
      <c r="F138" s="331"/>
      <c r="G138" s="331"/>
      <c r="H138" s="331"/>
      <c r="I138" s="331"/>
      <c r="J138" s="331"/>
      <c r="K138" s="331"/>
      <c r="L138" s="331"/>
      <c r="M138" s="331"/>
      <c r="N138" s="331"/>
      <c r="O138" s="331"/>
      <c r="P138" s="331"/>
      <c r="Q138" s="331"/>
      <c r="R138" s="331"/>
      <c r="S138" s="331"/>
    </row>
    <row r="139" spans="2:19" x14ac:dyDescent="0.3">
      <c r="B139" s="316" t="s">
        <v>358</v>
      </c>
      <c r="C139" s="357"/>
      <c r="D139" s="357"/>
      <c r="E139" s="357"/>
      <c r="F139" s="357"/>
      <c r="G139" s="357"/>
      <c r="H139" s="357"/>
      <c r="I139" s="357"/>
      <c r="J139" s="357"/>
      <c r="K139" s="357"/>
      <c r="L139" s="357"/>
      <c r="M139" s="357"/>
      <c r="N139" s="357"/>
      <c r="O139" s="357"/>
      <c r="P139" s="357"/>
      <c r="Q139" s="357"/>
      <c r="R139" s="357"/>
      <c r="S139" s="357"/>
    </row>
    <row r="140" spans="2:19" x14ac:dyDescent="0.3">
      <c r="B140" s="335" t="s">
        <v>360</v>
      </c>
      <c r="C140" s="357"/>
      <c r="D140" s="357">
        <v>0</v>
      </c>
      <c r="E140" s="357">
        <f t="shared" ref="E140:K140" si="98">D146</f>
        <v>3.4013700000000001E-2</v>
      </c>
      <c r="F140" s="357">
        <f t="shared" si="98"/>
        <v>3.4013700000000001E-2</v>
      </c>
      <c r="G140" s="357">
        <f t="shared" si="98"/>
        <v>3.4013700000000001E-2</v>
      </c>
      <c r="H140" s="357">
        <f t="shared" si="98"/>
        <v>3.4013700000000001E-2</v>
      </c>
      <c r="I140" s="357">
        <f t="shared" si="98"/>
        <v>3.4013700000000001E-2</v>
      </c>
      <c r="J140" s="357">
        <f t="shared" si="98"/>
        <v>0.17005670000000001</v>
      </c>
      <c r="K140" s="357">
        <f t="shared" si="98"/>
        <v>0.17005670000000001</v>
      </c>
      <c r="L140" s="357">
        <v>1.0098066999999999</v>
      </c>
      <c r="M140" s="357">
        <v>1.0098066999999999</v>
      </c>
      <c r="N140" s="357">
        <f>M146</f>
        <v>1.0098066999999999</v>
      </c>
      <c r="O140" s="33">
        <f>N146</f>
        <v>40.8078067</v>
      </c>
      <c r="P140" s="33">
        <f t="shared" ref="P140:S140" si="99">O146</f>
        <v>41.817613399999999</v>
      </c>
      <c r="Q140" s="33">
        <f t="shared" si="99"/>
        <v>41.817613399999999</v>
      </c>
      <c r="R140" s="33">
        <f t="shared" si="99"/>
        <v>41.817613399999999</v>
      </c>
      <c r="S140" s="33">
        <f t="shared" si="99"/>
        <v>41.817613399999999</v>
      </c>
    </row>
    <row r="141" spans="2:19" x14ac:dyDescent="0.3">
      <c r="B141" s="335" t="s">
        <v>376</v>
      </c>
      <c r="C141" s="357"/>
      <c r="D141" s="357">
        <v>3.4013700000000001E-2</v>
      </c>
      <c r="E141" s="357"/>
      <c r="F141" s="357"/>
      <c r="G141" s="357"/>
      <c r="H141" s="357"/>
      <c r="I141" s="357">
        <v>0.136043</v>
      </c>
      <c r="J141" s="357"/>
      <c r="K141" s="357">
        <v>0.83975</v>
      </c>
      <c r="L141" s="357"/>
      <c r="M141" s="357"/>
      <c r="N141" s="357">
        <v>39.798000000000002</v>
      </c>
      <c r="O141" s="33">
        <v>1.0098066999999999</v>
      </c>
      <c r="P141" s="33"/>
      <c r="Q141" s="33"/>
      <c r="R141" s="33"/>
      <c r="S141" s="33"/>
    </row>
    <row r="142" spans="2:19" x14ac:dyDescent="0.3">
      <c r="B142" s="335" t="s">
        <v>377</v>
      </c>
      <c r="C142" s="357"/>
      <c r="D142" s="357"/>
      <c r="E142" s="357"/>
      <c r="F142" s="357"/>
      <c r="G142" s="357"/>
      <c r="H142" s="357"/>
      <c r="I142" s="357"/>
      <c r="J142" s="357"/>
      <c r="K142" s="357"/>
      <c r="L142" s="357"/>
      <c r="M142" s="357"/>
      <c r="N142" s="357"/>
      <c r="O142" s="33"/>
      <c r="P142" s="33"/>
      <c r="Q142" s="33"/>
      <c r="R142" s="33"/>
      <c r="S142" s="33"/>
    </row>
    <row r="143" spans="2:19" x14ac:dyDescent="0.3">
      <c r="B143" s="335" t="s">
        <v>378</v>
      </c>
      <c r="C143" s="357"/>
      <c r="D143" s="357"/>
      <c r="E143" s="357"/>
      <c r="F143" s="357"/>
      <c r="G143" s="357"/>
      <c r="H143" s="357"/>
      <c r="I143" s="357"/>
      <c r="J143" s="357"/>
      <c r="K143" s="357"/>
      <c r="L143" s="357"/>
      <c r="M143" s="357"/>
      <c r="N143" s="357"/>
      <c r="O143" s="33"/>
      <c r="P143" s="33"/>
      <c r="Q143" s="33"/>
      <c r="R143" s="33"/>
      <c r="S143" s="33"/>
    </row>
    <row r="144" spans="2:19" x14ac:dyDescent="0.3">
      <c r="B144" s="414" t="s">
        <v>361</v>
      </c>
      <c r="C144" s="415"/>
      <c r="D144" s="415"/>
      <c r="E144" s="415"/>
      <c r="F144" s="415"/>
      <c r="G144" s="415"/>
      <c r="H144" s="415"/>
      <c r="I144" s="415"/>
      <c r="J144" s="415"/>
      <c r="K144" s="415"/>
      <c r="L144" s="415"/>
      <c r="M144" s="415"/>
      <c r="N144" s="415"/>
      <c r="O144" s="399"/>
      <c r="P144" s="399"/>
      <c r="Q144" s="399"/>
      <c r="R144" s="399"/>
      <c r="S144" s="399"/>
    </row>
    <row r="145" spans="2:19" x14ac:dyDescent="0.3">
      <c r="B145" s="407" t="s">
        <v>362</v>
      </c>
      <c r="C145" s="408"/>
      <c r="D145" s="408"/>
      <c r="E145" s="408"/>
      <c r="F145" s="408"/>
      <c r="G145" s="408"/>
      <c r="H145" s="408"/>
      <c r="I145" s="408"/>
      <c r="J145" s="408"/>
      <c r="K145" s="408"/>
      <c r="L145" s="408"/>
      <c r="M145" s="408"/>
      <c r="N145" s="408"/>
      <c r="O145" s="400"/>
      <c r="P145" s="400"/>
      <c r="Q145" s="400"/>
      <c r="R145" s="400"/>
      <c r="S145" s="400"/>
    </row>
    <row r="146" spans="2:19" s="55" customFormat="1" x14ac:dyDescent="0.3">
      <c r="B146" s="409" t="s">
        <v>363</v>
      </c>
      <c r="C146" s="331"/>
      <c r="D146" s="331">
        <f t="shared" ref="D146:L146" si="100">SUM(D140:D145)</f>
        <v>3.4013700000000001E-2</v>
      </c>
      <c r="E146" s="331">
        <f t="shared" si="100"/>
        <v>3.4013700000000001E-2</v>
      </c>
      <c r="F146" s="331">
        <f t="shared" si="100"/>
        <v>3.4013700000000001E-2</v>
      </c>
      <c r="G146" s="331">
        <f t="shared" si="100"/>
        <v>3.4013700000000001E-2</v>
      </c>
      <c r="H146" s="331">
        <f t="shared" si="100"/>
        <v>3.4013700000000001E-2</v>
      </c>
      <c r="I146" s="331">
        <f t="shared" si="100"/>
        <v>0.17005670000000001</v>
      </c>
      <c r="J146" s="331">
        <f t="shared" si="100"/>
        <v>0.17005670000000001</v>
      </c>
      <c r="K146" s="416">
        <f t="shared" si="100"/>
        <v>1.0098066999999999</v>
      </c>
      <c r="L146" s="331">
        <f t="shared" si="100"/>
        <v>1.0098066999999999</v>
      </c>
      <c r="M146" s="331">
        <f>SUM(M140:M145)</f>
        <v>1.0098066999999999</v>
      </c>
      <c r="N146" s="331">
        <f t="shared" ref="N146:S146" si="101">SUM(N140:N145)</f>
        <v>40.8078067</v>
      </c>
      <c r="O146" s="331">
        <f t="shared" si="101"/>
        <v>41.817613399999999</v>
      </c>
      <c r="P146" s="331">
        <f t="shared" si="101"/>
        <v>41.817613399999999</v>
      </c>
      <c r="Q146" s="331">
        <f t="shared" si="101"/>
        <v>41.817613399999999</v>
      </c>
      <c r="R146" s="331">
        <f t="shared" si="101"/>
        <v>41.817613399999999</v>
      </c>
      <c r="S146" s="331">
        <f t="shared" si="101"/>
        <v>41.817613399999999</v>
      </c>
    </row>
    <row r="147" spans="2:19" x14ac:dyDescent="0.3">
      <c r="B147" s="409" t="s">
        <v>364</v>
      </c>
      <c r="C147" s="357"/>
      <c r="D147" s="357"/>
      <c r="E147" s="357"/>
      <c r="F147" s="357"/>
      <c r="G147" s="357"/>
      <c r="H147" s="357"/>
      <c r="I147" s="357"/>
      <c r="J147" s="357"/>
      <c r="K147" s="357"/>
      <c r="L147" s="357"/>
      <c r="M147" s="357"/>
      <c r="N147" s="357"/>
      <c r="O147" s="357"/>
      <c r="P147" s="357"/>
      <c r="Q147" s="357"/>
      <c r="R147" s="357"/>
      <c r="S147" s="357"/>
    </row>
    <row r="148" spans="2:19" x14ac:dyDescent="0.3">
      <c r="B148" s="410" t="s">
        <v>360</v>
      </c>
      <c r="C148" s="357"/>
      <c r="D148" s="357">
        <v>0</v>
      </c>
      <c r="E148" s="357">
        <v>1.700685E-3</v>
      </c>
      <c r="F148" s="357">
        <f>E153</f>
        <v>8.5034250000000002E-3</v>
      </c>
      <c r="G148" s="357">
        <f>F153</f>
        <v>1.5306165E-2</v>
      </c>
      <c r="H148" s="357">
        <f>G153</f>
        <v>3.0968289E-2</v>
      </c>
      <c r="I148" s="417">
        <f>H153</f>
        <v>3.4013700000000001E-2</v>
      </c>
      <c r="J148" s="357">
        <f>I153</f>
        <v>7.3627750999999991E-2</v>
      </c>
      <c r="K148" s="357">
        <v>0.118975415</v>
      </c>
      <c r="L148" s="357">
        <v>0.29752215500000001</v>
      </c>
      <c r="M148" s="357">
        <v>0.58317244400000001</v>
      </c>
      <c r="N148" s="357">
        <f>M153</f>
        <v>0.86308911200000005</v>
      </c>
      <c r="O148" s="33">
        <f t="shared" ref="O148:S148" si="102">N153</f>
        <v>1.97803014</v>
      </c>
      <c r="P148" s="33">
        <f t="shared" si="102"/>
        <v>3.095430656</v>
      </c>
      <c r="Q148" s="33">
        <f t="shared" si="102"/>
        <v>4.2103716840000001</v>
      </c>
      <c r="R148" s="33">
        <f t="shared" si="102"/>
        <v>5.3253127120000006</v>
      </c>
      <c r="S148" s="33">
        <f t="shared" si="102"/>
        <v>6.4402537400000011</v>
      </c>
    </row>
    <row r="149" spans="2:19" x14ac:dyDescent="0.3">
      <c r="B149" s="410" t="s">
        <v>342</v>
      </c>
      <c r="C149" s="357"/>
      <c r="D149" s="357">
        <v>1.700685E-3</v>
      </c>
      <c r="E149" s="357">
        <v>6.8027399999999998E-3</v>
      </c>
      <c r="F149" s="357">
        <v>6.8027399999999998E-3</v>
      </c>
      <c r="G149" s="357">
        <v>1.5662123999999999E-2</v>
      </c>
      <c r="H149" s="357">
        <v>3.045411E-3</v>
      </c>
      <c r="I149" s="417">
        <v>3.9614050999999997E-2</v>
      </c>
      <c r="J149" s="357">
        <v>4.5347664000000003E-2</v>
      </c>
      <c r="K149" s="357">
        <v>0.17854674000000001</v>
      </c>
      <c r="L149" s="357">
        <v>0.285650289</v>
      </c>
      <c r="M149" s="357">
        <v>0.27991666800000004</v>
      </c>
      <c r="N149" s="357">
        <f>N257</f>
        <v>1.1149410280000001</v>
      </c>
      <c r="O149" s="33">
        <f>O257</f>
        <v>1.117400516</v>
      </c>
      <c r="P149" s="33">
        <f t="shared" ref="P149:S149" si="103">P257</f>
        <v>1.1149410280000001</v>
      </c>
      <c r="Q149" s="33">
        <f t="shared" si="103"/>
        <v>1.1149410280000001</v>
      </c>
      <c r="R149" s="33">
        <f t="shared" si="103"/>
        <v>1.1149410280000001</v>
      </c>
      <c r="S149" s="33">
        <f t="shared" si="103"/>
        <v>1.1149410280000001</v>
      </c>
    </row>
    <row r="150" spans="2:19" x14ac:dyDescent="0.3">
      <c r="B150" s="410" t="s">
        <v>378</v>
      </c>
      <c r="C150" s="357"/>
      <c r="D150" s="357"/>
      <c r="E150" s="357"/>
      <c r="F150" s="357"/>
      <c r="G150" s="357"/>
      <c r="H150" s="357"/>
      <c r="I150" s="357"/>
      <c r="J150" s="357"/>
      <c r="K150" s="357"/>
      <c r="L150" s="357"/>
      <c r="M150" s="357"/>
      <c r="N150" s="357"/>
      <c r="O150" s="33"/>
      <c r="P150" s="33"/>
      <c r="Q150" s="33"/>
      <c r="R150" s="33"/>
      <c r="S150" s="33"/>
    </row>
    <row r="151" spans="2:19" x14ac:dyDescent="0.3">
      <c r="B151" s="410" t="s">
        <v>361</v>
      </c>
      <c r="C151" s="415"/>
      <c r="D151" s="415"/>
      <c r="E151" s="415"/>
      <c r="F151" s="415"/>
      <c r="G151" s="415"/>
      <c r="H151" s="415"/>
      <c r="I151" s="415"/>
      <c r="J151" s="415"/>
      <c r="K151" s="415"/>
      <c r="L151" s="415"/>
      <c r="M151" s="415"/>
      <c r="N151" s="415"/>
      <c r="O151" s="399"/>
      <c r="P151" s="399"/>
      <c r="Q151" s="399"/>
      <c r="R151" s="399"/>
      <c r="S151" s="399"/>
    </row>
    <row r="152" spans="2:19" x14ac:dyDescent="0.3">
      <c r="B152" s="411" t="s">
        <v>362</v>
      </c>
      <c r="C152" s="408"/>
      <c r="D152" s="408"/>
      <c r="E152" s="408"/>
      <c r="F152" s="408"/>
      <c r="G152" s="408"/>
      <c r="H152" s="408"/>
      <c r="I152" s="408"/>
      <c r="J152" s="408"/>
      <c r="K152" s="408"/>
      <c r="L152" s="408"/>
      <c r="M152" s="408"/>
      <c r="N152" s="408"/>
      <c r="O152" s="400"/>
      <c r="P152" s="400"/>
      <c r="Q152" s="400"/>
      <c r="R152" s="400"/>
      <c r="S152" s="400"/>
    </row>
    <row r="153" spans="2:19" s="55" customFormat="1" x14ac:dyDescent="0.3">
      <c r="B153" s="409" t="s">
        <v>365</v>
      </c>
      <c r="C153" s="331"/>
      <c r="D153" s="331">
        <f t="shared" ref="D153:L153" si="104">SUM(D148:D152)</f>
        <v>1.700685E-3</v>
      </c>
      <c r="E153" s="331">
        <f>SUM(E148:E152)</f>
        <v>8.5034250000000002E-3</v>
      </c>
      <c r="F153" s="416">
        <f t="shared" si="104"/>
        <v>1.5306165E-2</v>
      </c>
      <c r="G153" s="416">
        <f t="shared" si="104"/>
        <v>3.0968289E-2</v>
      </c>
      <c r="H153" s="416">
        <f t="shared" si="104"/>
        <v>3.4013700000000001E-2</v>
      </c>
      <c r="I153" s="416">
        <f t="shared" si="104"/>
        <v>7.3627750999999991E-2</v>
      </c>
      <c r="J153" s="416">
        <f t="shared" si="104"/>
        <v>0.118975415</v>
      </c>
      <c r="K153" s="416">
        <f t="shared" si="104"/>
        <v>0.29752215500000001</v>
      </c>
      <c r="L153" s="416">
        <f t="shared" si="104"/>
        <v>0.58317244400000001</v>
      </c>
      <c r="M153" s="416">
        <f>SUM(M148:M152)</f>
        <v>0.86308911200000005</v>
      </c>
      <c r="N153" s="416">
        <f>SUM(N148:N152)</f>
        <v>1.97803014</v>
      </c>
      <c r="O153" s="416">
        <f t="shared" ref="O153:S153" si="105">SUM(O148:O152)</f>
        <v>3.095430656</v>
      </c>
      <c r="P153" s="416">
        <f t="shared" si="105"/>
        <v>4.2103716840000001</v>
      </c>
      <c r="Q153" s="416">
        <f t="shared" si="105"/>
        <v>5.3253127120000006</v>
      </c>
      <c r="R153" s="416">
        <f t="shared" si="105"/>
        <v>6.4402537400000011</v>
      </c>
      <c r="S153" s="416">
        <f t="shared" si="105"/>
        <v>7.5551947680000016</v>
      </c>
    </row>
    <row r="154" spans="2:19" x14ac:dyDescent="0.3">
      <c r="B154" s="412" t="s">
        <v>366</v>
      </c>
      <c r="C154" s="357"/>
      <c r="D154" s="357">
        <f t="shared" ref="D154" si="106">D140-D148</f>
        <v>0</v>
      </c>
      <c r="E154" s="357">
        <f t="shared" ref="E154:L154" si="107">E140-E148</f>
        <v>3.2313015E-2</v>
      </c>
      <c r="F154" s="417">
        <f t="shared" si="107"/>
        <v>2.5510274999999999E-2</v>
      </c>
      <c r="G154" s="417">
        <f t="shared" si="107"/>
        <v>1.8707535000000001E-2</v>
      </c>
      <c r="H154" s="417">
        <f t="shared" si="107"/>
        <v>3.0454110000000013E-3</v>
      </c>
      <c r="I154" s="417">
        <f t="shared" si="107"/>
        <v>0</v>
      </c>
      <c r="J154" s="417">
        <f t="shared" si="107"/>
        <v>9.6428949000000014E-2</v>
      </c>
      <c r="K154" s="417">
        <f>K140-K148</f>
        <v>5.1081285000000004E-2</v>
      </c>
      <c r="L154" s="417">
        <f t="shared" si="107"/>
        <v>0.71228454499999994</v>
      </c>
      <c r="M154" s="417">
        <f>M140-M148</f>
        <v>0.42663425599999993</v>
      </c>
      <c r="N154" s="417">
        <f t="shared" ref="N154:S154" si="108">N140-N148</f>
        <v>0.1467175879999999</v>
      </c>
      <c r="O154" s="417">
        <f t="shared" si="108"/>
        <v>38.829776559999999</v>
      </c>
      <c r="P154" s="417">
        <f t="shared" si="108"/>
        <v>38.722182744000001</v>
      </c>
      <c r="Q154" s="417">
        <f t="shared" si="108"/>
        <v>37.607241715999997</v>
      </c>
      <c r="R154" s="417">
        <f t="shared" si="108"/>
        <v>36.492300688</v>
      </c>
      <c r="S154" s="417">
        <f t="shared" si="108"/>
        <v>35.377359659999996</v>
      </c>
    </row>
    <row r="155" spans="2:19" x14ac:dyDescent="0.3">
      <c r="B155" s="412" t="s">
        <v>367</v>
      </c>
      <c r="C155" s="357"/>
      <c r="D155" s="417">
        <f t="shared" ref="D155" si="109">D146-D153</f>
        <v>3.2313015E-2</v>
      </c>
      <c r="E155" s="417">
        <f>E146-E153</f>
        <v>2.5510274999999999E-2</v>
      </c>
      <c r="F155" s="417">
        <f t="shared" ref="F155:L155" si="110">F146-F153</f>
        <v>1.8707535000000001E-2</v>
      </c>
      <c r="G155" s="417">
        <f t="shared" si="110"/>
        <v>3.0454110000000013E-3</v>
      </c>
      <c r="H155" s="417">
        <f t="shared" si="110"/>
        <v>0</v>
      </c>
      <c r="I155" s="417">
        <f t="shared" si="110"/>
        <v>9.6428949000000014E-2</v>
      </c>
      <c r="J155" s="417">
        <f t="shared" si="110"/>
        <v>5.1081285000000004E-2</v>
      </c>
      <c r="K155" s="417">
        <f>K146-K153</f>
        <v>0.71228454499999994</v>
      </c>
      <c r="L155" s="417">
        <f t="shared" si="110"/>
        <v>0.42663425599999993</v>
      </c>
      <c r="M155" s="417">
        <f>M146-M153</f>
        <v>0.1467175879999999</v>
      </c>
      <c r="N155" s="417">
        <f>N146-N153</f>
        <v>38.829776559999999</v>
      </c>
      <c r="O155" s="417">
        <f t="shared" ref="O155:S155" si="111">O146-O153</f>
        <v>38.722182744000001</v>
      </c>
      <c r="P155" s="417">
        <f t="shared" si="111"/>
        <v>37.607241715999997</v>
      </c>
      <c r="Q155" s="417">
        <f t="shared" si="111"/>
        <v>36.492300688</v>
      </c>
      <c r="R155" s="417">
        <f t="shared" si="111"/>
        <v>35.377359659999996</v>
      </c>
      <c r="S155" s="417">
        <f t="shared" si="111"/>
        <v>34.262418631999999</v>
      </c>
    </row>
    <row r="156" spans="2:19" x14ac:dyDescent="0.3">
      <c r="B156" s="413" t="s">
        <v>368</v>
      </c>
      <c r="C156" s="357"/>
      <c r="D156" s="357"/>
      <c r="E156" s="357"/>
      <c r="F156" s="357"/>
      <c r="G156" s="357"/>
      <c r="H156" s="357"/>
      <c r="I156" s="357"/>
      <c r="J156" s="357"/>
      <c r="K156" s="357"/>
      <c r="L156" s="357"/>
      <c r="M156" s="417">
        <f>M155</f>
        <v>0.1467175879999999</v>
      </c>
      <c r="N156" s="417">
        <f t="shared" ref="N156:S156" si="112">M156-N250</f>
        <v>2.4594879999998986E-3</v>
      </c>
      <c r="O156" s="357">
        <f t="shared" si="112"/>
        <v>0</v>
      </c>
      <c r="P156" s="357">
        <f t="shared" si="112"/>
        <v>0</v>
      </c>
      <c r="Q156" s="357">
        <f t="shared" si="112"/>
        <v>0</v>
      </c>
      <c r="R156" s="357">
        <f t="shared" si="112"/>
        <v>0</v>
      </c>
      <c r="S156" s="357">
        <f t="shared" si="112"/>
        <v>0</v>
      </c>
    </row>
    <row r="157" spans="2:19" x14ac:dyDescent="0.3">
      <c r="B157" s="413" t="s">
        <v>369</v>
      </c>
      <c r="C157" s="357"/>
      <c r="D157" s="357"/>
      <c r="E157" s="357"/>
      <c r="F157" s="357"/>
      <c r="G157" s="357"/>
      <c r="H157" s="357"/>
      <c r="I157" s="357"/>
      <c r="J157" s="357"/>
      <c r="K157" s="357"/>
      <c r="L157" s="357"/>
      <c r="M157" s="357"/>
      <c r="N157" s="357">
        <f>N$141+N$142-N251</f>
        <v>38.827317072</v>
      </c>
      <c r="O157" s="357">
        <f>N157-O251</f>
        <v>37.856634143999997</v>
      </c>
      <c r="P157" s="357">
        <f>O157-P251</f>
        <v>36.885951215999995</v>
      </c>
      <c r="Q157" s="357">
        <f>P157-Q251</f>
        <v>35.915268287999993</v>
      </c>
      <c r="R157" s="357">
        <f>Q157-R251</f>
        <v>34.944585359999991</v>
      </c>
      <c r="S157" s="357">
        <f>R157-S251</f>
        <v>33.973902431999988</v>
      </c>
    </row>
    <row r="158" spans="2:19" x14ac:dyDescent="0.3">
      <c r="B158" s="413" t="s">
        <v>370</v>
      </c>
      <c r="C158" s="357"/>
      <c r="D158" s="357"/>
      <c r="E158" s="357"/>
      <c r="F158" s="357"/>
      <c r="G158" s="357"/>
      <c r="H158" s="357"/>
      <c r="I158" s="357"/>
      <c r="J158" s="357"/>
      <c r="K158" s="357"/>
      <c r="L158" s="357"/>
      <c r="M158" s="357"/>
      <c r="N158" s="357"/>
      <c r="O158" s="357">
        <f>O$141+O$142-O252</f>
        <v>0.86554859999999989</v>
      </c>
      <c r="P158" s="357">
        <f>O158-P252</f>
        <v>0.72129049999999983</v>
      </c>
      <c r="Q158" s="357">
        <f>P158-Q252</f>
        <v>0.57703239999999978</v>
      </c>
      <c r="R158" s="357">
        <f>Q158-R252</f>
        <v>0.43277429999999978</v>
      </c>
      <c r="S158" s="357">
        <f>R158-S252</f>
        <v>0.28851619999999978</v>
      </c>
    </row>
    <row r="159" spans="2:19" x14ac:dyDescent="0.3">
      <c r="B159" s="413" t="s">
        <v>371</v>
      </c>
      <c r="C159" s="357"/>
      <c r="D159" s="357"/>
      <c r="E159" s="357"/>
      <c r="F159" s="357"/>
      <c r="G159" s="357"/>
      <c r="H159" s="357"/>
      <c r="I159" s="357"/>
      <c r="J159" s="357"/>
      <c r="K159" s="357"/>
      <c r="L159" s="357"/>
      <c r="M159" s="357"/>
      <c r="N159" s="357"/>
      <c r="O159" s="357"/>
      <c r="P159" s="357">
        <f>P$141+P$142-P253</f>
        <v>0</v>
      </c>
      <c r="Q159" s="357">
        <f>P159-Q253</f>
        <v>0</v>
      </c>
      <c r="R159" s="357">
        <f>Q159-R253</f>
        <v>0</v>
      </c>
      <c r="S159" s="357">
        <f>R159-S253</f>
        <v>0</v>
      </c>
    </row>
    <row r="160" spans="2:19" x14ac:dyDescent="0.3">
      <c r="B160" s="413" t="s">
        <v>372</v>
      </c>
      <c r="C160" s="357"/>
      <c r="D160" s="357"/>
      <c r="E160" s="357"/>
      <c r="F160" s="357"/>
      <c r="G160" s="357"/>
      <c r="H160" s="357"/>
      <c r="I160" s="357"/>
      <c r="J160" s="357"/>
      <c r="K160" s="357"/>
      <c r="L160" s="357"/>
      <c r="M160" s="357"/>
      <c r="N160" s="357"/>
      <c r="O160" s="357"/>
      <c r="P160" s="357"/>
      <c r="Q160" s="357">
        <f>Q$141+Q$142-Q254</f>
        <v>0</v>
      </c>
      <c r="R160" s="357">
        <f>Q160-R254</f>
        <v>0</v>
      </c>
      <c r="S160" s="357">
        <f>R160-S254</f>
        <v>0</v>
      </c>
    </row>
    <row r="161" spans="2:19" x14ac:dyDescent="0.3">
      <c r="B161" s="413" t="s">
        <v>373</v>
      </c>
      <c r="C161" s="357"/>
      <c r="D161" s="357"/>
      <c r="E161" s="357"/>
      <c r="F161" s="357"/>
      <c r="G161" s="357"/>
      <c r="H161" s="357"/>
      <c r="I161" s="357"/>
      <c r="J161" s="357"/>
      <c r="K161" s="357"/>
      <c r="L161" s="357"/>
      <c r="M161" s="357"/>
      <c r="N161" s="357"/>
      <c r="O161" s="357"/>
      <c r="P161" s="357"/>
      <c r="Q161" s="357"/>
      <c r="R161" s="357">
        <f>R$141+R$142-R255</f>
        <v>0</v>
      </c>
      <c r="S161" s="357">
        <f>R161-S255</f>
        <v>0</v>
      </c>
    </row>
    <row r="162" spans="2:19" x14ac:dyDescent="0.3">
      <c r="B162" s="413" t="s">
        <v>374</v>
      </c>
      <c r="C162" s="357"/>
      <c r="D162" s="357"/>
      <c r="E162" s="357"/>
      <c r="F162" s="357"/>
      <c r="G162" s="357"/>
      <c r="H162" s="357"/>
      <c r="I162" s="357"/>
      <c r="J162" s="357"/>
      <c r="K162" s="357"/>
      <c r="L162" s="357"/>
      <c r="M162" s="357"/>
      <c r="N162" s="357"/>
      <c r="O162" s="357"/>
      <c r="P162" s="357"/>
      <c r="Q162" s="357"/>
      <c r="R162" s="357"/>
      <c r="S162" s="357">
        <f>S$141+S$142-S256</f>
        <v>0</v>
      </c>
    </row>
    <row r="163" spans="2:19" x14ac:dyDescent="0.3">
      <c r="C163" s="357"/>
      <c r="D163" s="357"/>
      <c r="E163" s="357"/>
      <c r="F163" s="357"/>
      <c r="G163" s="357"/>
      <c r="H163" s="357"/>
      <c r="I163" s="357"/>
      <c r="J163" s="357"/>
      <c r="K163" s="357"/>
      <c r="L163" s="357"/>
      <c r="M163" s="357"/>
      <c r="N163" s="357"/>
      <c r="O163" s="357"/>
      <c r="P163" s="357"/>
      <c r="Q163" s="357"/>
      <c r="R163" s="357"/>
      <c r="S163" s="357"/>
    </row>
    <row r="164" spans="2:19" x14ac:dyDescent="0.3">
      <c r="B164" s="580" t="s">
        <v>382</v>
      </c>
      <c r="C164" s="357"/>
      <c r="D164" s="357"/>
      <c r="E164" s="357"/>
      <c r="F164" s="357"/>
      <c r="G164" s="357"/>
      <c r="H164" s="357"/>
      <c r="I164" s="357"/>
      <c r="J164" s="357"/>
      <c r="K164" s="357"/>
      <c r="L164" s="357"/>
      <c r="M164" s="357"/>
      <c r="N164" s="357"/>
      <c r="O164" s="357"/>
      <c r="P164" s="357"/>
      <c r="Q164" s="357"/>
      <c r="R164" s="357"/>
      <c r="S164" s="357"/>
    </row>
    <row r="165" spans="2:19" x14ac:dyDescent="0.3">
      <c r="B165" s="316" t="s">
        <v>358</v>
      </c>
      <c r="C165" s="357"/>
      <c r="D165" s="357"/>
      <c r="E165" s="357"/>
      <c r="F165" s="357"/>
      <c r="G165" s="357"/>
      <c r="H165" s="357"/>
      <c r="I165" s="357"/>
      <c r="J165" s="357"/>
      <c r="K165" s="357"/>
      <c r="L165" s="357"/>
      <c r="M165" s="357"/>
      <c r="N165" s="357"/>
      <c r="O165" s="357"/>
      <c r="P165" s="357"/>
      <c r="Q165" s="357"/>
      <c r="R165" s="357"/>
      <c r="S165" s="357"/>
    </row>
    <row r="166" spans="2:19" x14ac:dyDescent="0.3">
      <c r="B166" s="335" t="s">
        <v>360</v>
      </c>
      <c r="C166" s="357"/>
      <c r="D166" s="357"/>
      <c r="E166" s="357">
        <f t="shared" ref="E166:I166" si="113">D171</f>
        <v>0.24955224300000001</v>
      </c>
      <c r="F166" s="357">
        <f t="shared" si="113"/>
        <v>3.3602294079999999</v>
      </c>
      <c r="G166" s="357">
        <f t="shared" si="113"/>
        <v>0.62522704699999998</v>
      </c>
      <c r="H166" s="357">
        <f t="shared" si="113"/>
        <v>18.601136663999998</v>
      </c>
      <c r="I166" s="357">
        <f t="shared" si="113"/>
        <v>1.350386149</v>
      </c>
      <c r="J166" s="357">
        <f>I171</f>
        <v>5.3610738800000002</v>
      </c>
      <c r="K166" s="357">
        <v>1.4249344479999999</v>
      </c>
      <c r="L166" s="357"/>
      <c r="M166" s="357"/>
      <c r="N166" s="357"/>
      <c r="O166" s="33"/>
      <c r="P166" s="33"/>
      <c r="Q166" s="33"/>
      <c r="R166" s="33"/>
      <c r="S166" s="33"/>
    </row>
    <row r="167" spans="2:19" x14ac:dyDescent="0.3">
      <c r="B167" s="335" t="s">
        <v>376</v>
      </c>
      <c r="C167" s="357"/>
      <c r="D167" s="357"/>
      <c r="E167" s="357"/>
      <c r="F167" s="357"/>
      <c r="G167" s="357"/>
      <c r="H167" s="357"/>
      <c r="I167" s="357"/>
      <c r="J167" s="357"/>
      <c r="K167" s="357"/>
      <c r="L167" s="357"/>
      <c r="M167" s="357"/>
      <c r="N167" s="357"/>
      <c r="O167" s="33"/>
      <c r="P167" s="33"/>
      <c r="Q167" s="33"/>
      <c r="R167" s="33"/>
      <c r="S167" s="33"/>
    </row>
    <row r="168" spans="2:19" x14ac:dyDescent="0.3">
      <c r="B168" s="335" t="s">
        <v>378</v>
      </c>
      <c r="C168" s="357"/>
      <c r="D168" s="357"/>
      <c r="E168" s="357"/>
      <c r="F168" s="357"/>
      <c r="G168" s="357"/>
      <c r="H168" s="357"/>
      <c r="I168" s="357"/>
      <c r="J168" s="357"/>
      <c r="K168" s="357"/>
      <c r="L168" s="357"/>
      <c r="M168" s="357"/>
      <c r="N168" s="357"/>
      <c r="O168" s="33"/>
      <c r="P168" s="33"/>
      <c r="Q168" s="33"/>
      <c r="R168" s="33"/>
      <c r="S168" s="33"/>
    </row>
    <row r="169" spans="2:19" x14ac:dyDescent="0.3">
      <c r="B169" s="414" t="s">
        <v>361</v>
      </c>
      <c r="C169" s="357"/>
      <c r="D169" s="357"/>
      <c r="E169" s="357"/>
      <c r="F169" s="357"/>
      <c r="G169" s="357"/>
      <c r="H169" s="357"/>
      <c r="I169" s="357"/>
      <c r="J169" s="357"/>
      <c r="K169" s="357"/>
      <c r="L169" s="357"/>
      <c r="M169" s="357"/>
      <c r="N169" s="357"/>
      <c r="O169" s="33"/>
      <c r="P169" s="33"/>
      <c r="Q169" s="33"/>
      <c r="R169" s="33"/>
      <c r="S169" s="33"/>
    </row>
    <row r="170" spans="2:19" x14ac:dyDescent="0.3">
      <c r="B170" s="407" t="s">
        <v>362</v>
      </c>
      <c r="C170" s="408"/>
      <c r="D170" s="408"/>
      <c r="E170" s="408"/>
      <c r="F170" s="408"/>
      <c r="G170" s="408"/>
      <c r="H170" s="408"/>
      <c r="I170" s="408"/>
      <c r="J170" s="408"/>
      <c r="K170" s="408"/>
      <c r="L170" s="408"/>
      <c r="M170" s="408"/>
      <c r="N170" s="408"/>
      <c r="O170" s="400"/>
      <c r="P170" s="400"/>
      <c r="Q170" s="400"/>
      <c r="R170" s="400"/>
      <c r="S170" s="400"/>
    </row>
    <row r="171" spans="2:19" x14ac:dyDescent="0.3">
      <c r="B171" s="409" t="s">
        <v>363</v>
      </c>
      <c r="C171" s="357"/>
      <c r="D171" s="357">
        <v>0.24955224300000001</v>
      </c>
      <c r="E171" s="357">
        <v>3.3602294079999999</v>
      </c>
      <c r="F171" s="357">
        <v>0.62522704699999998</v>
      </c>
      <c r="G171" s="357">
        <v>18.601136663999998</v>
      </c>
      <c r="H171" s="357">
        <v>1.350386149</v>
      </c>
      <c r="I171" s="357">
        <v>5.3610738800000002</v>
      </c>
      <c r="J171" s="357">
        <v>1.4249344479999999</v>
      </c>
      <c r="K171" s="357">
        <v>2.6320490059999999</v>
      </c>
      <c r="L171" s="357"/>
      <c r="M171" s="357"/>
      <c r="N171" s="357"/>
      <c r="O171" s="357"/>
      <c r="P171" s="357"/>
      <c r="Q171" s="357"/>
      <c r="R171" s="357"/>
      <c r="S171" s="357"/>
    </row>
    <row r="172" spans="2:19" x14ac:dyDescent="0.3">
      <c r="B172" s="409" t="s">
        <v>364</v>
      </c>
      <c r="C172" s="357"/>
      <c r="D172" s="357"/>
      <c r="E172" s="357"/>
      <c r="F172" s="357"/>
      <c r="G172" s="357"/>
      <c r="H172" s="357"/>
      <c r="I172" s="357"/>
      <c r="J172" s="357"/>
      <c r="K172" s="357"/>
      <c r="L172" s="357"/>
      <c r="M172" s="357"/>
      <c r="N172" s="357"/>
      <c r="O172" s="357"/>
      <c r="P172" s="357"/>
      <c r="Q172" s="357"/>
      <c r="R172" s="357"/>
      <c r="S172" s="357"/>
    </row>
    <row r="173" spans="2:19" x14ac:dyDescent="0.3">
      <c r="B173" s="410" t="s">
        <v>360</v>
      </c>
      <c r="C173" s="357"/>
      <c r="D173" s="357"/>
      <c r="E173" s="357"/>
      <c r="F173" s="357"/>
      <c r="G173" s="357"/>
      <c r="H173" s="357"/>
      <c r="I173" s="357"/>
      <c r="J173" s="357"/>
      <c r="K173" s="357"/>
      <c r="L173" s="357"/>
      <c r="M173" s="357"/>
      <c r="N173" s="357"/>
      <c r="O173" s="33"/>
      <c r="P173" s="33"/>
      <c r="Q173" s="33"/>
      <c r="R173" s="33"/>
      <c r="S173" s="33"/>
    </row>
    <row r="174" spans="2:19" x14ac:dyDescent="0.3">
      <c r="B174" s="410" t="s">
        <v>342</v>
      </c>
      <c r="C174" s="357"/>
      <c r="D174" s="357"/>
      <c r="E174" s="357"/>
      <c r="F174" s="357"/>
      <c r="G174" s="357"/>
      <c r="H174" s="357"/>
      <c r="I174" s="357"/>
      <c r="J174" s="357"/>
      <c r="K174" s="357"/>
      <c r="L174" s="357"/>
      <c r="M174" s="357"/>
      <c r="N174" s="357"/>
      <c r="O174" s="33"/>
      <c r="P174" s="33"/>
      <c r="Q174" s="33"/>
      <c r="R174" s="33"/>
      <c r="S174" s="33"/>
    </row>
    <row r="175" spans="2:19" x14ac:dyDescent="0.3">
      <c r="B175" s="410" t="s">
        <v>378</v>
      </c>
      <c r="C175" s="357"/>
      <c r="D175" s="357"/>
      <c r="E175" s="357"/>
      <c r="F175" s="357"/>
      <c r="G175" s="357"/>
      <c r="H175" s="357"/>
      <c r="I175" s="357"/>
      <c r="J175" s="357"/>
      <c r="K175" s="357"/>
      <c r="L175" s="357"/>
      <c r="M175" s="357"/>
      <c r="N175" s="357"/>
      <c r="O175" s="33"/>
      <c r="P175" s="33"/>
      <c r="Q175" s="33"/>
      <c r="R175" s="33"/>
      <c r="S175" s="33"/>
    </row>
    <row r="176" spans="2:19" x14ac:dyDescent="0.3">
      <c r="B176" s="410" t="s">
        <v>361</v>
      </c>
      <c r="C176" s="357"/>
      <c r="D176" s="357"/>
      <c r="E176" s="357"/>
      <c r="F176" s="357"/>
      <c r="G176" s="357"/>
      <c r="H176" s="357"/>
      <c r="I176" s="357"/>
      <c r="J176" s="357"/>
      <c r="K176" s="357"/>
      <c r="L176" s="357"/>
      <c r="M176" s="357"/>
      <c r="N176" s="357"/>
      <c r="O176" s="33"/>
      <c r="P176" s="33"/>
      <c r="Q176" s="33"/>
      <c r="R176" s="33"/>
      <c r="S176" s="33"/>
    </row>
    <row r="177" spans="2:19" x14ac:dyDescent="0.3">
      <c r="B177" s="411" t="s">
        <v>362</v>
      </c>
      <c r="C177" s="408"/>
      <c r="D177" s="408"/>
      <c r="E177" s="408"/>
      <c r="F177" s="408"/>
      <c r="G177" s="408"/>
      <c r="H177" s="408"/>
      <c r="I177" s="408"/>
      <c r="J177" s="408"/>
      <c r="K177" s="408"/>
      <c r="L177" s="408"/>
      <c r="M177" s="408"/>
      <c r="N177" s="408"/>
      <c r="O177" s="400"/>
      <c r="P177" s="400"/>
      <c r="Q177" s="400"/>
      <c r="R177" s="400"/>
      <c r="S177" s="400"/>
    </row>
    <row r="178" spans="2:19" x14ac:dyDescent="0.3">
      <c r="B178" s="409" t="s">
        <v>365</v>
      </c>
      <c r="C178" s="357"/>
      <c r="D178" s="357"/>
      <c r="E178" s="357"/>
      <c r="F178" s="357"/>
      <c r="G178" s="357"/>
      <c r="H178" s="357"/>
      <c r="I178" s="357"/>
      <c r="J178" s="357"/>
      <c r="K178" s="357"/>
      <c r="L178" s="357"/>
      <c r="M178" s="357"/>
      <c r="N178" s="357"/>
      <c r="O178" s="357"/>
      <c r="P178" s="357"/>
      <c r="Q178" s="357"/>
      <c r="R178" s="357"/>
      <c r="S178" s="357"/>
    </row>
    <row r="179" spans="2:19" x14ac:dyDescent="0.3">
      <c r="B179" s="412" t="s">
        <v>366</v>
      </c>
      <c r="C179" s="357"/>
      <c r="D179" s="357"/>
      <c r="E179" s="357"/>
      <c r="F179" s="357"/>
      <c r="G179" s="357"/>
      <c r="H179" s="357"/>
      <c r="I179" s="357"/>
      <c r="J179" s="357"/>
      <c r="K179" s="357"/>
      <c r="L179" s="357"/>
      <c r="M179" s="357"/>
      <c r="N179" s="357"/>
      <c r="O179" s="357"/>
      <c r="P179" s="357"/>
      <c r="Q179" s="357"/>
      <c r="R179" s="357"/>
      <c r="S179" s="357"/>
    </row>
    <row r="180" spans="2:19" x14ac:dyDescent="0.3">
      <c r="B180" s="412" t="s">
        <v>367</v>
      </c>
      <c r="C180" s="357"/>
      <c r="D180" s="357"/>
      <c r="E180" s="357"/>
      <c r="F180" s="357"/>
      <c r="G180" s="357"/>
      <c r="H180" s="357"/>
      <c r="I180" s="357"/>
      <c r="J180" s="357"/>
      <c r="K180" s="357"/>
      <c r="L180" s="357"/>
      <c r="M180" s="357"/>
      <c r="N180" s="357"/>
      <c r="O180" s="357"/>
      <c r="P180" s="357"/>
      <c r="Q180" s="357"/>
      <c r="R180" s="357"/>
      <c r="S180" s="357"/>
    </row>
    <row r="181" spans="2:19" x14ac:dyDescent="0.3">
      <c r="B181" s="413" t="s">
        <v>368</v>
      </c>
      <c r="C181" s="357"/>
      <c r="D181" s="357"/>
      <c r="E181" s="357"/>
      <c r="F181" s="357"/>
      <c r="G181" s="357"/>
      <c r="H181" s="357"/>
      <c r="I181" s="357"/>
      <c r="J181" s="357"/>
      <c r="K181" s="357"/>
      <c r="L181" s="357"/>
      <c r="M181" s="357"/>
      <c r="N181" s="357"/>
      <c r="O181" s="357"/>
      <c r="P181" s="357"/>
      <c r="Q181" s="357"/>
      <c r="R181" s="357"/>
      <c r="S181" s="357"/>
    </row>
    <row r="182" spans="2:19" x14ac:dyDescent="0.3">
      <c r="B182" s="413" t="s">
        <v>369</v>
      </c>
      <c r="C182" s="357"/>
      <c r="D182" s="357"/>
      <c r="E182" s="357"/>
      <c r="F182" s="357"/>
      <c r="G182" s="357"/>
      <c r="H182" s="357"/>
      <c r="I182" s="357"/>
      <c r="J182" s="357"/>
      <c r="K182" s="357"/>
      <c r="L182" s="357"/>
      <c r="M182" s="357"/>
      <c r="N182" s="357"/>
      <c r="O182" s="357"/>
      <c r="P182" s="357"/>
      <c r="Q182" s="357"/>
      <c r="R182" s="357"/>
      <c r="S182" s="357"/>
    </row>
    <row r="183" spans="2:19" x14ac:dyDescent="0.3">
      <c r="B183" s="413" t="s">
        <v>370</v>
      </c>
      <c r="C183" s="357"/>
      <c r="D183" s="357"/>
      <c r="E183" s="357"/>
      <c r="F183" s="357"/>
      <c r="G183" s="357"/>
      <c r="H183" s="357"/>
      <c r="I183" s="357"/>
      <c r="J183" s="357"/>
      <c r="K183" s="357"/>
      <c r="L183" s="357"/>
      <c r="M183" s="357"/>
      <c r="N183" s="357"/>
      <c r="O183" s="357"/>
      <c r="P183" s="357"/>
      <c r="Q183" s="357"/>
      <c r="R183" s="357"/>
      <c r="S183" s="357"/>
    </row>
    <row r="184" spans="2:19" x14ac:dyDescent="0.3">
      <c r="B184" s="413" t="s">
        <v>371</v>
      </c>
      <c r="C184" s="357"/>
      <c r="D184" s="357"/>
      <c r="E184" s="357"/>
      <c r="F184" s="357"/>
      <c r="G184" s="357"/>
      <c r="H184" s="357"/>
      <c r="I184" s="357"/>
      <c r="J184" s="357"/>
      <c r="K184" s="357"/>
      <c r="L184" s="357"/>
      <c r="M184" s="357"/>
      <c r="N184" s="357"/>
      <c r="O184" s="357"/>
      <c r="P184" s="357"/>
      <c r="Q184" s="357"/>
      <c r="R184" s="357"/>
      <c r="S184" s="357"/>
    </row>
    <row r="185" spans="2:19" x14ac:dyDescent="0.3">
      <c r="B185" s="413" t="s">
        <v>372</v>
      </c>
      <c r="C185" s="357"/>
      <c r="D185" s="357"/>
      <c r="E185" s="357"/>
      <c r="F185" s="357"/>
      <c r="G185" s="357"/>
      <c r="H185" s="357"/>
      <c r="I185" s="357"/>
      <c r="J185" s="357"/>
      <c r="K185" s="357"/>
      <c r="L185" s="357"/>
      <c r="M185" s="357"/>
      <c r="N185" s="357"/>
      <c r="O185" s="357"/>
      <c r="P185" s="357"/>
      <c r="Q185" s="357"/>
      <c r="R185" s="357"/>
      <c r="S185" s="357"/>
    </row>
    <row r="186" spans="2:19" x14ac:dyDescent="0.3">
      <c r="B186" s="413" t="s">
        <v>373</v>
      </c>
      <c r="C186" s="357"/>
      <c r="D186" s="357"/>
      <c r="E186" s="357"/>
      <c r="F186" s="357"/>
      <c r="G186" s="357"/>
      <c r="H186" s="357"/>
      <c r="I186" s="357"/>
      <c r="J186" s="357"/>
      <c r="K186" s="357"/>
      <c r="L186" s="357"/>
      <c r="M186" s="357"/>
      <c r="N186" s="357"/>
      <c r="O186" s="357"/>
      <c r="P186" s="357"/>
      <c r="Q186" s="357"/>
      <c r="R186" s="357"/>
      <c r="S186" s="357"/>
    </row>
    <row r="187" spans="2:19" x14ac:dyDescent="0.3">
      <c r="B187" s="413" t="s">
        <v>374</v>
      </c>
      <c r="C187" s="357"/>
      <c r="D187" s="357"/>
      <c r="E187" s="357"/>
      <c r="F187" s="357"/>
      <c r="G187" s="357"/>
      <c r="H187" s="357"/>
      <c r="I187" s="357"/>
      <c r="J187" s="357"/>
      <c r="K187" s="357"/>
      <c r="L187" s="357"/>
      <c r="M187" s="357"/>
      <c r="N187" s="357"/>
      <c r="O187" s="357"/>
      <c r="P187" s="357"/>
      <c r="Q187" s="357"/>
      <c r="R187" s="357"/>
      <c r="S187" s="357"/>
    </row>
    <row r="188" spans="2:19" x14ac:dyDescent="0.3">
      <c r="C188" s="357"/>
      <c r="D188" s="357"/>
      <c r="E188" s="357"/>
      <c r="F188" s="357"/>
      <c r="G188" s="357"/>
      <c r="H188" s="357"/>
      <c r="I188" s="357"/>
      <c r="J188" s="357"/>
      <c r="K188" s="357"/>
      <c r="L188" s="357"/>
      <c r="M188" s="357"/>
      <c r="N188" s="357"/>
      <c r="O188" s="357"/>
      <c r="P188" s="357"/>
      <c r="Q188" s="357"/>
      <c r="R188" s="357"/>
      <c r="S188" s="357"/>
    </row>
    <row r="189" spans="2:19" x14ac:dyDescent="0.3">
      <c r="C189" s="357"/>
      <c r="D189" s="357"/>
      <c r="E189" s="357"/>
      <c r="F189" s="357"/>
      <c r="G189" s="357"/>
      <c r="H189" s="357"/>
      <c r="I189" s="357"/>
      <c r="J189" s="357"/>
      <c r="K189" s="357"/>
      <c r="L189" s="357"/>
      <c r="M189" s="357"/>
      <c r="N189" s="357"/>
      <c r="O189" s="357"/>
      <c r="P189" s="357"/>
      <c r="Q189" s="357"/>
      <c r="R189" s="357"/>
      <c r="S189" s="357"/>
    </row>
    <row r="190" spans="2:19" ht="43.2" x14ac:dyDescent="0.3">
      <c r="B190" s="418" t="s">
        <v>383</v>
      </c>
      <c r="C190" s="418" t="s">
        <v>384</v>
      </c>
      <c r="D190" s="418" t="s">
        <v>385</v>
      </c>
      <c r="E190" s="418" t="s">
        <v>386</v>
      </c>
      <c r="F190" s="418" t="s">
        <v>387</v>
      </c>
      <c r="G190" s="357"/>
      <c r="H190" s="357"/>
      <c r="I190" s="357"/>
      <c r="J190" s="357"/>
      <c r="K190" s="357"/>
      <c r="L190" s="357"/>
      <c r="M190" s="357"/>
      <c r="N190" s="357"/>
      <c r="O190" s="357"/>
      <c r="P190" s="357"/>
      <c r="Q190" s="357"/>
      <c r="R190" s="357"/>
      <c r="S190" s="357"/>
    </row>
    <row r="191" spans="2:19" x14ac:dyDescent="0.3">
      <c r="B191" s="34" t="s">
        <v>389</v>
      </c>
      <c r="C191" s="35">
        <v>10</v>
      </c>
      <c r="D191" s="36">
        <v>25</v>
      </c>
      <c r="E191" s="37">
        <f>(SUM(I36:M36)+SUM(I37:M37,I38:M38)/2)/SUM(I45:M45)</f>
        <v>7.2962051043368152</v>
      </c>
      <c r="F191" s="37">
        <v>10</v>
      </c>
      <c r="G191" s="357"/>
      <c r="H191" s="357"/>
      <c r="I191" s="357"/>
      <c r="J191" s="357"/>
      <c r="K191" s="357"/>
      <c r="L191" s="357"/>
      <c r="M191" s="357"/>
      <c r="N191" s="357"/>
      <c r="O191" s="357"/>
      <c r="P191" s="357"/>
      <c r="Q191" s="357"/>
      <c r="R191" s="357"/>
      <c r="S191" s="357"/>
    </row>
    <row r="192" spans="2:19" x14ac:dyDescent="0.3">
      <c r="B192" s="34" t="s">
        <v>390</v>
      </c>
      <c r="C192" s="34">
        <v>3</v>
      </c>
      <c r="D192" s="38">
        <v>10</v>
      </c>
      <c r="E192" s="37">
        <f>(SUM(I62:M62)+SUM(I63:M63,I64:M64)/2)/SUM(I71:M71)</f>
        <v>5.8111200277200892</v>
      </c>
      <c r="F192" s="37">
        <f t="shared" ref="F192:F193" si="114">ROUND(E192,0)</f>
        <v>6</v>
      </c>
      <c r="G192" s="357"/>
      <c r="H192" s="357"/>
      <c r="I192" s="357"/>
      <c r="J192" s="357"/>
      <c r="K192" s="357"/>
      <c r="L192" s="357"/>
      <c r="M192" s="357"/>
      <c r="N192" s="357"/>
      <c r="O192" s="357"/>
      <c r="P192" s="357"/>
      <c r="Q192" s="357"/>
      <c r="R192" s="357"/>
      <c r="S192" s="357"/>
    </row>
    <row r="193" spans="2:19" x14ac:dyDescent="0.3">
      <c r="B193" s="34" t="s">
        <v>379</v>
      </c>
      <c r="C193" s="34">
        <v>3</v>
      </c>
      <c r="D193" s="38">
        <v>6</v>
      </c>
      <c r="E193" s="37">
        <f>(SUM(I88:M88)+SUM(I89:M89,I90:M90)/2)/SUM(I97:M97)</f>
        <v>6.3460049730297516</v>
      </c>
      <c r="F193" s="37">
        <f t="shared" si="114"/>
        <v>6</v>
      </c>
      <c r="G193" s="357"/>
      <c r="H193" s="357"/>
      <c r="I193" s="357"/>
      <c r="J193" s="357"/>
      <c r="K193" s="357"/>
      <c r="L193" s="357"/>
      <c r="M193" s="357"/>
      <c r="N193" s="357"/>
      <c r="O193" s="357"/>
      <c r="P193" s="357"/>
      <c r="Q193" s="357"/>
      <c r="R193" s="357"/>
      <c r="S193" s="357"/>
    </row>
    <row r="194" spans="2:19" x14ac:dyDescent="0.3">
      <c r="B194" s="34" t="s">
        <v>380</v>
      </c>
      <c r="C194" s="34">
        <v>3</v>
      </c>
      <c r="D194" s="38">
        <v>6</v>
      </c>
      <c r="E194" s="37">
        <f>(SUM(I114:M114)+SUM(I115:M115,I116:M116)/2)/SUM(I123:M123)</f>
        <v>5.2553775114772145</v>
      </c>
      <c r="F194" s="37">
        <v>5</v>
      </c>
      <c r="G194" s="357"/>
      <c r="H194" s="357"/>
      <c r="I194" s="357"/>
      <c r="J194" s="357"/>
      <c r="K194" s="357"/>
      <c r="L194" s="357"/>
      <c r="M194" s="357"/>
      <c r="N194" s="357"/>
      <c r="O194" s="357"/>
      <c r="P194" s="357"/>
      <c r="Q194" s="357"/>
      <c r="R194" s="357"/>
      <c r="S194" s="357"/>
    </row>
    <row r="195" spans="2:19" x14ac:dyDescent="0.3">
      <c r="B195" s="34" t="s">
        <v>388</v>
      </c>
      <c r="C195" s="34">
        <v>3</v>
      </c>
      <c r="D195" s="38">
        <v>10</v>
      </c>
      <c r="E195" s="37">
        <f>(SUM(I114:M114)+SUM(I115:M115,I116:M116)/2)/SUM(I123:M123)</f>
        <v>5.2553775114772145</v>
      </c>
      <c r="F195" s="37">
        <v>7</v>
      </c>
      <c r="G195" s="357"/>
      <c r="H195" s="357"/>
      <c r="I195" s="357"/>
      <c r="J195" s="357"/>
      <c r="K195" s="357"/>
      <c r="L195" s="357"/>
      <c r="M195" s="357"/>
      <c r="N195" s="357"/>
      <c r="O195" s="357"/>
      <c r="P195" s="357"/>
      <c r="Q195" s="357"/>
      <c r="R195" s="357"/>
      <c r="S195" s="357"/>
    </row>
    <row r="196" spans="2:19" x14ac:dyDescent="0.3">
      <c r="C196" s="357"/>
      <c r="D196" s="357"/>
      <c r="E196" s="357"/>
      <c r="F196" s="357"/>
      <c r="G196" s="357"/>
      <c r="H196" s="357"/>
      <c r="I196" s="357"/>
      <c r="J196" s="357"/>
      <c r="K196" s="357"/>
      <c r="L196" s="357"/>
      <c r="M196" s="357"/>
      <c r="N196" s="357"/>
      <c r="O196" s="357"/>
      <c r="P196" s="357"/>
      <c r="Q196" s="357"/>
      <c r="R196" s="357"/>
      <c r="S196" s="357"/>
    </row>
    <row r="197" spans="2:19" x14ac:dyDescent="0.3">
      <c r="B197" s="55" t="s">
        <v>640</v>
      </c>
      <c r="C197" s="357"/>
      <c r="D197" s="357"/>
      <c r="E197" s="357"/>
      <c r="F197" s="357"/>
      <c r="G197" s="357"/>
      <c r="H197" s="357"/>
      <c r="I197" s="357"/>
      <c r="J197" s="357"/>
      <c r="K197" s="357"/>
      <c r="L197" s="357"/>
      <c r="M197" s="357"/>
      <c r="N197" s="357"/>
      <c r="O197" s="357"/>
      <c r="P197" s="357"/>
      <c r="Q197" s="357"/>
      <c r="R197" s="357"/>
      <c r="S197" s="357"/>
    </row>
    <row r="198" spans="2:19" x14ac:dyDescent="0.3">
      <c r="B198" s="397" t="s">
        <v>634</v>
      </c>
      <c r="C198" s="398" t="s">
        <v>413</v>
      </c>
      <c r="D198" s="357"/>
      <c r="E198" s="357"/>
      <c r="F198" s="357"/>
      <c r="G198" s="357"/>
      <c r="H198" s="357"/>
      <c r="I198" s="357"/>
      <c r="J198" s="357"/>
      <c r="K198" s="357"/>
      <c r="L198" s="357"/>
      <c r="M198" s="357"/>
      <c r="N198" s="357"/>
      <c r="O198" s="357"/>
      <c r="P198" s="357"/>
      <c r="Q198" s="357"/>
      <c r="R198" s="357"/>
      <c r="S198" s="357"/>
    </row>
    <row r="199" spans="2:19" x14ac:dyDescent="0.3">
      <c r="B199" s="38" t="s">
        <v>637</v>
      </c>
      <c r="C199" s="37">
        <v>1.5</v>
      </c>
      <c r="D199" s="357"/>
      <c r="E199" s="357"/>
      <c r="F199" s="357"/>
      <c r="G199" s="357"/>
      <c r="H199" s="357"/>
      <c r="I199" s="357"/>
      <c r="J199" s="357"/>
      <c r="K199" s="357"/>
      <c r="L199" s="357"/>
      <c r="M199" s="357"/>
      <c r="N199" s="357"/>
      <c r="O199" s="357"/>
      <c r="P199" s="357"/>
      <c r="Q199" s="357"/>
      <c r="R199" s="357"/>
      <c r="S199" s="357"/>
    </row>
    <row r="200" spans="2:19" x14ac:dyDescent="0.3">
      <c r="B200" s="38" t="s">
        <v>638</v>
      </c>
      <c r="C200" s="37">
        <v>2</v>
      </c>
      <c r="D200" s="357"/>
      <c r="E200" s="357"/>
      <c r="F200" s="357"/>
      <c r="G200" s="357"/>
      <c r="H200" s="357"/>
      <c r="I200" s="357"/>
      <c r="J200" s="357"/>
      <c r="K200" s="357"/>
      <c r="L200" s="357"/>
      <c r="M200" s="357"/>
      <c r="N200" s="357"/>
      <c r="O200" s="357"/>
      <c r="P200" s="357"/>
      <c r="Q200" s="357"/>
      <c r="R200" s="357"/>
      <c r="S200" s="357"/>
    </row>
    <row r="201" spans="2:19" x14ac:dyDescent="0.3">
      <c r="B201" s="38" t="s">
        <v>639</v>
      </c>
      <c r="C201" s="37">
        <v>2.5</v>
      </c>
      <c r="D201" s="357"/>
      <c r="E201" s="357"/>
      <c r="F201" s="357"/>
      <c r="G201" s="357"/>
      <c r="H201" s="357"/>
      <c r="I201" s="357"/>
      <c r="J201" s="357"/>
      <c r="K201" s="357"/>
      <c r="L201" s="357"/>
      <c r="M201" s="357"/>
      <c r="N201" s="357"/>
      <c r="O201" s="357"/>
      <c r="P201" s="357"/>
      <c r="Q201" s="357"/>
      <c r="R201" s="357"/>
      <c r="S201" s="357"/>
    </row>
    <row r="202" spans="2:19" x14ac:dyDescent="0.3">
      <c r="C202" s="357"/>
      <c r="D202" s="357"/>
      <c r="E202" s="357"/>
      <c r="F202" s="357"/>
      <c r="G202" s="357"/>
      <c r="H202" s="357"/>
      <c r="I202" s="357"/>
      <c r="J202" s="357"/>
      <c r="K202" s="357"/>
      <c r="L202" s="357"/>
      <c r="M202" s="357"/>
      <c r="N202" s="357"/>
      <c r="O202" s="357"/>
      <c r="P202" s="357"/>
      <c r="Q202" s="357"/>
      <c r="R202" s="357"/>
      <c r="S202" s="357"/>
    </row>
    <row r="203" spans="2:19" x14ac:dyDescent="0.3">
      <c r="C203" s="357"/>
      <c r="D203" s="357"/>
      <c r="E203" s="357"/>
      <c r="F203" s="357"/>
      <c r="G203" s="357"/>
      <c r="H203" s="357"/>
      <c r="I203" s="357"/>
      <c r="J203" s="357"/>
      <c r="K203" s="357"/>
      <c r="L203" s="357"/>
      <c r="M203" s="357"/>
      <c r="N203" s="357"/>
      <c r="O203" s="357"/>
      <c r="P203" s="357"/>
      <c r="Q203" s="357"/>
      <c r="R203" s="357"/>
      <c r="S203" s="357"/>
    </row>
    <row r="204" spans="2:19" x14ac:dyDescent="0.3">
      <c r="C204" s="357"/>
      <c r="D204" s="645" t="s">
        <v>399</v>
      </c>
      <c r="E204" s="645"/>
      <c r="F204" s="645"/>
      <c r="G204" s="645"/>
      <c r="H204" s="645"/>
      <c r="I204" s="645"/>
      <c r="J204" s="645"/>
      <c r="K204" s="645"/>
      <c r="L204" s="645"/>
      <c r="M204" s="645"/>
      <c r="N204" s="357"/>
      <c r="O204" s="357"/>
      <c r="P204" s="357"/>
      <c r="Q204" s="357"/>
      <c r="R204" s="357"/>
      <c r="S204" s="357"/>
    </row>
    <row r="205" spans="2:19" x14ac:dyDescent="0.3">
      <c r="B205" s="402" t="s">
        <v>359</v>
      </c>
      <c r="C205" s="357"/>
      <c r="D205" s="357"/>
      <c r="E205" s="357"/>
      <c r="F205" s="357"/>
      <c r="G205" s="357"/>
      <c r="H205" s="357"/>
      <c r="I205" s="357"/>
      <c r="J205" s="357"/>
      <c r="K205" s="357"/>
      <c r="L205" s="357"/>
      <c r="M205" s="357"/>
      <c r="N205" s="357">
        <v>10</v>
      </c>
      <c r="O205" s="357">
        <v>10</v>
      </c>
      <c r="P205" s="357">
        <v>10</v>
      </c>
      <c r="Q205" s="357">
        <v>10</v>
      </c>
      <c r="R205" s="357">
        <v>10</v>
      </c>
      <c r="S205" s="357">
        <v>10</v>
      </c>
    </row>
    <row r="206" spans="2:19" x14ac:dyDescent="0.3">
      <c r="B206" s="419" t="s">
        <v>391</v>
      </c>
      <c r="C206" s="357"/>
      <c r="D206" s="357"/>
      <c r="E206" s="357"/>
      <c r="F206" s="357"/>
      <c r="G206" s="357"/>
      <c r="H206" s="357"/>
      <c r="I206" s="357">
        <f>I45</f>
        <v>2.8406175</v>
      </c>
      <c r="J206" s="357">
        <f>J45</f>
        <v>3.0465570359999998</v>
      </c>
      <c r="K206" s="357">
        <f>K45</f>
        <v>3.7722451189999999</v>
      </c>
      <c r="L206" s="357">
        <f>L45</f>
        <v>1.5231390840000001</v>
      </c>
      <c r="M206" s="357">
        <f>M45</f>
        <v>0.92543288400000001</v>
      </c>
      <c r="N206" s="357">
        <f>N$36/N$205</f>
        <v>2.8327423570999999</v>
      </c>
      <c r="O206" s="33">
        <f t="shared" ref="O206:S207" si="115">MIN(N206,N52)</f>
        <v>2.8327423570999999</v>
      </c>
      <c r="P206" s="33">
        <f t="shared" si="115"/>
        <v>2.8327423570999999</v>
      </c>
      <c r="Q206" s="33">
        <f t="shared" si="115"/>
        <v>2.8327423570999999</v>
      </c>
      <c r="R206" s="33">
        <f t="shared" si="115"/>
        <v>2.8327423570999999</v>
      </c>
      <c r="S206" s="33">
        <f t="shared" si="115"/>
        <v>2.8327423570999999</v>
      </c>
    </row>
    <row r="207" spans="2:19" x14ac:dyDescent="0.3">
      <c r="B207" s="419" t="s">
        <v>392</v>
      </c>
      <c r="C207" s="357"/>
      <c r="D207" s="357"/>
      <c r="E207" s="357"/>
      <c r="F207" s="357"/>
      <c r="G207" s="357"/>
      <c r="H207" s="357"/>
      <c r="I207" s="357"/>
      <c r="J207" s="357"/>
      <c r="K207" s="357"/>
      <c r="L207" s="357"/>
      <c r="M207" s="357"/>
      <c r="N207" s="357">
        <f>SUM(N$37,N$38)/N$205</f>
        <v>0</v>
      </c>
      <c r="O207" s="33">
        <f t="shared" si="115"/>
        <v>0</v>
      </c>
      <c r="P207" s="33">
        <f t="shared" si="115"/>
        <v>0</v>
      </c>
      <c r="Q207" s="33">
        <f t="shared" si="115"/>
        <v>0</v>
      </c>
      <c r="R207" s="33">
        <f t="shared" si="115"/>
        <v>0</v>
      </c>
      <c r="S207" s="33">
        <f t="shared" si="115"/>
        <v>0</v>
      </c>
    </row>
    <row r="208" spans="2:19" x14ac:dyDescent="0.3">
      <c r="B208" s="419" t="s">
        <v>393</v>
      </c>
      <c r="C208" s="357"/>
      <c r="D208" s="357"/>
      <c r="E208" s="357"/>
      <c r="F208" s="357"/>
      <c r="G208" s="357"/>
      <c r="H208" s="357"/>
      <c r="I208" s="357"/>
      <c r="J208" s="357"/>
      <c r="K208" s="357"/>
      <c r="L208" s="357"/>
      <c r="M208" s="357"/>
      <c r="N208" s="357"/>
      <c r="O208" s="33">
        <f>SUM(O$37,O$38)/25</f>
        <v>0</v>
      </c>
      <c r="P208" s="33">
        <f>MIN(O208,O54)</f>
        <v>0</v>
      </c>
      <c r="Q208" s="33">
        <f>MIN(P208,P54)</f>
        <v>0</v>
      </c>
      <c r="R208" s="33">
        <f>MIN(Q208,Q54)</f>
        <v>0</v>
      </c>
      <c r="S208" s="33">
        <f>MIN(R208,R54)</f>
        <v>0</v>
      </c>
    </row>
    <row r="209" spans="2:19" x14ac:dyDescent="0.3">
      <c r="B209" s="419" t="s">
        <v>394</v>
      </c>
      <c r="C209" s="357"/>
      <c r="D209" s="357"/>
      <c r="E209" s="357"/>
      <c r="F209" s="357"/>
      <c r="G209" s="357"/>
      <c r="H209" s="357"/>
      <c r="I209" s="357"/>
      <c r="J209" s="357"/>
      <c r="K209" s="357"/>
      <c r="L209" s="357"/>
      <c r="M209" s="357"/>
      <c r="N209" s="357"/>
      <c r="O209" s="33"/>
      <c r="P209" s="33">
        <f>SUM(P$37,P$38)/P$205</f>
        <v>0</v>
      </c>
      <c r="Q209" s="33">
        <f>MIN(P209,P55)</f>
        <v>0</v>
      </c>
      <c r="R209" s="33">
        <f>MIN(Q209,Q55)</f>
        <v>0</v>
      </c>
      <c r="S209" s="33">
        <f>MIN(R209,R55)</f>
        <v>0</v>
      </c>
    </row>
    <row r="210" spans="2:19" x14ac:dyDescent="0.3">
      <c r="B210" s="419" t="s">
        <v>395</v>
      </c>
      <c r="C210" s="357"/>
      <c r="D210" s="357"/>
      <c r="E210" s="357"/>
      <c r="F210" s="357"/>
      <c r="G210" s="357"/>
      <c r="H210" s="357"/>
      <c r="I210" s="357"/>
      <c r="J210" s="357"/>
      <c r="K210" s="357"/>
      <c r="L210" s="357"/>
      <c r="M210" s="357"/>
      <c r="N210" s="357"/>
      <c r="O210" s="33"/>
      <c r="P210" s="33"/>
      <c r="Q210" s="33">
        <f>SUM(Q$37,Q$38)/Q$205</f>
        <v>0</v>
      </c>
      <c r="R210" s="33">
        <f>MIN(Q210,Q56)</f>
        <v>0</v>
      </c>
      <c r="S210" s="33">
        <f>MIN(R210,R56)</f>
        <v>0</v>
      </c>
    </row>
    <row r="211" spans="2:19" x14ac:dyDescent="0.3">
      <c r="B211" s="419" t="s">
        <v>396</v>
      </c>
      <c r="C211" s="357"/>
      <c r="D211" s="357"/>
      <c r="E211" s="357"/>
      <c r="F211" s="357"/>
      <c r="G211" s="357"/>
      <c r="H211" s="357"/>
      <c r="I211" s="357"/>
      <c r="J211" s="357"/>
      <c r="K211" s="357"/>
      <c r="L211" s="357"/>
      <c r="M211" s="357"/>
      <c r="N211" s="357"/>
      <c r="O211" s="33"/>
      <c r="P211" s="33"/>
      <c r="Q211" s="33"/>
      <c r="R211" s="33">
        <f>SUM(R$37,R$38)/R$205</f>
        <v>0</v>
      </c>
      <c r="S211" s="33">
        <f>MIN(R211,R57)</f>
        <v>0</v>
      </c>
    </row>
    <row r="212" spans="2:19" x14ac:dyDescent="0.3">
      <c r="B212" s="420" t="s">
        <v>397</v>
      </c>
      <c r="C212" s="408"/>
      <c r="D212" s="408"/>
      <c r="E212" s="408"/>
      <c r="F212" s="408"/>
      <c r="G212" s="408"/>
      <c r="H212" s="408"/>
      <c r="I212" s="408"/>
      <c r="J212" s="408"/>
      <c r="K212" s="408"/>
      <c r="L212" s="408"/>
      <c r="M212" s="408"/>
      <c r="N212" s="408"/>
      <c r="O212" s="400"/>
      <c r="P212" s="400"/>
      <c r="Q212" s="400"/>
      <c r="R212" s="400"/>
      <c r="S212" s="400">
        <f>SUM(S$37,S$38)/S$205</f>
        <v>0</v>
      </c>
    </row>
    <row r="213" spans="2:19" s="55" customFormat="1" x14ac:dyDescent="0.3">
      <c r="B213" s="421" t="s">
        <v>398</v>
      </c>
      <c r="C213" s="331"/>
      <c r="D213" s="331">
        <f t="shared" ref="D213:R213" si="116">SUM(D206:D212)</f>
        <v>0</v>
      </c>
      <c r="E213" s="331">
        <f t="shared" si="116"/>
        <v>0</v>
      </c>
      <c r="F213" s="331">
        <f t="shared" si="116"/>
        <v>0</v>
      </c>
      <c r="G213" s="331">
        <f t="shared" si="116"/>
        <v>0</v>
      </c>
      <c r="H213" s="331">
        <f t="shared" si="116"/>
        <v>0</v>
      </c>
      <c r="I213" s="331">
        <f t="shared" si="116"/>
        <v>2.8406175</v>
      </c>
      <c r="J213" s="331">
        <f t="shared" si="116"/>
        <v>3.0465570359999998</v>
      </c>
      <c r="K213" s="331">
        <f t="shared" si="116"/>
        <v>3.7722451189999999</v>
      </c>
      <c r="L213" s="331">
        <f t="shared" si="116"/>
        <v>1.5231390840000001</v>
      </c>
      <c r="M213" s="331">
        <f t="shared" si="116"/>
        <v>0.92543288400000001</v>
      </c>
      <c r="N213" s="331">
        <f>SUM(N206:N212)</f>
        <v>2.8327423570999999</v>
      </c>
      <c r="O213" s="331">
        <f>SUM(O206:O212)</f>
        <v>2.8327423570999999</v>
      </c>
      <c r="P213" s="331">
        <f t="shared" si="116"/>
        <v>2.8327423570999999</v>
      </c>
      <c r="Q213" s="331">
        <f t="shared" si="116"/>
        <v>2.8327423570999999</v>
      </c>
      <c r="R213" s="331">
        <f t="shared" si="116"/>
        <v>2.8327423570999999</v>
      </c>
      <c r="S213" s="331">
        <f>SUM(S206:S212)</f>
        <v>2.8327423570999999</v>
      </c>
    </row>
    <row r="214" spans="2:19" x14ac:dyDescent="0.3">
      <c r="C214" s="357"/>
      <c r="D214" s="357"/>
      <c r="E214" s="357"/>
      <c r="F214" s="357"/>
      <c r="G214" s="357"/>
      <c r="H214" s="357"/>
      <c r="I214" s="357"/>
      <c r="J214" s="357"/>
      <c r="K214" s="357"/>
      <c r="L214" s="357"/>
      <c r="M214" s="357"/>
      <c r="N214" s="357"/>
      <c r="O214" s="357"/>
      <c r="P214" s="357"/>
      <c r="Q214" s="357"/>
      <c r="R214" s="357"/>
      <c r="S214" s="357"/>
    </row>
    <row r="215" spans="2:19" x14ac:dyDescent="0.3">
      <c r="C215" s="357"/>
      <c r="D215" s="357"/>
      <c r="E215" s="357"/>
      <c r="F215" s="357"/>
      <c r="G215" s="357"/>
      <c r="H215" s="357"/>
      <c r="I215" s="357"/>
      <c r="J215" s="357"/>
      <c r="K215" s="357"/>
      <c r="L215" s="357"/>
      <c r="M215" s="357"/>
      <c r="N215" s="357"/>
      <c r="O215" s="357"/>
      <c r="P215" s="357"/>
      <c r="Q215" s="357"/>
      <c r="R215" s="357"/>
      <c r="S215" s="357"/>
    </row>
    <row r="216" spans="2:19" x14ac:dyDescent="0.3">
      <c r="B216" s="402" t="s">
        <v>390</v>
      </c>
      <c r="C216" s="357"/>
      <c r="D216" s="357"/>
      <c r="E216" s="357"/>
      <c r="F216" s="357"/>
      <c r="G216" s="357"/>
      <c r="H216" s="357"/>
      <c r="I216" s="357"/>
      <c r="J216" s="357"/>
      <c r="K216" s="357"/>
      <c r="L216" s="357"/>
      <c r="M216" s="357"/>
      <c r="N216" s="357">
        <v>6</v>
      </c>
      <c r="O216" s="357">
        <v>6</v>
      </c>
      <c r="P216" s="357">
        <v>6</v>
      </c>
      <c r="Q216" s="357">
        <v>6</v>
      </c>
      <c r="R216" s="357">
        <v>6</v>
      </c>
      <c r="S216" s="357">
        <v>6</v>
      </c>
    </row>
    <row r="217" spans="2:19" x14ac:dyDescent="0.3">
      <c r="B217" s="419" t="s">
        <v>391</v>
      </c>
      <c r="C217" s="357"/>
      <c r="D217" s="357"/>
      <c r="E217" s="357"/>
      <c r="F217" s="357"/>
      <c r="G217" s="357"/>
      <c r="H217" s="357"/>
      <c r="I217" s="357">
        <f>I71</f>
        <v>34.604553293999999</v>
      </c>
      <c r="J217" s="357">
        <f>J71</f>
        <v>40.591442852</v>
      </c>
      <c r="K217" s="357">
        <f>K71</f>
        <v>26.725073896000001</v>
      </c>
      <c r="L217" s="357">
        <f>L71</f>
        <v>24.444195307000001</v>
      </c>
      <c r="M217" s="357">
        <f>M71</f>
        <v>25.070443391000001</v>
      </c>
      <c r="N217" s="634">
        <f>$M$78*(1/N$216)*$C$200</f>
        <v>18.689007605666678</v>
      </c>
      <c r="O217" s="424">
        <f>IFERROR(IF(N78*(1/O$216)*$C$200&lt;(N78/(O$216-(YEAR(N$3)-YEAR($L$3)))),N78/(O$216-(YEAR(N$3)-YEAR($L$3))),N78*(1/O$216)*$C$200),0)</f>
        <v>12.459338403777787</v>
      </c>
      <c r="P217" s="424">
        <f>IFERROR(IF(O78*(1/P$216)*$C$200&lt;(O78/(P$216-(YEAR(O$3)-YEAR($L$3)))),O78/(P$216-(YEAR(O$3)-YEAR($L$3))),O78*(1/P$216)*$C$200),0)</f>
        <v>8.3062256025185253</v>
      </c>
      <c r="Q217" s="424">
        <f>IFERROR(IF(P78*(1/Q$216)*$C$200&lt;(P78/(Q$216-(YEAR(P$3)-YEAR($L$3)))),P78/(Q$216-(YEAR(P$3)-YEAR($L$3))),P78*(1/Q$216)*$C$200),0)</f>
        <v>8.306225602518527</v>
      </c>
      <c r="R217" s="424">
        <f>IFERROR(IF(Q78*(1/R$216)*$C$200&lt;(Q78/(R$216-(YEAR(Q$3)-YEAR($L$3)))),Q78/(R$216-(YEAR(Q$3)-YEAR($L$3))),Q78*(1/R$216)*$C$200),0)</f>
        <v>8.306225602518527</v>
      </c>
      <c r="S217" s="424">
        <f>IFERROR(IF(R78*(1/S$216)*$C$200&lt;(R78/(S$216-(YEAR(S$3)-YEAR($L$3)))),R78/(S$216-(YEAR(S$3)-YEAR($L$3))),R78*(1/S$216)*$C$200),0)</f>
        <v>0</v>
      </c>
    </row>
    <row r="218" spans="2:19" x14ac:dyDescent="0.3">
      <c r="B218" s="419" t="s">
        <v>392</v>
      </c>
      <c r="C218" s="357"/>
      <c r="D218" s="357"/>
      <c r="E218" s="357"/>
      <c r="F218" s="357"/>
      <c r="G218" s="357"/>
      <c r="H218" s="357"/>
      <c r="I218" s="357"/>
      <c r="J218" s="357"/>
      <c r="K218" s="357"/>
      <c r="L218" s="357"/>
      <c r="M218" s="357"/>
      <c r="N218" s="634">
        <f>SUM(N$63:N$64)*(1/N$216)*$C$200</f>
        <v>7.0872113636666656</v>
      </c>
      <c r="O218" s="424">
        <f>IFERROR(IF(N79*(1/O$216)*$C$200&lt;(N79/(O$216-(YEAR(N$3)-YEAR($N$3)))),N79/(O$216-(YEAR(N$3)-YEAR($N$3))),N79*(1/O$216)*$C$200),0)</f>
        <v>4.7248075757777777</v>
      </c>
      <c r="P218" s="424">
        <f>IFERROR(IF(O79*(1/P$216)*$C$200&lt;(O79/(P$216-(YEAR(O$3)-YEAR($N$3)))),O79/(P$216-(YEAR(O$3)-YEAR($N$3))),O79*(1/P$216)*$C$200),0)</f>
        <v>3.1498717171851851</v>
      </c>
      <c r="Q218" s="424">
        <f>IFERROR(IF(P79*(1/Q$216)*$C$200&lt;(P79/(Q$216-(YEAR(P$3)-YEAR($N$3)))),P79/(Q$216-(YEAR(P$3)-YEAR($N$3))),P79*(1/Q$216)*$C$200),0)</f>
        <v>2.0999144781234564</v>
      </c>
      <c r="R218" s="424">
        <f>IFERROR(IF(Q79*(1/R$216)*$C$200&lt;(Q79/(R$216-(YEAR(Q$3)-YEAR($N$3)))),Q79/(R$216-(YEAR(Q$3)-YEAR($N$3))),Q79*(1/R$216)*$C$200),0)</f>
        <v>1.3999429854156378</v>
      </c>
      <c r="S218" s="424">
        <f>IFERROR(IF(R79*(1/S$216)*$C$200&lt;(R79/(S$216-(YEAR(S$3)-YEAR($L$3)))),R79/(S$216-(YEAR(S$3)-YEAR($L$3))),R79*(1/S$216)*$C$200),0)</f>
        <v>0.93329532361042533</v>
      </c>
    </row>
    <row r="219" spans="2:19" x14ac:dyDescent="0.3">
      <c r="B219" s="419" t="s">
        <v>393</v>
      </c>
      <c r="C219" s="357"/>
      <c r="D219" s="357"/>
      <c r="E219" s="357"/>
      <c r="F219" s="357"/>
      <c r="G219" s="357"/>
      <c r="H219" s="357"/>
      <c r="I219" s="357"/>
      <c r="J219" s="357"/>
      <c r="K219" s="357"/>
      <c r="L219" s="357"/>
      <c r="M219" s="357"/>
      <c r="N219" s="634"/>
      <c r="O219" s="401">
        <f>SUM(O$63:O$64)*(1/O$216)*$C$200</f>
        <v>20.066666666666666</v>
      </c>
      <c r="P219" s="424">
        <f>IFERROR(IF(O80*(1/P$216)*$C$200&lt;(O80/(P$216-(YEAR(O$3)-YEAR($O$3)))),O80/(P$216-(YEAR(O$3)-YEAR($O$3))),O80*(1/P$216)*$C$200),0)</f>
        <v>13.37777777777778</v>
      </c>
      <c r="Q219" s="424">
        <f>IFERROR(IF(P80*(1/Q$216)*$C$200&lt;(P80/(Q$216-(YEAR(P$3)-YEAR($O$3)))),P80/(Q$216-(YEAR(P$3)-YEAR($O$3))),P80*(1/Q$216)*$C$200),0)</f>
        <v>8.9185185185185194</v>
      </c>
      <c r="R219" s="424">
        <f>IFERROR(IF(Q80*(1/R$216)*$C$200&lt;(Q80/(R$216-(YEAR(Q$3)-YEAR($O$3)))),Q80/(R$216-(YEAR(Q$3)-YEAR($O$3))),Q80*(1/R$216)*$C$200),0)</f>
        <v>5.9456790123456802</v>
      </c>
      <c r="S219" s="424">
        <f>IFERROR(IF(R80*(1/S$216)*$C$200&lt;(R80/(S$216-(YEAR(R$3)-YEAR($O$3)))),R80/(S$216-(YEAR(R$3)-YEAR($O$3))),R80*(1/S$216)*$C$200),0)</f>
        <v>3.9637860082304539</v>
      </c>
    </row>
    <row r="220" spans="2:19" x14ac:dyDescent="0.3">
      <c r="B220" s="419" t="s">
        <v>394</v>
      </c>
      <c r="C220" s="357"/>
      <c r="D220" s="357"/>
      <c r="E220" s="357"/>
      <c r="F220" s="357"/>
      <c r="G220" s="357"/>
      <c r="H220" s="357"/>
      <c r="I220" s="357"/>
      <c r="J220" s="357"/>
      <c r="K220" s="357"/>
      <c r="L220" s="357"/>
      <c r="M220" s="357"/>
      <c r="N220" s="634"/>
      <c r="O220" s="401"/>
      <c r="P220" s="401">
        <f>SUM(P$63:P$64)*(1/P$216)*$C$200</f>
        <v>10.066666666666666</v>
      </c>
      <c r="Q220" s="424">
        <f>IFERROR(IF(P81*(1/Q$216)*$C$200&lt;(P81/(Q$216-(YEAR(P$3)-YEAR($P$3)))),P81/(Q$216-(YEAR(P$3)-YEAR($P$3))),P81*(1/Q$216)*$C$200),0)</f>
        <v>6.7111111111111104</v>
      </c>
      <c r="R220" s="424">
        <f>IFERROR(IF(Q81*(1/R$216)*$C$200&lt;(Q81/(R$216-(YEAR(Q$3)-YEAR($P$3)))),Q81/(R$216-(YEAR(Q$3)-YEAR($P$3))),Q81*(1/R$216)*$C$200),0)</f>
        <v>4.4740740740740739</v>
      </c>
      <c r="S220" s="424">
        <f>IFERROR(IF(R81*(1/S$216)*$C$200&lt;(R81/(S$216-(YEAR(R$3)-YEAR($P$3)))),R81/(S$216-(YEAR(R$3)-YEAR($P$3))),R81*(1/S$216)*$C$200),0)</f>
        <v>2.9827160493827165</v>
      </c>
    </row>
    <row r="221" spans="2:19" x14ac:dyDescent="0.3">
      <c r="B221" s="419" t="s">
        <v>395</v>
      </c>
      <c r="C221" s="357"/>
      <c r="D221" s="357"/>
      <c r="E221" s="357"/>
      <c r="F221" s="357"/>
      <c r="G221" s="357"/>
      <c r="H221" s="357"/>
      <c r="I221" s="357"/>
      <c r="J221" s="357"/>
      <c r="K221" s="357"/>
      <c r="L221" s="357"/>
      <c r="M221" s="357"/>
      <c r="N221" s="634"/>
      <c r="O221" s="401"/>
      <c r="P221" s="401"/>
      <c r="Q221" s="401">
        <f>SUM(Q$63:Q$64)*(1/Q$216)*$C$200</f>
        <v>10.066666666666666</v>
      </c>
      <c r="R221" s="424">
        <f>IFERROR(IF(Q82*(1/R$216)*$C$200&lt;(Q82/(R$216-(YEAR(Q$3)-YEAR($Q$3)))),Q82/(R$216-(YEAR(Q$3)-YEAR($Q$3))),Q82*(1/R$216)*$C$200),0)</f>
        <v>6.7111111111111104</v>
      </c>
      <c r="S221" s="424">
        <f>IFERROR(IF(R82*(1/S$216)*$C$200&lt;(R82/(S$216-(YEAR(R$3)-YEAR($Q$3)))),R82/(S$216-(YEAR(R$3)-YEAR($Q$3))),R82*(1/S$216)*$C$200),0)</f>
        <v>4.4740740740740739</v>
      </c>
    </row>
    <row r="222" spans="2:19" x14ac:dyDescent="0.3">
      <c r="B222" s="419" t="s">
        <v>396</v>
      </c>
      <c r="C222" s="357"/>
      <c r="D222" s="357"/>
      <c r="E222" s="357"/>
      <c r="F222" s="357"/>
      <c r="G222" s="357"/>
      <c r="H222" s="357"/>
      <c r="I222" s="357"/>
      <c r="J222" s="357"/>
      <c r="K222" s="357"/>
      <c r="L222" s="357"/>
      <c r="M222" s="357"/>
      <c r="N222" s="634"/>
      <c r="O222" s="401"/>
      <c r="P222" s="401"/>
      <c r="Q222" s="401"/>
      <c r="R222" s="401">
        <f>SUM(R$63:R$64)*(1/R$216)*$C$200</f>
        <v>10.066666666666666</v>
      </c>
      <c r="S222" s="424">
        <f>IFERROR(IF(R83*(1/S$216)*$C$200&lt;(R83/(S$216-(YEAR(S$3)-YEAR($S$3)))),R83/(S$216-(YEAR(S$3)-YEAR($S$3))),R83*(1/S$216)*$C$200),0)</f>
        <v>6.7111111111111104</v>
      </c>
    </row>
    <row r="223" spans="2:19" x14ac:dyDescent="0.3">
      <c r="B223" s="420" t="s">
        <v>397</v>
      </c>
      <c r="C223" s="408"/>
      <c r="D223" s="408"/>
      <c r="E223" s="408"/>
      <c r="F223" s="408"/>
      <c r="G223" s="408"/>
      <c r="H223" s="408"/>
      <c r="I223" s="408"/>
      <c r="J223" s="408"/>
      <c r="K223" s="408"/>
      <c r="L223" s="408"/>
      <c r="M223" s="408"/>
      <c r="N223" s="635"/>
      <c r="O223" s="423"/>
      <c r="P223" s="423"/>
      <c r="Q223" s="423"/>
      <c r="R223" s="423"/>
      <c r="S223" s="423">
        <f>SUM(S$63:S$64)*(1/S$216)*$C$200</f>
        <v>10.066666666666666</v>
      </c>
    </row>
    <row r="224" spans="2:19" x14ac:dyDescent="0.3">
      <c r="B224" s="421" t="s">
        <v>398</v>
      </c>
      <c r="C224" s="357"/>
      <c r="D224" s="331">
        <f t="shared" ref="D224" si="117">SUM(D217:D223)</f>
        <v>0</v>
      </c>
      <c r="E224" s="331">
        <f t="shared" ref="E224" si="118">SUM(E217:E223)</f>
        <v>0</v>
      </c>
      <c r="F224" s="331">
        <f t="shared" ref="F224" si="119">SUM(F217:F223)</f>
        <v>0</v>
      </c>
      <c r="G224" s="331">
        <f t="shared" ref="G224" si="120">SUM(G217:G223)</f>
        <v>0</v>
      </c>
      <c r="H224" s="331">
        <f t="shared" ref="H224" si="121">SUM(H217:H223)</f>
        <v>0</v>
      </c>
      <c r="I224" s="331">
        <f t="shared" ref="I224" si="122">SUM(I217:I223)</f>
        <v>34.604553293999999</v>
      </c>
      <c r="J224" s="331">
        <f t="shared" ref="J224" si="123">SUM(J217:J223)</f>
        <v>40.591442852</v>
      </c>
      <c r="K224" s="331">
        <f t="shared" ref="K224" si="124">SUM(K217:K223)</f>
        <v>26.725073896000001</v>
      </c>
      <c r="L224" s="331">
        <f t="shared" ref="L224" si="125">SUM(L217:L223)</f>
        <v>24.444195307000001</v>
      </c>
      <c r="M224" s="331">
        <f t="shared" ref="M224" si="126">SUM(M217:M223)</f>
        <v>25.070443391000001</v>
      </c>
      <c r="N224" s="331">
        <f t="shared" ref="N224" si="127">SUM(N217:N223)</f>
        <v>25.776218969333343</v>
      </c>
      <c r="O224" s="331">
        <f t="shared" ref="O224" si="128">SUM(O217:O223)</f>
        <v>37.250812646222229</v>
      </c>
      <c r="P224" s="331">
        <f t="shared" ref="P224" si="129">SUM(P217:P223)</f>
        <v>34.900541764148159</v>
      </c>
      <c r="Q224" s="331">
        <f t="shared" ref="Q224" si="130">SUM(Q217:Q223)</f>
        <v>36.102436376938272</v>
      </c>
      <c r="R224" s="331">
        <f>SUM(R217:R223)</f>
        <v>36.90369945213169</v>
      </c>
      <c r="S224" s="331">
        <f>SUM(S217:S223)</f>
        <v>29.131649233075446</v>
      </c>
    </row>
    <row r="225" spans="2:19" x14ac:dyDescent="0.3">
      <c r="C225" s="357"/>
      <c r="D225" s="357"/>
      <c r="E225" s="357"/>
      <c r="F225" s="357"/>
      <c r="G225" s="357"/>
      <c r="H225" s="357"/>
      <c r="I225" s="357"/>
      <c r="J225" s="357"/>
      <c r="K225" s="357"/>
      <c r="L225" s="357"/>
      <c r="M225" s="357"/>
      <c r="N225" s="357"/>
      <c r="O225" s="357"/>
      <c r="P225" s="357"/>
      <c r="Q225" s="357"/>
      <c r="R225" s="357"/>
      <c r="S225" s="357"/>
    </row>
    <row r="226" spans="2:19" x14ac:dyDescent="0.3">
      <c r="C226" s="357"/>
      <c r="D226" s="357"/>
      <c r="E226" s="357"/>
      <c r="F226" s="357"/>
      <c r="G226" s="357"/>
      <c r="H226" s="357"/>
      <c r="I226" s="357"/>
      <c r="J226" s="357"/>
      <c r="K226" s="357"/>
      <c r="L226" s="357"/>
      <c r="M226" s="357"/>
      <c r="N226" s="357"/>
      <c r="O226" s="357"/>
      <c r="P226" s="357"/>
      <c r="Q226" s="357"/>
      <c r="R226" s="357"/>
      <c r="S226" s="357"/>
    </row>
    <row r="227" spans="2:19" x14ac:dyDescent="0.3">
      <c r="B227" s="402" t="s">
        <v>379</v>
      </c>
      <c r="C227" s="357"/>
      <c r="D227" s="357"/>
      <c r="E227" s="357"/>
      <c r="F227" s="357"/>
      <c r="G227" s="357"/>
      <c r="H227" s="357"/>
      <c r="I227" s="357"/>
      <c r="J227" s="357"/>
      <c r="K227" s="357"/>
      <c r="L227" s="357"/>
      <c r="M227" s="357"/>
      <c r="N227" s="357">
        <v>5</v>
      </c>
      <c r="O227" s="357">
        <v>5</v>
      </c>
      <c r="P227" s="357">
        <v>5</v>
      </c>
      <c r="Q227" s="357">
        <v>5</v>
      </c>
      <c r="R227" s="357">
        <v>5</v>
      </c>
      <c r="S227" s="357">
        <v>5</v>
      </c>
    </row>
    <row r="228" spans="2:19" x14ac:dyDescent="0.3">
      <c r="B228" s="419" t="s">
        <v>391</v>
      </c>
      <c r="C228" s="357"/>
      <c r="D228" s="357"/>
      <c r="E228" s="357"/>
      <c r="F228" s="357"/>
      <c r="G228" s="357"/>
      <c r="H228" s="357"/>
      <c r="I228" s="357">
        <f>I97</f>
        <v>68.474205114</v>
      </c>
      <c r="J228" s="357">
        <f>J97</f>
        <v>75.141788973999994</v>
      </c>
      <c r="K228" s="357">
        <f>K97</f>
        <v>37.479092881</v>
      </c>
      <c r="L228" s="357">
        <f>L97</f>
        <v>37.699006658999998</v>
      </c>
      <c r="M228" s="357">
        <f>M97</f>
        <v>34.164149776999999</v>
      </c>
      <c r="N228" s="634">
        <f>M103*(1/N$227)*$C$200</f>
        <v>27.17583520960002</v>
      </c>
      <c r="O228" s="424">
        <f>IFERROR(IF(N104*(1/O$227)*$C$200&lt;(N104/(O$227-(YEAR(N$3)-YEAR($L$3)))),N104/(O$227-(YEAR(N$3)-YEAR($L$3))),N104*(1/O$227)*$C$200),0)</f>
        <v>16.30550112576001</v>
      </c>
      <c r="P228" s="424">
        <f>IFERROR(IF(O104*(1/P$227)*$C$200&lt;(O104/(P$227-(YEAR(O$3)-YEAR($L$3)))),O104/(P$227-(YEAR(O$3)-YEAR($L$3))),O104*(1/P$227)*$C$200),0)</f>
        <v>12.229125844320006</v>
      </c>
      <c r="Q228" s="424">
        <f>IFERROR(IF(P104*(1/Q$227)*$C$200&lt;(P104/(Q$227-(YEAR(P$3)-YEAR($L$3)))),P104/(Q$227-(YEAR(P$3)-YEAR($L$3))),P104*(1/Q$227)*$C$200),0)</f>
        <v>12.229125844320006</v>
      </c>
      <c r="R228" s="424">
        <f>IFERROR(IF(Q104*(1/R$227)*$C$200&lt;(Q104/(R$227-(YEAR(Q$3)-YEAR($L$3)))),Q104/(R$227-(YEAR(Q$3)-YEAR($L$3))),Q104*(1/R$227)*$C$200),0)</f>
        <v>0</v>
      </c>
      <c r="S228" s="424">
        <f>IFERROR(IF(R104*(1/S$227)*$C$200&lt;(R104/(S$227-(YEAR(R$3)-YEAR($L$3)))),R104/(S$227-(YEAR(R$3)-YEAR($L$3))),R104*(1/S$227)*$C$200),0)</f>
        <v>0</v>
      </c>
    </row>
    <row r="229" spans="2:19" x14ac:dyDescent="0.3">
      <c r="B229" s="419" t="s">
        <v>392</v>
      </c>
      <c r="C229" s="357"/>
      <c r="D229" s="357"/>
      <c r="E229" s="357"/>
      <c r="F229" s="357"/>
      <c r="G229" s="357"/>
      <c r="H229" s="357"/>
      <c r="I229" s="357"/>
      <c r="J229" s="357"/>
      <c r="K229" s="357"/>
      <c r="L229" s="357"/>
      <c r="M229" s="357"/>
      <c r="N229" s="636">
        <f>SUM(N$89:N$90)*(1/N$227)*$C$200</f>
        <v>4.0000000000000008E-2</v>
      </c>
      <c r="O229" s="424">
        <f>IFERROR(IF(N105*(1/O$227)*$C$200&lt;(N105/(O$227-(YEAR(N$3)-YEAR($N$3)))),N105/(O$227-(YEAR(N$3)-YEAR($N$3))),N105*(1/O$227)*$C$200),0)</f>
        <v>2.4E-2</v>
      </c>
      <c r="P229" s="424">
        <f>IFERROR(IF(O105*(1/P$227)*$C$200&lt;(O105/(P$227-(YEAR(O$3)-YEAR($N$3)))),O105/(P$227-(YEAR(O$3)-YEAR($N$3))),O105*(1/P$227)*$C$200),0)</f>
        <v>1.44E-2</v>
      </c>
      <c r="Q229" s="424">
        <f>IFERROR(IF(P105*(1/Q$227)*$C$200&lt;(P105/(Q$227-(YEAR(P$3)-YEAR($N$3)))),P105/(Q$227-(YEAR(P$3)-YEAR($N$3))),P105*(1/Q$227)*$C$200),0)</f>
        <v>8.6400000000000001E-3</v>
      </c>
      <c r="R229" s="424">
        <f>IFERROR(IF(Q105*(1/R$227)*$C$200&lt;(Q105/(R$227-(YEAR(Q$3)-YEAR($N$3)))),Q105/(R$227-(YEAR(Q$3)-YEAR($N$3))),Q105*(1/R$227)*$C$200),0)</f>
        <v>6.4799999999999988E-3</v>
      </c>
      <c r="S229" s="424">
        <f>IFERROR(IF(R105*(1/S$227)*$C$200&lt;(R105/(S$227-(YEAR(R$3)-YEAR($N$3)))),R105/(S$227-(YEAR(R$3)-YEAR($N$3))),R105*(1/S$227)*$C$200),0)</f>
        <v>6.4799999999999988E-3</v>
      </c>
    </row>
    <row r="230" spans="2:19" x14ac:dyDescent="0.3">
      <c r="B230" s="419" t="s">
        <v>393</v>
      </c>
      <c r="C230" s="357"/>
      <c r="D230" s="357"/>
      <c r="E230" s="357"/>
      <c r="F230" s="357"/>
      <c r="G230" s="357"/>
      <c r="H230" s="357"/>
      <c r="I230" s="357"/>
      <c r="J230" s="357"/>
      <c r="K230" s="357"/>
      <c r="L230" s="357"/>
      <c r="M230" s="357"/>
      <c r="N230" s="636"/>
      <c r="O230" s="424">
        <f>SUM(O$89:O$90)*(1/O$227)*$C$200</f>
        <v>8.0400000000000009</v>
      </c>
      <c r="P230" s="424">
        <f>IFERROR(IF(O106*(1/P$227)*$C$200&lt;(O106/(P$227-(YEAR(O$3)-YEAR($O$3)))),O106/(P$227-(YEAR(O$3)-YEAR($O$3))),O106*(1/P$227)*$C$200),0)</f>
        <v>4.8240000000000007</v>
      </c>
      <c r="Q230" s="424">
        <f>IFERROR(IF(P106*(1/Q$227)*$C$200&lt;(P106/(Q$227-(YEAR(P$3)-YEAR($O$3)))),P106/(Q$227-(YEAR(P$3)-YEAR($O$3))),P106*(1/Q$227)*$C$200),0)</f>
        <v>2.8944000000000001</v>
      </c>
      <c r="R230" s="424">
        <f>IFERROR(IF(Q106*(1/R$227)*$C$200&lt;(Q106/(R$227-(YEAR(Q$3)-YEAR($O$3)))),Q106/(R$227-(YEAR(Q$3)-YEAR($O$3))),Q106*(1/R$227)*$C$200),0)</f>
        <v>1.73664</v>
      </c>
      <c r="S230" s="424">
        <f>IFERROR(IF(R106*(1/S$227)*$C$200&lt;(R106/(S$227-(YEAR(R$3)-YEAR($O$3)))),R106/(S$227-(YEAR(R$3)-YEAR($O$3))),R106*(1/S$227)*$C$200),0)</f>
        <v>1.3024799999999999</v>
      </c>
    </row>
    <row r="231" spans="2:19" x14ac:dyDescent="0.3">
      <c r="B231" s="419" t="s">
        <v>394</v>
      </c>
      <c r="C231" s="357"/>
      <c r="D231" s="357"/>
      <c r="E231" s="357"/>
      <c r="F231" s="357"/>
      <c r="G231" s="357"/>
      <c r="H231" s="357"/>
      <c r="I231" s="357"/>
      <c r="J231" s="357"/>
      <c r="K231" s="357"/>
      <c r="L231" s="357"/>
      <c r="M231" s="357"/>
      <c r="N231" s="636"/>
      <c r="O231" s="424"/>
      <c r="P231" s="424">
        <f>SUM(P$89:P$90)*(1/P$227)*$C$200</f>
        <v>4.0000000000000008E-2</v>
      </c>
      <c r="Q231" s="424">
        <f>IFERROR(IF(P107*(1/Q$227)*$C$200&lt;(P107/(Q$227-(YEAR(P$3)-YEAR($P$3)))),P107/(Q$227-(YEAR(P$3)-YEAR($P$3))),P107*(1/Q$227)*$C$200),0)</f>
        <v>2.4E-2</v>
      </c>
      <c r="R231" s="424">
        <f>IFERROR(IF(Q107*(1/R$227)*$C$200&lt;(Q107/(R$227-(YEAR(Q$3)-YEAR($P$3)))),Q107/(R$227-(YEAR(Q$3)-YEAR($P$3))),Q107*(1/R$227)*$C$200),0)</f>
        <v>1.44E-2</v>
      </c>
      <c r="S231" s="424">
        <f>IFERROR(IF(R107*(1/S$227)*$C$200&lt;(R107/(S$227-(YEAR(R$3)-YEAR($P$3)))),R107/(S$227-(YEAR(R$3)-YEAR($P$3))),R107*(1/S$227)*$C$200),0)</f>
        <v>8.6400000000000001E-3</v>
      </c>
    </row>
    <row r="232" spans="2:19" x14ac:dyDescent="0.3">
      <c r="B232" s="419" t="s">
        <v>395</v>
      </c>
      <c r="C232" s="357"/>
      <c r="D232" s="357"/>
      <c r="E232" s="357"/>
      <c r="F232" s="357"/>
      <c r="G232" s="357"/>
      <c r="H232" s="357"/>
      <c r="I232" s="357"/>
      <c r="J232" s="357"/>
      <c r="K232" s="357"/>
      <c r="L232" s="357"/>
      <c r="M232" s="357"/>
      <c r="N232" s="636"/>
      <c r="O232" s="424"/>
      <c r="P232" s="424"/>
      <c r="Q232" s="424">
        <f>SUM(Q$89:Q$90)*(1/Q$227)*$C$200</f>
        <v>8.0400000000000009</v>
      </c>
      <c r="R232" s="424">
        <f>IFERROR(IF(Q108*(1/R$227)*$C$200&lt;(Q108/(R$227-(YEAR(Q$3)-YEAR($Q$3)))),Q108/(R$227-(YEAR(Q$3)-YEAR($Q$3))),Q108*(1/R$227)*$C$200),0)</f>
        <v>4.8240000000000007</v>
      </c>
      <c r="S232" s="424">
        <f>IFERROR(IF(R108*(1/S$227)*$C$200&lt;(R108/(S$227-(YEAR(R$3)-YEAR($Q$3)))),R108/(S$227-(YEAR(R$3)-YEAR($Q$3))),R108*(1/S$227)*$C$200),0)</f>
        <v>2.8944000000000001</v>
      </c>
    </row>
    <row r="233" spans="2:19" x14ac:dyDescent="0.3">
      <c r="B233" s="419" t="s">
        <v>396</v>
      </c>
      <c r="C233" s="357"/>
      <c r="D233" s="357"/>
      <c r="E233" s="357"/>
      <c r="F233" s="357"/>
      <c r="G233" s="357"/>
      <c r="H233" s="357"/>
      <c r="I233" s="357"/>
      <c r="J233" s="357"/>
      <c r="K233" s="357"/>
      <c r="L233" s="357"/>
      <c r="M233" s="357"/>
      <c r="N233" s="636"/>
      <c r="O233" s="424"/>
      <c r="P233" s="424"/>
      <c r="Q233" s="424"/>
      <c r="R233" s="424">
        <f>SUM(R$89:R$90)*(1/R$227)*$C$200</f>
        <v>4.0000000000000008E-2</v>
      </c>
      <c r="S233" s="424">
        <f>IFERROR(IF(R109*(1/S$227)*$C$200&lt;(R109/(S$227-(YEAR(R$3)-YEAR($R$3)))),R109/(S$227-(YEAR(R$3)-YEAR($R$3))),R109*(1/S$227)*$C$200),0)</f>
        <v>2.4E-2</v>
      </c>
    </row>
    <row r="234" spans="2:19" x14ac:dyDescent="0.3">
      <c r="B234" s="420" t="s">
        <v>397</v>
      </c>
      <c r="C234" s="408"/>
      <c r="D234" s="408"/>
      <c r="E234" s="408"/>
      <c r="F234" s="408"/>
      <c r="G234" s="408"/>
      <c r="H234" s="408"/>
      <c r="I234" s="408"/>
      <c r="J234" s="408"/>
      <c r="K234" s="408"/>
      <c r="L234" s="408"/>
      <c r="M234" s="408"/>
      <c r="N234" s="635"/>
      <c r="O234" s="423"/>
      <c r="P234" s="423"/>
      <c r="Q234" s="423"/>
      <c r="R234" s="423"/>
      <c r="S234" s="423">
        <f>SUM(S$89:S$90)*(1/S$227)*$C$200</f>
        <v>8.0400000000000009</v>
      </c>
    </row>
    <row r="235" spans="2:19" x14ac:dyDescent="0.3">
      <c r="B235" s="421" t="s">
        <v>398</v>
      </c>
      <c r="C235" s="357"/>
      <c r="D235" s="331">
        <f t="shared" ref="D235:Q235" si="131">SUM(D228:D234)</f>
        <v>0</v>
      </c>
      <c r="E235" s="331">
        <f t="shared" si="131"/>
        <v>0</v>
      </c>
      <c r="F235" s="331">
        <f t="shared" si="131"/>
        <v>0</v>
      </c>
      <c r="G235" s="331">
        <f t="shared" si="131"/>
        <v>0</v>
      </c>
      <c r="H235" s="331">
        <f t="shared" si="131"/>
        <v>0</v>
      </c>
      <c r="I235" s="331">
        <f t="shared" si="131"/>
        <v>68.474205114</v>
      </c>
      <c r="J235" s="331">
        <f t="shared" si="131"/>
        <v>75.141788973999994</v>
      </c>
      <c r="K235" s="331">
        <f t="shared" si="131"/>
        <v>37.479092881</v>
      </c>
      <c r="L235" s="331">
        <f t="shared" si="131"/>
        <v>37.699006658999998</v>
      </c>
      <c r="M235" s="331">
        <f>SUM(M228:M234)</f>
        <v>34.164149776999999</v>
      </c>
      <c r="N235" s="331">
        <f t="shared" si="131"/>
        <v>27.215835209600019</v>
      </c>
      <c r="O235" s="331">
        <f t="shared" si="131"/>
        <v>24.36950112576001</v>
      </c>
      <c r="P235" s="331">
        <f t="shared" si="131"/>
        <v>17.107525844320005</v>
      </c>
      <c r="Q235" s="331">
        <f t="shared" si="131"/>
        <v>23.196165844320006</v>
      </c>
      <c r="R235" s="331">
        <f>SUM(R228:R234)</f>
        <v>6.6215200000000012</v>
      </c>
      <c r="S235" s="331">
        <f>SUM(S228:S234)</f>
        <v>12.276</v>
      </c>
    </row>
    <row r="236" spans="2:19" x14ac:dyDescent="0.3">
      <c r="C236" s="357"/>
      <c r="D236" s="357"/>
      <c r="E236" s="357"/>
      <c r="F236" s="357"/>
      <c r="G236" s="357"/>
      <c r="H236" s="357"/>
      <c r="I236" s="357"/>
      <c r="J236" s="357"/>
      <c r="K236" s="357"/>
      <c r="L236" s="357"/>
      <c r="M236" s="357"/>
      <c r="N236" s="357"/>
      <c r="O236" s="357"/>
      <c r="P236" s="357"/>
      <c r="Q236" s="357"/>
      <c r="R236" s="357"/>
      <c r="S236" s="357"/>
    </row>
    <row r="237" spans="2:19" x14ac:dyDescent="0.3">
      <c r="C237" s="357"/>
      <c r="D237" s="357"/>
      <c r="E237" s="357"/>
      <c r="F237" s="357"/>
      <c r="G237" s="357"/>
      <c r="H237" s="357"/>
      <c r="I237" s="357"/>
      <c r="J237" s="357"/>
      <c r="K237" s="357"/>
      <c r="L237" s="357"/>
      <c r="M237" s="357"/>
      <c r="N237" s="357"/>
      <c r="O237" s="357"/>
      <c r="P237" s="357"/>
      <c r="Q237" s="357"/>
      <c r="R237" s="357"/>
      <c r="S237" s="357"/>
    </row>
    <row r="238" spans="2:19" x14ac:dyDescent="0.3">
      <c r="B238" s="402" t="s">
        <v>380</v>
      </c>
      <c r="C238" s="357"/>
      <c r="D238" s="357"/>
      <c r="E238" s="357"/>
      <c r="F238" s="357"/>
      <c r="G238" s="357"/>
      <c r="H238" s="357"/>
      <c r="I238" s="357"/>
      <c r="J238" s="357"/>
      <c r="K238" s="357"/>
      <c r="L238" s="357"/>
      <c r="M238" s="357"/>
      <c r="N238" s="357">
        <v>5</v>
      </c>
      <c r="O238" s="357">
        <v>5</v>
      </c>
      <c r="P238" s="357">
        <v>5</v>
      </c>
      <c r="Q238" s="357">
        <v>5</v>
      </c>
      <c r="R238" s="357">
        <v>5</v>
      </c>
      <c r="S238" s="357">
        <v>5</v>
      </c>
    </row>
    <row r="239" spans="2:19" x14ac:dyDescent="0.3">
      <c r="B239" s="419" t="s">
        <v>391</v>
      </c>
      <c r="C239" s="357"/>
      <c r="D239" s="357"/>
      <c r="E239" s="357"/>
      <c r="F239" s="357"/>
      <c r="G239" s="357"/>
      <c r="H239" s="357"/>
      <c r="I239" s="357"/>
      <c r="J239" s="357"/>
      <c r="K239" s="357"/>
      <c r="L239" s="357"/>
      <c r="M239" s="357"/>
      <c r="N239" s="357">
        <f>N$114/N$238</f>
        <v>0.396434179</v>
      </c>
      <c r="O239" s="33">
        <f t="shared" ref="O239:S240" si="132">MIN(N239,N130)</f>
        <v>0.30289788800000006</v>
      </c>
      <c r="P239" s="33">
        <f t="shared" si="132"/>
        <v>0</v>
      </c>
      <c r="Q239" s="33">
        <f t="shared" si="132"/>
        <v>0</v>
      </c>
      <c r="R239" s="33">
        <f t="shared" si="132"/>
        <v>0</v>
      </c>
      <c r="S239" s="33">
        <f t="shared" si="132"/>
        <v>0</v>
      </c>
    </row>
    <row r="240" spans="2:19" x14ac:dyDescent="0.3">
      <c r="B240" s="419" t="s">
        <v>392</v>
      </c>
      <c r="C240" s="357"/>
      <c r="D240" s="357"/>
      <c r="E240" s="357"/>
      <c r="F240" s="357"/>
      <c r="G240" s="357"/>
      <c r="H240" s="357"/>
      <c r="I240" s="357"/>
      <c r="J240" s="357"/>
      <c r="K240" s="357"/>
      <c r="L240" s="357"/>
      <c r="M240" s="357"/>
      <c r="N240" s="357">
        <f>SUM(N$115,N$116)/N$238</f>
        <v>6.1505860666666669E-2</v>
      </c>
      <c r="O240" s="33">
        <f t="shared" si="132"/>
        <v>6.1505860666666669E-2</v>
      </c>
      <c r="P240" s="33">
        <f t="shared" si="132"/>
        <v>6.1505860666666669E-2</v>
      </c>
      <c r="Q240" s="33">
        <f t="shared" si="132"/>
        <v>6.1505860666666669E-2</v>
      </c>
      <c r="R240" s="33">
        <f t="shared" si="132"/>
        <v>6.1505860666666669E-2</v>
      </c>
      <c r="S240" s="33">
        <f t="shared" si="132"/>
        <v>0</v>
      </c>
    </row>
    <row r="241" spans="2:19" x14ac:dyDescent="0.3">
      <c r="B241" s="419" t="s">
        <v>393</v>
      </c>
      <c r="C241" s="357"/>
      <c r="D241" s="357"/>
      <c r="E241" s="357"/>
      <c r="F241" s="357"/>
      <c r="G241" s="357"/>
      <c r="H241" s="357"/>
      <c r="I241" s="357"/>
      <c r="J241" s="357"/>
      <c r="K241" s="357"/>
      <c r="L241" s="357"/>
      <c r="M241" s="357"/>
      <c r="N241" s="357"/>
      <c r="O241" s="33">
        <f>SUM(O$115,O$116)/O$238</f>
        <v>7.2347814222222223E-2</v>
      </c>
      <c r="P241" s="33">
        <f>MIN(O241,O132)</f>
        <v>7.2347814222222223E-2</v>
      </c>
      <c r="Q241" s="33">
        <f>MIN(P241,P132)</f>
        <v>7.2347814222222223E-2</v>
      </c>
      <c r="R241" s="33">
        <f>MIN(Q241,Q132)</f>
        <v>7.2347814222222223E-2</v>
      </c>
      <c r="S241" s="33">
        <f>MIN(R241,R132)</f>
        <v>7.2347814222222223E-2</v>
      </c>
    </row>
    <row r="242" spans="2:19" x14ac:dyDescent="0.3">
      <c r="B242" s="419" t="s">
        <v>394</v>
      </c>
      <c r="C242" s="357"/>
      <c r="D242" s="357"/>
      <c r="E242" s="357"/>
      <c r="F242" s="357"/>
      <c r="G242" s="357"/>
      <c r="H242" s="357"/>
      <c r="I242" s="357"/>
      <c r="J242" s="357"/>
      <c r="K242" s="357"/>
      <c r="L242" s="357"/>
      <c r="M242" s="357"/>
      <c r="N242" s="357"/>
      <c r="O242" s="33"/>
      <c r="P242" s="33">
        <f>SUM(P$115,P$116)/P$238</f>
        <v>7.4493552296296298E-2</v>
      </c>
      <c r="Q242" s="33">
        <f>MIN(P242,P133)</f>
        <v>7.4493552296296298E-2</v>
      </c>
      <c r="R242" s="33">
        <f>MIN(Q242,Q133)</f>
        <v>7.4493552296296298E-2</v>
      </c>
      <c r="S242" s="33">
        <f>MIN(R242,R133)</f>
        <v>7.4493552296296298E-2</v>
      </c>
    </row>
    <row r="243" spans="2:19" x14ac:dyDescent="0.3">
      <c r="B243" s="419" t="s">
        <v>395</v>
      </c>
      <c r="C243" s="357"/>
      <c r="D243" s="357"/>
      <c r="E243" s="357"/>
      <c r="F243" s="357"/>
      <c r="G243" s="357"/>
      <c r="H243" s="357"/>
      <c r="I243" s="357"/>
      <c r="J243" s="357"/>
      <c r="K243" s="357"/>
      <c r="L243" s="357"/>
      <c r="M243" s="357"/>
      <c r="N243" s="357"/>
      <c r="O243" s="33"/>
      <c r="P243" s="33"/>
      <c r="Q243" s="33">
        <f>SUM(Q$115,Q$116)/Q$238</f>
        <v>6.9449075728395065E-2</v>
      </c>
      <c r="R243" s="33">
        <f>MIN(Q243,Q134)</f>
        <v>6.9449075728395065E-2</v>
      </c>
      <c r="S243" s="33">
        <f>MIN(R243,R134)</f>
        <v>6.9449075728395065E-2</v>
      </c>
    </row>
    <row r="244" spans="2:19" x14ac:dyDescent="0.3">
      <c r="B244" s="419" t="s">
        <v>396</v>
      </c>
      <c r="C244" s="415"/>
      <c r="D244" s="415"/>
      <c r="E244" s="415"/>
      <c r="F244" s="415"/>
      <c r="G244" s="415"/>
      <c r="H244" s="415"/>
      <c r="I244" s="415"/>
      <c r="J244" s="415"/>
      <c r="K244" s="415"/>
      <c r="L244" s="415"/>
      <c r="M244" s="415"/>
      <c r="N244" s="415"/>
      <c r="O244" s="399"/>
      <c r="P244" s="399"/>
      <c r="Q244" s="399"/>
      <c r="R244" s="399">
        <f>SUM(R$115,R$116)/R$238</f>
        <v>7.2096814082304533E-2</v>
      </c>
      <c r="S244" s="33">
        <f>MIN(R244,R135)</f>
        <v>7.2096814082304533E-2</v>
      </c>
    </row>
    <row r="245" spans="2:19" x14ac:dyDescent="0.3">
      <c r="B245" s="420" t="s">
        <v>397</v>
      </c>
      <c r="C245" s="408"/>
      <c r="D245" s="408"/>
      <c r="E245" s="408"/>
      <c r="F245" s="408"/>
      <c r="G245" s="408"/>
      <c r="H245" s="408"/>
      <c r="I245" s="408"/>
      <c r="J245" s="408"/>
      <c r="K245" s="408"/>
      <c r="L245" s="408"/>
      <c r="M245" s="408"/>
      <c r="N245" s="408"/>
      <c r="O245" s="400"/>
      <c r="P245" s="400"/>
      <c r="Q245" s="400"/>
      <c r="R245" s="400"/>
      <c r="S245" s="400">
        <f>SUM(S$115,S$116)/S$238</f>
        <v>7.2013147368998623E-2</v>
      </c>
    </row>
    <row r="246" spans="2:19" x14ac:dyDescent="0.3">
      <c r="B246" s="421" t="s">
        <v>398</v>
      </c>
      <c r="C246" s="357"/>
      <c r="D246" s="357"/>
      <c r="E246" s="357"/>
      <c r="F246" s="357"/>
      <c r="G246" s="357"/>
      <c r="H246" s="357"/>
      <c r="I246" s="357"/>
      <c r="J246" s="357"/>
      <c r="K246" s="357"/>
      <c r="L246" s="357"/>
      <c r="M246" s="357"/>
      <c r="N246" s="331">
        <f>SUM(N239:N245)</f>
        <v>0.45794003966666669</v>
      </c>
      <c r="O246" s="331">
        <f t="shared" ref="O246:S246" si="133">SUM(O239:O245)</f>
        <v>0.43675156288888894</v>
      </c>
      <c r="P246" s="331">
        <f t="shared" si="133"/>
        <v>0.20834722718518517</v>
      </c>
      <c r="Q246" s="331">
        <f t="shared" si="133"/>
        <v>0.27779630291358026</v>
      </c>
      <c r="R246" s="331">
        <f t="shared" si="133"/>
        <v>0.34989311699588477</v>
      </c>
      <c r="S246" s="331">
        <f t="shared" si="133"/>
        <v>0.36040040369821674</v>
      </c>
    </row>
    <row r="247" spans="2:19" x14ac:dyDescent="0.3">
      <c r="C247" s="357"/>
      <c r="D247" s="357"/>
      <c r="E247" s="357"/>
      <c r="F247" s="357"/>
      <c r="G247" s="357"/>
      <c r="H247" s="357"/>
      <c r="I247" s="357"/>
      <c r="J247" s="357"/>
      <c r="K247" s="357"/>
      <c r="L247" s="357"/>
      <c r="M247" s="357"/>
      <c r="N247" s="357"/>
      <c r="O247" s="357"/>
      <c r="P247" s="357"/>
      <c r="Q247" s="357"/>
      <c r="R247" s="357"/>
      <c r="S247" s="357"/>
    </row>
    <row r="248" spans="2:19" x14ac:dyDescent="0.3">
      <c r="C248" s="357"/>
      <c r="D248" s="357"/>
      <c r="E248" s="357"/>
      <c r="F248" s="357"/>
      <c r="G248" s="357"/>
      <c r="H248" s="357"/>
      <c r="I248" s="357"/>
      <c r="J248" s="357"/>
      <c r="K248" s="357"/>
      <c r="L248" s="357"/>
      <c r="M248" s="357"/>
      <c r="N248" s="357"/>
      <c r="O248" s="357"/>
      <c r="P248" s="357"/>
      <c r="Q248" s="357"/>
      <c r="R248" s="357"/>
      <c r="S248" s="357"/>
    </row>
    <row r="249" spans="2:19" x14ac:dyDescent="0.3">
      <c r="B249" s="402" t="s">
        <v>388</v>
      </c>
      <c r="C249" s="357"/>
      <c r="D249" s="357"/>
      <c r="E249" s="357"/>
      <c r="F249" s="357"/>
      <c r="G249" s="357"/>
      <c r="H249" s="357"/>
      <c r="I249" s="357"/>
      <c r="J249" s="357"/>
      <c r="K249" s="357"/>
      <c r="L249" s="357"/>
      <c r="M249" s="357"/>
      <c r="N249" s="357">
        <v>7</v>
      </c>
      <c r="O249" s="357">
        <v>7</v>
      </c>
      <c r="P249" s="357">
        <v>7</v>
      </c>
      <c r="Q249" s="357">
        <v>7</v>
      </c>
      <c r="R249" s="357">
        <v>7</v>
      </c>
      <c r="S249" s="357">
        <v>7</v>
      </c>
    </row>
    <row r="250" spans="2:19" x14ac:dyDescent="0.3">
      <c r="B250" s="419" t="s">
        <v>391</v>
      </c>
      <c r="C250" s="357"/>
      <c r="D250" s="357"/>
      <c r="E250" s="357"/>
      <c r="F250" s="357"/>
      <c r="G250" s="357"/>
      <c r="H250" s="357"/>
      <c r="I250" s="357"/>
      <c r="J250" s="357"/>
      <c r="K250" s="357"/>
      <c r="L250" s="357"/>
      <c r="M250" s="357"/>
      <c r="N250" s="357">
        <f>N$140/N$249</f>
        <v>0.1442581</v>
      </c>
      <c r="O250" s="33">
        <f t="shared" ref="O250:S251" si="134">MIN(N250,N156)</f>
        <v>2.4594879999998986E-3</v>
      </c>
      <c r="P250" s="33">
        <f t="shared" si="134"/>
        <v>0</v>
      </c>
      <c r="Q250" s="33">
        <f t="shared" si="134"/>
        <v>0</v>
      </c>
      <c r="R250" s="33">
        <f t="shared" si="134"/>
        <v>0</v>
      </c>
      <c r="S250" s="33">
        <f t="shared" si="134"/>
        <v>0</v>
      </c>
    </row>
    <row r="251" spans="2:19" x14ac:dyDescent="0.3">
      <c r="B251" s="419" t="s">
        <v>392</v>
      </c>
      <c r="C251" s="357"/>
      <c r="D251" s="357"/>
      <c r="E251" s="357"/>
      <c r="F251" s="357"/>
      <c r="G251" s="357"/>
      <c r="H251" s="357"/>
      <c r="I251" s="357"/>
      <c r="J251" s="357"/>
      <c r="K251" s="357"/>
      <c r="L251" s="357"/>
      <c r="M251" s="357"/>
      <c r="N251" s="357">
        <f>0.728012196*12/9</f>
        <v>0.970682928</v>
      </c>
      <c r="O251" s="33">
        <f t="shared" si="134"/>
        <v>0.970682928</v>
      </c>
      <c r="P251" s="33">
        <f t="shared" si="134"/>
        <v>0.970682928</v>
      </c>
      <c r="Q251" s="33">
        <f t="shared" si="134"/>
        <v>0.970682928</v>
      </c>
      <c r="R251" s="33">
        <f t="shared" si="134"/>
        <v>0.970682928</v>
      </c>
      <c r="S251" s="33">
        <f t="shared" si="134"/>
        <v>0.970682928</v>
      </c>
    </row>
    <row r="252" spans="2:19" x14ac:dyDescent="0.3">
      <c r="B252" s="419" t="s">
        <v>393</v>
      </c>
      <c r="C252" s="357"/>
      <c r="D252" s="357"/>
      <c r="E252" s="357"/>
      <c r="F252" s="357"/>
      <c r="G252" s="357"/>
      <c r="H252" s="357"/>
      <c r="I252" s="357"/>
      <c r="J252" s="357"/>
      <c r="K252" s="357"/>
      <c r="L252" s="357"/>
      <c r="M252" s="357"/>
      <c r="N252" s="357"/>
      <c r="O252" s="33">
        <f>SUM(O$141,O$142)/O$249</f>
        <v>0.1442581</v>
      </c>
      <c r="P252" s="33">
        <f>MIN(O252,O158)</f>
        <v>0.1442581</v>
      </c>
      <c r="Q252" s="33">
        <f>MIN(P252,P158)</f>
        <v>0.1442581</v>
      </c>
      <c r="R252" s="33">
        <f>MIN(Q252,Q158)</f>
        <v>0.1442581</v>
      </c>
      <c r="S252" s="33">
        <f>MIN(R252,R158)</f>
        <v>0.1442581</v>
      </c>
    </row>
    <row r="253" spans="2:19" x14ac:dyDescent="0.3">
      <c r="B253" s="419" t="s">
        <v>394</v>
      </c>
      <c r="C253" s="357"/>
      <c r="D253" s="357"/>
      <c r="E253" s="357"/>
      <c r="F253" s="357"/>
      <c r="G253" s="357"/>
      <c r="H253" s="357"/>
      <c r="I253" s="357"/>
      <c r="J253" s="357"/>
      <c r="K253" s="357"/>
      <c r="L253" s="357"/>
      <c r="M253" s="357"/>
      <c r="N253" s="357"/>
      <c r="O253" s="33"/>
      <c r="P253" s="33">
        <f>SUM(P$141,P$142)/P$249</f>
        <v>0</v>
      </c>
      <c r="Q253" s="33">
        <f>MIN(P253,P159)</f>
        <v>0</v>
      </c>
      <c r="R253" s="33">
        <f>MIN(Q253,Q159)</f>
        <v>0</v>
      </c>
      <c r="S253" s="33">
        <f>MIN(R253,R159)</f>
        <v>0</v>
      </c>
    </row>
    <row r="254" spans="2:19" x14ac:dyDescent="0.3">
      <c r="B254" s="419" t="s">
        <v>395</v>
      </c>
      <c r="C254" s="357"/>
      <c r="D254" s="357"/>
      <c r="E254" s="357"/>
      <c r="F254" s="357"/>
      <c r="G254" s="357"/>
      <c r="H254" s="357"/>
      <c r="I254" s="357"/>
      <c r="J254" s="357"/>
      <c r="K254" s="357"/>
      <c r="L254" s="357"/>
      <c r="M254" s="357"/>
      <c r="N254" s="357"/>
      <c r="O254" s="33"/>
      <c r="P254" s="33"/>
      <c r="Q254" s="33">
        <f>SUM(Q$141,Q$142)/Q$249</f>
        <v>0</v>
      </c>
      <c r="R254" s="33">
        <f>MIN(Q254,Q160)</f>
        <v>0</v>
      </c>
      <c r="S254" s="33">
        <f>MIN(R254,R160)</f>
        <v>0</v>
      </c>
    </row>
    <row r="255" spans="2:19" x14ac:dyDescent="0.3">
      <c r="B255" s="419" t="s">
        <v>396</v>
      </c>
      <c r="C255" s="357"/>
      <c r="D255" s="357"/>
      <c r="E255" s="357"/>
      <c r="F255" s="357"/>
      <c r="G255" s="357"/>
      <c r="H255" s="357"/>
      <c r="I255" s="357"/>
      <c r="J255" s="357"/>
      <c r="K255" s="357"/>
      <c r="L255" s="357"/>
      <c r="M255" s="357"/>
      <c r="N255" s="357"/>
      <c r="O255" s="33"/>
      <c r="P255" s="33"/>
      <c r="Q255" s="33"/>
      <c r="R255" s="33">
        <f>SUM(R$141,R$142)/R$249</f>
        <v>0</v>
      </c>
      <c r="S255" s="33">
        <f>MIN(R255,R161)</f>
        <v>0</v>
      </c>
    </row>
    <row r="256" spans="2:19" x14ac:dyDescent="0.3">
      <c r="B256" s="420" t="s">
        <v>397</v>
      </c>
      <c r="C256" s="408"/>
      <c r="D256" s="408"/>
      <c r="E256" s="408"/>
      <c r="F256" s="408"/>
      <c r="G256" s="408"/>
      <c r="H256" s="408"/>
      <c r="I256" s="408"/>
      <c r="J256" s="408"/>
      <c r="K256" s="408"/>
      <c r="L256" s="408"/>
      <c r="M256" s="408"/>
      <c r="N256" s="408"/>
      <c r="O256" s="400"/>
      <c r="P256" s="400"/>
      <c r="Q256" s="400"/>
      <c r="R256" s="400"/>
      <c r="S256" s="400">
        <f>SUM(S$141,S$142)/S$249</f>
        <v>0</v>
      </c>
    </row>
    <row r="257" spans="2:19" x14ac:dyDescent="0.3">
      <c r="B257" s="421" t="s">
        <v>398</v>
      </c>
      <c r="C257" s="357"/>
      <c r="D257" s="357"/>
      <c r="E257" s="357"/>
      <c r="F257" s="357"/>
      <c r="G257" s="357"/>
      <c r="H257" s="357"/>
      <c r="I257" s="357"/>
      <c r="J257" s="357"/>
      <c r="K257" s="357"/>
      <c r="L257" s="357"/>
      <c r="M257" s="357"/>
      <c r="N257" s="331">
        <f>SUM(N250:N256)</f>
        <v>1.1149410280000001</v>
      </c>
      <c r="O257" s="331">
        <f t="shared" ref="O257:S257" si="135">SUM(O250:O256)</f>
        <v>1.117400516</v>
      </c>
      <c r="P257" s="331">
        <f t="shared" si="135"/>
        <v>1.1149410280000001</v>
      </c>
      <c r="Q257" s="331">
        <f t="shared" si="135"/>
        <v>1.1149410280000001</v>
      </c>
      <c r="R257" s="331">
        <f t="shared" si="135"/>
        <v>1.1149410280000001</v>
      </c>
      <c r="S257" s="331">
        <f t="shared" si="135"/>
        <v>1.1149410280000001</v>
      </c>
    </row>
    <row r="258" spans="2:19" x14ac:dyDescent="0.3">
      <c r="C258" s="357"/>
      <c r="D258" s="357"/>
      <c r="E258" s="357"/>
      <c r="F258" s="357"/>
      <c r="G258" s="357"/>
      <c r="H258" s="357"/>
      <c r="I258" s="357"/>
      <c r="J258" s="357"/>
      <c r="K258" s="357"/>
      <c r="L258" s="357"/>
      <c r="M258" s="357"/>
      <c r="N258" s="357"/>
      <c r="O258" s="357"/>
      <c r="P258" s="357"/>
      <c r="Q258" s="357"/>
      <c r="R258" s="357"/>
      <c r="S258" s="357"/>
    </row>
    <row r="259" spans="2:19" x14ac:dyDescent="0.3">
      <c r="C259" s="357"/>
      <c r="D259" s="357"/>
      <c r="E259" s="357"/>
      <c r="F259" s="357"/>
      <c r="G259" s="357"/>
      <c r="H259" s="357"/>
      <c r="I259" s="357"/>
      <c r="J259" s="357"/>
      <c r="K259" s="357"/>
      <c r="L259" s="357"/>
      <c r="M259" s="357"/>
      <c r="N259" s="357"/>
      <c r="O259" s="357"/>
      <c r="P259" s="357"/>
      <c r="Q259" s="357"/>
      <c r="R259" s="357"/>
      <c r="S259" s="357"/>
    </row>
    <row r="260" spans="2:19" x14ac:dyDescent="0.3">
      <c r="B260" s="55" t="s">
        <v>635</v>
      </c>
      <c r="C260" s="357"/>
      <c r="D260" s="357"/>
      <c r="E260" s="357"/>
      <c r="F260" s="357"/>
      <c r="G260" s="357"/>
      <c r="H260" s="357"/>
      <c r="I260" s="357"/>
      <c r="J260" s="357"/>
      <c r="K260" s="357"/>
      <c r="L260" s="357"/>
      <c r="M260" s="357"/>
      <c r="N260" s="272"/>
      <c r="O260" s="272"/>
      <c r="P260" s="272"/>
      <c r="Q260" s="272"/>
      <c r="R260" s="272"/>
      <c r="S260" s="272"/>
    </row>
    <row r="261" spans="2:19" x14ac:dyDescent="0.3">
      <c r="C261" s="357"/>
      <c r="D261" s="357"/>
      <c r="E261" s="357"/>
      <c r="F261" s="357"/>
      <c r="G261" s="357"/>
      <c r="H261" s="357"/>
      <c r="I261" s="357"/>
      <c r="J261" s="357"/>
      <c r="K261" s="357"/>
      <c r="L261" s="357"/>
      <c r="M261" s="357"/>
      <c r="N261" s="357"/>
      <c r="O261" s="357"/>
      <c r="P261" s="357"/>
      <c r="Q261" s="357"/>
      <c r="R261" s="357"/>
      <c r="S261" s="357"/>
    </row>
    <row r="262" spans="2:19" s="55" customFormat="1" x14ac:dyDescent="0.3">
      <c r="B262" s="55" t="s">
        <v>357</v>
      </c>
      <c r="C262" s="331"/>
      <c r="D262" s="331"/>
      <c r="E262" s="331"/>
      <c r="F262" s="331"/>
      <c r="G262" s="331"/>
      <c r="H262" s="331"/>
      <c r="I262" s="331"/>
      <c r="J262" s="331"/>
      <c r="K262" s="331"/>
      <c r="L262" s="331"/>
      <c r="M262" s="331"/>
      <c r="N262" s="331"/>
      <c r="O262" s="331"/>
      <c r="P262" s="331"/>
      <c r="Q262" s="331"/>
      <c r="R262" s="331"/>
      <c r="S262" s="331"/>
    </row>
    <row r="263" spans="2:19" s="55" customFormat="1" x14ac:dyDescent="0.3">
      <c r="B263" s="55" t="s">
        <v>636</v>
      </c>
      <c r="C263" s="331"/>
      <c r="D263" s="331"/>
      <c r="E263" s="331"/>
      <c r="F263" s="331"/>
      <c r="G263" s="331"/>
      <c r="H263" s="331"/>
      <c r="I263" s="331"/>
      <c r="J263" s="331"/>
      <c r="K263" s="331"/>
      <c r="L263" s="331"/>
      <c r="M263" s="331"/>
      <c r="N263" s="331">
        <f>SUM(N264:N265)</f>
        <v>0</v>
      </c>
      <c r="O263" s="331">
        <f t="shared" ref="O263:S263" si="136">SUM(O264:O265)</f>
        <v>0</v>
      </c>
      <c r="P263" s="331">
        <f t="shared" si="136"/>
        <v>0</v>
      </c>
      <c r="Q263" s="331">
        <f t="shared" si="136"/>
        <v>0</v>
      </c>
      <c r="R263" s="331">
        <f t="shared" si="136"/>
        <v>0</v>
      </c>
      <c r="S263" s="331">
        <f t="shared" si="136"/>
        <v>0</v>
      </c>
    </row>
    <row r="264" spans="2:19" s="121" customFormat="1" x14ac:dyDescent="0.3">
      <c r="B264" s="121" t="s">
        <v>318</v>
      </c>
      <c r="C264" s="422"/>
      <c r="D264" s="422"/>
      <c r="E264" s="422"/>
      <c r="F264" s="422"/>
      <c r="G264" s="422"/>
      <c r="H264" s="422"/>
      <c r="I264" s="422"/>
      <c r="J264" s="422"/>
      <c r="K264" s="422"/>
      <c r="L264" s="422"/>
      <c r="M264" s="422"/>
      <c r="N264" s="422"/>
      <c r="O264" s="527"/>
      <c r="P264" s="527"/>
      <c r="Q264" s="527"/>
      <c r="R264" s="527"/>
      <c r="S264" s="527"/>
    </row>
    <row r="265" spans="2:19" s="121" customFormat="1" x14ac:dyDescent="0.3">
      <c r="B265" s="121" t="s">
        <v>691</v>
      </c>
      <c r="C265" s="422"/>
      <c r="D265" s="422"/>
      <c r="E265" s="422"/>
      <c r="F265" s="422"/>
      <c r="G265" s="422"/>
      <c r="H265" s="422"/>
      <c r="I265" s="422"/>
      <c r="J265" s="422"/>
      <c r="K265" s="422"/>
      <c r="L265" s="422"/>
      <c r="M265" s="422"/>
      <c r="N265" s="422"/>
      <c r="O265" s="527"/>
      <c r="P265" s="527"/>
      <c r="Q265" s="527"/>
      <c r="R265" s="527"/>
      <c r="S265" s="527"/>
    </row>
    <row r="266" spans="2:19" s="55" customFormat="1" ht="16.5" customHeight="1" x14ac:dyDescent="0.3">
      <c r="B266" s="55" t="s">
        <v>375</v>
      </c>
      <c r="C266" s="331"/>
      <c r="D266" s="331"/>
      <c r="E266" s="331"/>
      <c r="F266" s="331"/>
      <c r="G266" s="331"/>
      <c r="H266" s="331"/>
      <c r="I266" s="331"/>
      <c r="J266" s="331"/>
      <c r="K266" s="331"/>
      <c r="L266" s="331"/>
      <c r="M266" s="331"/>
      <c r="N266" s="331">
        <f>SUM(N267:N268)</f>
        <v>21.061634090999998</v>
      </c>
      <c r="O266" s="331">
        <f t="shared" ref="O266" si="137">SUM(O267:O268)</f>
        <v>60</v>
      </c>
      <c r="P266" s="331">
        <f t="shared" ref="P266" si="138">SUM(P267:P268)</f>
        <v>30</v>
      </c>
      <c r="Q266" s="331">
        <f t="shared" ref="Q266" si="139">SUM(Q267:Q268)</f>
        <v>30</v>
      </c>
      <c r="R266" s="331">
        <f t="shared" ref="R266" si="140">SUM(R267:R268)</f>
        <v>30</v>
      </c>
      <c r="S266" s="331">
        <f t="shared" ref="S266" si="141">SUM(S267:S268)</f>
        <v>30</v>
      </c>
    </row>
    <row r="267" spans="2:19" s="121" customFormat="1" x14ac:dyDescent="0.3">
      <c r="B267" s="121" t="s">
        <v>318</v>
      </c>
      <c r="C267" s="422"/>
      <c r="D267" s="422"/>
      <c r="E267" s="422"/>
      <c r="F267" s="422"/>
      <c r="G267" s="422"/>
      <c r="H267" s="422"/>
      <c r="I267" s="422"/>
      <c r="J267" s="422"/>
      <c r="K267" s="422"/>
      <c r="L267" s="422"/>
      <c r="M267" s="422"/>
      <c r="N267" s="422">
        <v>21.061634090999998</v>
      </c>
      <c r="O267" s="527">
        <v>60</v>
      </c>
      <c r="P267" s="527">
        <v>30</v>
      </c>
      <c r="Q267" s="527">
        <v>30</v>
      </c>
      <c r="R267" s="527">
        <v>30</v>
      </c>
      <c r="S267" s="527">
        <v>30</v>
      </c>
    </row>
    <row r="268" spans="2:19" s="121" customFormat="1" x14ac:dyDescent="0.3">
      <c r="B268" s="121" t="s">
        <v>691</v>
      </c>
      <c r="C268" s="422"/>
      <c r="D268" s="422"/>
      <c r="E268" s="422"/>
      <c r="F268" s="422"/>
      <c r="G268" s="422"/>
      <c r="H268" s="422"/>
      <c r="I268" s="422"/>
      <c r="J268" s="422"/>
      <c r="K268" s="422"/>
      <c r="L268" s="422"/>
      <c r="M268" s="422"/>
      <c r="N268" s="422"/>
      <c r="O268" s="527"/>
      <c r="P268" s="527"/>
      <c r="Q268" s="527"/>
      <c r="R268" s="527"/>
      <c r="S268" s="527"/>
    </row>
    <row r="269" spans="2:19" s="55" customFormat="1" x14ac:dyDescent="0.3">
      <c r="B269" s="55" t="s">
        <v>379</v>
      </c>
      <c r="C269" s="331"/>
      <c r="D269" s="331"/>
      <c r="E269" s="331"/>
      <c r="F269" s="331"/>
      <c r="G269" s="331"/>
      <c r="H269" s="331"/>
      <c r="I269" s="331"/>
      <c r="J269" s="331"/>
      <c r="K269" s="331"/>
      <c r="L269" s="331"/>
      <c r="M269" s="331"/>
      <c r="N269" s="331">
        <f>SUM(N270:N271)</f>
        <v>0</v>
      </c>
      <c r="O269" s="331">
        <f>SUM(O270:O271)</f>
        <v>20</v>
      </c>
      <c r="P269" s="331">
        <f t="shared" ref="P269:S269" si="142">SUM(P270:P271)</f>
        <v>0</v>
      </c>
      <c r="Q269" s="331">
        <f t="shared" si="142"/>
        <v>20</v>
      </c>
      <c r="R269" s="331">
        <f t="shared" si="142"/>
        <v>0</v>
      </c>
      <c r="S269" s="331">
        <f t="shared" si="142"/>
        <v>20</v>
      </c>
    </row>
    <row r="270" spans="2:19" s="121" customFormat="1" x14ac:dyDescent="0.3">
      <c r="B270" s="121" t="s">
        <v>318</v>
      </c>
      <c r="C270" s="422"/>
      <c r="D270" s="422"/>
      <c r="E270" s="422"/>
      <c r="F270" s="422"/>
      <c r="G270" s="422"/>
      <c r="H270" s="422"/>
      <c r="I270" s="422"/>
      <c r="J270" s="422"/>
      <c r="K270" s="422"/>
      <c r="L270" s="422"/>
      <c r="M270" s="422"/>
      <c r="N270" s="422"/>
      <c r="O270" s="527">
        <v>20</v>
      </c>
      <c r="P270" s="527"/>
      <c r="Q270" s="527">
        <v>20</v>
      </c>
      <c r="R270" s="527"/>
      <c r="S270" s="527">
        <v>20</v>
      </c>
    </row>
    <row r="271" spans="2:19" s="121" customFormat="1" x14ac:dyDescent="0.3">
      <c r="B271" s="121" t="s">
        <v>691</v>
      </c>
      <c r="C271" s="422"/>
      <c r="D271" s="422"/>
      <c r="E271" s="422"/>
      <c r="F271" s="422"/>
      <c r="G271" s="422"/>
      <c r="H271" s="422"/>
      <c r="I271" s="422"/>
      <c r="J271" s="422"/>
      <c r="K271" s="422"/>
      <c r="L271" s="422"/>
      <c r="M271" s="422"/>
      <c r="N271" s="422"/>
      <c r="O271" s="527"/>
      <c r="P271" s="527"/>
      <c r="Q271" s="527"/>
      <c r="R271" s="527"/>
      <c r="S271" s="527"/>
    </row>
    <row r="272" spans="2:19" x14ac:dyDescent="0.3">
      <c r="C272" s="357"/>
      <c r="D272" s="357"/>
      <c r="E272" s="357"/>
      <c r="F272" s="357"/>
      <c r="G272" s="357"/>
      <c r="H272" s="357"/>
      <c r="I272" s="357"/>
      <c r="J272" s="357"/>
      <c r="K272" s="357"/>
      <c r="L272" s="357"/>
      <c r="M272" s="357"/>
      <c r="N272" s="357"/>
      <c r="O272" s="357"/>
      <c r="P272" s="357"/>
      <c r="Q272" s="357"/>
      <c r="R272" s="357"/>
      <c r="S272" s="357"/>
    </row>
    <row r="273" spans="2:19" s="55" customFormat="1" x14ac:dyDescent="0.3">
      <c r="B273" s="55" t="s">
        <v>381</v>
      </c>
      <c r="C273" s="331"/>
      <c r="D273" s="331"/>
      <c r="E273" s="331"/>
      <c r="F273" s="331"/>
      <c r="G273" s="331"/>
      <c r="H273" s="331"/>
      <c r="I273" s="331"/>
      <c r="J273" s="331"/>
      <c r="K273" s="331"/>
      <c r="L273" s="331"/>
      <c r="M273" s="331"/>
      <c r="N273" s="331">
        <f>SUM(N274:N275)</f>
        <v>0</v>
      </c>
      <c r="O273" s="331">
        <f t="shared" ref="O273" si="143">SUM(O274:O275)</f>
        <v>0</v>
      </c>
      <c r="P273" s="331">
        <f t="shared" ref="P273" si="144">SUM(P274:P275)</f>
        <v>0</v>
      </c>
      <c r="Q273" s="331">
        <f t="shared" ref="Q273" si="145">SUM(Q274:Q275)</f>
        <v>0</v>
      </c>
      <c r="R273" s="331">
        <f t="shared" ref="R273" si="146">SUM(R274:R275)</f>
        <v>0</v>
      </c>
      <c r="S273" s="331">
        <f t="shared" ref="S273" si="147">SUM(S274:S275)</f>
        <v>0</v>
      </c>
    </row>
    <row r="274" spans="2:19" s="121" customFormat="1" x14ac:dyDescent="0.3">
      <c r="B274" s="121" t="s">
        <v>318</v>
      </c>
      <c r="C274" s="422"/>
      <c r="D274" s="422"/>
      <c r="E274" s="422"/>
      <c r="F274" s="422"/>
      <c r="G274" s="422"/>
      <c r="H274" s="422"/>
      <c r="I274" s="422"/>
      <c r="J274" s="422"/>
      <c r="K274" s="422"/>
      <c r="L274" s="422"/>
      <c r="M274" s="422"/>
      <c r="N274" s="422"/>
      <c r="O274" s="527"/>
      <c r="P274" s="527"/>
      <c r="Q274" s="527"/>
      <c r="R274" s="527"/>
      <c r="S274" s="527"/>
    </row>
    <row r="275" spans="2:19" s="121" customFormat="1" x14ac:dyDescent="0.3">
      <c r="B275" s="121" t="s">
        <v>691</v>
      </c>
      <c r="C275" s="422"/>
      <c r="D275" s="422"/>
      <c r="E275" s="422"/>
      <c r="F275" s="422"/>
      <c r="G275" s="422"/>
      <c r="H275" s="422"/>
      <c r="I275" s="422"/>
      <c r="J275" s="422"/>
      <c r="K275" s="422"/>
      <c r="L275" s="422"/>
      <c r="M275" s="422"/>
      <c r="N275" s="422"/>
      <c r="O275" s="527"/>
      <c r="P275" s="527"/>
      <c r="Q275" s="527"/>
      <c r="R275" s="527"/>
      <c r="S275" s="527"/>
    </row>
    <row r="276" spans="2:19" x14ac:dyDescent="0.3">
      <c r="C276" s="357"/>
      <c r="D276" s="357"/>
      <c r="E276" s="357"/>
      <c r="F276" s="357"/>
      <c r="G276" s="357"/>
      <c r="H276" s="357"/>
      <c r="I276" s="357"/>
      <c r="J276" s="357"/>
      <c r="K276" s="357"/>
      <c r="L276" s="357"/>
      <c r="M276" s="357"/>
      <c r="N276" s="357"/>
      <c r="O276" s="357"/>
      <c r="P276" s="357"/>
      <c r="Q276" s="357"/>
      <c r="R276" s="357"/>
      <c r="S276" s="357"/>
    </row>
    <row r="277" spans="2:19" s="55" customFormat="1" x14ac:dyDescent="0.3">
      <c r="B277" s="55" t="s">
        <v>382</v>
      </c>
      <c r="C277" s="331"/>
      <c r="D277" s="331"/>
      <c r="E277" s="331"/>
      <c r="F277" s="331"/>
      <c r="G277" s="331"/>
      <c r="H277" s="331"/>
      <c r="I277" s="331"/>
      <c r="J277" s="331"/>
      <c r="K277" s="331"/>
      <c r="L277" s="331"/>
      <c r="M277" s="331"/>
      <c r="N277" s="331">
        <f>SUM(N278:N279)</f>
        <v>0</v>
      </c>
      <c r="O277" s="331">
        <f t="shared" ref="O277" si="148">SUM(O278:O279)</f>
        <v>0</v>
      </c>
      <c r="P277" s="331">
        <f t="shared" ref="P277" si="149">SUM(P278:P279)</f>
        <v>0</v>
      </c>
      <c r="Q277" s="331">
        <f t="shared" ref="Q277" si="150">SUM(Q278:Q279)</f>
        <v>0</v>
      </c>
      <c r="R277" s="331">
        <f t="shared" ref="R277" si="151">SUM(R278:R279)</f>
        <v>0</v>
      </c>
      <c r="S277" s="331">
        <f t="shared" ref="S277" si="152">SUM(S278:S279)</f>
        <v>0</v>
      </c>
    </row>
    <row r="278" spans="2:19" s="121" customFormat="1" x14ac:dyDescent="0.3">
      <c r="B278" s="121" t="s">
        <v>318</v>
      </c>
      <c r="C278" s="422"/>
      <c r="D278" s="422"/>
      <c r="E278" s="422"/>
      <c r="F278" s="422"/>
      <c r="G278" s="422"/>
      <c r="H278" s="422"/>
      <c r="I278" s="422"/>
      <c r="J278" s="422"/>
      <c r="K278" s="422"/>
      <c r="L278" s="422"/>
      <c r="M278" s="422"/>
      <c r="N278" s="422"/>
      <c r="O278" s="527"/>
      <c r="P278" s="527"/>
      <c r="Q278" s="527"/>
      <c r="R278" s="527"/>
      <c r="S278" s="527"/>
    </row>
    <row r="279" spans="2:19" s="121" customFormat="1" x14ac:dyDescent="0.3">
      <c r="B279" s="121" t="s">
        <v>691</v>
      </c>
      <c r="C279" s="422"/>
      <c r="D279" s="422"/>
      <c r="E279" s="422"/>
      <c r="F279" s="422"/>
      <c r="G279" s="422"/>
      <c r="H279" s="422"/>
      <c r="I279" s="422"/>
      <c r="J279" s="422"/>
      <c r="K279" s="422"/>
      <c r="L279" s="422"/>
      <c r="M279" s="422"/>
      <c r="N279" s="422"/>
      <c r="O279" s="527"/>
      <c r="P279" s="527"/>
      <c r="Q279" s="527"/>
      <c r="R279" s="527"/>
      <c r="S279" s="527"/>
    </row>
    <row r="280" spans="2:19" x14ac:dyDescent="0.3">
      <c r="C280" s="357"/>
      <c r="D280" s="357"/>
      <c r="E280" s="357"/>
      <c r="F280" s="357"/>
      <c r="G280" s="357"/>
      <c r="H280" s="357"/>
      <c r="I280" s="357"/>
      <c r="J280" s="357"/>
      <c r="K280" s="357"/>
      <c r="L280" s="357"/>
      <c r="M280" s="357"/>
      <c r="N280" s="357"/>
      <c r="O280" s="357"/>
      <c r="P280" s="357"/>
      <c r="Q280" s="357"/>
      <c r="R280" s="357"/>
      <c r="S280" s="357"/>
    </row>
    <row r="281" spans="2:19" x14ac:dyDescent="0.3">
      <c r="C281" s="357"/>
      <c r="D281" s="357"/>
      <c r="E281" s="357"/>
      <c r="F281" s="357"/>
      <c r="G281" s="357"/>
      <c r="H281" s="357"/>
      <c r="I281" s="357"/>
      <c r="J281" s="357"/>
      <c r="K281" s="357"/>
      <c r="L281" s="357"/>
      <c r="M281" s="357"/>
      <c r="N281" s="357"/>
      <c r="O281" s="357"/>
      <c r="P281" s="357"/>
      <c r="Q281" s="357"/>
      <c r="R281" s="357"/>
      <c r="S281" s="357"/>
    </row>
    <row r="282" spans="2:19" x14ac:dyDescent="0.3">
      <c r="C282" s="357"/>
      <c r="D282" s="357"/>
      <c r="E282" s="357"/>
      <c r="F282" s="357"/>
      <c r="G282" s="357"/>
      <c r="H282" s="357"/>
      <c r="I282" s="357"/>
      <c r="J282" s="357"/>
      <c r="K282" s="357"/>
      <c r="L282" s="357"/>
      <c r="M282" s="357"/>
      <c r="N282" s="357"/>
      <c r="O282" s="357"/>
      <c r="P282" s="357"/>
      <c r="Q282" s="357"/>
      <c r="R282" s="357"/>
      <c r="S282" s="357"/>
    </row>
    <row r="283" spans="2:19" x14ac:dyDescent="0.3">
      <c r="C283" s="357"/>
      <c r="D283" s="357"/>
      <c r="E283" s="357"/>
      <c r="F283" s="357"/>
      <c r="G283" s="357"/>
      <c r="H283" s="357"/>
      <c r="I283" s="357"/>
      <c r="J283" s="357"/>
      <c r="K283" s="357"/>
      <c r="L283" s="357"/>
      <c r="M283" s="357"/>
      <c r="N283" s="357"/>
      <c r="O283" s="357"/>
      <c r="P283" s="357"/>
      <c r="Q283" s="357"/>
      <c r="R283" s="357"/>
      <c r="S283" s="357"/>
    </row>
    <row r="284" spans="2:19" x14ac:dyDescent="0.3">
      <c r="C284" s="357"/>
      <c r="D284" s="357"/>
      <c r="E284" s="357"/>
      <c r="F284" s="357"/>
      <c r="G284" s="357"/>
      <c r="H284" s="357"/>
      <c r="I284" s="357"/>
      <c r="J284" s="357"/>
      <c r="K284" s="357"/>
      <c r="L284" s="357"/>
      <c r="M284" s="357"/>
      <c r="N284" s="357"/>
      <c r="O284" s="357"/>
      <c r="P284" s="357"/>
      <c r="Q284" s="357"/>
      <c r="R284" s="357"/>
      <c r="S284" s="357"/>
    </row>
    <row r="285" spans="2:19" x14ac:dyDescent="0.3">
      <c r="C285" s="357"/>
      <c r="D285" s="357"/>
      <c r="E285" s="357"/>
      <c r="F285" s="357"/>
      <c r="G285" s="357"/>
      <c r="H285" s="357"/>
      <c r="I285" s="357"/>
      <c r="J285" s="357"/>
      <c r="K285" s="357"/>
      <c r="L285" s="357"/>
      <c r="M285" s="357"/>
      <c r="N285" s="357"/>
      <c r="O285" s="357"/>
      <c r="P285" s="357"/>
      <c r="Q285" s="357"/>
      <c r="R285" s="357"/>
      <c r="S285" s="357"/>
    </row>
    <row r="286" spans="2:19" x14ac:dyDescent="0.3">
      <c r="C286" s="357"/>
      <c r="D286" s="357"/>
      <c r="E286" s="357"/>
      <c r="F286" s="357"/>
      <c r="G286" s="357"/>
      <c r="H286" s="357"/>
      <c r="I286" s="357"/>
      <c r="J286" s="357"/>
      <c r="K286" s="357"/>
      <c r="L286" s="357"/>
      <c r="M286" s="357"/>
      <c r="N286" s="357"/>
      <c r="O286" s="357"/>
      <c r="P286" s="357"/>
      <c r="Q286" s="357"/>
      <c r="R286" s="357"/>
      <c r="S286" s="357"/>
    </row>
    <row r="287" spans="2:19" x14ac:dyDescent="0.3">
      <c r="C287" s="357"/>
      <c r="D287" s="357"/>
      <c r="E287" s="357"/>
      <c r="F287" s="357"/>
      <c r="G287" s="357"/>
      <c r="H287" s="357"/>
      <c r="I287" s="357"/>
      <c r="J287" s="357"/>
      <c r="K287" s="357"/>
      <c r="L287" s="357"/>
      <c r="M287" s="357"/>
      <c r="N287" s="357"/>
      <c r="O287" s="357"/>
      <c r="P287" s="357"/>
      <c r="Q287" s="357"/>
      <c r="R287" s="357"/>
      <c r="S287" s="357"/>
    </row>
    <row r="288" spans="2:19" x14ac:dyDescent="0.3">
      <c r="C288" s="357"/>
      <c r="D288" s="357"/>
      <c r="E288" s="357"/>
      <c r="F288" s="357"/>
      <c r="G288" s="357"/>
      <c r="H288" s="357"/>
      <c r="I288" s="357"/>
      <c r="J288" s="357"/>
      <c r="K288" s="357"/>
      <c r="L288" s="357"/>
      <c r="M288" s="357"/>
      <c r="N288" s="357"/>
      <c r="O288" s="357"/>
      <c r="P288" s="357"/>
      <c r="Q288" s="357"/>
      <c r="R288" s="357"/>
      <c r="S288" s="357"/>
    </row>
    <row r="289" spans="3:19" x14ac:dyDescent="0.3">
      <c r="C289" s="357"/>
      <c r="D289" s="357"/>
      <c r="E289" s="357"/>
      <c r="F289" s="357"/>
      <c r="G289" s="357"/>
      <c r="H289" s="357"/>
      <c r="I289" s="357"/>
      <c r="J289" s="357"/>
      <c r="K289" s="357"/>
      <c r="L289" s="357"/>
      <c r="M289" s="357"/>
      <c r="N289" s="357"/>
      <c r="O289" s="357"/>
      <c r="P289" s="357"/>
      <c r="Q289" s="357"/>
      <c r="R289" s="357"/>
      <c r="S289" s="357"/>
    </row>
    <row r="290" spans="3:19" x14ac:dyDescent="0.3">
      <c r="C290" s="357"/>
      <c r="D290" s="357"/>
      <c r="E290" s="357"/>
      <c r="F290" s="357"/>
      <c r="G290" s="357"/>
      <c r="H290" s="357"/>
      <c r="I290" s="357"/>
      <c r="J290" s="357"/>
      <c r="K290" s="357"/>
      <c r="L290" s="357"/>
      <c r="M290" s="357"/>
      <c r="N290" s="357"/>
      <c r="O290" s="357"/>
      <c r="P290" s="357"/>
      <c r="Q290" s="357"/>
      <c r="R290" s="357"/>
      <c r="S290" s="357"/>
    </row>
    <row r="291" spans="3:19" x14ac:dyDescent="0.3">
      <c r="C291" s="357"/>
      <c r="D291" s="357"/>
      <c r="E291" s="357"/>
      <c r="F291" s="357"/>
      <c r="G291" s="357"/>
      <c r="H291" s="357"/>
      <c r="I291" s="357"/>
      <c r="J291" s="357"/>
      <c r="K291" s="357"/>
      <c r="L291" s="357"/>
      <c r="M291" s="357"/>
      <c r="N291" s="357"/>
      <c r="O291" s="357"/>
      <c r="P291" s="357"/>
      <c r="Q291" s="357"/>
      <c r="R291" s="357"/>
      <c r="S291" s="357"/>
    </row>
    <row r="292" spans="3:19" x14ac:dyDescent="0.3">
      <c r="C292" s="357"/>
      <c r="D292" s="357"/>
      <c r="E292" s="357"/>
      <c r="F292" s="357"/>
      <c r="G292" s="357"/>
      <c r="H292" s="357"/>
      <c r="I292" s="357"/>
      <c r="J292" s="357"/>
      <c r="K292" s="357"/>
      <c r="L292" s="357"/>
      <c r="M292" s="357"/>
      <c r="N292" s="357"/>
      <c r="O292" s="357"/>
      <c r="P292" s="357"/>
      <c r="Q292" s="357"/>
      <c r="R292" s="357"/>
      <c r="S292" s="357"/>
    </row>
    <row r="293" spans="3:19" x14ac:dyDescent="0.3">
      <c r="C293" s="357"/>
      <c r="D293" s="357"/>
      <c r="E293" s="357"/>
      <c r="F293" s="357"/>
      <c r="G293" s="357"/>
      <c r="H293" s="357"/>
      <c r="I293" s="357"/>
      <c r="J293" s="357"/>
      <c r="K293" s="357"/>
      <c r="L293" s="357"/>
      <c r="M293" s="357"/>
      <c r="N293" s="357"/>
      <c r="O293" s="357"/>
      <c r="P293" s="357"/>
      <c r="Q293" s="357"/>
      <c r="R293" s="357"/>
      <c r="S293" s="357"/>
    </row>
  </sheetData>
  <mergeCells count="3">
    <mergeCell ref="D204:M204"/>
    <mergeCell ref="T64:T67"/>
    <mergeCell ref="T89:T90"/>
  </mergeCells>
  <conditionalFormatting sqref="B205">
    <cfRule type="cellIs" dxfId="4" priority="5" operator="lessThan">
      <formula>0</formula>
    </cfRule>
  </conditionalFormatting>
  <conditionalFormatting sqref="B216">
    <cfRule type="cellIs" dxfId="3" priority="4" operator="lessThan">
      <formula>0</formula>
    </cfRule>
  </conditionalFormatting>
  <conditionalFormatting sqref="B227">
    <cfRule type="cellIs" dxfId="2" priority="3" operator="lessThan">
      <formula>0</formula>
    </cfRule>
  </conditionalFormatting>
  <conditionalFormatting sqref="B238">
    <cfRule type="cellIs" dxfId="1" priority="2" operator="lessThan">
      <formula>0</formula>
    </cfRule>
  </conditionalFormatting>
  <conditionalFormatting sqref="B249">
    <cfRule type="cellIs" dxfId="0" priority="1" operator="lessThan">
      <formula>0</formula>
    </cfRule>
  </conditionalFormatting>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8CB4D2"/>
  </sheetPr>
  <dimension ref="B2:U31"/>
  <sheetViews>
    <sheetView zoomScale="130" zoomScaleNormal="130" zoomScalePageLayoutView="130" workbookViewId="0">
      <pane xSplit="2" ySplit="3" topLeftCell="C6" activePane="bottomRight" state="frozen"/>
      <selection pane="topRight" activeCell="C1" sqref="C1"/>
      <selection pane="bottomLeft" activeCell="A4" sqref="A4"/>
      <selection pane="bottomRight" activeCell="K23" sqref="K23"/>
    </sheetView>
  </sheetViews>
  <sheetFormatPr defaultColWidth="8.88671875" defaultRowHeight="14.4" x14ac:dyDescent="0.3"/>
  <cols>
    <col min="1" max="1" width="5.44140625" style="54" customWidth="1"/>
    <col min="2" max="2" width="33" style="54" bestFit="1" customWidth="1"/>
    <col min="3" max="3" width="7.33203125" style="54" bestFit="1" customWidth="1"/>
    <col min="4" max="4" width="5.109375" style="54" bestFit="1" customWidth="1"/>
    <col min="5" max="5" width="5.6640625" style="54" bestFit="1" customWidth="1"/>
    <col min="6" max="6" width="7" style="54" bestFit="1" customWidth="1"/>
    <col min="7" max="7" width="7.88671875" style="54" bestFit="1" customWidth="1"/>
    <col min="8" max="8" width="8.88671875" style="54" bestFit="1" customWidth="1"/>
    <col min="9" max="9" width="10.6640625" style="54" bestFit="1" customWidth="1"/>
    <col min="10" max="11" width="7.44140625" style="54" bestFit="1" customWidth="1"/>
    <col min="12" max="12" width="7.88671875" style="54" bestFit="1" customWidth="1"/>
    <col min="13" max="13" width="7.6640625" style="54" bestFit="1" customWidth="1"/>
    <col min="14" max="14" width="6.44140625" style="54" customWidth="1"/>
    <col min="15" max="16" width="7" style="54" bestFit="1" customWidth="1"/>
    <col min="17" max="18" width="7.6640625" style="54" bestFit="1" customWidth="1"/>
    <col min="19" max="21" width="7" style="54" bestFit="1" customWidth="1"/>
    <col min="22" max="16384" width="8.88671875" style="54"/>
  </cols>
  <sheetData>
    <row r="2" spans="2:21" x14ac:dyDescent="0.3">
      <c r="B2" s="115"/>
      <c r="C2" s="648" t="s">
        <v>494</v>
      </c>
      <c r="D2" s="648"/>
      <c r="E2" s="648"/>
      <c r="F2" s="648"/>
      <c r="G2" s="648"/>
      <c r="H2" s="648"/>
      <c r="I2" s="648"/>
      <c r="J2" s="648"/>
      <c r="K2" s="648"/>
      <c r="L2" s="648"/>
      <c r="M2" s="648"/>
      <c r="N2" s="109"/>
      <c r="P2" s="118" t="str">
        <f t="shared" ref="P2:U2" ca="1" si="0">IF(TODAY()&lt;P3,"Proj","")</f>
        <v/>
      </c>
      <c r="Q2" s="118" t="str">
        <f t="shared" ca="1" si="0"/>
        <v/>
      </c>
      <c r="R2" s="118" t="str">
        <f t="shared" ca="1" si="0"/>
        <v/>
      </c>
      <c r="S2" s="118" t="str">
        <f t="shared" ca="1" si="0"/>
        <v/>
      </c>
      <c r="T2" s="118" t="str">
        <f t="shared" ca="1" si="0"/>
        <v/>
      </c>
      <c r="U2" s="118" t="str">
        <f t="shared" ca="1" si="0"/>
        <v>Proj</v>
      </c>
    </row>
    <row r="3" spans="2:21" ht="28.8" x14ac:dyDescent="0.3">
      <c r="B3" s="140" t="s">
        <v>505</v>
      </c>
      <c r="C3" s="141" t="s">
        <v>495</v>
      </c>
      <c r="D3" s="142" t="s">
        <v>496</v>
      </c>
      <c r="E3" s="142" t="s">
        <v>497</v>
      </c>
      <c r="F3" s="142" t="s">
        <v>498</v>
      </c>
      <c r="G3" s="142" t="s">
        <v>499</v>
      </c>
      <c r="H3" s="142" t="s">
        <v>515</v>
      </c>
      <c r="I3" s="142" t="s">
        <v>500</v>
      </c>
      <c r="J3" s="142" t="s">
        <v>501</v>
      </c>
      <c r="K3" s="143" t="s">
        <v>502</v>
      </c>
      <c r="L3" s="142" t="s">
        <v>503</v>
      </c>
      <c r="M3" s="142" t="s">
        <v>504</v>
      </c>
      <c r="O3" s="157">
        <v>42735</v>
      </c>
      <c r="P3" s="157">
        <v>43100</v>
      </c>
      <c r="Q3" s="157">
        <v>43465</v>
      </c>
      <c r="R3" s="157">
        <v>43830</v>
      </c>
      <c r="S3" s="157">
        <v>44196</v>
      </c>
      <c r="T3" s="157">
        <v>44561</v>
      </c>
      <c r="U3" s="157">
        <v>44926</v>
      </c>
    </row>
    <row r="4" spans="2:21" s="55" customFormat="1" x14ac:dyDescent="0.3">
      <c r="B4" s="55" t="s">
        <v>507</v>
      </c>
      <c r="C4" s="133"/>
      <c r="D4" s="133"/>
      <c r="E4" s="133"/>
      <c r="F4" s="133"/>
      <c r="G4" s="133"/>
      <c r="H4" s="133"/>
      <c r="I4" s="133"/>
      <c r="J4" s="133"/>
      <c r="K4" s="133"/>
      <c r="L4" s="133"/>
      <c r="M4" s="133"/>
      <c r="P4" s="145"/>
      <c r="Q4" s="145"/>
      <c r="R4" s="145"/>
      <c r="S4" s="145"/>
      <c r="T4" s="145"/>
      <c r="U4" s="145"/>
    </row>
    <row r="5" spans="2:21" x14ac:dyDescent="0.3">
      <c r="B5" s="100" t="s">
        <v>516</v>
      </c>
      <c r="C5" s="139"/>
      <c r="D5" s="139"/>
      <c r="E5" s="139"/>
      <c r="F5" s="139"/>
      <c r="G5" s="139"/>
      <c r="H5" s="139"/>
      <c r="I5" s="139"/>
      <c r="J5" s="139"/>
      <c r="K5" s="139"/>
      <c r="L5" s="139"/>
      <c r="M5" s="139"/>
      <c r="O5" s="429">
        <f>O7+O11+O15</f>
        <v>47.454265386000003</v>
      </c>
      <c r="P5" s="146">
        <f>P7+P11+P15</f>
        <v>1.2973319999999999</v>
      </c>
      <c r="Q5" s="146">
        <f>Q7+Q11+Q15</f>
        <v>0.65066399999999991</v>
      </c>
      <c r="R5" s="146">
        <f>R7+R11+R15</f>
        <v>0</v>
      </c>
      <c r="S5" s="146">
        <f t="shared" ref="S5:U5" si="1">S7+S11+S15</f>
        <v>0</v>
      </c>
      <c r="T5" s="146">
        <f t="shared" si="1"/>
        <v>0</v>
      </c>
      <c r="U5" s="146">
        <f t="shared" si="1"/>
        <v>0</v>
      </c>
    </row>
    <row r="6" spans="2:21" s="55" customFormat="1" x14ac:dyDescent="0.3">
      <c r="B6" s="55" t="s">
        <v>508</v>
      </c>
      <c r="C6" s="136">
        <f>C7</f>
        <v>24.143649002</v>
      </c>
      <c r="D6" s="136"/>
      <c r="E6" s="136">
        <f t="shared" ref="E6:F6" si="2">E7</f>
        <v>23.700534997999998</v>
      </c>
      <c r="F6" s="136">
        <f t="shared" si="2"/>
        <v>47.844183999999998</v>
      </c>
      <c r="G6" s="136">
        <v>47.844183999999998</v>
      </c>
      <c r="H6" s="136">
        <v>49.9</v>
      </c>
      <c r="I6" s="137">
        <v>42163</v>
      </c>
      <c r="J6" s="133">
        <v>36</v>
      </c>
      <c r="K6" s="138">
        <v>0.09</v>
      </c>
      <c r="L6" s="133" t="s">
        <v>514</v>
      </c>
      <c r="M6" s="133">
        <f>3/12</f>
        <v>0.25</v>
      </c>
      <c r="O6" s="119">
        <f>O7</f>
        <v>24.143649002</v>
      </c>
      <c r="P6" s="148"/>
      <c r="Q6" s="145"/>
      <c r="R6" s="145"/>
      <c r="S6" s="145"/>
      <c r="T6" s="145"/>
      <c r="U6" s="145"/>
    </row>
    <row r="7" spans="2:21" s="121" customFormat="1" x14ac:dyDescent="0.3">
      <c r="B7" s="120" t="s">
        <v>511</v>
      </c>
      <c r="C7" s="127">
        <v>24.143649002</v>
      </c>
      <c r="D7" s="127"/>
      <c r="E7" s="127">
        <f>F7-C7</f>
        <v>23.700534997999998</v>
      </c>
      <c r="F7" s="127">
        <v>47.844183999999998</v>
      </c>
      <c r="G7" s="127"/>
      <c r="H7" s="127"/>
      <c r="I7" s="128"/>
      <c r="J7" s="128"/>
      <c r="K7" s="128"/>
      <c r="L7" s="128"/>
      <c r="M7" s="128"/>
      <c r="O7" s="430">
        <f>C6</f>
        <v>24.143649002</v>
      </c>
      <c r="P7" s="149">
        <f>O7-P8</f>
        <v>0</v>
      </c>
      <c r="Q7" s="150"/>
      <c r="R7" s="150"/>
      <c r="S7" s="150"/>
      <c r="T7" s="150"/>
      <c r="U7" s="150"/>
    </row>
    <row r="8" spans="2:21" s="121" customFormat="1" x14ac:dyDescent="0.3">
      <c r="B8" s="120" t="s">
        <v>512</v>
      </c>
      <c r="C8" s="127"/>
      <c r="D8" s="127"/>
      <c r="E8" s="127"/>
      <c r="F8" s="127"/>
      <c r="G8" s="127"/>
      <c r="H8" s="127"/>
      <c r="I8" s="128"/>
      <c r="J8" s="128"/>
      <c r="K8" s="128"/>
      <c r="L8" s="128"/>
      <c r="M8" s="128"/>
      <c r="O8" s="431">
        <f>47.844184-O7</f>
        <v>23.700534997999998</v>
      </c>
      <c r="P8" s="152">
        <f>24.143649002</f>
        <v>24.143649002</v>
      </c>
      <c r="Q8" s="152">
        <f>MIN(P8,P7)</f>
        <v>0</v>
      </c>
      <c r="R8" s="150"/>
      <c r="S8" s="150"/>
      <c r="T8" s="150"/>
      <c r="U8" s="150"/>
    </row>
    <row r="9" spans="2:21" s="121" customFormat="1" x14ac:dyDescent="0.3">
      <c r="B9" s="120" t="s">
        <v>513</v>
      </c>
      <c r="C9" s="127"/>
      <c r="D9" s="127"/>
      <c r="E9" s="127"/>
      <c r="F9" s="127"/>
      <c r="G9" s="127"/>
      <c r="H9" s="127"/>
      <c r="I9" s="128"/>
      <c r="J9" s="128"/>
      <c r="K9" s="128"/>
      <c r="L9" s="128"/>
      <c r="M9" s="128"/>
      <c r="O9" s="431">
        <f>AVERAGE(O7,47.844184)*(8.5%+1.35%)</f>
        <v>3.5454007753485004</v>
      </c>
      <c r="P9" s="152">
        <f>AVERAGE(O7:P7)*(8.5%+1.35%)</f>
        <v>1.1890747133485</v>
      </c>
      <c r="Q9" s="152">
        <f>AVERAGE(P7:Q7)*(8.5%+1.35%)</f>
        <v>0</v>
      </c>
      <c r="R9" s="150"/>
      <c r="S9" s="150"/>
      <c r="T9" s="150"/>
      <c r="U9" s="150"/>
    </row>
    <row r="10" spans="2:21" s="55" customFormat="1" x14ac:dyDescent="0.3">
      <c r="B10" s="55" t="s">
        <v>509</v>
      </c>
      <c r="C10" s="129">
        <f>C11</f>
        <v>21.528283384000002</v>
      </c>
      <c r="D10" s="129"/>
      <c r="E10" s="129">
        <f t="shared" ref="E10" si="3">E11</f>
        <v>21.868040331</v>
      </c>
      <c r="F10" s="129">
        <f>F11</f>
        <v>43.396323715000001</v>
      </c>
      <c r="G10" s="129">
        <f>(9.02392074+5.71206+14.24242832)</f>
        <v>28.978409059999997</v>
      </c>
      <c r="H10" s="129">
        <f>28.660342975+17.04+8.142</f>
        <v>53.842342974999994</v>
      </c>
      <c r="I10" s="125">
        <v>2015</v>
      </c>
      <c r="J10" s="125">
        <v>36</v>
      </c>
      <c r="K10" s="130">
        <f>(8%+9%)/2</f>
        <v>8.4999999999999992E-2</v>
      </c>
      <c r="L10" s="125" t="s">
        <v>514</v>
      </c>
      <c r="M10" s="125">
        <f>3/12</f>
        <v>0.25</v>
      </c>
      <c r="O10" s="304">
        <f>O11</f>
        <v>21.528283384000002</v>
      </c>
      <c r="P10" s="153"/>
      <c r="Q10" s="153"/>
      <c r="R10" s="145"/>
      <c r="S10" s="145"/>
      <c r="T10" s="145"/>
      <c r="U10" s="145"/>
    </row>
    <row r="11" spans="2:21" s="121" customFormat="1" x14ac:dyDescent="0.3">
      <c r="B11" s="120" t="s">
        <v>511</v>
      </c>
      <c r="C11" s="127">
        <v>21.528283384000002</v>
      </c>
      <c r="D11" s="128"/>
      <c r="E11" s="127">
        <f>F11-C11</f>
        <v>21.868040331</v>
      </c>
      <c r="F11" s="127">
        <f>28.660342975+9.02392074+5.71206</f>
        <v>43.396323715000001</v>
      </c>
      <c r="G11" s="128"/>
      <c r="H11" s="128"/>
      <c r="I11" s="128"/>
      <c r="J11" s="128"/>
      <c r="K11" s="128"/>
      <c r="L11" s="128"/>
      <c r="M11" s="128"/>
      <c r="O11" s="431">
        <f>C10</f>
        <v>21.528283384000002</v>
      </c>
      <c r="P11" s="151">
        <f>O11-P12</f>
        <v>0</v>
      </c>
      <c r="Q11" s="152">
        <f>P11-Q12</f>
        <v>0</v>
      </c>
      <c r="R11" s="151"/>
      <c r="S11" s="150"/>
      <c r="T11" s="150"/>
      <c r="U11" s="150"/>
    </row>
    <row r="12" spans="2:21" s="121" customFormat="1" x14ac:dyDescent="0.3">
      <c r="B12" s="120" t="s">
        <v>512</v>
      </c>
      <c r="C12" s="127"/>
      <c r="D12" s="128"/>
      <c r="E12" s="128"/>
      <c r="F12" s="128"/>
      <c r="G12" s="128"/>
      <c r="H12" s="128"/>
      <c r="I12" s="128"/>
      <c r="J12" s="128"/>
      <c r="K12" s="128"/>
      <c r="L12" s="128"/>
      <c r="M12" s="128"/>
      <c r="O12" s="431">
        <f>9.02392074+5.71206+14.24242832-O11</f>
        <v>7.4501256759999954</v>
      </c>
      <c r="P12" s="151">
        <f>21.528283384</f>
        <v>21.528283384000002</v>
      </c>
      <c r="Q12" s="152">
        <f>MIN(P12,P11)</f>
        <v>0</v>
      </c>
      <c r="R12" s="151"/>
      <c r="S12" s="150"/>
      <c r="T12" s="150"/>
      <c r="U12" s="150"/>
    </row>
    <row r="13" spans="2:21" s="121" customFormat="1" x14ac:dyDescent="0.3">
      <c r="B13" s="120" t="s">
        <v>513</v>
      </c>
      <c r="C13" s="127"/>
      <c r="D13" s="128"/>
      <c r="E13" s="128"/>
      <c r="F13" s="128"/>
      <c r="G13" s="128"/>
      <c r="H13" s="128"/>
      <c r="I13" s="128"/>
      <c r="J13" s="128"/>
      <c r="K13" s="128"/>
      <c r="L13" s="128"/>
      <c r="M13" s="128"/>
      <c r="O13" s="431">
        <f>AVERAGE(O11,28.97840906)*9%</f>
        <v>2.2728011599800002</v>
      </c>
      <c r="P13" s="151">
        <f>AVERAGE(O11:P11)*9%*270/360</f>
        <v>0.72657956421000003</v>
      </c>
      <c r="Q13" s="152">
        <f t="shared" ref="Q13" si="4">AVERAGE(P11:Q11)*9%</f>
        <v>0</v>
      </c>
      <c r="R13" s="151"/>
      <c r="S13" s="150"/>
      <c r="T13" s="150"/>
      <c r="U13" s="150"/>
    </row>
    <row r="14" spans="2:21" s="55" customFormat="1" x14ac:dyDescent="0.3">
      <c r="B14" s="55" t="s">
        <v>510</v>
      </c>
      <c r="C14" s="129">
        <f>C15</f>
        <v>1.7823329999999999</v>
      </c>
      <c r="D14" s="129">
        <f t="shared" ref="D14:F14" si="5">D15</f>
        <v>1.944</v>
      </c>
      <c r="E14" s="129">
        <f t="shared" si="5"/>
        <v>0.16166700000000001</v>
      </c>
      <c r="F14" s="129">
        <f t="shared" si="5"/>
        <v>0</v>
      </c>
      <c r="G14" s="129">
        <v>1.944</v>
      </c>
      <c r="H14" s="129">
        <v>1.944</v>
      </c>
      <c r="I14" s="126">
        <v>42604</v>
      </c>
      <c r="J14" s="125">
        <v>36</v>
      </c>
      <c r="K14" s="131">
        <v>7.4999999999999997E-2</v>
      </c>
      <c r="L14" s="125" t="s">
        <v>514</v>
      </c>
      <c r="M14" s="125">
        <f>3/12</f>
        <v>0.25</v>
      </c>
      <c r="N14" s="121"/>
      <c r="O14" s="304">
        <f>O15</f>
        <v>1.7823329999999999</v>
      </c>
      <c r="P14" s="153"/>
      <c r="Q14" s="153"/>
      <c r="R14" s="153"/>
      <c r="S14" s="153"/>
      <c r="T14" s="145"/>
      <c r="U14" s="145"/>
    </row>
    <row r="15" spans="2:21" s="121" customFormat="1" x14ac:dyDescent="0.3">
      <c r="B15" s="122" t="s">
        <v>511</v>
      </c>
      <c r="C15" s="127">
        <v>1.7823329999999999</v>
      </c>
      <c r="D15" s="127">
        <f>G14</f>
        <v>1.944</v>
      </c>
      <c r="E15" s="127">
        <v>0.16166700000000001</v>
      </c>
      <c r="F15" s="127"/>
      <c r="G15" s="128"/>
      <c r="H15" s="128"/>
      <c r="I15" s="128"/>
      <c r="J15" s="128"/>
      <c r="K15" s="128"/>
      <c r="L15" s="128"/>
      <c r="M15" s="128"/>
      <c r="O15" s="431">
        <f>C15</f>
        <v>1.7823329999999999</v>
      </c>
      <c r="P15" s="151">
        <f>O15-P16</f>
        <v>1.2973319999999999</v>
      </c>
      <c r="Q15" s="151">
        <f>P15-Q16</f>
        <v>0.65066399999999991</v>
      </c>
      <c r="R15" s="151">
        <f>Q15-R16</f>
        <v>0</v>
      </c>
      <c r="S15" s="151"/>
      <c r="T15" s="150"/>
      <c r="U15" s="150"/>
    </row>
    <row r="16" spans="2:21" s="121" customFormat="1" x14ac:dyDescent="0.3">
      <c r="B16" s="122" t="s">
        <v>512</v>
      </c>
      <c r="C16" s="127"/>
      <c r="D16" s="128"/>
      <c r="E16" s="128"/>
      <c r="F16" s="128"/>
      <c r="G16" s="128"/>
      <c r="H16" s="128"/>
      <c r="I16" s="128"/>
      <c r="J16" s="128"/>
      <c r="K16" s="128"/>
      <c r="L16" s="128"/>
      <c r="M16" s="128"/>
      <c r="O16" s="431">
        <f>1.944-O15</f>
        <v>0.16166700000000001</v>
      </c>
      <c r="P16" s="151">
        <f>0.485001</f>
        <v>0.48500100000000002</v>
      </c>
      <c r="Q16" s="151">
        <v>0.64666800000000002</v>
      </c>
      <c r="R16" s="151">
        <v>0.65066400000000002</v>
      </c>
      <c r="S16" s="151"/>
      <c r="T16" s="150"/>
      <c r="U16" s="150"/>
    </row>
    <row r="17" spans="2:21" s="121" customFormat="1" x14ac:dyDescent="0.3">
      <c r="B17" s="123" t="s">
        <v>513</v>
      </c>
      <c r="C17" s="134"/>
      <c r="D17" s="135"/>
      <c r="E17" s="135"/>
      <c r="F17" s="135"/>
      <c r="G17" s="135"/>
      <c r="H17" s="135"/>
      <c r="I17" s="135"/>
      <c r="J17" s="135"/>
      <c r="K17" s="135"/>
      <c r="L17" s="135"/>
      <c r="M17" s="135"/>
      <c r="O17" s="533">
        <f>O15*$K$14</f>
        <v>0.133674975</v>
      </c>
      <c r="P17" s="156">
        <f>AVERAGE(O15:P15)*($K$14+1.5%)</f>
        <v>0.138584925</v>
      </c>
      <c r="Q17" s="156">
        <f t="shared" ref="Q17" si="6">AVERAGE(P15:Q15)*($K$14+1.5%)</f>
        <v>8.7659819999999986E-2</v>
      </c>
      <c r="R17" s="156">
        <f>AVERAGE(Q15:R15)*($K$14+1.5%)</f>
        <v>2.9279879999999994E-2</v>
      </c>
      <c r="S17" s="156"/>
      <c r="T17" s="155"/>
      <c r="U17" s="155"/>
    </row>
    <row r="18" spans="2:21" s="55" customFormat="1" x14ac:dyDescent="0.3">
      <c r="B18" s="124" t="s">
        <v>517</v>
      </c>
      <c r="C18" s="132">
        <f>C6+C10+C14</f>
        <v>47.454265386000003</v>
      </c>
      <c r="D18" s="132">
        <f t="shared" ref="D18:E18" si="7">D6+D10+D14</f>
        <v>1.944</v>
      </c>
      <c r="E18" s="132">
        <f t="shared" si="7"/>
        <v>45.730242328999999</v>
      </c>
      <c r="F18" s="132">
        <f>F6+F10+F14</f>
        <v>91.240507715000007</v>
      </c>
      <c r="G18" s="133"/>
      <c r="H18" s="133"/>
      <c r="I18" s="133"/>
      <c r="J18" s="133"/>
      <c r="K18" s="133"/>
      <c r="L18" s="133"/>
      <c r="M18" s="133"/>
      <c r="O18" s="119">
        <f>O5</f>
        <v>47.454265386000003</v>
      </c>
      <c r="P18" s="148">
        <f>P5</f>
        <v>1.2973319999999999</v>
      </c>
      <c r="Q18" s="148">
        <f>Q5</f>
        <v>0.65066399999999991</v>
      </c>
      <c r="R18" s="148">
        <f>R5</f>
        <v>0</v>
      </c>
      <c r="S18" s="148"/>
      <c r="T18" s="148"/>
      <c r="U18" s="148"/>
    </row>
    <row r="19" spans="2:21" s="55" customFormat="1" x14ac:dyDescent="0.3">
      <c r="B19" s="124"/>
      <c r="C19" s="119"/>
      <c r="D19" s="119"/>
      <c r="E19" s="119"/>
      <c r="F19" s="119"/>
    </row>
    <row r="20" spans="2:21" s="121" customFormat="1" x14ac:dyDescent="0.3">
      <c r="O20" s="534"/>
      <c r="P20" s="567"/>
    </row>
    <row r="21" spans="2:21" s="55" customFormat="1" x14ac:dyDescent="0.3">
      <c r="B21" s="55" t="s">
        <v>506</v>
      </c>
    </row>
    <row r="22" spans="2:21" s="55" customFormat="1" x14ac:dyDescent="0.3">
      <c r="B22" s="116" t="s">
        <v>661</v>
      </c>
      <c r="O22" s="532"/>
      <c r="P22" s="526">
        <f>O18</f>
        <v>47.454265386000003</v>
      </c>
      <c r="Q22" s="526">
        <f>P25</f>
        <v>1.4</v>
      </c>
      <c r="R22" s="526">
        <f>Q25</f>
        <v>4.2666666666666675</v>
      </c>
      <c r="S22" s="526">
        <f t="shared" ref="S22:U22" si="8">R25</f>
        <v>2.844444444444445</v>
      </c>
      <c r="T22" s="526">
        <f t="shared" si="8"/>
        <v>1.8962962962962968</v>
      </c>
      <c r="U22" s="526">
        <f t="shared" si="8"/>
        <v>1.2641975308641977</v>
      </c>
    </row>
    <row r="23" spans="2:21" s="55" customFormat="1" x14ac:dyDescent="0.3">
      <c r="B23" s="116" t="s">
        <v>662</v>
      </c>
      <c r="O23" s="532"/>
      <c r="P23" s="526">
        <v>2.1</v>
      </c>
      <c r="Q23" s="526">
        <v>5</v>
      </c>
      <c r="R23" s="526"/>
      <c r="S23" s="526"/>
      <c r="T23" s="526"/>
      <c r="U23" s="526"/>
    </row>
    <row r="24" spans="2:21" x14ac:dyDescent="0.3">
      <c r="B24" s="116" t="s">
        <v>512</v>
      </c>
      <c r="O24" s="532"/>
      <c r="P24" s="526">
        <f>P23/3</f>
        <v>0.70000000000000007</v>
      </c>
      <c r="Q24" s="526">
        <f>(Q22+Q23)/3</f>
        <v>2.1333333333333333</v>
      </c>
      <c r="R24" s="526">
        <f>(R22+R23)/3</f>
        <v>1.4222222222222225</v>
      </c>
      <c r="S24" s="526">
        <f>(S22+S23)/3</f>
        <v>0.9481481481481483</v>
      </c>
      <c r="T24" s="526">
        <f>(T22+T23)/3</f>
        <v>0.63209876543209897</v>
      </c>
      <c r="U24" s="526">
        <f>(U22+U23)/3</f>
        <v>0.42139917695473256</v>
      </c>
    </row>
    <row r="25" spans="2:21" x14ac:dyDescent="0.3">
      <c r="B25" s="116" t="s">
        <v>519</v>
      </c>
      <c r="O25" s="532"/>
      <c r="P25" s="526">
        <f>P23-P24</f>
        <v>1.4</v>
      </c>
      <c r="Q25" s="526">
        <f>Q22+Q23-Q24</f>
        <v>4.2666666666666675</v>
      </c>
      <c r="R25" s="526">
        <f>R22+R23-R24</f>
        <v>2.844444444444445</v>
      </c>
      <c r="S25" s="526">
        <f t="shared" ref="S25:U25" si="9">S22+S23-S24</f>
        <v>1.8962962962962968</v>
      </c>
      <c r="T25" s="526">
        <f>T22+T23-T24</f>
        <v>1.2641975308641977</v>
      </c>
      <c r="U25" s="526">
        <f t="shared" si="9"/>
        <v>0.84279835390946523</v>
      </c>
    </row>
    <row r="26" spans="2:21" x14ac:dyDescent="0.3">
      <c r="B26" s="116" t="s">
        <v>513</v>
      </c>
      <c r="O26" s="532"/>
      <c r="P26" s="526">
        <f>9%*P25</f>
        <v>0.126</v>
      </c>
      <c r="Q26" s="526">
        <f>9%*Q25</f>
        <v>0.38400000000000006</v>
      </c>
      <c r="R26" s="526">
        <f t="shared" ref="R26:U26" si="10">9%*R25</f>
        <v>0.25600000000000006</v>
      </c>
      <c r="S26" s="526">
        <f t="shared" si="10"/>
        <v>0.17066666666666672</v>
      </c>
      <c r="T26" s="526">
        <f t="shared" si="10"/>
        <v>0.1137777777777778</v>
      </c>
      <c r="U26" s="526">
        <f t="shared" si="10"/>
        <v>7.5851851851851865E-2</v>
      </c>
    </row>
    <row r="28" spans="2:21" s="55" customFormat="1" x14ac:dyDescent="0.3">
      <c r="B28" s="55" t="s">
        <v>518</v>
      </c>
    </row>
    <row r="29" spans="2:21" x14ac:dyDescent="0.3">
      <c r="B29" s="116" t="s">
        <v>519</v>
      </c>
      <c r="O29" s="111">
        <f>O7+O11+O15</f>
        <v>47.454265386000003</v>
      </c>
      <c r="P29" s="531">
        <f>P7+P11+P15+P25</f>
        <v>2.6973319999999998</v>
      </c>
      <c r="Q29" s="531">
        <f>Q7+Q11+Q15+Q25</f>
        <v>4.9173306666666674</v>
      </c>
      <c r="R29" s="531">
        <f t="shared" ref="R29:U29" si="11">R7+R11+R15+R25</f>
        <v>2.844444444444445</v>
      </c>
      <c r="S29" s="531">
        <f t="shared" si="11"/>
        <v>1.8962962962962968</v>
      </c>
      <c r="T29" s="531">
        <f>T7+T11+T15+T25</f>
        <v>1.2641975308641977</v>
      </c>
      <c r="U29" s="531">
        <f t="shared" si="11"/>
        <v>0.84279835390946523</v>
      </c>
    </row>
    <row r="30" spans="2:21" x14ac:dyDescent="0.3">
      <c r="B30" s="116" t="s">
        <v>512</v>
      </c>
      <c r="O30" s="227">
        <f>O8+O12+O16</f>
        <v>31.312327673999995</v>
      </c>
      <c r="P30" s="222">
        <f>P8+P12+P16+P24</f>
        <v>46.856933386000001</v>
      </c>
      <c r="Q30" s="222">
        <f t="shared" ref="Q30:U30" si="12">Q8+Q12+Q16+Q24</f>
        <v>2.7800013333333333</v>
      </c>
      <c r="R30" s="222">
        <f t="shared" si="12"/>
        <v>2.0728862222222224</v>
      </c>
      <c r="S30" s="222">
        <f>S8+S12+S16+S24</f>
        <v>0.9481481481481483</v>
      </c>
      <c r="T30" s="222">
        <f t="shared" si="12"/>
        <v>0.63209876543209897</v>
      </c>
      <c r="U30" s="222">
        <f t="shared" si="12"/>
        <v>0.42139917695473256</v>
      </c>
    </row>
    <row r="31" spans="2:21" x14ac:dyDescent="0.3">
      <c r="B31" s="116" t="s">
        <v>513</v>
      </c>
      <c r="O31" s="227">
        <v>6.1545161190000002</v>
      </c>
      <c r="P31" s="222">
        <f>P9+P13+P17+P26</f>
        <v>2.1802392025585</v>
      </c>
      <c r="Q31" s="222">
        <f t="shared" ref="Q31:U31" si="13">Q9+Q13+Q17+Q26</f>
        <v>0.47165982000000006</v>
      </c>
      <c r="R31" s="222">
        <f t="shared" si="13"/>
        <v>0.28527988000000004</v>
      </c>
      <c r="S31" s="222">
        <f t="shared" si="13"/>
        <v>0.17066666666666672</v>
      </c>
      <c r="T31" s="222">
        <f t="shared" si="13"/>
        <v>0.1137777777777778</v>
      </c>
      <c r="U31" s="222">
        <f t="shared" si="13"/>
        <v>7.5851851851851865E-2</v>
      </c>
    </row>
  </sheetData>
  <mergeCells count="1">
    <mergeCell ref="C2:M2"/>
  </mergeCells>
  <pageMargins left="0.7" right="0.7" top="0.75" bottom="0.75" header="0.3" footer="0.3"/>
  <legacy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3" tint="-0.499984740745262"/>
  </sheetPr>
  <dimension ref="B1:U251"/>
  <sheetViews>
    <sheetView zoomScale="115" zoomScaleNormal="115" zoomScalePageLayoutView="115" workbookViewId="0">
      <pane xSplit="2" ySplit="3" topLeftCell="I109" activePane="bottomRight" state="frozen"/>
      <selection pane="topRight" activeCell="C1" sqref="C1"/>
      <selection pane="bottomLeft" activeCell="A4" sqref="A4"/>
      <selection pane="bottomRight" activeCell="T109" sqref="T109"/>
    </sheetView>
  </sheetViews>
  <sheetFormatPr defaultColWidth="8.88671875" defaultRowHeight="14.4" x14ac:dyDescent="0.3"/>
  <cols>
    <col min="1" max="1" width="8.88671875" style="54"/>
    <col min="2" max="2" width="41.6640625" style="54" bestFit="1" customWidth="1"/>
    <col min="3" max="3" width="5.6640625" style="54" customWidth="1"/>
    <col min="4" max="5" width="12" style="54" bestFit="1" customWidth="1"/>
    <col min="6" max="6" width="11.109375" style="54" bestFit="1" customWidth="1"/>
    <col min="7" max="7" width="10.6640625" style="54" bestFit="1" customWidth="1"/>
    <col min="8" max="10" width="11.44140625" style="54" bestFit="1" customWidth="1"/>
    <col min="11" max="11" width="8.33203125" style="54" bestFit="1" customWidth="1"/>
    <col min="12" max="12" width="8.6640625" style="54" customWidth="1"/>
    <col min="13" max="13" width="8.109375" style="54" customWidth="1"/>
    <col min="14" max="19" width="9.44140625" style="54" customWidth="1"/>
    <col min="20" max="20" width="35.6640625" style="54" customWidth="1"/>
    <col min="21" max="16384" width="8.88671875" style="54"/>
  </cols>
  <sheetData>
    <row r="1" spans="2:21" x14ac:dyDescent="0.3">
      <c r="M1" s="227"/>
    </row>
    <row r="2" spans="2:21" x14ac:dyDescent="0.3">
      <c r="B2" s="56"/>
      <c r="C2" s="56"/>
      <c r="D2" s="56"/>
      <c r="E2" s="56"/>
      <c r="F2" s="56"/>
      <c r="G2" s="56"/>
      <c r="H2" s="56"/>
      <c r="I2" s="56"/>
      <c r="J2" s="56"/>
      <c r="K2" s="56"/>
      <c r="L2" s="56"/>
      <c r="M2" s="56"/>
      <c r="N2" s="224" t="str">
        <f ca="1">IF(TODAY()&lt;N3,"Proj","")</f>
        <v/>
      </c>
      <c r="O2" s="224" t="str">
        <f t="shared" ref="O2:S2" ca="1" si="0">IF(TODAY()&lt;O3,"Proj","")</f>
        <v/>
      </c>
      <c r="P2" s="224" t="str">
        <f t="shared" ca="1" si="0"/>
        <v/>
      </c>
      <c r="Q2" s="224" t="str">
        <f t="shared" ca="1" si="0"/>
        <v/>
      </c>
      <c r="R2" s="224" t="str">
        <f t="shared" ca="1" si="0"/>
        <v/>
      </c>
      <c r="S2" s="224" t="str">
        <f t="shared" ca="1" si="0"/>
        <v>Proj</v>
      </c>
      <c r="T2" s="346" t="s">
        <v>1</v>
      </c>
    </row>
    <row r="3" spans="2:21" s="55" customFormat="1" x14ac:dyDescent="0.3">
      <c r="B3" s="1" t="s">
        <v>0</v>
      </c>
      <c r="C3" s="100"/>
      <c r="D3" s="225">
        <v>39447</v>
      </c>
      <c r="E3" s="225">
        <v>39813</v>
      </c>
      <c r="F3" s="225">
        <v>40178</v>
      </c>
      <c r="G3" s="225">
        <v>40543</v>
      </c>
      <c r="H3" s="225">
        <v>40908</v>
      </c>
      <c r="I3" s="225">
        <v>41274</v>
      </c>
      <c r="J3" s="225">
        <v>41639</v>
      </c>
      <c r="K3" s="225">
        <v>42004</v>
      </c>
      <c r="L3" s="225">
        <v>42369</v>
      </c>
      <c r="M3" s="225">
        <v>42735</v>
      </c>
      <c r="N3" s="225">
        <v>43100</v>
      </c>
      <c r="O3" s="225">
        <v>43465</v>
      </c>
      <c r="P3" s="225">
        <v>43830</v>
      </c>
      <c r="Q3" s="225">
        <v>44196</v>
      </c>
      <c r="R3" s="225">
        <v>44561</v>
      </c>
      <c r="S3" s="225">
        <v>44926</v>
      </c>
      <c r="T3" s="225"/>
      <c r="U3" s="226"/>
    </row>
    <row r="5" spans="2:21" x14ac:dyDescent="0.3">
      <c r="B5" s="54" t="s">
        <v>2</v>
      </c>
      <c r="D5" s="227">
        <f>InIS!C7/10^9</f>
        <v>0</v>
      </c>
      <c r="E5" s="227">
        <f>InIS!D7/10^9</f>
        <v>7.8663824360000003</v>
      </c>
      <c r="F5" s="227">
        <f>InIS!E7/10^9</f>
        <v>75.687354268999997</v>
      </c>
      <c r="G5" s="227">
        <f>InIS!F7/10^9</f>
        <v>285.40842659899999</v>
      </c>
      <c r="H5" s="227">
        <f>InIS!G7/10^9</f>
        <v>731.81939765599998</v>
      </c>
      <c r="I5" s="227">
        <f>InIS!H7/10^9</f>
        <v>801.188394926</v>
      </c>
      <c r="J5" s="227">
        <f>InIS!I7/10^9</f>
        <v>949.78055784599997</v>
      </c>
      <c r="K5" s="227">
        <f>InIS!J7/10^9</f>
        <v>1085.5814541719999</v>
      </c>
      <c r="L5" s="227">
        <f>InIS!K7/10^9</f>
        <v>950.20789748599998</v>
      </c>
      <c r="M5" s="227">
        <f>InIS!L7/10^9</f>
        <v>890.56689622900001</v>
      </c>
      <c r="N5" s="144"/>
      <c r="O5" s="144"/>
      <c r="P5" s="144"/>
      <c r="Q5" s="144"/>
      <c r="R5" s="144"/>
      <c r="S5" s="144"/>
    </row>
    <row r="6" spans="2:21" x14ac:dyDescent="0.3">
      <c r="B6" s="311" t="s">
        <v>3</v>
      </c>
      <c r="C6" s="232"/>
      <c r="D6" s="347" t="s">
        <v>121</v>
      </c>
      <c r="E6" s="347" t="s">
        <v>121</v>
      </c>
      <c r="F6" s="278">
        <f>F5/E5-1</f>
        <v>8.6216214867232512</v>
      </c>
      <c r="G6" s="278">
        <f t="shared" ref="G6:M6" si="1">G5/F5-1</f>
        <v>2.7708865550331105</v>
      </c>
      <c r="H6" s="278">
        <f t="shared" si="1"/>
        <v>1.5641127922414473</v>
      </c>
      <c r="I6" s="278">
        <f t="shared" si="1"/>
        <v>9.4789776674664816E-2</v>
      </c>
      <c r="J6" s="278">
        <f t="shared" si="1"/>
        <v>0.18546469701888824</v>
      </c>
      <c r="K6" s="278">
        <f t="shared" si="1"/>
        <v>0.14298133943063829</v>
      </c>
      <c r="L6" s="278">
        <f t="shared" si="1"/>
        <v>-0.12470142720819855</v>
      </c>
      <c r="M6" s="278">
        <f t="shared" si="1"/>
        <v>-6.2766265587556491E-2</v>
      </c>
      <c r="N6" s="216">
        <f>IF(N7,N7/M7-1,0)</f>
        <v>0.25893849600715635</v>
      </c>
      <c r="O6" s="216">
        <f>IF(O7,O7/N7-1,0)</f>
        <v>0.13989840477675797</v>
      </c>
      <c r="P6" s="216">
        <f t="shared" ref="P6:S6" si="2">IF(P7,P7/O7-1,0)</f>
        <v>4.0819838056680213E-2</v>
      </c>
      <c r="Q6" s="216">
        <f t="shared" si="2"/>
        <v>3.1086956521738873E-2</v>
      </c>
      <c r="R6" s="216">
        <f t="shared" si="2"/>
        <v>0.12469208211143701</v>
      </c>
      <c r="S6" s="216">
        <f t="shared" si="2"/>
        <v>3.0851063829787195E-2</v>
      </c>
      <c r="T6" s="348"/>
    </row>
    <row r="7" spans="2:21" x14ac:dyDescent="0.3">
      <c r="B7" s="55" t="s">
        <v>2</v>
      </c>
      <c r="D7" s="233">
        <f>D5</f>
        <v>0</v>
      </c>
      <c r="E7" s="233">
        <f t="shared" ref="E7:L7" si="3">E5</f>
        <v>7.8663824360000003</v>
      </c>
      <c r="F7" s="233">
        <f t="shared" si="3"/>
        <v>75.687354268999997</v>
      </c>
      <c r="G7" s="233">
        <f t="shared" si="3"/>
        <v>285.40842659899999</v>
      </c>
      <c r="H7" s="233">
        <f t="shared" si="3"/>
        <v>731.81939765599998</v>
      </c>
      <c r="I7" s="233">
        <f t="shared" si="3"/>
        <v>801.188394926</v>
      </c>
      <c r="J7" s="233">
        <f t="shared" si="3"/>
        <v>949.78055784599997</v>
      </c>
      <c r="K7" s="233">
        <f t="shared" si="3"/>
        <v>1085.5814541719999</v>
      </c>
      <c r="L7" s="233">
        <f t="shared" si="3"/>
        <v>950.20789748599998</v>
      </c>
      <c r="M7" s="233">
        <f>M5</f>
        <v>890.56689622900001</v>
      </c>
      <c r="N7" s="349">
        <f>'Revenue Forecast'!N$18</f>
        <v>1121.1689489322985</v>
      </c>
      <c r="O7" s="349">
        <f>'Revenue Forecast'!O$18</f>
        <v>1278.0186963731614</v>
      </c>
      <c r="P7" s="349">
        <f>'Revenue Forecast'!P$18</f>
        <v>1330.1872125925233</v>
      </c>
      <c r="Q7" s="349">
        <f>'Revenue Forecast'!Q$18</f>
        <v>1371.5386846361603</v>
      </c>
      <c r="R7" s="349">
        <f>'Revenue Forecast'!R$18</f>
        <v>1542.5586989198246</v>
      </c>
      <c r="S7" s="349">
        <f>'Revenue Forecast'!S$18</f>
        <v>1590.1482758013935</v>
      </c>
      <c r="T7" s="528" t="s">
        <v>664</v>
      </c>
    </row>
    <row r="8" spans="2:21" x14ac:dyDescent="0.3">
      <c r="M8" s="102"/>
    </row>
    <row r="9" spans="2:21" x14ac:dyDescent="0.3">
      <c r="B9" s="54" t="s">
        <v>122</v>
      </c>
      <c r="D9" s="227">
        <f>-InIS!C8/10^9</f>
        <v>0</v>
      </c>
      <c r="E9" s="227">
        <f>-InIS!D8/10^9</f>
        <v>7.1021019570000004</v>
      </c>
      <c r="F9" s="227">
        <f>-InIS!E8/10^9</f>
        <v>50.606568004000003</v>
      </c>
      <c r="G9" s="227">
        <f>-InIS!F8/10^9</f>
        <v>153.935070048</v>
      </c>
      <c r="H9" s="227">
        <f>-InIS!G8/10^9</f>
        <v>455.53848665100003</v>
      </c>
      <c r="I9" s="227">
        <f>-InIS!H8/10^9</f>
        <v>616.16746400500006</v>
      </c>
      <c r="J9" s="227">
        <f>-InIS!I8/10^9</f>
        <v>744.29081562099998</v>
      </c>
      <c r="K9" s="227">
        <f>-InIS!J8/10^9</f>
        <v>856.05329601000005</v>
      </c>
      <c r="L9" s="227">
        <f>-InIS!K8/10^9</f>
        <v>717.53476447699995</v>
      </c>
      <c r="M9" s="227">
        <f>-InIS!L8/10^9</f>
        <v>652.06300767100004</v>
      </c>
      <c r="N9" s="144"/>
      <c r="O9" s="144"/>
      <c r="P9" s="144"/>
      <c r="Q9" s="144"/>
      <c r="R9" s="144"/>
      <c r="S9" s="144"/>
    </row>
    <row r="10" spans="2:21" x14ac:dyDescent="0.3">
      <c r="B10" s="307" t="s">
        <v>123</v>
      </c>
      <c r="D10" s="350" t="s">
        <v>121</v>
      </c>
      <c r="E10" s="102">
        <f>E9/E5</f>
        <v>0.90284219141160504</v>
      </c>
      <c r="F10" s="102">
        <f t="shared" ref="F10:M10" si="4">F9/F5</f>
        <v>0.66862646333414544</v>
      </c>
      <c r="G10" s="102">
        <f t="shared" si="4"/>
        <v>0.53935012319828735</v>
      </c>
      <c r="H10" s="102">
        <f t="shared" si="4"/>
        <v>0.62247391652924056</v>
      </c>
      <c r="I10" s="102">
        <f t="shared" si="4"/>
        <v>0.76906688602486684</v>
      </c>
      <c r="J10" s="102">
        <f t="shared" si="4"/>
        <v>0.78364503197346069</v>
      </c>
      <c r="K10" s="102">
        <f t="shared" si="4"/>
        <v>0.78856661811981055</v>
      </c>
      <c r="L10" s="102">
        <f t="shared" si="4"/>
        <v>0.75513449885589046</v>
      </c>
      <c r="M10" s="102">
        <f t="shared" si="4"/>
        <v>0.73218868838723239</v>
      </c>
      <c r="N10" s="217">
        <f>IF(N$7,N11/N$7,0)</f>
        <v>0.77534843061634839</v>
      </c>
      <c r="O10" s="217">
        <f t="shared" ref="O10:S10" si="5">IF(O$7,O11/O$7,0)</f>
        <v>0.79782063352609522</v>
      </c>
      <c r="P10" s="217">
        <f t="shared" si="5"/>
        <v>0.81299454245366909</v>
      </c>
      <c r="Q10" s="217">
        <f t="shared" si="5"/>
        <v>0.83926088658550502</v>
      </c>
      <c r="R10" s="217">
        <f t="shared" si="5"/>
        <v>0.84435522294473542</v>
      </c>
      <c r="S10" s="217">
        <f t="shared" si="5"/>
        <v>0.86023900730324987</v>
      </c>
    </row>
    <row r="11" spans="2:21" s="55" customFormat="1" x14ac:dyDescent="0.3">
      <c r="B11" s="351" t="s">
        <v>122</v>
      </c>
      <c r="C11" s="237"/>
      <c r="D11" s="239">
        <f>D9</f>
        <v>0</v>
      </c>
      <c r="E11" s="239">
        <f t="shared" ref="E11:M11" si="6">E9</f>
        <v>7.1021019570000004</v>
      </c>
      <c r="F11" s="239">
        <f t="shared" si="6"/>
        <v>50.606568004000003</v>
      </c>
      <c r="G11" s="239">
        <f t="shared" si="6"/>
        <v>153.935070048</v>
      </c>
      <c r="H11" s="239">
        <f t="shared" si="6"/>
        <v>455.53848665100003</v>
      </c>
      <c r="I11" s="239">
        <f t="shared" si="6"/>
        <v>616.16746400500006</v>
      </c>
      <c r="J11" s="239">
        <f t="shared" si="6"/>
        <v>744.29081562099998</v>
      </c>
      <c r="K11" s="239">
        <f t="shared" si="6"/>
        <v>856.05329601000005</v>
      </c>
      <c r="L11" s="239">
        <f t="shared" si="6"/>
        <v>717.53476447699995</v>
      </c>
      <c r="M11" s="239">
        <f t="shared" si="6"/>
        <v>652.06300767100004</v>
      </c>
      <c r="N11" s="356">
        <f>'Revenue Forecast'!N85</f>
        <v>869.29658501043843</v>
      </c>
      <c r="O11" s="356">
        <f>'Revenue Forecast'!O85</f>
        <v>1019.62968599863</v>
      </c>
      <c r="P11" s="356">
        <f>'Revenue Forecast'!P85</f>
        <v>1081.43494427938</v>
      </c>
      <c r="Q11" s="356">
        <f>'Revenue Forecast'!Q85</f>
        <v>1151.0787724540612</v>
      </c>
      <c r="R11" s="356">
        <f>'Revenue Forecast'!R85</f>
        <v>1302.4674941317894</v>
      </c>
      <c r="S11" s="356">
        <f>'Revenue Forecast'!S85</f>
        <v>1367.9075742403652</v>
      </c>
      <c r="T11" s="529" t="s">
        <v>664</v>
      </c>
    </row>
    <row r="12" spans="2:21" x14ac:dyDescent="0.3">
      <c r="B12" s="56"/>
      <c r="C12" s="56"/>
      <c r="D12" s="56"/>
      <c r="E12" s="56"/>
      <c r="F12" s="56"/>
      <c r="G12" s="56"/>
      <c r="H12" s="56"/>
      <c r="I12" s="56"/>
      <c r="J12" s="56"/>
      <c r="K12" s="56"/>
      <c r="L12" s="56"/>
      <c r="M12" s="56"/>
      <c r="N12" s="573"/>
      <c r="O12" s="56"/>
      <c r="P12" s="56"/>
      <c r="Q12" s="56"/>
      <c r="R12" s="56"/>
      <c r="S12" s="56"/>
      <c r="T12" s="56"/>
    </row>
    <row r="13" spans="2:21" s="55" customFormat="1" x14ac:dyDescent="0.3">
      <c r="B13" s="55" t="s">
        <v>124</v>
      </c>
      <c r="D13" s="233">
        <f>D7-D11</f>
        <v>0</v>
      </c>
      <c r="E13" s="233">
        <f t="shared" ref="E13:L13" si="7">E7-E11</f>
        <v>0.76428047899999996</v>
      </c>
      <c r="F13" s="233">
        <f t="shared" si="7"/>
        <v>25.080786264999993</v>
      </c>
      <c r="G13" s="233">
        <f t="shared" si="7"/>
        <v>131.47335655099999</v>
      </c>
      <c r="H13" s="233">
        <f t="shared" si="7"/>
        <v>276.28091100499995</v>
      </c>
      <c r="I13" s="233">
        <f t="shared" si="7"/>
        <v>185.02093092099994</v>
      </c>
      <c r="J13" s="233">
        <f t="shared" si="7"/>
        <v>205.48974222499999</v>
      </c>
      <c r="K13" s="233">
        <f t="shared" si="7"/>
        <v>229.52815816199984</v>
      </c>
      <c r="L13" s="233">
        <f t="shared" si="7"/>
        <v>232.67313300900003</v>
      </c>
      <c r="M13" s="233">
        <f>M7-M11</f>
        <v>238.50388855799997</v>
      </c>
      <c r="N13" s="246">
        <f>N7-N11</f>
        <v>251.87236392186003</v>
      </c>
      <c r="O13" s="246">
        <f t="shared" ref="O13:S13" si="8">O7-O11</f>
        <v>258.38901037453149</v>
      </c>
      <c r="P13" s="246">
        <f t="shared" si="8"/>
        <v>248.7522683131433</v>
      </c>
      <c r="Q13" s="246">
        <f t="shared" si="8"/>
        <v>220.45991218209906</v>
      </c>
      <c r="R13" s="246">
        <f t="shared" si="8"/>
        <v>240.09120478803516</v>
      </c>
      <c r="S13" s="246">
        <f t="shared" si="8"/>
        <v>222.24070156102835</v>
      </c>
    </row>
    <row r="14" spans="2:21" x14ac:dyDescent="0.3">
      <c r="B14" s="54" t="s">
        <v>125</v>
      </c>
      <c r="D14" s="352" t="s">
        <v>121</v>
      </c>
      <c r="E14" s="102">
        <f>E13/E7</f>
        <v>9.7157808588394942E-2</v>
      </c>
      <c r="F14" s="102">
        <f t="shared" ref="F14:S14" si="9">F13/F7</f>
        <v>0.33137353666585456</v>
      </c>
      <c r="G14" s="102">
        <f t="shared" si="9"/>
        <v>0.46064987680171265</v>
      </c>
      <c r="H14" s="102">
        <f t="shared" si="9"/>
        <v>0.37752608347075944</v>
      </c>
      <c r="I14" s="102">
        <f t="shared" si="9"/>
        <v>0.23093311397513314</v>
      </c>
      <c r="J14" s="102">
        <f t="shared" si="9"/>
        <v>0.21635496802653931</v>
      </c>
      <c r="K14" s="102">
        <f t="shared" si="9"/>
        <v>0.21143338188018945</v>
      </c>
      <c r="L14" s="102">
        <f t="shared" si="9"/>
        <v>0.24486550114410952</v>
      </c>
      <c r="M14" s="102">
        <f>M13/M7</f>
        <v>0.26781131161276756</v>
      </c>
      <c r="N14" s="217">
        <f>N13/N7</f>
        <v>0.22465156938365163</v>
      </c>
      <c r="O14" s="217">
        <f t="shared" si="9"/>
        <v>0.2021793664739048</v>
      </c>
      <c r="P14" s="217">
        <f t="shared" si="9"/>
        <v>0.18700545754633086</v>
      </c>
      <c r="Q14" s="217">
        <f t="shared" si="9"/>
        <v>0.16073911341449501</v>
      </c>
      <c r="R14" s="217">
        <f t="shared" si="9"/>
        <v>0.15564477705526461</v>
      </c>
      <c r="S14" s="217">
        <f t="shared" si="9"/>
        <v>0.1397609926967501</v>
      </c>
    </row>
    <row r="16" spans="2:21" x14ac:dyDescent="0.3">
      <c r="B16" s="54" t="s">
        <v>126</v>
      </c>
      <c r="D16" s="227">
        <f>D18+D20</f>
        <v>1.756015525</v>
      </c>
      <c r="E16" s="227">
        <f t="shared" ref="E16:L16" si="10">E18+E20</f>
        <v>5.8587474439999996</v>
      </c>
      <c r="F16" s="227">
        <f t="shared" si="10"/>
        <v>9.534919476999999</v>
      </c>
      <c r="G16" s="227">
        <f t="shared" si="10"/>
        <v>20.826578395000002</v>
      </c>
      <c r="H16" s="227">
        <f t="shared" si="10"/>
        <v>32.701440634000001</v>
      </c>
      <c r="I16" s="227">
        <f t="shared" si="10"/>
        <v>46.833108553000002</v>
      </c>
      <c r="J16" s="227">
        <f t="shared" si="10"/>
        <v>71.249858328000002</v>
      </c>
      <c r="K16" s="227">
        <f t="shared" si="10"/>
        <v>100.176682223</v>
      </c>
      <c r="L16" s="227">
        <f t="shared" si="10"/>
        <v>89.005143918999991</v>
      </c>
      <c r="M16" s="227">
        <f>M18+M20</f>
        <v>89.303444600999995</v>
      </c>
      <c r="N16" s="222">
        <f t="shared" ref="N16:S16" si="11">N18+N20</f>
        <v>105.85266020184608</v>
      </c>
      <c r="O16" s="222">
        <f t="shared" si="11"/>
        <v>121.57015345267835</v>
      </c>
      <c r="P16" s="222">
        <f t="shared" si="11"/>
        <v>127.79494540969336</v>
      </c>
      <c r="Q16" s="222">
        <f t="shared" si="11"/>
        <v>130.57486739771792</v>
      </c>
      <c r="R16" s="222">
        <f t="shared" si="11"/>
        <v>147.2629488038022</v>
      </c>
      <c r="S16" s="222">
        <f t="shared" si="11"/>
        <v>151.98784195921098</v>
      </c>
    </row>
    <row r="17" spans="2:20" x14ac:dyDescent="0.3">
      <c r="B17" s="307" t="s">
        <v>123</v>
      </c>
      <c r="D17" s="352" t="s">
        <v>121</v>
      </c>
      <c r="E17" s="102">
        <f t="shared" ref="E17:L17" si="12">E16/E7</f>
        <v>0.74478294078200591</v>
      </c>
      <c r="F17" s="102">
        <f t="shared" si="12"/>
        <v>0.12597770881397169</v>
      </c>
      <c r="G17" s="102">
        <f t="shared" si="12"/>
        <v>7.2971140492153128E-2</v>
      </c>
      <c r="H17" s="102">
        <f t="shared" si="12"/>
        <v>4.4685124142297861E-2</v>
      </c>
      <c r="I17" s="102">
        <f t="shared" si="12"/>
        <v>5.8454551825261575E-2</v>
      </c>
      <c r="J17" s="102">
        <f t="shared" si="12"/>
        <v>7.5017179220415939E-2</v>
      </c>
      <c r="K17" s="102">
        <f t="shared" si="12"/>
        <v>9.2279286679051886E-2</v>
      </c>
      <c r="L17" s="102">
        <f t="shared" si="12"/>
        <v>9.3669126676892686E-2</v>
      </c>
      <c r="M17" s="102">
        <f>M16/M7</f>
        <v>0.10027707629729428</v>
      </c>
      <c r="N17" s="217">
        <f>IF(N$7,N16/N$7,0)</f>
        <v>9.4412764733317611E-2</v>
      </c>
      <c r="O17" s="217">
        <f t="shared" ref="O17:S17" si="13">IF(O$7,O16/O$7,0)</f>
        <v>9.5123924084739506E-2</v>
      </c>
      <c r="P17" s="217">
        <f t="shared" si="13"/>
        <v>9.6072901768933794E-2</v>
      </c>
      <c r="Q17" s="217">
        <f t="shared" si="13"/>
        <v>9.5203196862330308E-2</v>
      </c>
      <c r="R17" s="217">
        <f t="shared" si="13"/>
        <v>9.5466674238667851E-2</v>
      </c>
      <c r="S17" s="217">
        <f t="shared" si="13"/>
        <v>9.5580924289977331E-2</v>
      </c>
    </row>
    <row r="18" spans="2:20" x14ac:dyDescent="0.3">
      <c r="B18" s="307" t="s">
        <v>127</v>
      </c>
      <c r="D18" s="227">
        <f>-InIS!C13/10^9</f>
        <v>0</v>
      </c>
      <c r="E18" s="227">
        <f>-InIS!D13/10^9</f>
        <v>1.7572710600000001</v>
      </c>
      <c r="F18" s="227">
        <f>-InIS!E13/10^9</f>
        <v>1.9313923150000001</v>
      </c>
      <c r="G18" s="227">
        <f>-InIS!F13/10^9</f>
        <v>2.782423761</v>
      </c>
      <c r="H18" s="227">
        <f>-InIS!G13/10^9</f>
        <v>6.2012417260000001</v>
      </c>
      <c r="I18" s="227">
        <f>-InIS!H13/10^9</f>
        <v>7.2871685279999996</v>
      </c>
      <c r="J18" s="227">
        <f>-InIS!I13/10^9</f>
        <v>11.805904561</v>
      </c>
      <c r="K18" s="227">
        <f>-InIS!J13/10^9</f>
        <v>10.767950065000001</v>
      </c>
      <c r="L18" s="227">
        <f>-InIS!K13/10^9</f>
        <v>18.784468100000002</v>
      </c>
      <c r="M18" s="227">
        <f>-InIS!L13/10^9</f>
        <v>26.332102519999999</v>
      </c>
      <c r="N18" s="222">
        <f>'Revenue Forecast'!N108</f>
        <v>22.14520159946705</v>
      </c>
      <c r="O18" s="222">
        <f>'Revenue Forecast'!O108</f>
        <v>29.432124283141452</v>
      </c>
      <c r="P18" s="222">
        <f>'Revenue Forecast'!P108</f>
        <v>32.079317616343062</v>
      </c>
      <c r="Q18" s="222">
        <f>'Revenue Forecast'!Q108</f>
        <v>30.584294813161609</v>
      </c>
      <c r="R18" s="222">
        <f>'Revenue Forecast'!R108</f>
        <v>35.707737608398574</v>
      </c>
      <c r="S18" s="222">
        <f>'Revenue Forecast'!S108</f>
        <v>36.872375516304274</v>
      </c>
      <c r="T18" s="530" t="s">
        <v>664</v>
      </c>
    </row>
    <row r="19" spans="2:20" x14ac:dyDescent="0.3">
      <c r="B19" s="353" t="s">
        <v>123</v>
      </c>
      <c r="D19" s="352" t="s">
        <v>121</v>
      </c>
      <c r="E19" s="102">
        <f>E18/E7</f>
        <v>0.22338998571413976</v>
      </c>
      <c r="F19" s="102">
        <f t="shared" ref="F19:M19" si="14">F18/F7</f>
        <v>2.55180318251798E-2</v>
      </c>
      <c r="G19" s="102">
        <f t="shared" si="14"/>
        <v>9.7489194490718977E-3</v>
      </c>
      <c r="H19" s="102">
        <f t="shared" si="14"/>
        <v>8.4737323796860668E-3</v>
      </c>
      <c r="I19" s="102">
        <f t="shared" si="14"/>
        <v>9.095449427563242E-3</v>
      </c>
      <c r="J19" s="102">
        <f t="shared" si="14"/>
        <v>1.2430139218446965E-2</v>
      </c>
      <c r="K19" s="102">
        <f t="shared" si="14"/>
        <v>9.919062290183453E-3</v>
      </c>
      <c r="L19" s="102">
        <f t="shared" si="14"/>
        <v>1.9768798122704264E-2</v>
      </c>
      <c r="M19" s="102">
        <f t="shared" si="14"/>
        <v>2.9567798479260981E-2</v>
      </c>
      <c r="N19" s="217">
        <f>IF(N$7,N18/N$7,0)</f>
        <v>1.9751886297382896E-2</v>
      </c>
      <c r="O19" s="217">
        <f t="shared" ref="O19:S19" si="15">IF(O$7,O18/O$7,0)</f>
        <v>2.302949429978271E-2</v>
      </c>
      <c r="P19" s="217">
        <f t="shared" si="15"/>
        <v>2.4116393025475528E-2</v>
      </c>
      <c r="Q19" s="217">
        <f t="shared" si="15"/>
        <v>2.2299257874213708E-2</v>
      </c>
      <c r="R19" s="217">
        <f t="shared" si="15"/>
        <v>2.3148381733157312E-2</v>
      </c>
      <c r="S19" s="217">
        <f t="shared" si="15"/>
        <v>2.3188010877615517E-2</v>
      </c>
    </row>
    <row r="20" spans="2:20" x14ac:dyDescent="0.3">
      <c r="B20" s="307" t="s">
        <v>128</v>
      </c>
      <c r="D20" s="227">
        <f>-InIS!C14/10^9</f>
        <v>1.756015525</v>
      </c>
      <c r="E20" s="227">
        <f>-InIS!D14/10^9</f>
        <v>4.1014763839999997</v>
      </c>
      <c r="F20" s="227">
        <f>-InIS!E14/10^9</f>
        <v>7.6035271619999998</v>
      </c>
      <c r="G20" s="227">
        <f>-InIS!F14/10^9</f>
        <v>18.044154634000002</v>
      </c>
      <c r="H20" s="227">
        <f>-InIS!G14/10^9</f>
        <v>26.500198908000002</v>
      </c>
      <c r="I20" s="227">
        <f>-InIS!H14/10^9</f>
        <v>39.545940025</v>
      </c>
      <c r="J20" s="227">
        <f>-InIS!I14/10^9</f>
        <v>59.443953766999996</v>
      </c>
      <c r="K20" s="227">
        <f>-InIS!J14/10^9</f>
        <v>89.408732158000007</v>
      </c>
      <c r="L20" s="227">
        <f>-InIS!K14/10^9</f>
        <v>70.220675818999993</v>
      </c>
      <c r="M20" s="227">
        <f>-InIS!L14/10^9</f>
        <v>62.971342081000003</v>
      </c>
      <c r="N20" s="222">
        <f>'Revenue Forecast'!N100</f>
        <v>83.70745860237902</v>
      </c>
      <c r="O20" s="222">
        <f>'Revenue Forecast'!O100</f>
        <v>92.138029169536907</v>
      </c>
      <c r="P20" s="222">
        <f>'Revenue Forecast'!P100</f>
        <v>95.715627793350293</v>
      </c>
      <c r="Q20" s="222">
        <f>'Revenue Forecast'!Q100</f>
        <v>99.990572584556304</v>
      </c>
      <c r="R20" s="222">
        <f>'Revenue Forecast'!R100</f>
        <v>111.55521119540364</v>
      </c>
      <c r="S20" s="222">
        <f>'Revenue Forecast'!S100</f>
        <v>115.11546644290669</v>
      </c>
      <c r="T20" s="530" t="s">
        <v>664</v>
      </c>
    </row>
    <row r="21" spans="2:20" x14ac:dyDescent="0.3">
      <c r="B21" s="353" t="s">
        <v>123</v>
      </c>
      <c r="D21" s="350" t="s">
        <v>121</v>
      </c>
      <c r="E21" s="102">
        <f>E20/E7</f>
        <v>0.5213929550678662</v>
      </c>
      <c r="F21" s="102">
        <f t="shared" ref="F21:M21" si="16">F20/F7</f>
        <v>0.10045967698879191</v>
      </c>
      <c r="G21" s="102">
        <f t="shared" si="16"/>
        <v>6.3222221043081228E-2</v>
      </c>
      <c r="H21" s="102">
        <f t="shared" si="16"/>
        <v>3.6211391762611796E-2</v>
      </c>
      <c r="I21" s="102">
        <f t="shared" si="16"/>
        <v>4.9359102397698328E-2</v>
      </c>
      <c r="J21" s="102">
        <f t="shared" si="16"/>
        <v>6.2587040001968963E-2</v>
      </c>
      <c r="K21" s="102">
        <f t="shared" si="16"/>
        <v>8.2360224388868433E-2</v>
      </c>
      <c r="L21" s="102">
        <f t="shared" si="16"/>
        <v>7.3900328554188432E-2</v>
      </c>
      <c r="M21" s="102">
        <f t="shared" si="16"/>
        <v>7.0709277818033309E-2</v>
      </c>
      <c r="N21" s="287">
        <f>IF(N$7,N20/N$7,0)</f>
        <v>7.4660878435934705E-2</v>
      </c>
      <c r="O21" s="287">
        <f t="shared" ref="O21:S21" si="17">IF(O$7,O20/O$7,0)</f>
        <v>7.2094429784956796E-2</v>
      </c>
      <c r="P21" s="287">
        <f t="shared" si="17"/>
        <v>7.195650874345827E-2</v>
      </c>
      <c r="Q21" s="287">
        <f t="shared" si="17"/>
        <v>7.290393898811659E-2</v>
      </c>
      <c r="R21" s="287">
        <f t="shared" si="17"/>
        <v>7.2318292505510542E-2</v>
      </c>
      <c r="S21" s="287">
        <f t="shared" si="17"/>
        <v>7.2392913412361801E-2</v>
      </c>
    </row>
    <row r="22" spans="2:20" s="55" customFormat="1" x14ac:dyDescent="0.3">
      <c r="B22" s="351" t="s">
        <v>126</v>
      </c>
      <c r="C22" s="237"/>
      <c r="D22" s="239">
        <f>D16</f>
        <v>1.756015525</v>
      </c>
      <c r="E22" s="239">
        <f t="shared" ref="E22:L22" si="18">E16</f>
        <v>5.8587474439999996</v>
      </c>
      <c r="F22" s="239">
        <f t="shared" si="18"/>
        <v>9.534919476999999</v>
      </c>
      <c r="G22" s="239">
        <f t="shared" si="18"/>
        <v>20.826578395000002</v>
      </c>
      <c r="H22" s="239">
        <f t="shared" si="18"/>
        <v>32.701440634000001</v>
      </c>
      <c r="I22" s="239">
        <f t="shared" si="18"/>
        <v>46.833108553000002</v>
      </c>
      <c r="J22" s="239">
        <f t="shared" si="18"/>
        <v>71.249858328000002</v>
      </c>
      <c r="K22" s="239">
        <f t="shared" si="18"/>
        <v>100.176682223</v>
      </c>
      <c r="L22" s="239">
        <f t="shared" si="18"/>
        <v>89.005143918999991</v>
      </c>
      <c r="M22" s="239">
        <f>M16</f>
        <v>89.303444600999995</v>
      </c>
      <c r="N22" s="239">
        <f t="shared" ref="N22:S22" si="19">N16</f>
        <v>105.85266020184608</v>
      </c>
      <c r="O22" s="239">
        <f t="shared" si="19"/>
        <v>121.57015345267835</v>
      </c>
      <c r="P22" s="239">
        <f t="shared" si="19"/>
        <v>127.79494540969336</v>
      </c>
      <c r="Q22" s="239">
        <f t="shared" si="19"/>
        <v>130.57486739771792</v>
      </c>
      <c r="R22" s="239">
        <f t="shared" si="19"/>
        <v>147.2629488038022</v>
      </c>
      <c r="S22" s="239">
        <f t="shared" si="19"/>
        <v>151.98784195921098</v>
      </c>
      <c r="T22" s="237"/>
    </row>
    <row r="24" spans="2:20" s="55" customFormat="1" x14ac:dyDescent="0.3">
      <c r="B24" s="55" t="s">
        <v>171</v>
      </c>
      <c r="D24" s="233">
        <f t="shared" ref="D24:S24" si="20">D13-D22+D27</f>
        <v>-1.7084390350000001</v>
      </c>
      <c r="E24" s="233">
        <f t="shared" si="20"/>
        <v>-2.8224598339999996</v>
      </c>
      <c r="F24" s="233">
        <f t="shared" si="20"/>
        <v>23.505689923999995</v>
      </c>
      <c r="G24" s="233">
        <f t="shared" si="20"/>
        <v>131.03259127499999</v>
      </c>
      <c r="H24" s="233">
        <f t="shared" si="20"/>
        <v>326.03810522599997</v>
      </c>
      <c r="I24" s="233">
        <f t="shared" si="20"/>
        <v>258.46333137399995</v>
      </c>
      <c r="J24" s="233">
        <f t="shared" si="20"/>
        <v>267.27493139799998</v>
      </c>
      <c r="K24" s="233">
        <f t="shared" si="20"/>
        <v>209.38018397599984</v>
      </c>
      <c r="L24" s="233">
        <f t="shared" si="20"/>
        <v>207.89737659600004</v>
      </c>
      <c r="M24" s="233">
        <f t="shared" si="20"/>
        <v>210.01562395599998</v>
      </c>
      <c r="N24" s="246">
        <f t="shared" si="20"/>
        <v>203.41738132371398</v>
      </c>
      <c r="O24" s="246">
        <f t="shared" si="20"/>
        <v>202.82606512982426</v>
      </c>
      <c r="P24" s="246">
        <f t="shared" si="20"/>
        <v>177.12142112420329</v>
      </c>
      <c r="Q24" s="246">
        <f t="shared" si="20"/>
        <v>153.40912669365298</v>
      </c>
      <c r="R24" s="246">
        <f t="shared" si="20"/>
        <v>140.65105193846054</v>
      </c>
      <c r="S24" s="246">
        <f t="shared" si="20"/>
        <v>115.96859262369102</v>
      </c>
    </row>
    <row r="25" spans="2:20" x14ac:dyDescent="0.3">
      <c r="B25" s="54" t="s">
        <v>172</v>
      </c>
      <c r="D25" s="352">
        <f>IF(D$7,D24/D$7,0)</f>
        <v>0</v>
      </c>
      <c r="E25" s="352">
        <f t="shared" ref="E25:S25" si="21">IF(E$7,E24/E$7,0)</f>
        <v>-0.35880023085112045</v>
      </c>
      <c r="F25" s="352">
        <f t="shared" si="21"/>
        <v>0.31056297516304449</v>
      </c>
      <c r="G25" s="352">
        <f t="shared" si="21"/>
        <v>0.4591055451179839</v>
      </c>
      <c r="H25" s="352">
        <f t="shared" si="21"/>
        <v>0.44551716758300236</v>
      </c>
      <c r="I25" s="352">
        <f t="shared" si="21"/>
        <v>0.32259994404670872</v>
      </c>
      <c r="J25" s="352">
        <f t="shared" si="21"/>
        <v>0.28140703575165904</v>
      </c>
      <c r="K25" s="352">
        <f t="shared" si="21"/>
        <v>0.19287376656199359</v>
      </c>
      <c r="L25" s="352">
        <f t="shared" si="21"/>
        <v>0.2187914635797511</v>
      </c>
      <c r="M25" s="352">
        <f t="shared" si="21"/>
        <v>0.23582240126517867</v>
      </c>
      <c r="N25" s="390">
        <f t="shared" si="21"/>
        <v>0.1814332991628341</v>
      </c>
      <c r="O25" s="390">
        <f t="shared" si="21"/>
        <v>0.15870351952237968</v>
      </c>
      <c r="P25" s="390">
        <f t="shared" si="21"/>
        <v>0.13315525773172573</v>
      </c>
      <c r="Q25" s="390">
        <f t="shared" si="21"/>
        <v>0.11185184086466297</v>
      </c>
      <c r="R25" s="390">
        <f t="shared" si="21"/>
        <v>9.1180356401964688E-2</v>
      </c>
      <c r="S25" s="390">
        <f t="shared" si="21"/>
        <v>7.2929420726658881E-2</v>
      </c>
    </row>
    <row r="27" spans="2:20" x14ac:dyDescent="0.3">
      <c r="B27" s="54" t="s">
        <v>173</v>
      </c>
      <c r="D27" s="354">
        <f>InCF!C7/10^9</f>
        <v>4.7576489999999999E-2</v>
      </c>
      <c r="E27" s="354">
        <f>InCF!D7/10^9</f>
        <v>2.2720071310000001</v>
      </c>
      <c r="F27" s="354">
        <f>InCF!E7/10^9</f>
        <v>7.9598231359999998</v>
      </c>
      <c r="G27" s="354">
        <f>InCF!F7/10^9</f>
        <v>20.385813119000002</v>
      </c>
      <c r="H27" s="354">
        <f>InCF!G7/10^9</f>
        <v>82.458634855</v>
      </c>
      <c r="I27" s="354">
        <f>InCF!H7/10^9</f>
        <v>120.27550900599999</v>
      </c>
      <c r="J27" s="354">
        <f>InCF!I7/10^9</f>
        <v>133.03504750100001</v>
      </c>
      <c r="K27" s="354">
        <f>InCF!J7/10^9</f>
        <v>80.028708037000001</v>
      </c>
      <c r="L27" s="354">
        <f>InCF!K7/10^9</f>
        <v>64.229387505999995</v>
      </c>
      <c r="M27" s="354">
        <f>InCF!L7/10^9</f>
        <v>60.815179999000001</v>
      </c>
      <c r="N27" s="222">
        <f>'Fixed Assets (F)'!N7</f>
        <v>57.397677603700025</v>
      </c>
      <c r="O27" s="222">
        <f>'Fixed Assets (F)'!O7</f>
        <v>66.007208207971132</v>
      </c>
      <c r="P27" s="222">
        <f>'Fixed Assets (F)'!P7</f>
        <v>56.164098220753353</v>
      </c>
      <c r="Q27" s="222">
        <f>'Fixed Assets (F)'!Q7</f>
        <v>63.524081909271857</v>
      </c>
      <c r="R27" s="222">
        <f>'Fixed Assets (F)'!R7</f>
        <v>47.82279595422758</v>
      </c>
      <c r="S27" s="222">
        <f>'Fixed Assets (F)'!S7</f>
        <v>45.71573302187366</v>
      </c>
      <c r="T27" s="528" t="s">
        <v>665</v>
      </c>
    </row>
    <row r="28" spans="2:20" x14ac:dyDescent="0.3">
      <c r="B28" s="307" t="s">
        <v>123</v>
      </c>
      <c r="D28" s="102">
        <f>IF(D$7,D27/D$7,0)</f>
        <v>0</v>
      </c>
      <c r="E28" s="102">
        <f t="shared" ref="E28:L28" si="22">IF(E$7,E27/E$7,0)</f>
        <v>0.2888249013424905</v>
      </c>
      <c r="F28" s="102">
        <f t="shared" si="22"/>
        <v>0.10516714731116161</v>
      </c>
      <c r="G28" s="102">
        <f t="shared" si="22"/>
        <v>7.1426808808424405E-2</v>
      </c>
      <c r="H28" s="102">
        <f t="shared" si="22"/>
        <v>0.11267620825454072</v>
      </c>
      <c r="I28" s="102">
        <f t="shared" si="22"/>
        <v>0.1501213818968371</v>
      </c>
      <c r="J28" s="102">
        <f t="shared" si="22"/>
        <v>0.14006924694553569</v>
      </c>
      <c r="K28" s="102">
        <f t="shared" si="22"/>
        <v>7.3719671360856012E-2</v>
      </c>
      <c r="L28" s="102">
        <f t="shared" si="22"/>
        <v>6.7595089112534271E-2</v>
      </c>
      <c r="M28" s="102">
        <f>IF(M$7,M27/M$7,0)</f>
        <v>6.8288165949705382E-2</v>
      </c>
      <c r="N28" s="217">
        <f t="shared" ref="N28:S28" si="23">IF(N$7,N27/N$7,0)</f>
        <v>5.119449451250007E-2</v>
      </c>
      <c r="O28" s="217">
        <f t="shared" si="23"/>
        <v>5.1648077133214378E-2</v>
      </c>
      <c r="P28" s="217">
        <f t="shared" si="23"/>
        <v>4.222270195432868E-2</v>
      </c>
      <c r="Q28" s="217">
        <f t="shared" si="23"/>
        <v>4.6315924312498286E-2</v>
      </c>
      <c r="R28" s="217">
        <f t="shared" si="23"/>
        <v>3.1002253585367904E-2</v>
      </c>
      <c r="S28" s="217">
        <f t="shared" si="23"/>
        <v>2.8749352319886092E-2</v>
      </c>
    </row>
    <row r="29" spans="2:20" x14ac:dyDescent="0.3">
      <c r="B29" s="307" t="s">
        <v>174</v>
      </c>
      <c r="E29" s="102">
        <f t="shared" ref="E29:S29" si="24">IF(D158,E27/D158,0)</f>
        <v>1.7411276625748158</v>
      </c>
      <c r="F29" s="102">
        <f t="shared" si="24"/>
        <v>0.12024317488084441</v>
      </c>
      <c r="G29" s="102">
        <f t="shared" si="24"/>
        <v>0.19516219761772474</v>
      </c>
      <c r="H29" s="102">
        <f t="shared" si="24"/>
        <v>0.4671495188069722</v>
      </c>
      <c r="I29" s="102">
        <f t="shared" si="24"/>
        <v>0.41141714950290736</v>
      </c>
      <c r="J29" s="102">
        <f t="shared" si="24"/>
        <v>0.59100134060933918</v>
      </c>
      <c r="K29" s="102">
        <f t="shared" si="24"/>
        <v>0.82134510849929154</v>
      </c>
      <c r="L29" s="102">
        <f t="shared" si="24"/>
        <v>0.5747988052538352</v>
      </c>
      <c r="M29" s="102">
        <f t="shared" si="24"/>
        <v>0.35691653286478009</v>
      </c>
      <c r="N29" s="217">
        <f t="shared" si="24"/>
        <v>0.40271812528517803</v>
      </c>
      <c r="O29" s="217">
        <f t="shared" si="24"/>
        <v>0.61167560966637624</v>
      </c>
      <c r="P29" s="217">
        <f t="shared" si="24"/>
        <v>0.45409331481900966</v>
      </c>
      <c r="Q29" s="217">
        <f t="shared" si="24"/>
        <v>0.63967146453904433</v>
      </c>
      <c r="R29" s="217">
        <f t="shared" si="24"/>
        <v>0.54626242906989875</v>
      </c>
      <c r="S29" s="217">
        <f t="shared" si="24"/>
        <v>0.63939796425101991</v>
      </c>
    </row>
    <row r="30" spans="2:20" s="55" customFormat="1" x14ac:dyDescent="0.3">
      <c r="B30" s="237" t="s">
        <v>173</v>
      </c>
      <c r="C30" s="237"/>
      <c r="D30" s="355">
        <f>D27</f>
        <v>4.7576489999999999E-2</v>
      </c>
      <c r="E30" s="356">
        <f t="shared" ref="E30:S30" si="25">E27</f>
        <v>2.2720071310000001</v>
      </c>
      <c r="F30" s="356">
        <f t="shared" si="25"/>
        <v>7.9598231359999998</v>
      </c>
      <c r="G30" s="356">
        <f t="shared" si="25"/>
        <v>20.385813119000002</v>
      </c>
      <c r="H30" s="356">
        <f t="shared" si="25"/>
        <v>82.458634855</v>
      </c>
      <c r="I30" s="356">
        <f t="shared" si="25"/>
        <v>120.27550900599999</v>
      </c>
      <c r="J30" s="356">
        <f t="shared" si="25"/>
        <v>133.03504750100001</v>
      </c>
      <c r="K30" s="356">
        <f t="shared" si="25"/>
        <v>80.028708037000001</v>
      </c>
      <c r="L30" s="356">
        <f t="shared" si="25"/>
        <v>64.229387505999995</v>
      </c>
      <c r="M30" s="356">
        <f t="shared" si="25"/>
        <v>60.815179999000001</v>
      </c>
      <c r="N30" s="633">
        <f>N27</f>
        <v>57.397677603700025</v>
      </c>
      <c r="O30" s="633">
        <f t="shared" si="25"/>
        <v>66.007208207971132</v>
      </c>
      <c r="P30" s="633">
        <f t="shared" si="25"/>
        <v>56.164098220753353</v>
      </c>
      <c r="Q30" s="633">
        <f t="shared" si="25"/>
        <v>63.524081909271857</v>
      </c>
      <c r="R30" s="633">
        <f t="shared" si="25"/>
        <v>47.82279595422758</v>
      </c>
      <c r="S30" s="633">
        <f t="shared" si="25"/>
        <v>45.71573302187366</v>
      </c>
      <c r="T30" s="237"/>
    </row>
    <row r="31" spans="2:20" x14ac:dyDescent="0.3">
      <c r="B31" s="308" t="s">
        <v>123</v>
      </c>
      <c r="C31" s="56"/>
      <c r="D31" s="230">
        <f t="shared" ref="D31:L31" si="26">IF(D$7,D30/D$7,0)</f>
        <v>0</v>
      </c>
      <c r="E31" s="230">
        <f t="shared" si="26"/>
        <v>0.2888249013424905</v>
      </c>
      <c r="F31" s="230">
        <f t="shared" si="26"/>
        <v>0.10516714731116161</v>
      </c>
      <c r="G31" s="230">
        <f t="shared" si="26"/>
        <v>7.1426808808424405E-2</v>
      </c>
      <c r="H31" s="230">
        <f t="shared" si="26"/>
        <v>0.11267620825454072</v>
      </c>
      <c r="I31" s="230">
        <f t="shared" si="26"/>
        <v>0.1501213818968371</v>
      </c>
      <c r="J31" s="230">
        <f t="shared" si="26"/>
        <v>0.14006924694553569</v>
      </c>
      <c r="K31" s="230">
        <f t="shared" si="26"/>
        <v>7.3719671360856012E-2</v>
      </c>
      <c r="L31" s="230">
        <f t="shared" si="26"/>
        <v>6.7595089112534271E-2</v>
      </c>
      <c r="M31" s="230">
        <f>IF(M$7,M30/M$7,0)</f>
        <v>6.8288165949705382E-2</v>
      </c>
      <c r="N31" s="230">
        <f t="shared" ref="N31:S31" si="27">IF(N$7,N30/N$7,0)</f>
        <v>5.119449451250007E-2</v>
      </c>
      <c r="O31" s="230">
        <f t="shared" si="27"/>
        <v>5.1648077133214378E-2</v>
      </c>
      <c r="P31" s="230">
        <f t="shared" si="27"/>
        <v>4.222270195432868E-2</v>
      </c>
      <c r="Q31" s="230">
        <f t="shared" si="27"/>
        <v>4.6315924312498286E-2</v>
      </c>
      <c r="R31" s="230">
        <f t="shared" si="27"/>
        <v>3.1002253585367904E-2</v>
      </c>
      <c r="S31" s="230">
        <f t="shared" si="27"/>
        <v>2.8749352319886092E-2</v>
      </c>
      <c r="T31" s="56"/>
    </row>
    <row r="33" spans="2:20" x14ac:dyDescent="0.3">
      <c r="B33" s="54" t="s">
        <v>175</v>
      </c>
      <c r="D33" s="227">
        <f t="shared" ref="D33:M33" si="28">D162</f>
        <v>-1.700685E-3</v>
      </c>
      <c r="E33" s="227">
        <f t="shared" si="28"/>
        <v>-8.5034250000000002E-3</v>
      </c>
      <c r="F33" s="227">
        <f t="shared" si="28"/>
        <v>-1.5306165E-2</v>
      </c>
      <c r="G33" s="227">
        <f t="shared" si="28"/>
        <v>-3.0968289E-2</v>
      </c>
      <c r="H33" s="227">
        <f t="shared" si="28"/>
        <v>-3.4013700000000001E-2</v>
      </c>
      <c r="I33" s="227">
        <f t="shared" si="28"/>
        <v>-7.3627751000000005E-2</v>
      </c>
      <c r="J33" s="227">
        <f t="shared" si="28"/>
        <v>-0.118975415</v>
      </c>
      <c r="K33" s="227">
        <f t="shared" si="28"/>
        <v>-0.29752215500000001</v>
      </c>
      <c r="L33" s="227">
        <f t="shared" si="28"/>
        <v>-0.58317244400000001</v>
      </c>
      <c r="M33" s="227">
        <f t="shared" si="28"/>
        <v>-0.86308911200000005</v>
      </c>
      <c r="N33" s="222">
        <f>N161</f>
        <v>-1.117400516</v>
      </c>
      <c r="O33" s="222">
        <f t="shared" ref="O33:S33" si="29">O161</f>
        <v>-1.1149410280000001</v>
      </c>
      <c r="P33" s="222">
        <f t="shared" si="29"/>
        <v>-1.1149410280000001</v>
      </c>
      <c r="Q33" s="222">
        <f t="shared" si="29"/>
        <v>-1.1149410280000001</v>
      </c>
      <c r="R33" s="222">
        <f t="shared" si="29"/>
        <v>-1.1149410280000001</v>
      </c>
      <c r="S33" s="222">
        <f t="shared" si="29"/>
        <v>0</v>
      </c>
    </row>
    <row r="34" spans="2:20" x14ac:dyDescent="0.3">
      <c r="B34" s="232" t="s">
        <v>717</v>
      </c>
      <c r="C34" s="232"/>
      <c r="D34" s="631">
        <f t="shared" ref="D34:M34" si="30">D162</f>
        <v>-1.700685E-3</v>
      </c>
      <c r="E34" s="631">
        <f t="shared" si="30"/>
        <v>-8.5034250000000002E-3</v>
      </c>
      <c r="F34" s="631">
        <f t="shared" si="30"/>
        <v>-1.5306165E-2</v>
      </c>
      <c r="G34" s="631">
        <f t="shared" si="30"/>
        <v>-3.0968289E-2</v>
      </c>
      <c r="H34" s="631">
        <f t="shared" si="30"/>
        <v>-3.4013700000000001E-2</v>
      </c>
      <c r="I34" s="631">
        <f t="shared" si="30"/>
        <v>-7.3627751000000005E-2</v>
      </c>
      <c r="J34" s="631">
        <f t="shared" si="30"/>
        <v>-0.118975415</v>
      </c>
      <c r="K34" s="631">
        <f t="shared" si="30"/>
        <v>-0.29752215500000001</v>
      </c>
      <c r="L34" s="631">
        <f t="shared" si="30"/>
        <v>-0.58317244400000001</v>
      </c>
      <c r="M34" s="631">
        <f t="shared" si="30"/>
        <v>-0.86308911200000005</v>
      </c>
      <c r="N34" s="632">
        <f>N162</f>
        <v>-1.97803014</v>
      </c>
      <c r="O34" s="632">
        <f t="shared" ref="O34:S34" si="31">O162</f>
        <v>-3.095430656</v>
      </c>
      <c r="P34" s="632">
        <f t="shared" si="31"/>
        <v>-4.2103716840000001</v>
      </c>
      <c r="Q34" s="632">
        <f t="shared" si="31"/>
        <v>-5.3253127120000006</v>
      </c>
      <c r="R34" s="632">
        <f t="shared" si="31"/>
        <v>-6.4402537400000011</v>
      </c>
      <c r="S34" s="632">
        <f t="shared" si="31"/>
        <v>-7.5551947680000016</v>
      </c>
      <c r="T34" s="232"/>
    </row>
    <row r="35" spans="2:20" s="55" customFormat="1" x14ac:dyDescent="0.3">
      <c r="B35" s="55" t="s">
        <v>176</v>
      </c>
      <c r="D35" s="233">
        <f t="shared" ref="D35:S35" si="32">D24-D27-D33</f>
        <v>-1.7543148399999999</v>
      </c>
      <c r="E35" s="233">
        <f t="shared" si="32"/>
        <v>-5.0859635399999998</v>
      </c>
      <c r="F35" s="233">
        <f t="shared" si="32"/>
        <v>15.561172952999994</v>
      </c>
      <c r="G35" s="233">
        <f t="shared" si="32"/>
        <v>110.67774644499998</v>
      </c>
      <c r="H35" s="233">
        <f t="shared" si="32"/>
        <v>243.61348407099996</v>
      </c>
      <c r="I35" s="233">
        <f t="shared" si="32"/>
        <v>138.26145011899996</v>
      </c>
      <c r="J35" s="233">
        <f t="shared" si="32"/>
        <v>134.35885931199996</v>
      </c>
      <c r="K35" s="233">
        <f t="shared" si="32"/>
        <v>129.64899809399984</v>
      </c>
      <c r="L35" s="233">
        <f t="shared" si="32"/>
        <v>144.25116153400006</v>
      </c>
      <c r="M35" s="233">
        <f t="shared" si="32"/>
        <v>150.06353306899999</v>
      </c>
      <c r="N35" s="246">
        <f t="shared" si="32"/>
        <v>147.13710423601395</v>
      </c>
      <c r="O35" s="246">
        <f t="shared" si="32"/>
        <v>137.93379794985313</v>
      </c>
      <c r="P35" s="246">
        <f t="shared" si="32"/>
        <v>122.07226393144995</v>
      </c>
      <c r="Q35" s="246">
        <f t="shared" si="32"/>
        <v>90.999985812381126</v>
      </c>
      <c r="R35" s="246">
        <f t="shared" si="32"/>
        <v>93.943197012232957</v>
      </c>
      <c r="S35" s="246">
        <f t="shared" si="32"/>
        <v>70.252859601817363</v>
      </c>
      <c r="T35" s="233"/>
    </row>
    <row r="36" spans="2:20" x14ac:dyDescent="0.3">
      <c r="B36" s="54" t="s">
        <v>177</v>
      </c>
      <c r="D36" s="102">
        <f>IF(D$7,D35/D$7,0)</f>
        <v>0</v>
      </c>
      <c r="E36" s="102">
        <f t="shared" ref="E36:S36" si="33">IF(E$7,E35/E$7,0)</f>
        <v>-0.64654414928066684</v>
      </c>
      <c r="F36" s="102">
        <f t="shared" si="33"/>
        <v>0.20559805668056672</v>
      </c>
      <c r="G36" s="102">
        <f t="shared" si="33"/>
        <v>0.38778724147658988</v>
      </c>
      <c r="H36" s="102">
        <f t="shared" si="33"/>
        <v>0.33288743759906902</v>
      </c>
      <c r="I36" s="102">
        <f t="shared" si="33"/>
        <v>0.1725704603244661</v>
      </c>
      <c r="J36" s="102">
        <f t="shared" si="33"/>
        <v>0.14146305502053169</v>
      </c>
      <c r="K36" s="102">
        <f t="shared" si="33"/>
        <v>0.11942816229564862</v>
      </c>
      <c r="L36" s="102">
        <f t="shared" si="33"/>
        <v>0.15181010588909088</v>
      </c>
      <c r="M36" s="102">
        <f t="shared" si="33"/>
        <v>0.16850338105360332</v>
      </c>
      <c r="N36" s="217">
        <f t="shared" si="33"/>
        <v>0.13123544348613492</v>
      </c>
      <c r="O36" s="217">
        <f t="shared" si="33"/>
        <v>0.10792784044653649</v>
      </c>
      <c r="P36" s="217">
        <f t="shared" si="33"/>
        <v>9.17707393183642E-2</v>
      </c>
      <c r="Q36" s="217">
        <f t="shared" si="33"/>
        <v>6.6348829115615848E-2</v>
      </c>
      <c r="R36" s="217">
        <f t="shared" si="33"/>
        <v>6.0900889592089169E-2</v>
      </c>
      <c r="S36" s="217">
        <f t="shared" si="33"/>
        <v>4.4180068406772785E-2</v>
      </c>
    </row>
    <row r="38" spans="2:20" x14ac:dyDescent="0.3">
      <c r="B38" s="56" t="s">
        <v>178</v>
      </c>
      <c r="C38" s="56"/>
      <c r="D38" s="320">
        <f>-InIS!C17/10^9</f>
        <v>0</v>
      </c>
      <c r="E38" s="320">
        <f>-InIS!D17/10^9</f>
        <v>0.35066341299999998</v>
      </c>
      <c r="F38" s="320">
        <f>-InIS!E17/10^9</f>
        <v>1.111967562</v>
      </c>
      <c r="G38" s="320">
        <f>-InIS!F17/10^9</f>
        <v>1.030331299</v>
      </c>
      <c r="H38" s="320">
        <f>-InIS!G17/10^9</f>
        <v>4.2784994340000004</v>
      </c>
      <c r="I38" s="320">
        <f>-InIS!H17/10^9</f>
        <v>3.6400163160000001</v>
      </c>
      <c r="J38" s="320">
        <f>-InIS!I17/10^9</f>
        <v>1.418896862</v>
      </c>
      <c r="K38" s="320">
        <f>-InIS!J17/10^9</f>
        <v>7.2452606849999999</v>
      </c>
      <c r="L38" s="320">
        <f>-InIS!K17/10^9</f>
        <v>1.1054984290000001</v>
      </c>
      <c r="M38" s="320">
        <f>-InIS!L17/10^9</f>
        <v>2.886264717</v>
      </c>
      <c r="N38" s="219"/>
      <c r="O38" s="219"/>
      <c r="P38" s="219"/>
      <c r="Q38" s="219"/>
      <c r="R38" s="219"/>
      <c r="S38" s="219"/>
      <c r="T38" s="56"/>
    </row>
    <row r="39" spans="2:20" x14ac:dyDescent="0.3">
      <c r="B39" s="311" t="s">
        <v>123</v>
      </c>
      <c r="C39" s="232"/>
      <c r="D39" s="278">
        <f>IF(D$7,D38/D$7,0)</f>
        <v>0</v>
      </c>
      <c r="E39" s="278">
        <f t="shared" ref="E39:M39" si="34">IF(E$7,E38/E$7,0)</f>
        <v>4.457746821400535E-2</v>
      </c>
      <c r="F39" s="278">
        <f t="shared" si="34"/>
        <v>1.4691589800430366E-2</v>
      </c>
      <c r="G39" s="278">
        <f t="shared" si="34"/>
        <v>3.6100241022232315E-3</v>
      </c>
      <c r="H39" s="278">
        <f t="shared" si="34"/>
        <v>5.8463870289636099E-3</v>
      </c>
      <c r="I39" s="278">
        <f t="shared" si="34"/>
        <v>4.5432713941596752E-3</v>
      </c>
      <c r="J39" s="278">
        <f t="shared" si="34"/>
        <v>1.4939207275603801E-3</v>
      </c>
      <c r="K39" s="278">
        <f t="shared" si="34"/>
        <v>6.6740829600171652E-3</v>
      </c>
      <c r="L39" s="278">
        <f t="shared" si="34"/>
        <v>1.1634279528983688E-3</v>
      </c>
      <c r="M39" s="278">
        <f t="shared" si="34"/>
        <v>3.2409297147935161E-3</v>
      </c>
      <c r="N39" s="287">
        <f>IF(N$7,N40/N$7,0)</f>
        <v>2.2860464556476558E-3</v>
      </c>
      <c r="O39" s="287">
        <f t="shared" ref="O39:S39" si="35">IF(O$7,O40/O$7,0)</f>
        <v>2.1978273155357476E-3</v>
      </c>
      <c r="P39" s="287">
        <f t="shared" si="35"/>
        <v>2.2533734089927177E-3</v>
      </c>
      <c r="Q39" s="287">
        <f t="shared" si="35"/>
        <v>2.3447917748313867E-3</v>
      </c>
      <c r="R39" s="287">
        <f t="shared" si="35"/>
        <v>2.0082957586064331E-3</v>
      </c>
      <c r="S39" s="287">
        <f t="shared" si="35"/>
        <v>1.9103127414428769E-3</v>
      </c>
      <c r="T39" s="232"/>
    </row>
    <row r="40" spans="2:20" s="55" customFormat="1" x14ac:dyDescent="0.3">
      <c r="B40" s="55" t="s">
        <v>178</v>
      </c>
      <c r="D40" s="233">
        <f>D38</f>
        <v>0</v>
      </c>
      <c r="E40" s="233">
        <f t="shared" ref="E40:M40" si="36">E38</f>
        <v>0.35066341299999998</v>
      </c>
      <c r="F40" s="233">
        <f t="shared" si="36"/>
        <v>1.111967562</v>
      </c>
      <c r="G40" s="233">
        <f t="shared" si="36"/>
        <v>1.030331299</v>
      </c>
      <c r="H40" s="233">
        <f t="shared" si="36"/>
        <v>4.2784994340000004</v>
      </c>
      <c r="I40" s="233">
        <f t="shared" si="36"/>
        <v>3.6400163160000001</v>
      </c>
      <c r="J40" s="233">
        <f t="shared" si="36"/>
        <v>1.418896862</v>
      </c>
      <c r="K40" s="233">
        <f t="shared" si="36"/>
        <v>7.2452606849999999</v>
      </c>
      <c r="L40" s="233">
        <f t="shared" si="36"/>
        <v>1.1054984290000001</v>
      </c>
      <c r="M40" s="233">
        <f t="shared" si="36"/>
        <v>2.886264717</v>
      </c>
      <c r="N40" s="358">
        <f>AVERAGE(E38:M38)</f>
        <v>2.5630443018888887</v>
      </c>
      <c r="O40" s="358">
        <f>AVERAGE(F40:N40)</f>
        <v>2.8088644006543211</v>
      </c>
      <c r="P40" s="358">
        <f t="shared" ref="P40:S40" si="37">AVERAGE(G40:O40)</f>
        <v>2.9974084938381349</v>
      </c>
      <c r="Q40" s="358">
        <f t="shared" si="37"/>
        <v>3.2159726265979276</v>
      </c>
      <c r="R40" s="358">
        <f t="shared" si="37"/>
        <v>3.0979140924421413</v>
      </c>
      <c r="S40" s="358">
        <f t="shared" si="37"/>
        <v>3.037680512046824</v>
      </c>
      <c r="T40" s="121" t="s">
        <v>666</v>
      </c>
    </row>
    <row r="42" spans="2:20" x14ac:dyDescent="0.3">
      <c r="B42" s="56" t="s">
        <v>179</v>
      </c>
      <c r="C42" s="56"/>
      <c r="D42" s="359">
        <f>InIS!C16/10^9</f>
        <v>5.0000000000000001E-3</v>
      </c>
      <c r="E42" s="359">
        <f>InIS!D16/10^9</f>
        <v>0.12889536900000001</v>
      </c>
      <c r="F42" s="359">
        <f>InIS!E16/10^9</f>
        <v>0</v>
      </c>
      <c r="G42" s="359">
        <f>InIS!F16/10^9</f>
        <v>0.51643787299999999</v>
      </c>
      <c r="H42" s="359">
        <f>InIS!G16/10^9</f>
        <v>0.16311615400000001</v>
      </c>
      <c r="I42" s="359">
        <f>InIS!H16/10^9</f>
        <v>0.33304870800000003</v>
      </c>
      <c r="J42" s="359">
        <f>InIS!I16/10^9</f>
        <v>0.66657198799999995</v>
      </c>
      <c r="K42" s="359">
        <f>InIS!J16/10^9</f>
        <v>1.200300428</v>
      </c>
      <c r="L42" s="359">
        <f>InIS!K16/10^9</f>
        <v>3.2563636999999999E-2</v>
      </c>
      <c r="M42" s="359">
        <f>InIS!L16/10^9</f>
        <v>0.13380818</v>
      </c>
      <c r="N42" s="219"/>
      <c r="O42" s="219"/>
      <c r="P42" s="219"/>
      <c r="Q42" s="219"/>
      <c r="R42" s="219"/>
      <c r="S42" s="219"/>
      <c r="T42" s="56"/>
    </row>
    <row r="43" spans="2:20" x14ac:dyDescent="0.3">
      <c r="B43" s="308" t="s">
        <v>180</v>
      </c>
      <c r="C43" s="56"/>
      <c r="D43" s="56"/>
      <c r="E43" s="56"/>
      <c r="F43" s="56"/>
      <c r="G43" s="56"/>
      <c r="H43" s="56"/>
      <c r="I43" s="56"/>
      <c r="J43" s="56"/>
      <c r="K43" s="56"/>
      <c r="L43" s="56"/>
      <c r="M43" s="56"/>
      <c r="N43" s="219"/>
      <c r="O43" s="219"/>
      <c r="P43" s="219"/>
      <c r="Q43" s="219"/>
      <c r="R43" s="219"/>
      <c r="S43" s="219"/>
      <c r="T43" s="56"/>
    </row>
    <row r="44" spans="2:20" x14ac:dyDescent="0.3">
      <c r="B44" s="311" t="s">
        <v>181</v>
      </c>
      <c r="C44" s="232"/>
      <c r="D44" s="232"/>
      <c r="E44" s="232"/>
      <c r="F44" s="232"/>
      <c r="G44" s="232"/>
      <c r="H44" s="232"/>
      <c r="I44" s="232"/>
      <c r="J44" s="232"/>
      <c r="K44" s="232"/>
      <c r="L44" s="232"/>
      <c r="M44" s="232"/>
      <c r="N44" s="147"/>
      <c r="O44" s="147"/>
      <c r="P44" s="147"/>
      <c r="Q44" s="147"/>
      <c r="R44" s="147"/>
      <c r="S44" s="147"/>
      <c r="T44" s="232"/>
    </row>
    <row r="45" spans="2:20" s="55" customFormat="1" x14ac:dyDescent="0.3">
      <c r="B45" s="55" t="s">
        <v>179</v>
      </c>
      <c r="D45" s="358">
        <f>D42</f>
        <v>5.0000000000000001E-3</v>
      </c>
      <c r="E45" s="358">
        <f t="shared" ref="E45:M45" si="38">E42</f>
        <v>0.12889536900000001</v>
      </c>
      <c r="F45" s="358">
        <f t="shared" si="38"/>
        <v>0</v>
      </c>
      <c r="G45" s="358">
        <f t="shared" si="38"/>
        <v>0.51643787299999999</v>
      </c>
      <c r="H45" s="358">
        <f t="shared" si="38"/>
        <v>0.16311615400000001</v>
      </c>
      <c r="I45" s="358">
        <f t="shared" si="38"/>
        <v>0.33304870800000003</v>
      </c>
      <c r="J45" s="358">
        <f t="shared" si="38"/>
        <v>0.66657198799999995</v>
      </c>
      <c r="K45" s="358">
        <f t="shared" si="38"/>
        <v>1.200300428</v>
      </c>
      <c r="L45" s="358">
        <f t="shared" si="38"/>
        <v>3.2563636999999999E-2</v>
      </c>
      <c r="M45" s="358">
        <f t="shared" si="38"/>
        <v>0.13380818</v>
      </c>
      <c r="N45" s="358">
        <f>AVERAGE(E42:M42)</f>
        <v>0.3527491485555555</v>
      </c>
      <c r="O45" s="358">
        <f>AVERAGE(F45:N45)</f>
        <v>0.37762179072839508</v>
      </c>
      <c r="P45" s="358">
        <f t="shared" ref="P45:S45" si="39">AVERAGE(G45:O45)</f>
        <v>0.41957976747599457</v>
      </c>
      <c r="Q45" s="358">
        <f t="shared" si="39"/>
        <v>0.40881775575110502</v>
      </c>
      <c r="R45" s="358">
        <f t="shared" si="39"/>
        <v>0.43611793372345009</v>
      </c>
      <c r="S45" s="358">
        <f t="shared" si="39"/>
        <v>0.44757006991494447</v>
      </c>
      <c r="T45" s="121" t="s">
        <v>666</v>
      </c>
    </row>
    <row r="47" spans="2:20" x14ac:dyDescent="0.3">
      <c r="B47" s="56" t="s">
        <v>182</v>
      </c>
      <c r="C47" s="56"/>
      <c r="D47" s="56"/>
      <c r="E47" s="56"/>
      <c r="F47" s="56"/>
      <c r="G47" s="56"/>
      <c r="H47" s="56"/>
      <c r="I47" s="56"/>
      <c r="J47" s="56"/>
      <c r="K47" s="56"/>
      <c r="L47" s="56"/>
      <c r="M47" s="56"/>
      <c r="N47" s="56"/>
      <c r="O47" s="56"/>
      <c r="P47" s="56"/>
      <c r="Q47" s="56"/>
      <c r="R47" s="56"/>
      <c r="S47" s="56"/>
      <c r="T47" s="56"/>
    </row>
    <row r="48" spans="2:20" x14ac:dyDescent="0.3">
      <c r="B48" s="360" t="s">
        <v>183</v>
      </c>
      <c r="C48" s="56"/>
      <c r="D48" s="320">
        <f>InIS!C10/10^9</f>
        <v>6.6762109E-2</v>
      </c>
      <c r="E48" s="320">
        <f>InIS!D10/10^9</f>
        <v>1.5049894260000001</v>
      </c>
      <c r="F48" s="320">
        <f>InIS!E10/10^9</f>
        <v>2.0926050219999999</v>
      </c>
      <c r="G48" s="320">
        <f>InIS!F10/10^9</f>
        <v>4.0195790889999996</v>
      </c>
      <c r="H48" s="320">
        <f>InIS!G10/10^9</f>
        <v>15.95593686</v>
      </c>
      <c r="I48" s="320">
        <f>InIS!H10/10^9</f>
        <v>20.837969315999999</v>
      </c>
      <c r="J48" s="320">
        <f>InIS!I10/10^9</f>
        <v>19.446432218999998</v>
      </c>
      <c r="K48" s="320">
        <f>InIS!J10/10^9</f>
        <v>14.308121401999999</v>
      </c>
      <c r="L48" s="320">
        <f>InIS!K10/10^9</f>
        <v>8.6997799600000008</v>
      </c>
      <c r="M48" s="320">
        <f>InIS!L10/10^9</f>
        <v>7.4486179469999998</v>
      </c>
      <c r="N48" s="291">
        <f ca="1">SUM(N49:N52)</f>
        <v>8.0672172343082664</v>
      </c>
      <c r="O48" s="291">
        <f t="shared" ref="O48:S48" ca="1" si="40">SUM(O49:O52)</f>
        <v>8.0457568532709303</v>
      </c>
      <c r="P48" s="291">
        <f t="shared" ca="1" si="40"/>
        <v>9.1038777684934384</v>
      </c>
      <c r="Q48" s="291">
        <f t="shared" ca="1" si="40"/>
        <v>10.19240780916261</v>
      </c>
      <c r="R48" s="291">
        <f t="shared" ca="1" si="40"/>
        <v>10.859190885434566</v>
      </c>
      <c r="S48" s="291">
        <f t="shared" ca="1" si="40"/>
        <v>11.096967548594785</v>
      </c>
      <c r="T48" s="56"/>
    </row>
    <row r="49" spans="2:20" x14ac:dyDescent="0.3">
      <c r="B49" s="361" t="s">
        <v>184</v>
      </c>
      <c r="C49" s="56"/>
      <c r="D49" s="56"/>
      <c r="E49" s="56"/>
      <c r="F49" s="56"/>
      <c r="G49" s="56"/>
      <c r="H49" s="56"/>
      <c r="I49" s="56"/>
      <c r="J49" s="56"/>
      <c r="K49" s="56"/>
      <c r="L49" s="56"/>
      <c r="M49" s="56"/>
      <c r="N49" s="291">
        <f ca="1">N112</f>
        <v>8.0672172343082664</v>
      </c>
      <c r="O49" s="291">
        <f t="shared" ref="O49:S49" ca="1" si="41">O112</f>
        <v>8.0457568532709303</v>
      </c>
      <c r="P49" s="291">
        <f t="shared" ca="1" si="41"/>
        <v>9.1038777684934384</v>
      </c>
      <c r="Q49" s="291">
        <f t="shared" ca="1" si="41"/>
        <v>10.19240780916261</v>
      </c>
      <c r="R49" s="291">
        <f t="shared" ca="1" si="41"/>
        <v>10.859190885434566</v>
      </c>
      <c r="S49" s="291">
        <f t="shared" ca="1" si="41"/>
        <v>11.096967548594785</v>
      </c>
      <c r="T49" s="56"/>
    </row>
    <row r="50" spans="2:20" x14ac:dyDescent="0.3">
      <c r="B50" s="361" t="s">
        <v>185</v>
      </c>
      <c r="C50" s="56"/>
      <c r="D50" s="56"/>
      <c r="E50" s="56"/>
      <c r="F50" s="56"/>
      <c r="G50" s="56"/>
      <c r="H50" s="56"/>
      <c r="I50" s="56"/>
      <c r="J50" s="56"/>
      <c r="K50" s="56"/>
      <c r="L50" s="56"/>
      <c r="M50" s="56"/>
      <c r="N50" s="219"/>
      <c r="O50" s="219"/>
      <c r="P50" s="219"/>
      <c r="Q50" s="219"/>
      <c r="R50" s="219"/>
      <c r="S50" s="219"/>
      <c r="T50" s="56"/>
    </row>
    <row r="51" spans="2:20" x14ac:dyDescent="0.3">
      <c r="B51" s="361" t="s">
        <v>186</v>
      </c>
      <c r="C51" s="56"/>
      <c r="D51" s="56"/>
      <c r="E51" s="56"/>
      <c r="F51" s="56"/>
      <c r="G51" s="56"/>
      <c r="H51" s="56"/>
      <c r="I51" s="56"/>
      <c r="J51" s="56"/>
      <c r="K51" s="56"/>
      <c r="L51" s="56"/>
      <c r="M51" s="56"/>
      <c r="N51" s="219"/>
      <c r="O51" s="219"/>
      <c r="P51" s="219"/>
      <c r="Q51" s="219"/>
      <c r="R51" s="219"/>
      <c r="S51" s="219"/>
      <c r="T51" s="56"/>
    </row>
    <row r="52" spans="2:20" x14ac:dyDescent="0.3">
      <c r="B52" s="360" t="s">
        <v>187</v>
      </c>
      <c r="C52" s="56"/>
      <c r="D52" s="56"/>
      <c r="E52" s="56"/>
      <c r="F52" s="56"/>
      <c r="G52" s="56"/>
      <c r="H52" s="56"/>
      <c r="I52" s="56"/>
      <c r="J52" s="56"/>
      <c r="K52" s="56"/>
      <c r="L52" s="56"/>
      <c r="M52" s="56"/>
      <c r="N52" s="219"/>
      <c r="O52" s="219"/>
      <c r="P52" s="219"/>
      <c r="Q52" s="219"/>
      <c r="R52" s="219"/>
      <c r="S52" s="219"/>
      <c r="T52" s="56" t="s">
        <v>667</v>
      </c>
    </row>
    <row r="53" spans="2:20" x14ac:dyDescent="0.3">
      <c r="B53" s="360" t="s">
        <v>188</v>
      </c>
      <c r="C53" s="56"/>
      <c r="D53" s="56"/>
      <c r="E53" s="56"/>
      <c r="F53" s="56"/>
      <c r="G53" s="56"/>
      <c r="H53" s="56"/>
      <c r="I53" s="56"/>
      <c r="J53" s="56"/>
      <c r="K53" s="56"/>
      <c r="L53" s="56"/>
      <c r="M53" s="56"/>
      <c r="N53" s="219"/>
      <c r="O53" s="219"/>
      <c r="P53" s="219"/>
      <c r="Q53" s="219"/>
      <c r="R53" s="219"/>
      <c r="S53" s="219"/>
      <c r="T53" s="56" t="s">
        <v>668</v>
      </c>
    </row>
    <row r="54" spans="2:20" x14ac:dyDescent="0.3">
      <c r="B54" s="362" t="s">
        <v>189</v>
      </c>
      <c r="C54" s="232"/>
      <c r="D54" s="232"/>
      <c r="E54" s="232"/>
      <c r="F54" s="232"/>
      <c r="G54" s="232"/>
      <c r="H54" s="232"/>
      <c r="I54" s="232"/>
      <c r="J54" s="232"/>
      <c r="K54" s="232"/>
      <c r="L54" s="232"/>
      <c r="M54" s="232"/>
      <c r="N54" s="147"/>
      <c r="O54" s="147"/>
      <c r="P54" s="147"/>
      <c r="Q54" s="147"/>
      <c r="R54" s="147"/>
      <c r="S54" s="147"/>
      <c r="T54" s="232"/>
    </row>
    <row r="55" spans="2:20" s="55" customFormat="1" x14ac:dyDescent="0.3">
      <c r="B55" s="55" t="s">
        <v>182</v>
      </c>
      <c r="D55" s="233">
        <f>D48+D52+D53+D54</f>
        <v>6.6762109E-2</v>
      </c>
      <c r="E55" s="233">
        <f t="shared" ref="E55:L55" si="42">E48+E52+E53+E54</f>
        <v>1.5049894260000001</v>
      </c>
      <c r="F55" s="233">
        <f t="shared" si="42"/>
        <v>2.0926050219999999</v>
      </c>
      <c r="G55" s="233">
        <f t="shared" si="42"/>
        <v>4.0195790889999996</v>
      </c>
      <c r="H55" s="233">
        <f t="shared" si="42"/>
        <v>15.95593686</v>
      </c>
      <c r="I55" s="233">
        <f t="shared" si="42"/>
        <v>20.837969315999999</v>
      </c>
      <c r="J55" s="233">
        <f t="shared" si="42"/>
        <v>19.446432218999998</v>
      </c>
      <c r="K55" s="233">
        <f t="shared" si="42"/>
        <v>14.308121401999999</v>
      </c>
      <c r="L55" s="233">
        <f t="shared" si="42"/>
        <v>8.6997799600000008</v>
      </c>
      <c r="M55" s="233">
        <f>M48+M52+M53+M54</f>
        <v>7.4486179469999998</v>
      </c>
      <c r="N55" s="233">
        <f ca="1">N48+SUM(N53:N54)</f>
        <v>8.0672172343082664</v>
      </c>
      <c r="O55" s="233">
        <f t="shared" ref="O55:S55" ca="1" si="43">O48+SUM(O53:O54)</f>
        <v>8.0457568532709303</v>
      </c>
      <c r="P55" s="233">
        <f t="shared" ca="1" si="43"/>
        <v>9.1038777684934384</v>
      </c>
      <c r="Q55" s="233">
        <f t="shared" ca="1" si="43"/>
        <v>10.19240780916261</v>
      </c>
      <c r="R55" s="233">
        <f t="shared" ca="1" si="43"/>
        <v>10.859190885434566</v>
      </c>
      <c r="S55" s="233">
        <f t="shared" ca="1" si="43"/>
        <v>11.096967548594785</v>
      </c>
    </row>
    <row r="57" spans="2:20" x14ac:dyDescent="0.3">
      <c r="B57" s="56" t="s">
        <v>192</v>
      </c>
      <c r="C57" s="56"/>
      <c r="D57" s="56"/>
      <c r="E57" s="56"/>
      <c r="F57" s="56"/>
      <c r="G57" s="56"/>
      <c r="H57" s="56"/>
      <c r="I57" s="56"/>
      <c r="J57" s="56"/>
      <c r="K57" s="56"/>
      <c r="L57" s="56"/>
      <c r="M57" s="56"/>
      <c r="N57" s="56"/>
      <c r="O57" s="56"/>
      <c r="P57" s="56"/>
      <c r="Q57" s="56"/>
      <c r="R57" s="56"/>
      <c r="S57" s="56"/>
      <c r="T57" s="56"/>
    </row>
    <row r="58" spans="2:20" x14ac:dyDescent="0.3">
      <c r="B58" s="360" t="s">
        <v>193</v>
      </c>
      <c r="C58" s="56"/>
      <c r="D58" s="320">
        <f>-InIS!C12/10^9</f>
        <v>0</v>
      </c>
      <c r="E58" s="320">
        <f>-InIS!D12/10^9</f>
        <v>1.1484824170000001</v>
      </c>
      <c r="F58" s="320">
        <f>-InIS!E12/10^9</f>
        <v>3.6857485030000001</v>
      </c>
      <c r="G58" s="320">
        <f>-InIS!F12/10^9</f>
        <v>7.2169908380000001</v>
      </c>
      <c r="H58" s="320">
        <f>-InIS!G12/10^9</f>
        <v>26.064097663999998</v>
      </c>
      <c r="I58" s="320">
        <f>-InIS!H12/10^9</f>
        <v>23.422238238999999</v>
      </c>
      <c r="J58" s="320">
        <f>-InIS!I12/10^9</f>
        <v>14.508051373000001</v>
      </c>
      <c r="K58" s="320">
        <f>-InIS!J12/10^9</f>
        <v>7.4831519579999997</v>
      </c>
      <c r="L58" s="320">
        <f>-InIS!K12/10^9</f>
        <v>6.107955735</v>
      </c>
      <c r="M58" s="320">
        <f>-InIS!L12/10^9</f>
        <v>6.1545161190000002</v>
      </c>
      <c r="N58" s="391">
        <f t="shared" ref="N58:S58" ca="1" si="44">SUM(N59:N61)</f>
        <v>2.1802392025585</v>
      </c>
      <c r="O58" s="391">
        <f t="shared" ca="1" si="44"/>
        <v>0.47165982000000006</v>
      </c>
      <c r="P58" s="391">
        <f t="shared" ca="1" si="44"/>
        <v>0.28527988000000004</v>
      </c>
      <c r="Q58" s="391">
        <f t="shared" ca="1" si="44"/>
        <v>0.17066666666666672</v>
      </c>
      <c r="R58" s="391">
        <f t="shared" ca="1" si="44"/>
        <v>0.1137777777777778</v>
      </c>
      <c r="S58" s="391">
        <f t="shared" ca="1" si="44"/>
        <v>7.5851851851851865E-2</v>
      </c>
      <c r="T58" s="56"/>
    </row>
    <row r="59" spans="2:20" x14ac:dyDescent="0.3">
      <c r="B59" s="361" t="s">
        <v>194</v>
      </c>
      <c r="C59" s="56"/>
      <c r="D59" s="56"/>
      <c r="E59" s="56"/>
      <c r="F59" s="56"/>
      <c r="G59" s="56"/>
      <c r="H59" s="56"/>
      <c r="I59" s="56"/>
      <c r="J59" s="56"/>
      <c r="K59" s="56"/>
      <c r="L59" s="56"/>
      <c r="M59" s="56"/>
      <c r="N59" s="571">
        <f t="shared" ref="N59:S59" ca="1" si="45">N176</f>
        <v>0</v>
      </c>
      <c r="O59" s="571">
        <f t="shared" ca="1" si="45"/>
        <v>0</v>
      </c>
      <c r="P59" s="571">
        <f t="shared" ca="1" si="45"/>
        <v>0</v>
      </c>
      <c r="Q59" s="571">
        <f t="shared" ca="1" si="45"/>
        <v>0</v>
      </c>
      <c r="R59" s="571">
        <f t="shared" ca="1" si="45"/>
        <v>0</v>
      </c>
      <c r="S59" s="571">
        <f t="shared" ca="1" si="45"/>
        <v>0</v>
      </c>
      <c r="T59" s="572" t="s">
        <v>669</v>
      </c>
    </row>
    <row r="60" spans="2:20" x14ac:dyDescent="0.3">
      <c r="B60" s="361" t="s">
        <v>195</v>
      </c>
      <c r="C60" s="56"/>
      <c r="D60" s="56"/>
      <c r="E60" s="56"/>
      <c r="F60" s="56"/>
      <c r="G60" s="56"/>
      <c r="H60" s="56"/>
      <c r="I60" s="56"/>
      <c r="J60" s="56"/>
      <c r="K60" s="56"/>
      <c r="L60" s="56"/>
      <c r="M60" s="56"/>
      <c r="N60" s="219"/>
      <c r="O60" s="219"/>
      <c r="P60" s="219"/>
      <c r="Q60" s="219"/>
      <c r="R60" s="219"/>
      <c r="S60" s="219"/>
      <c r="T60" s="56"/>
    </row>
    <row r="61" spans="2:20" x14ac:dyDescent="0.3">
      <c r="B61" s="361" t="s">
        <v>711</v>
      </c>
      <c r="C61" s="56"/>
      <c r="D61" s="56"/>
      <c r="E61" s="56"/>
      <c r="F61" s="56"/>
      <c r="G61" s="56"/>
      <c r="H61" s="56"/>
      <c r="I61" s="56"/>
      <c r="J61" s="56"/>
      <c r="K61" s="56"/>
      <c r="L61" s="56"/>
      <c r="M61" s="320"/>
      <c r="N61" s="391">
        <f>'LT.Debt (F)'!P31</f>
        <v>2.1802392025585</v>
      </c>
      <c r="O61" s="391">
        <f>'LT.Debt (F)'!Q31</f>
        <v>0.47165982000000006</v>
      </c>
      <c r="P61" s="391">
        <f>'LT.Debt (F)'!R31</f>
        <v>0.28527988000000004</v>
      </c>
      <c r="Q61" s="391">
        <f>'LT.Debt (F)'!S31</f>
        <v>0.17066666666666672</v>
      </c>
      <c r="R61" s="391">
        <f>'LT.Debt (F)'!T31</f>
        <v>0.1137777777777778</v>
      </c>
      <c r="S61" s="391">
        <f>'LT.Debt (F)'!U31</f>
        <v>7.5851851851851865E-2</v>
      </c>
      <c r="T61" s="56" t="s">
        <v>670</v>
      </c>
    </row>
    <row r="62" spans="2:20" x14ac:dyDescent="0.3">
      <c r="B62" s="360" t="s">
        <v>196</v>
      </c>
      <c r="C62" s="56"/>
      <c r="D62" s="320">
        <f>-(InIS!C11-InIS!C12)/10^9</f>
        <v>4.434917E-3</v>
      </c>
      <c r="E62" s="320">
        <f>-(InIS!D11-InIS!D12)/10^9</f>
        <v>0.111853464</v>
      </c>
      <c r="F62" s="320">
        <f>-(InIS!E11-InIS!E12)/10^9</f>
        <v>0.401767981</v>
      </c>
      <c r="G62" s="320">
        <f>-(InIS!F11-InIS!F12)/10^9</f>
        <v>1.2333856270000001</v>
      </c>
      <c r="H62" s="320">
        <f>-(InIS!G11-InIS!G12)/10^9</f>
        <v>2.450768482</v>
      </c>
      <c r="I62" s="320">
        <f>-(InIS!H11-InIS!H12)/10^9</f>
        <v>6.2080697999999997E-2</v>
      </c>
      <c r="J62" s="320">
        <f>-(InIS!I11-InIS!I12)/10^9</f>
        <v>0.18247028700000001</v>
      </c>
      <c r="K62" s="320">
        <f>-(InIS!J11-InIS!J12)/10^9</f>
        <v>9.1253765000000001E-2</v>
      </c>
      <c r="L62" s="320">
        <f>-(InIS!K11-InIS!K12)/10^9</f>
        <v>0.108512862</v>
      </c>
      <c r="M62" s="320">
        <f>-(InIS!L11-InIS!L12)/10^9</f>
        <v>5.1622599999999995E-4</v>
      </c>
      <c r="N62" s="291">
        <f>M62</f>
        <v>5.1622599999999995E-4</v>
      </c>
      <c r="O62" s="291">
        <f t="shared" ref="O62:S62" si="46">N62</f>
        <v>5.1622599999999995E-4</v>
      </c>
      <c r="P62" s="291">
        <f t="shared" si="46"/>
        <v>5.1622599999999995E-4</v>
      </c>
      <c r="Q62" s="291">
        <f t="shared" si="46"/>
        <v>5.1622599999999995E-4</v>
      </c>
      <c r="R62" s="291">
        <f t="shared" si="46"/>
        <v>5.1622599999999995E-4</v>
      </c>
      <c r="S62" s="291">
        <f t="shared" si="46"/>
        <v>5.1622599999999995E-4</v>
      </c>
      <c r="T62" s="56" t="s">
        <v>668</v>
      </c>
    </row>
    <row r="63" spans="2:20" x14ac:dyDescent="0.3">
      <c r="B63" s="362" t="s">
        <v>189</v>
      </c>
      <c r="C63" s="232"/>
      <c r="D63" s="232"/>
      <c r="E63" s="232"/>
      <c r="F63" s="232"/>
      <c r="G63" s="232"/>
      <c r="H63" s="232"/>
      <c r="I63" s="232"/>
      <c r="J63" s="232"/>
      <c r="K63" s="232"/>
      <c r="L63" s="232"/>
      <c r="M63" s="232"/>
      <c r="N63" s="147"/>
      <c r="O63" s="147"/>
      <c r="P63" s="147"/>
      <c r="Q63" s="147"/>
      <c r="R63" s="147"/>
      <c r="S63" s="147"/>
      <c r="T63" s="232"/>
    </row>
    <row r="64" spans="2:20" s="55" customFormat="1" x14ac:dyDescent="0.3">
      <c r="B64" s="55" t="s">
        <v>192</v>
      </c>
      <c r="D64" s="233">
        <f t="shared" ref="D64:M64" si="47">D58+D62+D63</f>
        <v>4.434917E-3</v>
      </c>
      <c r="E64" s="233">
        <f t="shared" si="47"/>
        <v>1.260335881</v>
      </c>
      <c r="F64" s="233">
        <f t="shared" si="47"/>
        <v>4.087516484</v>
      </c>
      <c r="G64" s="233">
        <f t="shared" si="47"/>
        <v>8.4503764649999997</v>
      </c>
      <c r="H64" s="233">
        <f t="shared" si="47"/>
        <v>28.514866145999999</v>
      </c>
      <c r="I64" s="233">
        <f t="shared" si="47"/>
        <v>23.484318936999998</v>
      </c>
      <c r="J64" s="233">
        <f t="shared" si="47"/>
        <v>14.69052166</v>
      </c>
      <c r="K64" s="233">
        <f t="shared" si="47"/>
        <v>7.5744057229999999</v>
      </c>
      <c r="L64" s="233">
        <f t="shared" si="47"/>
        <v>6.2164685970000004</v>
      </c>
      <c r="M64" s="233">
        <f t="shared" si="47"/>
        <v>6.1550323450000004</v>
      </c>
      <c r="N64" s="233">
        <f t="shared" ref="N64:S64" ca="1" si="48">SUM(N59:N63)</f>
        <v>2.1807554285584998</v>
      </c>
      <c r="O64" s="233">
        <f t="shared" ca="1" si="48"/>
        <v>0.47217604600000007</v>
      </c>
      <c r="P64" s="233">
        <f t="shared" ca="1" si="48"/>
        <v>0.28579610600000005</v>
      </c>
      <c r="Q64" s="233">
        <f t="shared" ca="1" si="48"/>
        <v>0.17118289266666672</v>
      </c>
      <c r="R64" s="233">
        <f t="shared" ca="1" si="48"/>
        <v>0.11429400377777779</v>
      </c>
      <c r="S64" s="233">
        <f t="shared" ca="1" si="48"/>
        <v>7.6368077851851859E-2</v>
      </c>
    </row>
    <row r="66" spans="2:20" s="55" customFormat="1" x14ac:dyDescent="0.3">
      <c r="B66" s="363" t="s">
        <v>190</v>
      </c>
      <c r="D66" s="233">
        <f t="shared" ref="D66:S66" si="49">D35-D40+D45+D55-D64</f>
        <v>-1.6869876480000001</v>
      </c>
      <c r="E66" s="233">
        <f t="shared" si="49"/>
        <v>-5.0630780390000005</v>
      </c>
      <c r="F66" s="233">
        <f t="shared" si="49"/>
        <v>12.454293928999993</v>
      </c>
      <c r="G66" s="233">
        <f t="shared" si="49"/>
        <v>105.73305564299999</v>
      </c>
      <c r="H66" s="233">
        <f t="shared" si="49"/>
        <v>226.93917150499996</v>
      </c>
      <c r="I66" s="233">
        <f t="shared" si="49"/>
        <v>132.30813288999997</v>
      </c>
      <c r="J66" s="233">
        <f t="shared" si="49"/>
        <v>138.36244499699995</v>
      </c>
      <c r="K66" s="233">
        <f t="shared" si="49"/>
        <v>130.33775351599982</v>
      </c>
      <c r="L66" s="233">
        <f t="shared" si="49"/>
        <v>145.66153810500009</v>
      </c>
      <c r="M66" s="233">
        <f t="shared" si="49"/>
        <v>148.60466213399999</v>
      </c>
      <c r="N66" s="246">
        <f t="shared" ca="1" si="49"/>
        <v>150.81327088843037</v>
      </c>
      <c r="O66" s="246">
        <f t="shared" ca="1" si="49"/>
        <v>143.07613614719813</v>
      </c>
      <c r="P66" s="246">
        <f t="shared" ca="1" si="49"/>
        <v>128.31251686758125</v>
      </c>
      <c r="Q66" s="246">
        <f t="shared" ca="1" si="49"/>
        <v>98.21405585803025</v>
      </c>
      <c r="R66" s="246">
        <f t="shared" ca="1" si="49"/>
        <v>102.02629773517107</v>
      </c>
      <c r="S66" s="246">
        <f t="shared" ca="1" si="49"/>
        <v>78.683348630428426</v>
      </c>
    </row>
    <row r="67" spans="2:20" x14ac:dyDescent="0.3">
      <c r="B67" s="307" t="s">
        <v>191</v>
      </c>
      <c r="D67" s="102">
        <f>IF(D$7,D66/D$7,0)</f>
        <v>0</v>
      </c>
      <c r="E67" s="102">
        <f t="shared" ref="E67:M67" si="50">IF(E$7,E66/E$7,0)</f>
        <v>-0.64363487030952693</v>
      </c>
      <c r="F67" s="102">
        <f t="shared" si="50"/>
        <v>0.16454920441182627</v>
      </c>
      <c r="G67" s="102">
        <f t="shared" si="50"/>
        <v>0.3704622771757029</v>
      </c>
      <c r="H67" s="102">
        <f t="shared" si="50"/>
        <v>0.31010270051857153</v>
      </c>
      <c r="I67" s="102">
        <f t="shared" si="50"/>
        <v>0.16513985190988734</v>
      </c>
      <c r="J67" s="102">
        <f t="shared" si="50"/>
        <v>0.14567832943516035</v>
      </c>
      <c r="K67" s="102">
        <f t="shared" si="50"/>
        <v>0.12006261991221256</v>
      </c>
      <c r="L67" s="102">
        <f t="shared" si="50"/>
        <v>0.1532943879864419</v>
      </c>
      <c r="M67" s="102">
        <f t="shared" si="50"/>
        <v>0.16686524365912186</v>
      </c>
      <c r="N67" s="217">
        <f t="shared" ref="N67:R67" ca="1" si="51">IF(N$7,N66/N$7,0)</f>
        <v>0.13451431296955871</v>
      </c>
      <c r="O67" s="217">
        <f t="shared" ca="1" si="51"/>
        <v>0.11195152039107739</v>
      </c>
      <c r="P67" s="217">
        <f t="shared" ca="1" si="51"/>
        <v>9.6461998471253738E-2</v>
      </c>
      <c r="Q67" s="217">
        <f t="shared" ca="1" si="51"/>
        <v>7.1608666206950139E-2</v>
      </c>
      <c r="R67" s="217">
        <f t="shared" ca="1" si="51"/>
        <v>6.6140949972675209E-2</v>
      </c>
      <c r="S67" s="217">
        <f ca="1">IF(S$7,S66/S$7,0)</f>
        <v>4.9481768353189612E-2</v>
      </c>
    </row>
    <row r="69" spans="2:20" x14ac:dyDescent="0.3">
      <c r="B69" s="56" t="s">
        <v>197</v>
      </c>
      <c r="C69" s="56"/>
      <c r="D69" s="320">
        <f>-InIS!C23/10^9</f>
        <v>0</v>
      </c>
      <c r="E69" s="320">
        <f>-InIS!D23/10^9</f>
        <v>-0.59917724999999999</v>
      </c>
      <c r="F69" s="320">
        <f>-InIS!E23/10^9</f>
        <v>0.20722201200000001</v>
      </c>
      <c r="G69" s="320">
        <f>-InIS!F23/10^9</f>
        <v>0.39195523799999998</v>
      </c>
      <c r="H69" s="320">
        <f>-InIS!G23/10^9</f>
        <v>23.456470471999999</v>
      </c>
      <c r="I69" s="320">
        <f>-InIS!H23/10^9</f>
        <v>14.308265973999999</v>
      </c>
      <c r="J69" s="320">
        <f>-InIS!I23/10^9</f>
        <v>23.740503784000001</v>
      </c>
      <c r="K69" s="320">
        <f>-InIS!J23/10^9</f>
        <v>17.550953283999998</v>
      </c>
      <c r="L69" s="320">
        <f>-InIS!K23/10^9</f>
        <v>26.351271632</v>
      </c>
      <c r="M69" s="320">
        <f>-InIS!L23/10^9</f>
        <v>27.452966279999998</v>
      </c>
      <c r="N69" s="219"/>
      <c r="O69" s="219"/>
      <c r="P69" s="219"/>
      <c r="Q69" s="219"/>
      <c r="R69" s="219"/>
      <c r="S69" s="219"/>
      <c r="T69" s="649" t="s">
        <v>671</v>
      </c>
    </row>
    <row r="70" spans="2:20" x14ac:dyDescent="0.3">
      <c r="B70" s="311" t="s">
        <v>198</v>
      </c>
      <c r="C70" s="232"/>
      <c r="D70" s="278">
        <f>D69/D66</f>
        <v>0</v>
      </c>
      <c r="E70" s="278">
        <f t="shared" ref="E70:M70" si="52">E69/E66</f>
        <v>0.1183424875904821</v>
      </c>
      <c r="F70" s="278">
        <f t="shared" si="52"/>
        <v>1.6638599761764152E-2</v>
      </c>
      <c r="G70" s="278">
        <f t="shared" si="52"/>
        <v>3.7070264887019673E-3</v>
      </c>
      <c r="H70" s="278">
        <f t="shared" si="52"/>
        <v>0.10336016614691484</v>
      </c>
      <c r="I70" s="278">
        <f t="shared" si="52"/>
        <v>0.10814351061771682</v>
      </c>
      <c r="J70" s="278">
        <f t="shared" si="52"/>
        <v>0.17158199094063967</v>
      </c>
      <c r="K70" s="278">
        <f t="shared" si="52"/>
        <v>0.13465747882362805</v>
      </c>
      <c r="L70" s="278">
        <f t="shared" si="52"/>
        <v>0.18090754755730157</v>
      </c>
      <c r="M70" s="278">
        <f t="shared" si="52"/>
        <v>0.18473825710289676</v>
      </c>
      <c r="N70" s="392">
        <v>0.2</v>
      </c>
      <c r="O70" s="392">
        <v>0.2</v>
      </c>
      <c r="P70" s="392">
        <v>0.2</v>
      </c>
      <c r="Q70" s="392">
        <v>0.2</v>
      </c>
      <c r="R70" s="392">
        <v>0.2</v>
      </c>
      <c r="S70" s="392">
        <v>0.2</v>
      </c>
      <c r="T70" s="650"/>
    </row>
    <row r="71" spans="2:20" s="55" customFormat="1" x14ac:dyDescent="0.3">
      <c r="B71" s="55" t="s">
        <v>197</v>
      </c>
      <c r="D71" s="233">
        <f>IF(D69,D69,D70*D66)</f>
        <v>0</v>
      </c>
      <c r="E71" s="233">
        <f t="shared" ref="E71:L71" si="53">IF(E69,E69,E70*E66)</f>
        <v>-0.59917724999999999</v>
      </c>
      <c r="F71" s="233">
        <f t="shared" si="53"/>
        <v>0.20722201200000001</v>
      </c>
      <c r="G71" s="233">
        <f t="shared" si="53"/>
        <v>0.39195523799999998</v>
      </c>
      <c r="H71" s="233">
        <f t="shared" si="53"/>
        <v>23.456470471999999</v>
      </c>
      <c r="I71" s="233">
        <f t="shared" si="53"/>
        <v>14.308265973999999</v>
      </c>
      <c r="J71" s="233">
        <f t="shared" si="53"/>
        <v>23.740503784000001</v>
      </c>
      <c r="K71" s="233">
        <f t="shared" si="53"/>
        <v>17.550953283999998</v>
      </c>
      <c r="L71" s="233">
        <f t="shared" si="53"/>
        <v>26.351271632</v>
      </c>
      <c r="M71" s="233">
        <f>IF(M69,M69,M70*M66)</f>
        <v>27.452966279999998</v>
      </c>
      <c r="N71" s="304">
        <f ca="1">N66*N70+N73*N70</f>
        <v>30.162654177686075</v>
      </c>
      <c r="O71" s="304">
        <f t="shared" ref="O71:S71" ca="1" si="54">O66*O70+O73*O70</f>
        <v>28.615227229439625</v>
      </c>
      <c r="P71" s="304">
        <f t="shared" ca="1" si="54"/>
        <v>25.662503373516252</v>
      </c>
      <c r="Q71" s="304">
        <f t="shared" ca="1" si="54"/>
        <v>19.642811171606052</v>
      </c>
      <c r="R71" s="304">
        <f t="shared" ca="1" si="54"/>
        <v>20.405259547034216</v>
      </c>
      <c r="S71" s="304">
        <f t="shared" ca="1" si="54"/>
        <v>15.736669726085687</v>
      </c>
    </row>
    <row r="73" spans="2:20" x14ac:dyDescent="0.3">
      <c r="B73" s="54" t="s">
        <v>199</v>
      </c>
      <c r="D73" s="54">
        <f>D52+InIS!C19/10^9</f>
        <v>0</v>
      </c>
      <c r="E73" s="54">
        <f>E52+InIS!D19/10^9</f>
        <v>0</v>
      </c>
      <c r="F73" s="54">
        <f>F52+InIS!E19/10^9</f>
        <v>0</v>
      </c>
      <c r="G73" s="54">
        <f>G52+InIS!F19/10^9</f>
        <v>0</v>
      </c>
      <c r="H73" s="54">
        <f>H52+InIS!G19/10^9</f>
        <v>0</v>
      </c>
      <c r="I73" s="54">
        <f>I52+InIS!H19/10^9</f>
        <v>0</v>
      </c>
      <c r="J73" s="54">
        <f>J52+InIS!I19/10^9</f>
        <v>0</v>
      </c>
      <c r="K73" s="54">
        <f>K52+InIS!J19/10^9</f>
        <v>0</v>
      </c>
      <c r="L73" s="54">
        <f>L52+InIS!K19/10^9</f>
        <v>0</v>
      </c>
      <c r="M73" s="54">
        <f>M52+InIS!L19/10^9</f>
        <v>0</v>
      </c>
      <c r="N73" s="144"/>
      <c r="O73" s="144"/>
      <c r="P73" s="144"/>
      <c r="Q73" s="144"/>
      <c r="R73" s="144"/>
      <c r="S73" s="144"/>
      <c r="T73" s="54" t="s">
        <v>672</v>
      </c>
    </row>
    <row r="74" spans="2:20" x14ac:dyDescent="0.3">
      <c r="B74" s="307" t="s">
        <v>200</v>
      </c>
      <c r="D74" s="352" t="s">
        <v>121</v>
      </c>
      <c r="E74" s="102">
        <f t="shared" ref="E74:M74" si="55">IF(D75,E73/D75-1,0)</f>
        <v>0</v>
      </c>
      <c r="F74" s="102">
        <f t="shared" si="55"/>
        <v>0</v>
      </c>
      <c r="G74" s="102">
        <f t="shared" si="55"/>
        <v>0</v>
      </c>
      <c r="H74" s="102">
        <f t="shared" si="55"/>
        <v>0</v>
      </c>
      <c r="I74" s="102">
        <f t="shared" si="55"/>
        <v>0</v>
      </c>
      <c r="J74" s="102">
        <f t="shared" si="55"/>
        <v>0</v>
      </c>
      <c r="K74" s="102">
        <f t="shared" si="55"/>
        <v>0</v>
      </c>
      <c r="L74" s="102">
        <f t="shared" si="55"/>
        <v>0</v>
      </c>
      <c r="M74" s="102">
        <f t="shared" si="55"/>
        <v>0</v>
      </c>
      <c r="N74" s="217">
        <f>IF(M75,N73/M75-1,0)</f>
        <v>0</v>
      </c>
      <c r="O74" s="217">
        <f t="shared" ref="O74:S74" si="56">IF(N75,O73/N75-1,0)</f>
        <v>0</v>
      </c>
      <c r="P74" s="217">
        <f t="shared" si="56"/>
        <v>0</v>
      </c>
      <c r="Q74" s="217">
        <f t="shared" si="56"/>
        <v>0</v>
      </c>
      <c r="R74" s="217">
        <f t="shared" si="56"/>
        <v>0</v>
      </c>
      <c r="S74" s="217">
        <f t="shared" si="56"/>
        <v>0</v>
      </c>
    </row>
    <row r="75" spans="2:20" s="55" customFormat="1" x14ac:dyDescent="0.3">
      <c r="B75" s="237" t="s">
        <v>199</v>
      </c>
      <c r="C75" s="237"/>
      <c r="D75" s="237">
        <f>D73</f>
        <v>0</v>
      </c>
      <c r="E75" s="237">
        <f t="shared" ref="E75:S75" si="57">E73</f>
        <v>0</v>
      </c>
      <c r="F75" s="237">
        <f t="shared" si="57"/>
        <v>0</v>
      </c>
      <c r="G75" s="237">
        <f t="shared" si="57"/>
        <v>0</v>
      </c>
      <c r="H75" s="237">
        <f t="shared" si="57"/>
        <v>0</v>
      </c>
      <c r="I75" s="237">
        <f t="shared" si="57"/>
        <v>0</v>
      </c>
      <c r="J75" s="237">
        <f t="shared" si="57"/>
        <v>0</v>
      </c>
      <c r="K75" s="237">
        <f t="shared" si="57"/>
        <v>0</v>
      </c>
      <c r="L75" s="237">
        <f t="shared" si="57"/>
        <v>0</v>
      </c>
      <c r="M75" s="237">
        <f>M73</f>
        <v>0</v>
      </c>
      <c r="N75" s="237">
        <f t="shared" si="57"/>
        <v>0</v>
      </c>
      <c r="O75" s="237">
        <f t="shared" si="57"/>
        <v>0</v>
      </c>
      <c r="P75" s="237">
        <f t="shared" si="57"/>
        <v>0</v>
      </c>
      <c r="Q75" s="237">
        <f t="shared" si="57"/>
        <v>0</v>
      </c>
      <c r="R75" s="237">
        <f t="shared" si="57"/>
        <v>0</v>
      </c>
      <c r="S75" s="237">
        <f t="shared" si="57"/>
        <v>0</v>
      </c>
      <c r="T75" s="237"/>
    </row>
    <row r="77" spans="2:20" s="55" customFormat="1" x14ac:dyDescent="0.3">
      <c r="B77" s="55" t="s">
        <v>201</v>
      </c>
      <c r="D77" s="233">
        <f>D66-D71+D75</f>
        <v>-1.6869876480000001</v>
      </c>
      <c r="E77" s="233">
        <f t="shared" ref="E77:S77" si="58">E66-E71+E75</f>
        <v>-4.4639007890000002</v>
      </c>
      <c r="F77" s="233">
        <f t="shared" si="58"/>
        <v>12.247071916999992</v>
      </c>
      <c r="G77" s="233">
        <f t="shared" si="58"/>
        <v>105.34110040499999</v>
      </c>
      <c r="H77" s="233">
        <f t="shared" si="58"/>
        <v>203.48270103299996</v>
      </c>
      <c r="I77" s="233">
        <f t="shared" si="58"/>
        <v>117.99986691599997</v>
      </c>
      <c r="J77" s="233">
        <f t="shared" si="58"/>
        <v>114.62194121299996</v>
      </c>
      <c r="K77" s="233">
        <f t="shared" si="58"/>
        <v>112.78680023199982</v>
      </c>
      <c r="L77" s="233">
        <f t="shared" si="58"/>
        <v>119.3102664730001</v>
      </c>
      <c r="M77" s="233">
        <f t="shared" si="58"/>
        <v>121.151695854</v>
      </c>
      <c r="N77" s="233">
        <f ca="1">N66-N71+N75</f>
        <v>120.65061671074429</v>
      </c>
      <c r="O77" s="233">
        <f t="shared" ca="1" si="58"/>
        <v>114.4609089177585</v>
      </c>
      <c r="P77" s="233">
        <f t="shared" ca="1" si="58"/>
        <v>102.65001349406501</v>
      </c>
      <c r="Q77" s="233">
        <f t="shared" ca="1" si="58"/>
        <v>78.571244686424194</v>
      </c>
      <c r="R77" s="233">
        <f t="shared" ca="1" si="58"/>
        <v>81.621038188136851</v>
      </c>
      <c r="S77" s="233">
        <f t="shared" ca="1" si="58"/>
        <v>62.94667890434274</v>
      </c>
    </row>
    <row r="78" spans="2:20" s="307" customFormat="1" x14ac:dyDescent="0.3">
      <c r="B78" s="307" t="s">
        <v>202</v>
      </c>
      <c r="D78" s="102">
        <f>IF(D$7,D77/D$7,0)</f>
        <v>0</v>
      </c>
      <c r="E78" s="102">
        <f t="shared" ref="E78:S78" si="59">IF(E$7,E77/E$7,0)</f>
        <v>-0.56746551865712014</v>
      </c>
      <c r="F78" s="102">
        <f t="shared" si="59"/>
        <v>0.16181133605850118</v>
      </c>
      <c r="G78" s="102">
        <f t="shared" si="59"/>
        <v>0.36908896370114774</v>
      </c>
      <c r="H78" s="102">
        <f t="shared" si="59"/>
        <v>0.27805043387036499</v>
      </c>
      <c r="I78" s="102">
        <f t="shared" si="59"/>
        <v>0.14728104858146226</v>
      </c>
      <c r="J78" s="102">
        <f t="shared" si="59"/>
        <v>0.12068255163376915</v>
      </c>
      <c r="K78" s="102">
        <f t="shared" si="59"/>
        <v>0.10389529021387449</v>
      </c>
      <c r="L78" s="102">
        <f t="shared" si="59"/>
        <v>0.12556227620151722</v>
      </c>
      <c r="M78" s="102">
        <f t="shared" si="59"/>
        <v>0.13603884937448552</v>
      </c>
      <c r="N78" s="102">
        <f t="shared" ca="1" si="59"/>
        <v>0.10761145037564696</v>
      </c>
      <c r="O78" s="102">
        <f t="shared" ca="1" si="59"/>
        <v>8.9561216312861916E-2</v>
      </c>
      <c r="P78" s="102">
        <f t="shared" ca="1" si="59"/>
        <v>7.7169598777002996E-2</v>
      </c>
      <c r="Q78" s="102">
        <f t="shared" ca="1" si="59"/>
        <v>5.7286932965560103E-2</v>
      </c>
      <c r="R78" s="102">
        <f t="shared" ca="1" si="59"/>
        <v>5.2912759978140163E-2</v>
      </c>
      <c r="S78" s="102">
        <f t="shared" ca="1" si="59"/>
        <v>3.9585414682551688E-2</v>
      </c>
    </row>
    <row r="80" spans="2:20" x14ac:dyDescent="0.3">
      <c r="B80" s="56" t="s">
        <v>203</v>
      </c>
      <c r="C80" s="56"/>
      <c r="D80" s="320">
        <f>InIS!C25/10^9</f>
        <v>0</v>
      </c>
      <c r="E80" s="320">
        <f>InIS!D25/10^9</f>
        <v>0</v>
      </c>
      <c r="F80" s="320">
        <f>InIS!E25/10^9</f>
        <v>0</v>
      </c>
      <c r="G80" s="320">
        <f>InIS!F25/10^9</f>
        <v>0</v>
      </c>
      <c r="H80" s="320">
        <f>InIS!G25/10^9</f>
        <v>0</v>
      </c>
      <c r="I80" s="320">
        <f>InIS!H25/10^9</f>
        <v>0</v>
      </c>
      <c r="J80" s="320">
        <f>InIS!I25/10^9</f>
        <v>0</v>
      </c>
      <c r="K80" s="320">
        <f>InIS!J25/10^9</f>
        <v>0</v>
      </c>
      <c r="L80" s="320">
        <f>InIS!K25/10^9</f>
        <v>0</v>
      </c>
      <c r="M80" s="320">
        <f>InIS!L25/10^9</f>
        <v>0</v>
      </c>
      <c r="N80" s="291">
        <f>M80</f>
        <v>0</v>
      </c>
      <c r="O80" s="291">
        <f t="shared" ref="O80:S80" si="60">N80</f>
        <v>0</v>
      </c>
      <c r="P80" s="291">
        <f t="shared" si="60"/>
        <v>0</v>
      </c>
      <c r="Q80" s="291">
        <f t="shared" si="60"/>
        <v>0</v>
      </c>
      <c r="R80" s="291">
        <f t="shared" si="60"/>
        <v>0</v>
      </c>
      <c r="S80" s="291">
        <f t="shared" si="60"/>
        <v>0</v>
      </c>
      <c r="T80" s="56"/>
    </row>
    <row r="81" spans="2:20" x14ac:dyDescent="0.3">
      <c r="B81" s="311" t="s">
        <v>200</v>
      </c>
      <c r="C81" s="232"/>
      <c r="D81" s="347" t="s">
        <v>121</v>
      </c>
      <c r="E81" s="278">
        <f>IF(D82,E80/D82-1,0)</f>
        <v>0</v>
      </c>
      <c r="F81" s="278">
        <f t="shared" ref="F81:M81" si="61">IF(E82,F80/E82-1,0)</f>
        <v>0</v>
      </c>
      <c r="G81" s="278">
        <f t="shared" si="61"/>
        <v>0</v>
      </c>
      <c r="H81" s="278">
        <f t="shared" si="61"/>
        <v>0</v>
      </c>
      <c r="I81" s="278">
        <f t="shared" si="61"/>
        <v>0</v>
      </c>
      <c r="J81" s="278">
        <f t="shared" si="61"/>
        <v>0</v>
      </c>
      <c r="K81" s="278">
        <f t="shared" si="61"/>
        <v>0</v>
      </c>
      <c r="L81" s="278">
        <f t="shared" si="61"/>
        <v>0</v>
      </c>
      <c r="M81" s="278">
        <f t="shared" si="61"/>
        <v>0</v>
      </c>
      <c r="N81" s="287">
        <f t="shared" ref="N81" si="62">IF(M82,N80/M82-1,0)</f>
        <v>0</v>
      </c>
      <c r="O81" s="287">
        <f t="shared" ref="O81" si="63">IF(N82,O80/N82-1,0)</f>
        <v>0</v>
      </c>
      <c r="P81" s="287">
        <f t="shared" ref="P81" si="64">IF(O82,P80/O82-1,0)</f>
        <v>0</v>
      </c>
      <c r="Q81" s="287">
        <f t="shared" ref="Q81" si="65">IF(P82,Q80/P82-1,0)</f>
        <v>0</v>
      </c>
      <c r="R81" s="287">
        <f t="shared" ref="R81" si="66">IF(Q82,R80/Q82-1,0)</f>
        <v>0</v>
      </c>
      <c r="S81" s="287">
        <f t="shared" ref="S81" si="67">IF(R82,S80/R82-1,0)</f>
        <v>0</v>
      </c>
      <c r="T81" s="232"/>
    </row>
    <row r="82" spans="2:20" s="55" customFormat="1" x14ac:dyDescent="0.3">
      <c r="B82" s="55" t="s">
        <v>203</v>
      </c>
      <c r="D82" s="233">
        <f>D80</f>
        <v>0</v>
      </c>
      <c r="E82" s="233">
        <f t="shared" ref="E82:L82" si="68">E80</f>
        <v>0</v>
      </c>
      <c r="F82" s="233">
        <f t="shared" si="68"/>
        <v>0</v>
      </c>
      <c r="G82" s="233">
        <f t="shared" si="68"/>
        <v>0</v>
      </c>
      <c r="H82" s="233">
        <f t="shared" si="68"/>
        <v>0</v>
      </c>
      <c r="I82" s="233">
        <f t="shared" si="68"/>
        <v>0</v>
      </c>
      <c r="J82" s="233">
        <f t="shared" si="68"/>
        <v>0</v>
      </c>
      <c r="K82" s="233">
        <f t="shared" si="68"/>
        <v>0</v>
      </c>
      <c r="L82" s="233">
        <f t="shared" si="68"/>
        <v>0</v>
      </c>
      <c r="M82" s="233">
        <f>M80</f>
        <v>0</v>
      </c>
      <c r="N82" s="233">
        <f t="shared" ref="N82:S82" si="69">N80</f>
        <v>0</v>
      </c>
      <c r="O82" s="233">
        <f t="shared" si="69"/>
        <v>0</v>
      </c>
      <c r="P82" s="233">
        <f t="shared" si="69"/>
        <v>0</v>
      </c>
      <c r="Q82" s="233">
        <f t="shared" si="69"/>
        <v>0</v>
      </c>
      <c r="R82" s="233">
        <f t="shared" si="69"/>
        <v>0</v>
      </c>
      <c r="S82" s="233">
        <f t="shared" si="69"/>
        <v>0</v>
      </c>
    </row>
    <row r="84" spans="2:20" s="55" customFormat="1" x14ac:dyDescent="0.3">
      <c r="B84" s="55" t="s">
        <v>204</v>
      </c>
      <c r="D84" s="233">
        <f>D77-D82</f>
        <v>-1.6869876480000001</v>
      </c>
      <c r="E84" s="233">
        <f t="shared" ref="E84:R84" si="70">E77-E82</f>
        <v>-4.4639007890000002</v>
      </c>
      <c r="F84" s="233">
        <f t="shared" si="70"/>
        <v>12.247071916999992</v>
      </c>
      <c r="G84" s="233">
        <f t="shared" si="70"/>
        <v>105.34110040499999</v>
      </c>
      <c r="H84" s="233">
        <f t="shared" si="70"/>
        <v>203.48270103299996</v>
      </c>
      <c r="I84" s="233">
        <f t="shared" si="70"/>
        <v>117.99986691599997</v>
      </c>
      <c r="J84" s="233">
        <f t="shared" si="70"/>
        <v>114.62194121299996</v>
      </c>
      <c r="K84" s="233">
        <f t="shared" si="70"/>
        <v>112.78680023199982</v>
      </c>
      <c r="L84" s="233">
        <f t="shared" si="70"/>
        <v>119.3102664730001</v>
      </c>
      <c r="M84" s="233">
        <f t="shared" si="70"/>
        <v>121.151695854</v>
      </c>
      <c r="N84" s="246">
        <f ca="1">N77-N82</f>
        <v>120.65061671074429</v>
      </c>
      <c r="O84" s="246">
        <f t="shared" ca="1" si="70"/>
        <v>114.4609089177585</v>
      </c>
      <c r="P84" s="246">
        <f t="shared" ca="1" si="70"/>
        <v>102.65001349406501</v>
      </c>
      <c r="Q84" s="246">
        <f t="shared" ca="1" si="70"/>
        <v>78.571244686424194</v>
      </c>
      <c r="R84" s="246">
        <f t="shared" ca="1" si="70"/>
        <v>81.621038188136851</v>
      </c>
      <c r="S84" s="246">
        <f ca="1">S77-S82</f>
        <v>62.94667890434274</v>
      </c>
    </row>
    <row r="85" spans="2:20" x14ac:dyDescent="0.3">
      <c r="B85" s="307" t="s">
        <v>205</v>
      </c>
      <c r="D85" s="227">
        <f>D84</f>
        <v>-1.6869876480000001</v>
      </c>
      <c r="E85" s="227">
        <f t="shared" ref="E85:S85" si="71">E84</f>
        <v>-4.4639007890000002</v>
      </c>
      <c r="F85" s="227">
        <f t="shared" si="71"/>
        <v>12.247071916999992</v>
      </c>
      <c r="G85" s="227">
        <f t="shared" si="71"/>
        <v>105.34110040499999</v>
      </c>
      <c r="H85" s="227">
        <f t="shared" si="71"/>
        <v>203.48270103299996</v>
      </c>
      <c r="I85" s="227">
        <f t="shared" si="71"/>
        <v>117.99986691599997</v>
      </c>
      <c r="J85" s="227">
        <f t="shared" si="71"/>
        <v>114.62194121299996</v>
      </c>
      <c r="K85" s="227">
        <f t="shared" si="71"/>
        <v>112.78680023199982</v>
      </c>
      <c r="L85" s="227">
        <f t="shared" si="71"/>
        <v>119.3102664730001</v>
      </c>
      <c r="M85" s="227">
        <f t="shared" si="71"/>
        <v>121.151695854</v>
      </c>
      <c r="N85" s="222">
        <f t="shared" ca="1" si="71"/>
        <v>120.65061671074429</v>
      </c>
      <c r="O85" s="222">
        <f t="shared" ca="1" si="71"/>
        <v>114.4609089177585</v>
      </c>
      <c r="P85" s="222">
        <f t="shared" ca="1" si="71"/>
        <v>102.65001349406501</v>
      </c>
      <c r="Q85" s="222">
        <f t="shared" ca="1" si="71"/>
        <v>78.571244686424194</v>
      </c>
      <c r="R85" s="222">
        <f t="shared" ca="1" si="71"/>
        <v>81.621038188136851</v>
      </c>
      <c r="S85" s="222">
        <f t="shared" ca="1" si="71"/>
        <v>62.94667890434274</v>
      </c>
    </row>
    <row r="86" spans="2:20" x14ac:dyDescent="0.3">
      <c r="B86" s="307" t="s">
        <v>206</v>
      </c>
      <c r="N86" s="144"/>
      <c r="O86" s="144"/>
      <c r="P86" s="144"/>
      <c r="Q86" s="144"/>
      <c r="R86" s="144"/>
      <c r="S86" s="144"/>
    </row>
    <row r="87" spans="2:20" x14ac:dyDescent="0.3">
      <c r="B87" s="307" t="s">
        <v>207</v>
      </c>
      <c r="N87" s="144"/>
      <c r="O87" s="144"/>
      <c r="P87" s="144"/>
      <c r="Q87" s="144"/>
      <c r="R87" s="144"/>
      <c r="S87" s="144"/>
    </row>
    <row r="88" spans="2:20" x14ac:dyDescent="0.3">
      <c r="B88" s="112" t="s">
        <v>208</v>
      </c>
      <c r="G88" s="227">
        <v>5.5910227749999999</v>
      </c>
      <c r="H88" s="227">
        <v>5.8910227749999997</v>
      </c>
      <c r="I88" s="227">
        <v>7.3129436759999997</v>
      </c>
      <c r="J88" s="227">
        <v>7.6388228519999997</v>
      </c>
      <c r="K88" s="227">
        <v>17.360127232</v>
      </c>
      <c r="L88" s="227">
        <v>12.3</v>
      </c>
      <c r="M88" s="227">
        <v>15</v>
      </c>
      <c r="N88" s="222"/>
      <c r="O88" s="222"/>
      <c r="P88" s="222"/>
      <c r="Q88" s="222"/>
      <c r="R88" s="222"/>
      <c r="S88" s="222"/>
    </row>
    <row r="89" spans="2:20" ht="15" customHeight="1" x14ac:dyDescent="0.3">
      <c r="B89" s="311" t="s">
        <v>209</v>
      </c>
      <c r="C89" s="232"/>
      <c r="D89" s="278">
        <f>IF(D88,D88/D84,0)</f>
        <v>0</v>
      </c>
      <c r="E89" s="278">
        <f t="shared" ref="E89:L89" si="72">IF(E88,E88/E84,0)</f>
        <v>0</v>
      </c>
      <c r="F89" s="278">
        <f t="shared" si="72"/>
        <v>0</v>
      </c>
      <c r="G89" s="278">
        <f t="shared" si="72"/>
        <v>5.3075416466169964E-2</v>
      </c>
      <c r="H89" s="278">
        <f t="shared" si="72"/>
        <v>2.895097590652003E-2</v>
      </c>
      <c r="I89" s="278">
        <f t="shared" si="72"/>
        <v>6.1974168845510914E-2</v>
      </c>
      <c r="J89" s="278">
        <f t="shared" si="72"/>
        <v>6.6643635338585902E-2</v>
      </c>
      <c r="K89" s="278">
        <f t="shared" si="72"/>
        <v>0.15391984874374148</v>
      </c>
      <c r="L89" s="278">
        <f t="shared" si="72"/>
        <v>0.10309255325302194</v>
      </c>
      <c r="M89" s="278">
        <f>IF(M88,M88/M84,0)</f>
        <v>0.12381172128268442</v>
      </c>
      <c r="N89" s="287">
        <f>12000000000/80815194783</f>
        <v>0.14848692788802481</v>
      </c>
      <c r="O89" s="287">
        <v>0.14000000000000001</v>
      </c>
      <c r="P89" s="287">
        <f>O89</f>
        <v>0.14000000000000001</v>
      </c>
      <c r="Q89" s="287">
        <f t="shared" ref="Q89:S89" si="73">P89</f>
        <v>0.14000000000000001</v>
      </c>
      <c r="R89" s="287">
        <f t="shared" si="73"/>
        <v>0.14000000000000001</v>
      </c>
      <c r="S89" s="287">
        <f t="shared" si="73"/>
        <v>0.14000000000000001</v>
      </c>
      <c r="T89" s="647" t="s">
        <v>700</v>
      </c>
    </row>
    <row r="90" spans="2:20" s="55" customFormat="1" x14ac:dyDescent="0.3">
      <c r="B90" s="55" t="s">
        <v>208</v>
      </c>
      <c r="D90" s="233">
        <f>IF(D88,D88,D89*(D66-D71+D75))</f>
        <v>0</v>
      </c>
      <c r="E90" s="233">
        <f t="shared" ref="E90:L90" si="74">IF(E88,E88,E89*(E66-E71+E75))</f>
        <v>0</v>
      </c>
      <c r="F90" s="233">
        <f t="shared" si="74"/>
        <v>0</v>
      </c>
      <c r="G90" s="233">
        <f t="shared" si="74"/>
        <v>5.5910227749999999</v>
      </c>
      <c r="H90" s="233">
        <f t="shared" si="74"/>
        <v>5.8910227749999997</v>
      </c>
      <c r="I90" s="233">
        <f t="shared" si="74"/>
        <v>7.3129436759999997</v>
      </c>
      <c r="J90" s="233">
        <f t="shared" si="74"/>
        <v>7.6388228519999997</v>
      </c>
      <c r="K90" s="233">
        <f t="shared" si="74"/>
        <v>17.360127232</v>
      </c>
      <c r="L90" s="233">
        <f t="shared" si="74"/>
        <v>12.3</v>
      </c>
      <c r="M90" s="233">
        <f>IF(M88,M88,M89*(M66-M71+M75))</f>
        <v>15</v>
      </c>
      <c r="N90" s="246">
        <f t="shared" ref="N90:S90" ca="1" si="75">IF(N88,N88,N89*(N66-N71+N75))</f>
        <v>17.915039423174008</v>
      </c>
      <c r="O90" s="246">
        <f t="shared" ca="1" si="75"/>
        <v>16.024527248486191</v>
      </c>
      <c r="P90" s="246">
        <f t="shared" ca="1" si="75"/>
        <v>14.371001889169102</v>
      </c>
      <c r="Q90" s="246">
        <f t="shared" ca="1" si="75"/>
        <v>10.999974256099389</v>
      </c>
      <c r="R90" s="246">
        <f t="shared" ca="1" si="75"/>
        <v>11.42694534633916</v>
      </c>
      <c r="S90" s="246">
        <f t="shared" ca="1" si="75"/>
        <v>8.8125350466079837</v>
      </c>
      <c r="T90" s="647"/>
    </row>
    <row r="91" spans="2:20" x14ac:dyDescent="0.3">
      <c r="T91" s="647"/>
    </row>
    <row r="92" spans="2:20" x14ac:dyDescent="0.3">
      <c r="B92" s="54" t="s">
        <v>210</v>
      </c>
      <c r="D92" s="54">
        <v>0</v>
      </c>
      <c r="E92" s="54">
        <v>0</v>
      </c>
      <c r="F92" s="54">
        <v>0</v>
      </c>
      <c r="G92" s="54">
        <v>0</v>
      </c>
      <c r="H92" s="54">
        <v>0</v>
      </c>
      <c r="I92" s="54">
        <v>0</v>
      </c>
      <c r="J92" s="54">
        <v>0</v>
      </c>
      <c r="K92" s="54">
        <v>0</v>
      </c>
      <c r="L92" s="54">
        <v>0</v>
      </c>
      <c r="M92" s="54">
        <v>0</v>
      </c>
      <c r="N92" s="144">
        <v>0</v>
      </c>
      <c r="O92" s="144">
        <v>0</v>
      </c>
      <c r="P92" s="144">
        <v>0</v>
      </c>
      <c r="Q92" s="144">
        <v>0</v>
      </c>
      <c r="R92" s="144">
        <v>0</v>
      </c>
      <c r="S92" s="144">
        <v>0</v>
      </c>
    </row>
    <row r="93" spans="2:20" x14ac:dyDescent="0.3">
      <c r="B93" s="311" t="s">
        <v>211</v>
      </c>
      <c r="C93" s="232"/>
      <c r="D93" s="232"/>
      <c r="E93" s="232"/>
      <c r="F93" s="232"/>
      <c r="G93" s="232"/>
      <c r="H93" s="232"/>
      <c r="I93" s="232"/>
      <c r="J93" s="232"/>
      <c r="K93" s="232"/>
      <c r="L93" s="232"/>
      <c r="M93" s="232"/>
      <c r="N93" s="147"/>
      <c r="O93" s="147"/>
      <c r="P93" s="147"/>
      <c r="Q93" s="147"/>
      <c r="R93" s="147"/>
      <c r="S93" s="147"/>
      <c r="T93" s="232"/>
    </row>
    <row r="94" spans="2:20" s="55" customFormat="1" x14ac:dyDescent="0.3">
      <c r="B94" s="100" t="s">
        <v>210</v>
      </c>
      <c r="C94" s="100"/>
      <c r="D94" s="100">
        <f>D92</f>
        <v>0</v>
      </c>
      <c r="E94" s="100">
        <f t="shared" ref="E94:S94" si="76">E92</f>
        <v>0</v>
      </c>
      <c r="F94" s="100">
        <f t="shared" si="76"/>
        <v>0</v>
      </c>
      <c r="G94" s="100">
        <f t="shared" si="76"/>
        <v>0</v>
      </c>
      <c r="H94" s="100">
        <f t="shared" si="76"/>
        <v>0</v>
      </c>
      <c r="I94" s="100">
        <f t="shared" si="76"/>
        <v>0</v>
      </c>
      <c r="J94" s="100">
        <f t="shared" si="76"/>
        <v>0</v>
      </c>
      <c r="K94" s="100">
        <f t="shared" si="76"/>
        <v>0</v>
      </c>
      <c r="L94" s="100">
        <f t="shared" si="76"/>
        <v>0</v>
      </c>
      <c r="M94" s="100">
        <f t="shared" si="76"/>
        <v>0</v>
      </c>
      <c r="N94" s="100">
        <f t="shared" si="76"/>
        <v>0</v>
      </c>
      <c r="O94" s="100">
        <f t="shared" si="76"/>
        <v>0</v>
      </c>
      <c r="P94" s="100">
        <f t="shared" si="76"/>
        <v>0</v>
      </c>
      <c r="Q94" s="100">
        <f t="shared" si="76"/>
        <v>0</v>
      </c>
      <c r="R94" s="100">
        <f t="shared" si="76"/>
        <v>0</v>
      </c>
      <c r="S94" s="100">
        <f t="shared" si="76"/>
        <v>0</v>
      </c>
      <c r="T94" s="100"/>
    </row>
    <row r="95" spans="2:20" x14ac:dyDescent="0.3">
      <c r="B95" s="55" t="s">
        <v>212</v>
      </c>
      <c r="D95" s="233">
        <f t="shared" ref="D95:M95" si="77">D84-D90-D94</f>
        <v>-1.6869876480000001</v>
      </c>
      <c r="E95" s="233">
        <f t="shared" si="77"/>
        <v>-4.4639007890000002</v>
      </c>
      <c r="F95" s="233">
        <f t="shared" si="77"/>
        <v>12.247071916999992</v>
      </c>
      <c r="G95" s="233">
        <f t="shared" si="77"/>
        <v>99.750077629999993</v>
      </c>
      <c r="H95" s="233">
        <f t="shared" si="77"/>
        <v>197.59167825799994</v>
      </c>
      <c r="I95" s="233">
        <f t="shared" si="77"/>
        <v>110.68692323999997</v>
      </c>
      <c r="J95" s="233">
        <f t="shared" si="77"/>
        <v>106.98311836099995</v>
      </c>
      <c r="K95" s="233">
        <f t="shared" si="77"/>
        <v>95.426672999999823</v>
      </c>
      <c r="L95" s="233">
        <f t="shared" si="77"/>
        <v>107.0102664730001</v>
      </c>
      <c r="M95" s="233">
        <f t="shared" si="77"/>
        <v>106.151695854</v>
      </c>
      <c r="N95" s="233">
        <f ca="1">N84-N90-N94</f>
        <v>102.73557728757028</v>
      </c>
      <c r="O95" s="233">
        <f t="shared" ref="O95:S95" ca="1" si="78">O84-O90-O94</f>
        <v>98.436381669272308</v>
      </c>
      <c r="P95" s="233">
        <f t="shared" ca="1" si="78"/>
        <v>88.279011604895899</v>
      </c>
      <c r="Q95" s="233">
        <f t="shared" ca="1" si="78"/>
        <v>67.571270430324802</v>
      </c>
      <c r="R95" s="233">
        <f t="shared" ca="1" si="78"/>
        <v>70.194092841797698</v>
      </c>
      <c r="S95" s="233">
        <f t="shared" ca="1" si="78"/>
        <v>54.134143857734756</v>
      </c>
    </row>
    <row r="97" spans="2:21" x14ac:dyDescent="0.3">
      <c r="B97" s="54" t="s">
        <v>213</v>
      </c>
      <c r="F97" s="111">
        <f>-'Raw Data'!E159</f>
        <v>0</v>
      </c>
      <c r="G97" s="111">
        <f>-'Raw Data'!F159</f>
        <v>3.36</v>
      </c>
      <c r="H97" s="111">
        <f>-'Raw Data'!G159</f>
        <v>12.5</v>
      </c>
      <c r="I97" s="111">
        <f>-'Raw Data'!H159</f>
        <v>157.883028</v>
      </c>
      <c r="J97" s="111">
        <f>-'Raw Data'!I159</f>
        <v>64.204178999999996</v>
      </c>
      <c r="K97" s="111">
        <f>-'Raw Data'!J159</f>
        <v>94.504331100000002</v>
      </c>
      <c r="L97" s="111">
        <f>-'Raw Data'!K159</f>
        <v>94.508169899999999</v>
      </c>
      <c r="M97" s="111">
        <f>-'Raw Data'!L159</f>
        <v>80.706354000000005</v>
      </c>
      <c r="N97" s="393">
        <f t="shared" ref="N97:S97" si="79">10000*N99*N104*10^6/10^9</f>
        <v>54</v>
      </c>
      <c r="O97" s="393">
        <f t="shared" si="79"/>
        <v>54</v>
      </c>
      <c r="P97" s="393">
        <f t="shared" si="79"/>
        <v>54</v>
      </c>
      <c r="Q97" s="393">
        <f t="shared" si="79"/>
        <v>54</v>
      </c>
      <c r="R97" s="393">
        <f t="shared" si="79"/>
        <v>54</v>
      </c>
      <c r="S97" s="393">
        <f t="shared" si="79"/>
        <v>54</v>
      </c>
      <c r="T97" s="54" t="s">
        <v>673</v>
      </c>
    </row>
    <row r="98" spans="2:21" x14ac:dyDescent="0.3">
      <c r="B98" s="307" t="s">
        <v>214</v>
      </c>
      <c r="D98" s="102">
        <f t="shared" ref="D98:M98" si="80">IF(D97,D97/D85,0)</f>
        <v>0</v>
      </c>
      <c r="E98" s="102">
        <f t="shared" si="80"/>
        <v>0</v>
      </c>
      <c r="F98" s="102">
        <f t="shared" si="80"/>
        <v>0</v>
      </c>
      <c r="G98" s="102">
        <f t="shared" si="80"/>
        <v>3.1896382201077884E-2</v>
      </c>
      <c r="H98" s="102">
        <f t="shared" si="80"/>
        <v>6.1430283441995415E-2</v>
      </c>
      <c r="I98" s="102">
        <f t="shared" si="80"/>
        <v>1.3379932717414966</v>
      </c>
      <c r="J98" s="102">
        <f t="shared" si="80"/>
        <v>0.56013864641055489</v>
      </c>
      <c r="K98" s="102">
        <f t="shared" si="80"/>
        <v>0.83790240440908681</v>
      </c>
      <c r="L98" s="102">
        <f t="shared" si="80"/>
        <v>0.79212101937084511</v>
      </c>
      <c r="M98" s="102">
        <f t="shared" si="80"/>
        <v>0.66615950714597749</v>
      </c>
      <c r="N98" s="217">
        <f t="shared" ref="N98:S98" ca="1" si="81">IF(N97,N97/N84,0)</f>
        <v>0.44757334419154399</v>
      </c>
      <c r="O98" s="217">
        <f t="shared" ca="1" si="81"/>
        <v>0.47177678834264397</v>
      </c>
      <c r="P98" s="217">
        <f t="shared" ca="1" si="81"/>
        <v>0.5260593560771637</v>
      </c>
      <c r="Q98" s="217">
        <f t="shared" ca="1" si="81"/>
        <v>0.68727433573838115</v>
      </c>
      <c r="R98" s="217">
        <f t="shared" ca="1" si="81"/>
        <v>0.66159413306566583</v>
      </c>
      <c r="S98" s="217">
        <f t="shared" ca="1" si="81"/>
        <v>0.8578689287493847</v>
      </c>
      <c r="T98" s="649" t="s">
        <v>704</v>
      </c>
    </row>
    <row r="99" spans="2:21" ht="47.1" customHeight="1" x14ac:dyDescent="0.3">
      <c r="B99" s="307" t="s">
        <v>215</v>
      </c>
      <c r="D99" s="272"/>
      <c r="E99" s="272"/>
      <c r="F99" s="272"/>
      <c r="G99" s="272">
        <v>0.4</v>
      </c>
      <c r="H99" s="537">
        <v>0.7</v>
      </c>
      <c r="I99" s="272">
        <v>0.45</v>
      </c>
      <c r="J99" s="272">
        <v>0.35</v>
      </c>
      <c r="K99" s="272">
        <v>0.35</v>
      </c>
      <c r="L99" s="272">
        <v>0.3</v>
      </c>
      <c r="M99" s="272">
        <v>0.3</v>
      </c>
      <c r="N99" s="298">
        <v>0.2</v>
      </c>
      <c r="O99" s="298">
        <v>0.2</v>
      </c>
      <c r="P99" s="298">
        <v>0.2</v>
      </c>
      <c r="Q99" s="298">
        <v>0.2</v>
      </c>
      <c r="R99" s="298">
        <v>0.2</v>
      </c>
      <c r="S99" s="298">
        <v>0.2</v>
      </c>
      <c r="T99" s="650"/>
    </row>
    <row r="100" spans="2:21" s="55" customFormat="1" x14ac:dyDescent="0.3">
      <c r="B100" s="364" t="s">
        <v>213</v>
      </c>
      <c r="C100" s="364"/>
      <c r="D100" s="365">
        <f t="shared" ref="D100:M100" si="82">D97</f>
        <v>0</v>
      </c>
      <c r="E100" s="365">
        <f t="shared" si="82"/>
        <v>0</v>
      </c>
      <c r="F100" s="365">
        <f t="shared" si="82"/>
        <v>0</v>
      </c>
      <c r="G100" s="365">
        <f t="shared" si="82"/>
        <v>3.36</v>
      </c>
      <c r="H100" s="365">
        <f t="shared" si="82"/>
        <v>12.5</v>
      </c>
      <c r="I100" s="365">
        <f t="shared" si="82"/>
        <v>157.883028</v>
      </c>
      <c r="J100" s="365">
        <f t="shared" si="82"/>
        <v>64.204178999999996</v>
      </c>
      <c r="K100" s="365">
        <f t="shared" si="82"/>
        <v>94.504331100000002</v>
      </c>
      <c r="L100" s="365">
        <f t="shared" si="82"/>
        <v>94.508169899999999</v>
      </c>
      <c r="M100" s="365">
        <f t="shared" si="82"/>
        <v>80.706354000000005</v>
      </c>
      <c r="N100" s="365">
        <f>N97</f>
        <v>54</v>
      </c>
      <c r="O100" s="365">
        <f t="shared" ref="O100:R100" si="83">O97</f>
        <v>54</v>
      </c>
      <c r="P100" s="365">
        <f t="shared" si="83"/>
        <v>54</v>
      </c>
      <c r="Q100" s="365">
        <f t="shared" si="83"/>
        <v>54</v>
      </c>
      <c r="R100" s="365">
        <f t="shared" si="83"/>
        <v>54</v>
      </c>
      <c r="S100" s="365">
        <f>S97</f>
        <v>54</v>
      </c>
      <c r="T100" s="364"/>
    </row>
    <row r="101" spans="2:21" s="55" customFormat="1" ht="15" thickBot="1" x14ac:dyDescent="0.35">
      <c r="B101" s="366" t="s">
        <v>216</v>
      </c>
      <c r="C101" s="366"/>
      <c r="D101" s="367">
        <f>D95-D100</f>
        <v>-1.6869876480000001</v>
      </c>
      <c r="E101" s="367">
        <f t="shared" ref="E101:S101" si="84">E95-E100</f>
        <v>-4.4639007890000002</v>
      </c>
      <c r="F101" s="367">
        <f t="shared" si="84"/>
        <v>12.247071916999992</v>
      </c>
      <c r="G101" s="367">
        <f t="shared" si="84"/>
        <v>96.390077629999993</v>
      </c>
      <c r="H101" s="367">
        <f t="shared" si="84"/>
        <v>185.09167825799994</v>
      </c>
      <c r="I101" s="367">
        <f t="shared" si="84"/>
        <v>-47.196104760000026</v>
      </c>
      <c r="J101" s="367">
        <f t="shared" si="84"/>
        <v>42.778939360999956</v>
      </c>
      <c r="K101" s="367">
        <f t="shared" si="84"/>
        <v>0.92234189999982163</v>
      </c>
      <c r="L101" s="367">
        <f>L95-L100</f>
        <v>12.502096573000102</v>
      </c>
      <c r="M101" s="367">
        <f>M95-M100</f>
        <v>25.445341853999992</v>
      </c>
      <c r="N101" s="367">
        <f ca="1">N95-N100</f>
        <v>48.73557728757028</v>
      </c>
      <c r="O101" s="367">
        <f t="shared" ca="1" si="84"/>
        <v>44.436381669272308</v>
      </c>
      <c r="P101" s="367">
        <f t="shared" ca="1" si="84"/>
        <v>34.279011604895899</v>
      </c>
      <c r="Q101" s="367">
        <f t="shared" ca="1" si="84"/>
        <v>13.571270430324802</v>
      </c>
      <c r="R101" s="367">
        <f t="shared" ca="1" si="84"/>
        <v>16.194092841797698</v>
      </c>
      <c r="S101" s="367">
        <f t="shared" ca="1" si="84"/>
        <v>0.13414385773475601</v>
      </c>
      <c r="T101" s="366"/>
    </row>
    <row r="102" spans="2:21" ht="15" thickTop="1" x14ac:dyDescent="0.3">
      <c r="D102" s="56"/>
      <c r="E102" s="56"/>
      <c r="F102" s="56"/>
      <c r="G102" s="56"/>
      <c r="H102" s="56"/>
      <c r="I102" s="56"/>
      <c r="J102" s="56"/>
      <c r="K102" s="56"/>
      <c r="L102" s="56"/>
      <c r="M102" s="56"/>
    </row>
    <row r="103" spans="2:21" s="56" customFormat="1" x14ac:dyDescent="0.3">
      <c r="B103" s="56" t="s">
        <v>218</v>
      </c>
    </row>
    <row r="104" spans="2:21" x14ac:dyDescent="0.3">
      <c r="B104" s="307" t="s">
        <v>217</v>
      </c>
      <c r="D104" s="341">
        <v>1.357032</v>
      </c>
      <c r="E104" s="341">
        <v>6.72</v>
      </c>
      <c r="F104" s="341">
        <v>6.72</v>
      </c>
      <c r="G104" s="341">
        <f>(6.72+5.78)/2</f>
        <v>6.25</v>
      </c>
      <c r="H104" s="341">
        <f>(12.5+7.812038)/2</f>
        <v>10.156019000000001</v>
      </c>
      <c r="I104" s="341">
        <v>20.312038000000001</v>
      </c>
      <c r="J104" s="341">
        <v>21.327638</v>
      </c>
      <c r="K104" s="341">
        <v>27</v>
      </c>
      <c r="L104" s="341">
        <v>27</v>
      </c>
      <c r="M104" s="341">
        <v>27</v>
      </c>
      <c r="N104" s="394">
        <v>27</v>
      </c>
      <c r="O104" s="394">
        <v>27</v>
      </c>
      <c r="P104" s="394">
        <v>27</v>
      </c>
      <c r="Q104" s="394">
        <v>27</v>
      </c>
      <c r="R104" s="394">
        <v>27</v>
      </c>
      <c r="S104" s="394">
        <v>27</v>
      </c>
      <c r="T104" s="369"/>
    </row>
    <row r="105" spans="2:21" x14ac:dyDescent="0.3">
      <c r="B105" s="308" t="s">
        <v>219</v>
      </c>
      <c r="C105" s="56"/>
      <c r="F105" s="368">
        <f t="shared" ref="F105:S105" si="85">F$95/F104*1000</f>
        <v>1822.4809400297609</v>
      </c>
      <c r="G105" s="368">
        <f t="shared" si="85"/>
        <v>15960.012420799998</v>
      </c>
      <c r="H105" s="368">
        <f t="shared" si="85"/>
        <v>19455.623139145362</v>
      </c>
      <c r="I105" s="368">
        <f t="shared" si="85"/>
        <v>5449.3263177235085</v>
      </c>
      <c r="J105" s="368">
        <f t="shared" si="85"/>
        <v>5016.1728345633001</v>
      </c>
      <c r="K105" s="368">
        <f t="shared" si="85"/>
        <v>3534.3212222222155</v>
      </c>
      <c r="L105" s="368">
        <f t="shared" si="85"/>
        <v>3963.3432027037074</v>
      </c>
      <c r="M105" s="370">
        <f t="shared" si="85"/>
        <v>3931.5442908888886</v>
      </c>
      <c r="N105" s="395">
        <f t="shared" ca="1" si="85"/>
        <v>3805.0213810211212</v>
      </c>
      <c r="O105" s="395">
        <f t="shared" ca="1" si="85"/>
        <v>3645.7919136767518</v>
      </c>
      <c r="P105" s="395">
        <f t="shared" ca="1" si="85"/>
        <v>3269.5930224035519</v>
      </c>
      <c r="Q105" s="395">
        <f t="shared" ca="1" si="85"/>
        <v>2502.6396455675854</v>
      </c>
      <c r="R105" s="395">
        <f t="shared" ca="1" si="85"/>
        <v>2599.7812163628773</v>
      </c>
      <c r="S105" s="395">
        <f t="shared" ca="1" si="85"/>
        <v>2004.9682910272134</v>
      </c>
      <c r="T105" s="56"/>
    </row>
    <row r="108" spans="2:21" x14ac:dyDescent="0.3">
      <c r="B108" s="1" t="s">
        <v>220</v>
      </c>
      <c r="C108" s="232"/>
      <c r="D108" s="225">
        <f t="shared" ref="D108:S108" si="86">D3</f>
        <v>39447</v>
      </c>
      <c r="E108" s="225">
        <f t="shared" si="86"/>
        <v>39813</v>
      </c>
      <c r="F108" s="225">
        <f t="shared" si="86"/>
        <v>40178</v>
      </c>
      <c r="G108" s="225">
        <f t="shared" si="86"/>
        <v>40543</v>
      </c>
      <c r="H108" s="225">
        <f t="shared" si="86"/>
        <v>40908</v>
      </c>
      <c r="I108" s="225">
        <f t="shared" si="86"/>
        <v>41274</v>
      </c>
      <c r="J108" s="225">
        <f t="shared" si="86"/>
        <v>41639</v>
      </c>
      <c r="K108" s="225">
        <f t="shared" si="86"/>
        <v>42004</v>
      </c>
      <c r="L108" s="225">
        <f t="shared" si="86"/>
        <v>42369</v>
      </c>
      <c r="M108" s="225">
        <f t="shared" si="86"/>
        <v>42735</v>
      </c>
      <c r="N108" s="225">
        <f t="shared" si="86"/>
        <v>43100</v>
      </c>
      <c r="O108" s="225">
        <f t="shared" si="86"/>
        <v>43465</v>
      </c>
      <c r="P108" s="225">
        <f t="shared" si="86"/>
        <v>43830</v>
      </c>
      <c r="Q108" s="225">
        <f t="shared" si="86"/>
        <v>44196</v>
      </c>
      <c r="R108" s="225">
        <f t="shared" si="86"/>
        <v>44561</v>
      </c>
      <c r="S108" s="225">
        <f t="shared" si="86"/>
        <v>44926</v>
      </c>
      <c r="T108" s="225"/>
      <c r="U108" s="55"/>
    </row>
    <row r="109" spans="2:21" s="55" customFormat="1" x14ac:dyDescent="0.3">
      <c r="B109" s="55" t="s">
        <v>221</v>
      </c>
    </row>
    <row r="110" spans="2:21" s="55" customFormat="1" x14ac:dyDescent="0.3">
      <c r="B110" s="55" t="s">
        <v>184</v>
      </c>
      <c r="D110" s="231">
        <f>InBS!C9/10^9</f>
        <v>6</v>
      </c>
      <c r="E110" s="233">
        <f>InBS!D9/10^9</f>
        <v>12.725437819</v>
      </c>
      <c r="F110" s="233">
        <f>InBS!E9/10^9</f>
        <v>24</v>
      </c>
      <c r="G110" s="233">
        <f>InBS!F9/10^9</f>
        <v>69</v>
      </c>
      <c r="H110" s="233">
        <f>InBS!G9/10^9</f>
        <v>171.44865598000001</v>
      </c>
      <c r="I110" s="233">
        <f>InBS!H9/10^9</f>
        <v>68</v>
      </c>
      <c r="J110" s="233">
        <f>InBS!I9/10^9</f>
        <v>187.64972222200001</v>
      </c>
      <c r="K110" s="233">
        <f>InBS!J9/10^9</f>
        <v>162.11500000000001</v>
      </c>
      <c r="L110" s="233">
        <f>InBS!K9/10^9</f>
        <v>249.4</v>
      </c>
      <c r="M110" s="233">
        <f>InBS!L9/10^9</f>
        <v>323.89999999999998</v>
      </c>
      <c r="N110" s="246">
        <f ca="1">MAX(N251,0)</f>
        <v>297.0119159201426</v>
      </c>
      <c r="O110" s="246">
        <f t="shared" ref="O110:S110" ca="1" si="87">MAX(O251,0)</f>
        <v>322.24825244948147</v>
      </c>
      <c r="P110" s="246">
        <f t="shared" ca="1" si="87"/>
        <v>378.45262411774672</v>
      </c>
      <c r="Q110" s="246">
        <f t="shared" ca="1" si="87"/>
        <v>406.02946887862851</v>
      </c>
      <c r="R110" s="246">
        <f t="shared" ca="1" si="87"/>
        <v>429.77311609984326</v>
      </c>
      <c r="S110" s="246">
        <f t="shared" ca="1" si="87"/>
        <v>424.3304962584333</v>
      </c>
    </row>
    <row r="111" spans="2:21" x14ac:dyDescent="0.3">
      <c r="B111" s="307" t="s">
        <v>222</v>
      </c>
      <c r="D111" s="102">
        <f>D112/D110</f>
        <v>1.1127018166666667E-2</v>
      </c>
      <c r="E111" s="102">
        <f>E112/AVERAGE(D110:E110)</f>
        <v>0.16074277574145088</v>
      </c>
      <c r="F111" s="102">
        <f>F112/AVERAGE(E110:F110)</f>
        <v>0.11395943227761252</v>
      </c>
      <c r="G111" s="102">
        <f t="shared" ref="G111:L111" si="88">G112/AVERAGE(F110:G110)</f>
        <v>8.6442561053763439E-2</v>
      </c>
      <c r="H111" s="102">
        <f t="shared" si="88"/>
        <v>0.13271803741192198</v>
      </c>
      <c r="I111" s="102">
        <f t="shared" si="88"/>
        <v>0.174049582619002</v>
      </c>
      <c r="J111" s="102">
        <f t="shared" si="88"/>
        <v>0.15213341168517436</v>
      </c>
      <c r="K111" s="102">
        <f t="shared" si="88"/>
        <v>8.1815692052090119E-2</v>
      </c>
      <c r="L111" s="102">
        <f t="shared" si="88"/>
        <v>4.228171493141198E-2</v>
      </c>
      <c r="M111" s="102">
        <f>M112/AVERAGE(L110:M110)</f>
        <v>2.598506173731031E-2</v>
      </c>
      <c r="N111" s="298">
        <f>M111</f>
        <v>2.598506173731031E-2</v>
      </c>
      <c r="O111" s="298">
        <f t="shared" ref="O111:S111" si="89">N111</f>
        <v>2.598506173731031E-2</v>
      </c>
      <c r="P111" s="298">
        <f t="shared" si="89"/>
        <v>2.598506173731031E-2</v>
      </c>
      <c r="Q111" s="298">
        <f t="shared" si="89"/>
        <v>2.598506173731031E-2</v>
      </c>
      <c r="R111" s="298">
        <f t="shared" si="89"/>
        <v>2.598506173731031E-2</v>
      </c>
      <c r="S111" s="298">
        <f t="shared" si="89"/>
        <v>2.598506173731031E-2</v>
      </c>
    </row>
    <row r="112" spans="2:21" x14ac:dyDescent="0.3">
      <c r="B112" s="307" t="s">
        <v>183</v>
      </c>
      <c r="D112" s="227">
        <f t="shared" ref="D112:M112" si="90">D48</f>
        <v>6.6762109E-2</v>
      </c>
      <c r="E112" s="227">
        <f t="shared" si="90"/>
        <v>1.5049894260000001</v>
      </c>
      <c r="F112" s="227">
        <f t="shared" si="90"/>
        <v>2.0926050219999999</v>
      </c>
      <c r="G112" s="227">
        <f t="shared" si="90"/>
        <v>4.0195790889999996</v>
      </c>
      <c r="H112" s="227">
        <f t="shared" si="90"/>
        <v>15.95593686</v>
      </c>
      <c r="I112" s="227">
        <f t="shared" si="90"/>
        <v>20.837969315999999</v>
      </c>
      <c r="J112" s="227">
        <f t="shared" si="90"/>
        <v>19.446432218999998</v>
      </c>
      <c r="K112" s="227">
        <f t="shared" si="90"/>
        <v>14.308121401999999</v>
      </c>
      <c r="L112" s="227">
        <f t="shared" si="90"/>
        <v>8.6997799600000008</v>
      </c>
      <c r="M112" s="227">
        <f t="shared" si="90"/>
        <v>7.4486179469999998</v>
      </c>
      <c r="N112" s="222">
        <f ca="1">SUM(M110:N110)/2*N111</f>
        <v>8.0672172343082664</v>
      </c>
      <c r="O112" s="222">
        <f t="shared" ref="O112:S112" ca="1" si="91">SUM(N110:O110)/2*O111</f>
        <v>8.0457568532709303</v>
      </c>
      <c r="P112" s="222">
        <f t="shared" ca="1" si="91"/>
        <v>9.1038777684934384</v>
      </c>
      <c r="Q112" s="222">
        <f t="shared" ca="1" si="91"/>
        <v>10.19240780916261</v>
      </c>
      <c r="R112" s="222">
        <f t="shared" ca="1" si="91"/>
        <v>10.859190885434566</v>
      </c>
      <c r="S112" s="222">
        <f t="shared" ca="1" si="91"/>
        <v>11.096967548594785</v>
      </c>
    </row>
    <row r="114" spans="2:20" s="121" customFormat="1" x14ac:dyDescent="0.3">
      <c r="B114" s="309" t="s">
        <v>185</v>
      </c>
      <c r="C114" s="309"/>
      <c r="D114" s="371">
        <f>InBS!C8/10^9</f>
        <v>5.0169646029999999</v>
      </c>
      <c r="E114" s="371">
        <f>InBS!D8/10^9</f>
        <v>1.864088543</v>
      </c>
      <c r="F114" s="371">
        <f>InBS!E8/10^9</f>
        <v>12.053940395</v>
      </c>
      <c r="G114" s="371">
        <f>InBS!F8/10^9</f>
        <v>23.714464442000001</v>
      </c>
      <c r="H114" s="371">
        <f>InBS!G8/10^9</f>
        <v>7.8449589230000001</v>
      </c>
      <c r="I114" s="371">
        <f>InBS!H8/10^9</f>
        <v>17.305119116</v>
      </c>
      <c r="J114" s="371">
        <f>InBS!I8/10^9</f>
        <v>62.192126193</v>
      </c>
      <c r="K114" s="371">
        <f>InBS!J8/10^9</f>
        <v>126.61989282099999</v>
      </c>
      <c r="L114" s="371">
        <f>InBS!K8/10^9</f>
        <v>32.310813469999999</v>
      </c>
      <c r="M114" s="371">
        <f>InBS!L8/10^9</f>
        <v>18.773472948999999</v>
      </c>
      <c r="N114" s="284"/>
      <c r="O114" s="284"/>
      <c r="P114" s="284"/>
      <c r="Q114" s="284"/>
      <c r="R114" s="284"/>
      <c r="S114" s="284"/>
      <c r="T114" s="651" t="s">
        <v>696</v>
      </c>
    </row>
    <row r="115" spans="2:20" x14ac:dyDescent="0.3">
      <c r="B115" s="311" t="s">
        <v>170</v>
      </c>
      <c r="C115" s="232"/>
      <c r="D115" s="232"/>
      <c r="E115" s="372">
        <f t="shared" ref="E115:M115" si="92">AVERAGE(D114:E114)/AVERAGE(D7:E7)</f>
        <v>0.87474175098699714</v>
      </c>
      <c r="F115" s="372">
        <f t="shared" si="92"/>
        <v>0.16657578089104327</v>
      </c>
      <c r="G115" s="372">
        <f t="shared" si="92"/>
        <v>9.9055172428268501E-2</v>
      </c>
      <c r="H115" s="372">
        <f t="shared" si="92"/>
        <v>3.1024931301022535E-2</v>
      </c>
      <c r="I115" s="372">
        <f t="shared" si="92"/>
        <v>1.6405707890525763E-2</v>
      </c>
      <c r="J115" s="372">
        <f t="shared" si="92"/>
        <v>4.5401858886844365E-2</v>
      </c>
      <c r="K115" s="372">
        <f t="shared" si="92"/>
        <v>9.2765816547199176E-2</v>
      </c>
      <c r="L115" s="372">
        <f t="shared" si="92"/>
        <v>7.8068345411848566E-2</v>
      </c>
      <c r="M115" s="372">
        <f t="shared" si="92"/>
        <v>2.7751513435222089E-2</v>
      </c>
      <c r="N115" s="392">
        <v>0.06</v>
      </c>
      <c r="O115" s="392">
        <f>N115</f>
        <v>0.06</v>
      </c>
      <c r="P115" s="392">
        <f t="shared" ref="P115:S115" si="93">O115</f>
        <v>0.06</v>
      </c>
      <c r="Q115" s="392">
        <f t="shared" si="93"/>
        <v>0.06</v>
      </c>
      <c r="R115" s="392">
        <f t="shared" si="93"/>
        <v>0.06</v>
      </c>
      <c r="S115" s="392">
        <f t="shared" si="93"/>
        <v>0.06</v>
      </c>
      <c r="T115" s="652"/>
    </row>
    <row r="116" spans="2:20" s="55" customFormat="1" x14ac:dyDescent="0.3">
      <c r="B116" s="363" t="s">
        <v>185</v>
      </c>
      <c r="D116" s="233">
        <f>D114</f>
        <v>5.0169646029999999</v>
      </c>
      <c r="E116" s="233">
        <f t="shared" ref="E116:M116" si="94">E114</f>
        <v>1.864088543</v>
      </c>
      <c r="F116" s="233">
        <f t="shared" si="94"/>
        <v>12.053940395</v>
      </c>
      <c r="G116" s="233">
        <f t="shared" si="94"/>
        <v>23.714464442000001</v>
      </c>
      <c r="H116" s="233">
        <f t="shared" si="94"/>
        <v>7.8449589230000001</v>
      </c>
      <c r="I116" s="233">
        <f t="shared" si="94"/>
        <v>17.305119116</v>
      </c>
      <c r="J116" s="233">
        <f t="shared" si="94"/>
        <v>62.192126193</v>
      </c>
      <c r="K116" s="233">
        <f>K114</f>
        <v>126.61989282099999</v>
      </c>
      <c r="L116" s="233">
        <f t="shared" si="94"/>
        <v>32.310813469999999</v>
      </c>
      <c r="M116" s="233">
        <f t="shared" si="94"/>
        <v>18.773472948999999</v>
      </c>
      <c r="N116" s="233">
        <f t="shared" ref="N116:S116" si="95">N7*N115</f>
        <v>67.270136935937899</v>
      </c>
      <c r="O116" s="233">
        <f t="shared" si="95"/>
        <v>76.681121782389681</v>
      </c>
      <c r="P116" s="233">
        <f t="shared" si="95"/>
        <v>79.811232755551401</v>
      </c>
      <c r="Q116" s="233">
        <f t="shared" si="95"/>
        <v>82.292321078169607</v>
      </c>
      <c r="R116" s="233">
        <f t="shared" si="95"/>
        <v>92.553521935189465</v>
      </c>
      <c r="S116" s="233">
        <f t="shared" si="95"/>
        <v>95.408896548083604</v>
      </c>
    </row>
    <row r="117" spans="2:20" x14ac:dyDescent="0.3">
      <c r="B117" s="307" t="s">
        <v>222</v>
      </c>
    </row>
    <row r="118" spans="2:20" x14ac:dyDescent="0.3">
      <c r="B118" s="307" t="s">
        <v>183</v>
      </c>
    </row>
    <row r="119" spans="2:20" ht="6.9" customHeight="1" x14ac:dyDescent="0.3"/>
    <row r="120" spans="2:20" x14ac:dyDescent="0.3">
      <c r="B120" s="373" t="s">
        <v>223</v>
      </c>
      <c r="C120" s="56"/>
      <c r="D120" s="320">
        <f>InBS!C10/10^9</f>
        <v>0</v>
      </c>
      <c r="E120" s="320">
        <f>InBS!D10/10^9</f>
        <v>10</v>
      </c>
      <c r="F120" s="320">
        <f>InBS!E10/10^9</f>
        <v>7</v>
      </c>
      <c r="G120" s="320">
        <f>InBS!F10/10^9</f>
        <v>6.1</v>
      </c>
      <c r="H120" s="320">
        <f>InBS!G10/10^9</f>
        <v>62.55</v>
      </c>
      <c r="I120" s="320">
        <f>InBS!H10/10^9</f>
        <v>55.1</v>
      </c>
      <c r="J120" s="320">
        <f>InBS!I10/10^9</f>
        <v>65</v>
      </c>
      <c r="K120" s="320">
        <f>InBS!J10/10^9</f>
        <v>40</v>
      </c>
      <c r="L120" s="320">
        <f>InBS!K10/10^9</f>
        <v>13</v>
      </c>
      <c r="M120" s="320">
        <f>InBS!L10/10^9</f>
        <v>0</v>
      </c>
      <c r="N120" s="219">
        <v>0</v>
      </c>
      <c r="O120" s="219">
        <v>0</v>
      </c>
      <c r="P120" s="219">
        <v>0</v>
      </c>
      <c r="Q120" s="219">
        <v>0</v>
      </c>
      <c r="R120" s="219">
        <v>0</v>
      </c>
      <c r="S120" s="219">
        <v>0</v>
      </c>
      <c r="T120" s="56"/>
    </row>
    <row r="121" spans="2:20" x14ac:dyDescent="0.3">
      <c r="B121" s="311" t="s">
        <v>224</v>
      </c>
      <c r="C121" s="232"/>
      <c r="D121" s="232"/>
      <c r="E121" s="232"/>
      <c r="F121" s="278">
        <f>IF(E122,F120/E122-1,0)</f>
        <v>-0.30000000000000004</v>
      </c>
      <c r="G121" s="278">
        <f t="shared" ref="G121:M121" si="96">IF(F122,G120/F122-1,0)</f>
        <v>-0.12857142857142867</v>
      </c>
      <c r="H121" s="278">
        <f t="shared" si="96"/>
        <v>9.2540983606557372</v>
      </c>
      <c r="I121" s="278">
        <f t="shared" si="96"/>
        <v>-0.11910471622701835</v>
      </c>
      <c r="J121" s="278">
        <f>IF(I122,J120/I122-1,0)</f>
        <v>0.17967332123411972</v>
      </c>
      <c r="K121" s="278">
        <f t="shared" si="96"/>
        <v>-0.38461538461538458</v>
      </c>
      <c r="L121" s="278">
        <f t="shared" si="96"/>
        <v>-0.67500000000000004</v>
      </c>
      <c r="M121" s="278">
        <f t="shared" si="96"/>
        <v>-1</v>
      </c>
      <c r="N121" s="147"/>
      <c r="O121" s="147"/>
      <c r="P121" s="147"/>
      <c r="Q121" s="147"/>
      <c r="R121" s="147"/>
      <c r="S121" s="147"/>
      <c r="T121" s="232"/>
    </row>
    <row r="122" spans="2:20" s="55" customFormat="1" x14ac:dyDescent="0.3">
      <c r="B122" s="316" t="s">
        <v>223</v>
      </c>
      <c r="D122" s="233">
        <f>D120</f>
        <v>0</v>
      </c>
      <c r="E122" s="233">
        <f t="shared" ref="E122:L122" si="97">E120</f>
        <v>10</v>
      </c>
      <c r="F122" s="233">
        <f t="shared" si="97"/>
        <v>7</v>
      </c>
      <c r="G122" s="233">
        <f t="shared" si="97"/>
        <v>6.1</v>
      </c>
      <c r="H122" s="233">
        <f t="shared" si="97"/>
        <v>62.55</v>
      </c>
      <c r="I122" s="233">
        <f t="shared" si="97"/>
        <v>55.1</v>
      </c>
      <c r="J122" s="233">
        <f t="shared" si="97"/>
        <v>65</v>
      </c>
      <c r="K122" s="233">
        <f t="shared" si="97"/>
        <v>40</v>
      </c>
      <c r="L122" s="233">
        <f t="shared" si="97"/>
        <v>13</v>
      </c>
      <c r="M122" s="233">
        <f>M120</f>
        <v>0</v>
      </c>
      <c r="N122" s="233">
        <f t="shared" ref="N122:S122" si="98">N120</f>
        <v>0</v>
      </c>
      <c r="O122" s="233">
        <f t="shared" si="98"/>
        <v>0</v>
      </c>
      <c r="P122" s="233">
        <f t="shared" si="98"/>
        <v>0</v>
      </c>
      <c r="Q122" s="233">
        <f t="shared" si="98"/>
        <v>0</v>
      </c>
      <c r="R122" s="233">
        <f t="shared" si="98"/>
        <v>0</v>
      </c>
      <c r="S122" s="233">
        <f t="shared" si="98"/>
        <v>0</v>
      </c>
    </row>
    <row r="123" spans="2:20" x14ac:dyDescent="0.3">
      <c r="B123" s="307" t="s">
        <v>222</v>
      </c>
    </row>
    <row r="124" spans="2:20" x14ac:dyDescent="0.3">
      <c r="B124" s="307" t="s">
        <v>183</v>
      </c>
    </row>
    <row r="125" spans="2:20" ht="6" customHeight="1" x14ac:dyDescent="0.3"/>
    <row r="126" spans="2:20" x14ac:dyDescent="0.3">
      <c r="B126" s="112" t="s">
        <v>247</v>
      </c>
      <c r="D126" s="227">
        <f>InBS!C13/10^9</f>
        <v>0</v>
      </c>
      <c r="E126" s="227">
        <f>InBS!D13/10^9</f>
        <v>4.0130303869999997</v>
      </c>
      <c r="F126" s="227">
        <f>InBS!E13/10^9</f>
        <v>24.968120772999999</v>
      </c>
      <c r="G126" s="227">
        <f>InBS!F13/10^9</f>
        <v>78.715107848000002</v>
      </c>
      <c r="H126" s="227">
        <f>InBS!G13/10^9</f>
        <v>136.59951198900001</v>
      </c>
      <c r="I126" s="227">
        <f>InBS!H13/10^9</f>
        <v>152.12522326199999</v>
      </c>
      <c r="J126" s="227">
        <f>InBS!I13/10^9</f>
        <v>168.57663965</v>
      </c>
      <c r="K126" s="227">
        <f>InBS!J13/10^9</f>
        <v>157.495348318</v>
      </c>
      <c r="L126" s="227">
        <f>InBS!K13/10^9</f>
        <v>135.60233903899999</v>
      </c>
      <c r="M126" s="227">
        <f>InBS!L13/10^9</f>
        <v>106.086387832</v>
      </c>
    </row>
    <row r="127" spans="2:20" x14ac:dyDescent="0.3">
      <c r="B127" s="307" t="s">
        <v>225</v>
      </c>
      <c r="D127" s="227">
        <f>InBS!C14/10^9</f>
        <v>0</v>
      </c>
      <c r="E127" s="227">
        <f>InBS!D14/10^9</f>
        <v>3.8342352640000001</v>
      </c>
      <c r="F127" s="227">
        <f>InBS!E14/10^9</f>
        <v>23.774509911999999</v>
      </c>
      <c r="G127" s="227">
        <f>InBS!F14/10^9</f>
        <v>62.871772514</v>
      </c>
      <c r="H127" s="227">
        <f>InBS!G14/10^9</f>
        <v>123.13704663999999</v>
      </c>
      <c r="I127" s="227">
        <f>InBS!H14/10^9</f>
        <v>136.90557439899999</v>
      </c>
      <c r="J127" s="227">
        <f>InBS!I14/10^9</f>
        <v>152.485916105</v>
      </c>
      <c r="K127" s="227">
        <f>InBS!J14/10^9</f>
        <v>153.51075689000001</v>
      </c>
      <c r="L127" s="227">
        <f>InBS!K14/10^9</f>
        <v>132.158317364</v>
      </c>
      <c r="M127" s="227">
        <f>InBS!L14/10^9</f>
        <v>106.25885179300001</v>
      </c>
      <c r="N127" s="222">
        <f t="shared" ref="N127:S127" si="99">N7/(365/N128)</f>
        <v>158.87449097286063</v>
      </c>
      <c r="O127" s="222">
        <f t="shared" si="99"/>
        <v>181.10077881968328</v>
      </c>
      <c r="P127" s="222">
        <f t="shared" si="99"/>
        <v>188.49328328304139</v>
      </c>
      <c r="Q127" s="222">
        <f t="shared" si="99"/>
        <v>194.35296578510113</v>
      </c>
      <c r="R127" s="222">
        <f t="shared" si="99"/>
        <v>218.58724175337824</v>
      </c>
      <c r="S127" s="222">
        <f t="shared" si="99"/>
        <v>225.33089070108883</v>
      </c>
    </row>
    <row r="128" spans="2:20" x14ac:dyDescent="0.3">
      <c r="B128" s="353" t="s">
        <v>226</v>
      </c>
      <c r="D128" s="350" t="s">
        <v>121</v>
      </c>
      <c r="E128" s="227">
        <f t="shared" ref="E128:M128" si="100">365/(E7/SUM(D127:E127)*2)</f>
        <v>88.954222779412291</v>
      </c>
      <c r="F128" s="227">
        <f t="shared" si="100"/>
        <v>66.571173524078475</v>
      </c>
      <c r="G128" s="227">
        <f t="shared" si="100"/>
        <v>55.404623932012541</v>
      </c>
      <c r="H128" s="227">
        <f t="shared" si="100"/>
        <v>46.38659429407744</v>
      </c>
      <c r="I128" s="227">
        <f t="shared" si="100"/>
        <v>59.234230850286878</v>
      </c>
      <c r="J128" s="227">
        <f t="shared" si="100"/>
        <v>55.606473074955694</v>
      </c>
      <c r="K128" s="227">
        <f t="shared" si="100"/>
        <v>51.441918620635811</v>
      </c>
      <c r="L128" s="227">
        <f t="shared" si="100"/>
        <v>54.866525724832897</v>
      </c>
      <c r="M128" s="227">
        <f t="shared" si="100"/>
        <v>48.857793339720168</v>
      </c>
      <c r="N128" s="222">
        <f>AVERAGE(K128:M128)</f>
        <v>51.722079228396289</v>
      </c>
      <c r="O128" s="222">
        <f>N128</f>
        <v>51.722079228396289</v>
      </c>
      <c r="P128" s="222">
        <f t="shared" ref="P128:S128" si="101">O128</f>
        <v>51.722079228396289</v>
      </c>
      <c r="Q128" s="222">
        <f t="shared" si="101"/>
        <v>51.722079228396289</v>
      </c>
      <c r="R128" s="222">
        <f t="shared" si="101"/>
        <v>51.722079228396289</v>
      </c>
      <c r="S128" s="222">
        <f t="shared" si="101"/>
        <v>51.722079228396289</v>
      </c>
      <c r="T128" s="54" t="s">
        <v>674</v>
      </c>
    </row>
    <row r="129" spans="2:20" x14ac:dyDescent="0.3">
      <c r="B129" s="307" t="s">
        <v>227</v>
      </c>
      <c r="D129" s="374">
        <f>InBS!C15/10^9</f>
        <v>0</v>
      </c>
      <c r="E129" s="374">
        <f>InBS!D15/10^9</f>
        <v>0</v>
      </c>
      <c r="F129" s="374">
        <f>InBS!E15/10^9</f>
        <v>8.4600000000000005E-3</v>
      </c>
      <c r="G129" s="374">
        <f>InBS!F15/10^9</f>
        <v>8.2247650050000001</v>
      </c>
      <c r="H129" s="374">
        <f>InBS!G15/10^9</f>
        <v>0.24488674999999999</v>
      </c>
      <c r="I129" s="374">
        <f>InBS!H15/10^9</f>
        <v>1.497061113</v>
      </c>
      <c r="J129" s="374">
        <f>InBS!I15/10^9</f>
        <v>3.9983563700000002</v>
      </c>
      <c r="K129" s="374">
        <f>InBS!J15/10^9</f>
        <v>3.6848314260000001</v>
      </c>
      <c r="L129" s="374">
        <f>InBS!K15/10^9</f>
        <v>4.9459873810000001</v>
      </c>
      <c r="M129" s="374">
        <f>InBS!L15/10^9</f>
        <v>1.688852306</v>
      </c>
      <c r="N129" s="222">
        <f t="shared" ref="N129:S129" si="102">(N140+N11-M140)*N130</f>
        <v>4.5293864740238909</v>
      </c>
      <c r="O129" s="222">
        <f t="shared" si="102"/>
        <v>5.3839773449080495</v>
      </c>
      <c r="P129" s="222">
        <f t="shared" si="102"/>
        <v>5.6892689508955794</v>
      </c>
      <c r="Q129" s="222">
        <f t="shared" si="102"/>
        <v>6.0564870253895497</v>
      </c>
      <c r="R129" s="222">
        <f t="shared" si="102"/>
        <v>6.8686862529677875</v>
      </c>
      <c r="S129" s="222">
        <f t="shared" si="102"/>
        <v>7.1936116261532046</v>
      </c>
    </row>
    <row r="130" spans="2:20" x14ac:dyDescent="0.3">
      <c r="B130" s="353" t="s">
        <v>228</v>
      </c>
      <c r="D130" s="350"/>
      <c r="G130" s="102">
        <f>AVERAGE(F129:G129)*10^9/(InBS!E21+G11*10^9-InBS!F21)</f>
        <v>2.7534965539585135E-2</v>
      </c>
      <c r="H130" s="102">
        <f>AVERAGE(G129:H129)*10^9/(InBS!F21+H11*10^9-InBS!G21)</f>
        <v>9.4037183228714762E-3</v>
      </c>
      <c r="I130" s="102">
        <f>AVERAGE(H129:I129)*10^9/(InBS!G21+I11*10^9-InBS!H21)</f>
        <v>1.4404067407754659E-3</v>
      </c>
      <c r="J130" s="102">
        <f>AVERAGE(I129:J129)*10^9/(InBS!H21+J11*10^9-InBS!I21)</f>
        <v>3.7000244984590419E-3</v>
      </c>
      <c r="K130" s="102">
        <f>AVERAGE(J129:K129)*10^9/(InBS!I21+K11*10^9-InBS!J21)</f>
        <v>4.4810673794840822E-3</v>
      </c>
      <c r="L130" s="102">
        <f>AVERAGE(K129:L129)*10^9/(InBS!J21+L11*10^9-InBS!K21)</f>
        <v>6.0523023043626972E-3</v>
      </c>
      <c r="M130" s="102">
        <f>AVERAGE(L129:M129)*10^9/(InBS!K21+M11*10^9-InBS!L21)</f>
        <v>5.2122043758649024E-3</v>
      </c>
      <c r="N130" s="217">
        <f>AVERAGE(K130:M130)</f>
        <v>5.2485246865705609E-3</v>
      </c>
      <c r="O130" s="217">
        <f>N130</f>
        <v>5.2485246865705609E-3</v>
      </c>
      <c r="P130" s="217">
        <f t="shared" ref="P130:S130" si="103">O130</f>
        <v>5.2485246865705609E-3</v>
      </c>
      <c r="Q130" s="217">
        <f t="shared" si="103"/>
        <v>5.2485246865705609E-3</v>
      </c>
      <c r="R130" s="217">
        <f t="shared" si="103"/>
        <v>5.2485246865705609E-3</v>
      </c>
      <c r="S130" s="217">
        <f t="shared" si="103"/>
        <v>5.2485246865705609E-3</v>
      </c>
      <c r="T130" s="54" t="s">
        <v>675</v>
      </c>
    </row>
    <row r="131" spans="2:20" x14ac:dyDescent="0.3">
      <c r="B131" s="307" t="s">
        <v>229</v>
      </c>
      <c r="D131" s="374">
        <f>InBS!C18/10^9</f>
        <v>0</v>
      </c>
      <c r="E131" s="374">
        <f>InBS!D18/10^9</f>
        <v>0.178795123</v>
      </c>
      <c r="F131" s="374">
        <f>InBS!E18/10^9</f>
        <v>1.1851508610000001</v>
      </c>
      <c r="G131" s="374">
        <f>InBS!F18/10^9</f>
        <v>7.6185703289999998</v>
      </c>
      <c r="H131" s="374">
        <f>InBS!G18/10^9</f>
        <v>13.217578598999999</v>
      </c>
      <c r="I131" s="374">
        <f>InBS!H18/10^9</f>
        <v>14.718170426</v>
      </c>
      <c r="J131" s="374">
        <f>InBS!I18/10^9</f>
        <v>12.092367175</v>
      </c>
      <c r="K131" s="374">
        <f>InBS!J18/10^9</f>
        <v>7.3293515100000004</v>
      </c>
      <c r="L131" s="374">
        <f>InBS!K18/10^9</f>
        <v>1.7502188890000001</v>
      </c>
      <c r="M131" s="374">
        <f>InBS!L18/10^9</f>
        <v>1.1215054529999999</v>
      </c>
      <c r="N131" s="222">
        <f t="shared" ref="N131:S131" si="104">N7*N132</f>
        <v>9.183487194890839</v>
      </c>
      <c r="O131" s="222">
        <f t="shared" si="104"/>
        <v>10.468242403743851</v>
      </c>
      <c r="P131" s="222">
        <f t="shared" si="104"/>
        <v>10.895554363402747</v>
      </c>
      <c r="Q131" s="222">
        <f t="shared" si="104"/>
        <v>11.234263988178093</v>
      </c>
      <c r="R131" s="222">
        <f t="shared" si="104"/>
        <v>12.635087755853553</v>
      </c>
      <c r="S131" s="222">
        <f t="shared" si="104"/>
        <v>13.024893654704353</v>
      </c>
    </row>
    <row r="132" spans="2:20" x14ac:dyDescent="0.3">
      <c r="B132" s="353" t="s">
        <v>170</v>
      </c>
      <c r="D132" s="350" t="s">
        <v>121</v>
      </c>
      <c r="E132" s="102">
        <f t="shared" ref="E132:M132" si="105">E131/E7</f>
        <v>2.2729014824114761E-2</v>
      </c>
      <c r="F132" s="102">
        <f t="shared" si="105"/>
        <v>1.5658505604355812E-2</v>
      </c>
      <c r="G132" s="102">
        <f t="shared" si="105"/>
        <v>2.6693571804395678E-2</v>
      </c>
      <c r="H132" s="102">
        <f t="shared" si="105"/>
        <v>1.8061257519731765E-2</v>
      </c>
      <c r="I132" s="102">
        <f t="shared" si="105"/>
        <v>1.8370423884334235E-2</v>
      </c>
      <c r="J132" s="102">
        <f t="shared" si="105"/>
        <v>1.2731748481379937E-2</v>
      </c>
      <c r="K132" s="102">
        <f t="shared" si="105"/>
        <v>6.7515445126964521E-3</v>
      </c>
      <c r="L132" s="102">
        <f t="shared" si="105"/>
        <v>1.841932585101238E-3</v>
      </c>
      <c r="M132" s="102">
        <f t="shared" si="105"/>
        <v>1.2593163497867279E-3</v>
      </c>
      <c r="N132" s="217">
        <f>AVERAGE(I132:M132)</f>
        <v>8.1909931626597179E-3</v>
      </c>
      <c r="O132" s="217">
        <f>N132</f>
        <v>8.1909931626597179E-3</v>
      </c>
      <c r="P132" s="217">
        <f t="shared" ref="P132:S132" si="106">O132</f>
        <v>8.1909931626597179E-3</v>
      </c>
      <c r="Q132" s="217">
        <f t="shared" si="106"/>
        <v>8.1909931626597179E-3</v>
      </c>
      <c r="R132" s="217">
        <f t="shared" si="106"/>
        <v>8.1909931626597179E-3</v>
      </c>
      <c r="S132" s="217">
        <f t="shared" si="106"/>
        <v>8.1909931626597179E-3</v>
      </c>
      <c r="T132" s="54" t="s">
        <v>676</v>
      </c>
    </row>
    <row r="133" spans="2:20" x14ac:dyDescent="0.3">
      <c r="B133" s="308" t="s">
        <v>230</v>
      </c>
      <c r="C133" s="56"/>
      <c r="D133" s="375">
        <f>InBS!C19/10^9</f>
        <v>0</v>
      </c>
      <c r="E133" s="375">
        <f>InBS!D19/10^9</f>
        <v>0</v>
      </c>
      <c r="F133" s="375">
        <f>InBS!E19/10^9</f>
        <v>0</v>
      </c>
      <c r="G133" s="375">
        <f>InBS!F19/10^9</f>
        <v>0</v>
      </c>
      <c r="H133" s="375">
        <f>InBS!G19/10^9</f>
        <v>0</v>
      </c>
      <c r="I133" s="375">
        <f>InBS!H19/10^9</f>
        <v>-0.99558267600000006</v>
      </c>
      <c r="J133" s="375">
        <f>InBS!I19/10^9</f>
        <v>0</v>
      </c>
      <c r="K133" s="375">
        <f>InBS!J19/10^9</f>
        <v>-7.0295915080000002</v>
      </c>
      <c r="L133" s="375">
        <f>InBS!K19/10^9</f>
        <v>-3.2521845950000001</v>
      </c>
      <c r="M133" s="375">
        <f>InBS!L19/10^9</f>
        <v>-2.98282172</v>
      </c>
      <c r="N133" s="291">
        <f>-N127*N134</f>
        <v>-5.214880433455372</v>
      </c>
      <c r="O133" s="291">
        <f t="shared" ref="O133:S133" si="107">-O127*O134</f>
        <v>-5.9444338871973077</v>
      </c>
      <c r="P133" s="291">
        <f t="shared" si="107"/>
        <v>-6.1870847158113431</v>
      </c>
      <c r="Q133" s="291">
        <f t="shared" si="107"/>
        <v>-6.3794223493680864</v>
      </c>
      <c r="R133" s="291">
        <f t="shared" si="107"/>
        <v>-7.1748858047790263</v>
      </c>
      <c r="S133" s="291">
        <f t="shared" si="107"/>
        <v>-7.3962386647136986</v>
      </c>
      <c r="T133" s="56"/>
    </row>
    <row r="134" spans="2:20" x14ac:dyDescent="0.3">
      <c r="B134" s="376" t="s">
        <v>231</v>
      </c>
      <c r="C134" s="232"/>
      <c r="D134" s="347" t="s">
        <v>121</v>
      </c>
      <c r="E134" s="278">
        <f t="shared" ref="E134:L134" si="108">-E133/E127</f>
        <v>0</v>
      </c>
      <c r="F134" s="278">
        <f t="shared" si="108"/>
        <v>0</v>
      </c>
      <c r="G134" s="278">
        <f t="shared" si="108"/>
        <v>0</v>
      </c>
      <c r="H134" s="278">
        <f t="shared" si="108"/>
        <v>0</v>
      </c>
      <c r="I134" s="278">
        <f t="shared" si="108"/>
        <v>7.2720389974659221E-3</v>
      </c>
      <c r="J134" s="278">
        <f t="shared" si="108"/>
        <v>0</v>
      </c>
      <c r="K134" s="278">
        <f t="shared" si="108"/>
        <v>4.5792175417629782E-2</v>
      </c>
      <c r="L134" s="278">
        <f t="shared" si="108"/>
        <v>2.4608247591731951E-2</v>
      </c>
      <c r="M134" s="278">
        <f>-M133/M127</f>
        <v>2.8071277542230124E-2</v>
      </c>
      <c r="N134" s="287">
        <f>AVERAGE(K134:M134)</f>
        <v>3.2823900183863955E-2</v>
      </c>
      <c r="O134" s="287">
        <f>N134</f>
        <v>3.2823900183863955E-2</v>
      </c>
      <c r="P134" s="287">
        <f t="shared" ref="P134:R134" si="109">O134</f>
        <v>3.2823900183863955E-2</v>
      </c>
      <c r="Q134" s="287">
        <f t="shared" si="109"/>
        <v>3.2823900183863955E-2</v>
      </c>
      <c r="R134" s="287">
        <f t="shared" si="109"/>
        <v>3.2823900183863955E-2</v>
      </c>
      <c r="S134" s="287">
        <f>R134</f>
        <v>3.2823900183863955E-2</v>
      </c>
      <c r="T134" s="232" t="s">
        <v>677</v>
      </c>
    </row>
    <row r="135" spans="2:20" s="55" customFormat="1" x14ac:dyDescent="0.3">
      <c r="B135" s="316" t="s">
        <v>246</v>
      </c>
      <c r="D135" s="233">
        <f>D127+D129+D131+D133</f>
        <v>0</v>
      </c>
      <c r="E135" s="233">
        <f>E127+E129+E131+E133</f>
        <v>4.0130303870000006</v>
      </c>
      <c r="F135" s="233">
        <f t="shared" ref="F135:L135" si="110">F127+F129+F131+F133</f>
        <v>24.968120772999999</v>
      </c>
      <c r="G135" s="233">
        <f t="shared" si="110"/>
        <v>78.715107847999988</v>
      </c>
      <c r="H135" s="233">
        <f t="shared" si="110"/>
        <v>136.59951198900001</v>
      </c>
      <c r="I135" s="233">
        <f t="shared" si="110"/>
        <v>152.12522326199999</v>
      </c>
      <c r="J135" s="233">
        <f t="shared" si="110"/>
        <v>168.57663965</v>
      </c>
      <c r="K135" s="233">
        <f t="shared" si="110"/>
        <v>157.495348318</v>
      </c>
      <c r="L135" s="233">
        <f t="shared" si="110"/>
        <v>135.60233903900001</v>
      </c>
      <c r="M135" s="233">
        <f>M127+M129+M131+M133</f>
        <v>106.086387832</v>
      </c>
      <c r="N135" s="233">
        <f t="shared" ref="N135:S135" si="111">N127+N129+N131+N133</f>
        <v>167.37248420831997</v>
      </c>
      <c r="O135" s="233">
        <f t="shared" si="111"/>
        <v>191.0085646811379</v>
      </c>
      <c r="P135" s="233">
        <f t="shared" si="111"/>
        <v>198.89102188152836</v>
      </c>
      <c r="Q135" s="233">
        <f t="shared" si="111"/>
        <v>205.26429444930068</v>
      </c>
      <c r="R135" s="233">
        <f t="shared" si="111"/>
        <v>230.91612995742057</v>
      </c>
      <c r="S135" s="233">
        <f t="shared" si="111"/>
        <v>238.15315731723268</v>
      </c>
    </row>
    <row r="136" spans="2:20" ht="9" customHeight="1" x14ac:dyDescent="0.3"/>
    <row r="137" spans="2:20" x14ac:dyDescent="0.3">
      <c r="B137" s="56" t="s">
        <v>232</v>
      </c>
      <c r="C137" s="56"/>
      <c r="D137" s="320">
        <f>InBS!C20/10^9</f>
        <v>5.4409999999999997E-3</v>
      </c>
      <c r="E137" s="320">
        <f>InBS!D20/10^9</f>
        <v>0.16890797799999999</v>
      </c>
      <c r="F137" s="320">
        <f>InBS!E20/10^9</f>
        <v>0.37226694399999999</v>
      </c>
      <c r="G137" s="320">
        <f>InBS!F20/10^9</f>
        <v>4.8024285300000003</v>
      </c>
      <c r="H137" s="320">
        <f>InBS!G20/10^9</f>
        <v>10.005661391</v>
      </c>
      <c r="I137" s="320">
        <f>InBS!H20/10^9</f>
        <v>21.500912441000001</v>
      </c>
      <c r="J137" s="320">
        <f>InBS!I20/10^9</f>
        <v>23.172660906000001</v>
      </c>
      <c r="K137" s="320">
        <f>InBS!J20/10^9</f>
        <v>21.931573085</v>
      </c>
      <c r="L137" s="320">
        <f>InBS!K20/10^9</f>
        <v>26.4468639</v>
      </c>
      <c r="M137" s="320">
        <f>InBS!L20/10^9</f>
        <v>42.038312845999997</v>
      </c>
      <c r="N137" s="219"/>
      <c r="O137" s="219"/>
      <c r="P137" s="219"/>
      <c r="Q137" s="219"/>
      <c r="R137" s="219"/>
      <c r="S137" s="219"/>
      <c r="T137" s="651" t="s">
        <v>678</v>
      </c>
    </row>
    <row r="138" spans="2:20" ht="15" customHeight="1" x14ac:dyDescent="0.3">
      <c r="B138" s="308" t="s">
        <v>170</v>
      </c>
      <c r="C138" s="56"/>
      <c r="D138" s="377" t="s">
        <v>121</v>
      </c>
      <c r="E138" s="230">
        <f t="shared" ref="E138:M138" si="112">E137/E7</f>
        <v>2.1472128945448081E-2</v>
      </c>
      <c r="F138" s="230">
        <f t="shared" si="112"/>
        <v>4.9184827187501914E-3</v>
      </c>
      <c r="G138" s="230">
        <f t="shared" si="112"/>
        <v>1.6826512753063988E-2</v>
      </c>
      <c r="H138" s="230">
        <f t="shared" si="112"/>
        <v>1.3672309620444462E-2</v>
      </c>
      <c r="I138" s="230">
        <f t="shared" si="112"/>
        <v>2.6836275434301424E-2</v>
      </c>
      <c r="J138" s="230">
        <f t="shared" si="112"/>
        <v>2.4397910353685381E-2</v>
      </c>
      <c r="K138" s="230">
        <f t="shared" si="112"/>
        <v>2.0202604789087669E-2</v>
      </c>
      <c r="L138" s="230">
        <f t="shared" si="112"/>
        <v>2.7832713209363383E-2</v>
      </c>
      <c r="M138" s="230">
        <f t="shared" si="112"/>
        <v>4.7203992225633193E-2</v>
      </c>
      <c r="N138" s="219"/>
      <c r="O138" s="219"/>
      <c r="P138" s="219"/>
      <c r="Q138" s="219"/>
      <c r="R138" s="219"/>
      <c r="S138" s="219"/>
      <c r="T138" s="651"/>
    </row>
    <row r="139" spans="2:20" x14ac:dyDescent="0.3">
      <c r="B139" s="311" t="s">
        <v>233</v>
      </c>
      <c r="C139" s="232"/>
      <c r="D139" s="347" t="s">
        <v>121</v>
      </c>
      <c r="E139" s="281">
        <f t="shared" ref="E139:M139" si="113">365/(E11/AVERAGE(D140:E140))</f>
        <v>4.4801790621491628</v>
      </c>
      <c r="F139" s="281">
        <f t="shared" si="113"/>
        <v>1.9516127483134904</v>
      </c>
      <c r="G139" s="281">
        <f t="shared" si="113"/>
        <v>6.1349367867278257</v>
      </c>
      <c r="H139" s="281">
        <f t="shared" si="113"/>
        <v>5.9324875719072629</v>
      </c>
      <c r="I139" s="281">
        <f t="shared" si="113"/>
        <v>9.3317970523243012</v>
      </c>
      <c r="J139" s="281">
        <f t="shared" si="113"/>
        <v>10.953953702928734</v>
      </c>
      <c r="K139" s="281">
        <f t="shared" si="113"/>
        <v>9.6156661527080249</v>
      </c>
      <c r="L139" s="281">
        <f t="shared" si="113"/>
        <v>12.304720533224435</v>
      </c>
      <c r="M139" s="281">
        <f t="shared" si="113"/>
        <v>19.167694853272781</v>
      </c>
      <c r="N139" s="147">
        <v>15</v>
      </c>
      <c r="O139" s="147">
        <v>15</v>
      </c>
      <c r="P139" s="147">
        <v>15</v>
      </c>
      <c r="Q139" s="147">
        <v>15</v>
      </c>
      <c r="R139" s="147">
        <v>15</v>
      </c>
      <c r="S139" s="147">
        <v>15</v>
      </c>
      <c r="T139" s="652"/>
    </row>
    <row r="140" spans="2:20" s="55" customFormat="1" x14ac:dyDescent="0.3">
      <c r="B140" s="55" t="s">
        <v>232</v>
      </c>
      <c r="D140" s="233">
        <f>D137</f>
        <v>5.4409999999999997E-3</v>
      </c>
      <c r="E140" s="233">
        <f t="shared" ref="E140:L140" si="114">E137</f>
        <v>0.16890797799999999</v>
      </c>
      <c r="F140" s="233">
        <f t="shared" si="114"/>
        <v>0.37226694399999999</v>
      </c>
      <c r="G140" s="233">
        <f t="shared" si="114"/>
        <v>4.8024285300000003</v>
      </c>
      <c r="H140" s="233">
        <f t="shared" si="114"/>
        <v>10.005661391</v>
      </c>
      <c r="I140" s="233">
        <f t="shared" si="114"/>
        <v>21.500912441000001</v>
      </c>
      <c r="J140" s="233">
        <f t="shared" si="114"/>
        <v>23.172660906000001</v>
      </c>
      <c r="K140" s="233">
        <f t="shared" si="114"/>
        <v>21.931573085</v>
      </c>
      <c r="L140" s="233">
        <f t="shared" si="114"/>
        <v>26.4468639</v>
      </c>
      <c r="M140" s="233">
        <f>M137</f>
        <v>42.038312845999997</v>
      </c>
      <c r="N140" s="233">
        <f t="shared" ref="N140:S140" si="115">N11/(365/N139)</f>
        <v>35.724517192209802</v>
      </c>
      <c r="O140" s="233">
        <f t="shared" si="115"/>
        <v>41.902589835560136</v>
      </c>
      <c r="P140" s="233">
        <f t="shared" si="115"/>
        <v>44.44253195668685</v>
      </c>
      <c r="Q140" s="233">
        <f t="shared" si="115"/>
        <v>47.304607087153201</v>
      </c>
      <c r="R140" s="233">
        <f t="shared" si="115"/>
        <v>53.526061402676277</v>
      </c>
      <c r="S140" s="233">
        <f t="shared" si="115"/>
        <v>56.215379763302678</v>
      </c>
    </row>
    <row r="141" spans="2:20" ht="9" customHeight="1" x14ac:dyDescent="0.3"/>
    <row r="142" spans="2:20" x14ac:dyDescent="0.3">
      <c r="B142" s="56" t="s">
        <v>234</v>
      </c>
      <c r="C142" s="56"/>
      <c r="D142" s="320">
        <f>InBS!C23/10^9</f>
        <v>0.16683832200000001</v>
      </c>
      <c r="E142" s="320">
        <f>InBS!D23/10^9</f>
        <v>1.0329823119999999</v>
      </c>
      <c r="F142" s="320">
        <f>InBS!E23/10^9</f>
        <v>0.10050000000000001</v>
      </c>
      <c r="G142" s="320">
        <f>InBS!F23/10^9</f>
        <v>0.49061389999999999</v>
      </c>
      <c r="H142" s="320">
        <f>InBS!G23/10^9</f>
        <v>7.9328411809999997</v>
      </c>
      <c r="I142" s="320">
        <f>InBS!H23/10^9</f>
        <v>2.3870007790000001</v>
      </c>
      <c r="J142" s="320">
        <f>InBS!I23/10^9</f>
        <v>4.3658048220000003</v>
      </c>
      <c r="K142" s="320">
        <f>InBS!J23/10^9</f>
        <v>12.926033180999999</v>
      </c>
      <c r="L142" s="320">
        <f>InBS!K23/10^9</f>
        <v>8.8733242079999997</v>
      </c>
      <c r="M142" s="320">
        <f>InBS!L23/10^9</f>
        <v>9.7460806620000007</v>
      </c>
      <c r="N142" s="219"/>
      <c r="O142" s="219"/>
      <c r="P142" s="219"/>
      <c r="Q142" s="219"/>
      <c r="R142" s="219"/>
      <c r="S142" s="219"/>
      <c r="T142" s="56"/>
    </row>
    <row r="143" spans="2:20" x14ac:dyDescent="0.3">
      <c r="B143" s="311" t="s">
        <v>170</v>
      </c>
      <c r="C143" s="232"/>
      <c r="D143" s="378" t="s">
        <v>121</v>
      </c>
      <c r="E143" s="278">
        <f t="shared" ref="E143:M143" si="116">E142/E7</f>
        <v>0.13131605543008204</v>
      </c>
      <c r="F143" s="278">
        <f t="shared" si="116"/>
        <v>1.3278307977685878E-3</v>
      </c>
      <c r="G143" s="278">
        <f t="shared" si="116"/>
        <v>1.7189888394196383E-3</v>
      </c>
      <c r="H143" s="278">
        <f t="shared" si="116"/>
        <v>1.0839889194531738E-2</v>
      </c>
      <c r="I143" s="278">
        <f t="shared" si="116"/>
        <v>2.9793252050542619E-3</v>
      </c>
      <c r="J143" s="278">
        <f t="shared" si="116"/>
        <v>4.5966458103766364E-3</v>
      </c>
      <c r="K143" s="278">
        <f t="shared" si="116"/>
        <v>1.1907013638934176E-2</v>
      </c>
      <c r="L143" s="278">
        <f t="shared" si="116"/>
        <v>9.3382976835663864E-3</v>
      </c>
      <c r="M143" s="278">
        <f t="shared" si="116"/>
        <v>1.0943681719215731E-2</v>
      </c>
      <c r="N143" s="396">
        <f>M143</f>
        <v>1.0943681719215731E-2</v>
      </c>
      <c r="O143" s="396">
        <f t="shared" ref="O143:S143" si="117">N143</f>
        <v>1.0943681719215731E-2</v>
      </c>
      <c r="P143" s="396">
        <f t="shared" si="117"/>
        <v>1.0943681719215731E-2</v>
      </c>
      <c r="Q143" s="396">
        <f t="shared" si="117"/>
        <v>1.0943681719215731E-2</v>
      </c>
      <c r="R143" s="396">
        <f t="shared" si="117"/>
        <v>1.0943681719215731E-2</v>
      </c>
      <c r="S143" s="396">
        <f t="shared" si="117"/>
        <v>1.0943681719215731E-2</v>
      </c>
      <c r="T143" s="232" t="s">
        <v>703</v>
      </c>
    </row>
    <row r="144" spans="2:20" s="55" customFormat="1" x14ac:dyDescent="0.3">
      <c r="B144" s="55" t="s">
        <v>234</v>
      </c>
      <c r="D144" s="233">
        <f>D142</f>
        <v>0.16683832200000001</v>
      </c>
      <c r="E144" s="233">
        <f t="shared" ref="E144:L144" si="118">E142</f>
        <v>1.0329823119999999</v>
      </c>
      <c r="F144" s="233">
        <f t="shared" si="118"/>
        <v>0.10050000000000001</v>
      </c>
      <c r="G144" s="233">
        <f t="shared" si="118"/>
        <v>0.49061389999999999</v>
      </c>
      <c r="H144" s="233">
        <f t="shared" si="118"/>
        <v>7.9328411809999997</v>
      </c>
      <c r="I144" s="233">
        <f t="shared" si="118"/>
        <v>2.3870007790000001</v>
      </c>
      <c r="J144" s="233">
        <f t="shared" si="118"/>
        <v>4.3658048220000003</v>
      </c>
      <c r="K144" s="233">
        <f t="shared" si="118"/>
        <v>12.926033180999999</v>
      </c>
      <c r="L144" s="233">
        <f t="shared" si="118"/>
        <v>8.8733242079999997</v>
      </c>
      <c r="M144" s="233">
        <f>M142</f>
        <v>9.7460806620000007</v>
      </c>
      <c r="N144" s="233">
        <f>IF(N142,N142,N143*(1+N$7))</f>
        <v>12.280659812301925</v>
      </c>
      <c r="O144" s="233">
        <f t="shared" ref="O144:S144" si="119">IF(O142,O142,O143*(1+O$7))</f>
        <v>13.997173526034102</v>
      </c>
      <c r="P144" s="233">
        <f t="shared" si="119"/>
        <v>14.568089163302542</v>
      </c>
      <c r="Q144" s="233">
        <f t="shared" si="119"/>
        <v>15.020626511969152</v>
      </c>
      <c r="R144" s="233">
        <f t="shared" si="119"/>
        <v>16.892215115905302</v>
      </c>
      <c r="S144" s="233">
        <f t="shared" si="119"/>
        <v>17.413020298449339</v>
      </c>
    </row>
    <row r="146" spans="2:20" s="55" customFormat="1" x14ac:dyDescent="0.3">
      <c r="B146" s="55" t="s">
        <v>235</v>
      </c>
      <c r="D146" s="233">
        <f>D110+D116+D122+D135+D140+D144</f>
        <v>11.189243925</v>
      </c>
      <c r="E146" s="233">
        <f t="shared" ref="E146:S146" si="120">E110+E116+E122+E135+E140+E144</f>
        <v>29.804447039000003</v>
      </c>
      <c r="F146" s="233">
        <f t="shared" si="120"/>
        <v>68.494828111999993</v>
      </c>
      <c r="G146" s="233">
        <f t="shared" si="120"/>
        <v>182.82261471999996</v>
      </c>
      <c r="H146" s="233">
        <f t="shared" si="120"/>
        <v>396.38162946400001</v>
      </c>
      <c r="I146" s="233">
        <f t="shared" si="120"/>
        <v>316.41825559800003</v>
      </c>
      <c r="J146" s="233">
        <f t="shared" si="120"/>
        <v>510.95695379299997</v>
      </c>
      <c r="K146" s="233">
        <f t="shared" si="120"/>
        <v>521.08784740500005</v>
      </c>
      <c r="L146" s="233">
        <f t="shared" si="120"/>
        <v>465.63334061699999</v>
      </c>
      <c r="M146" s="233">
        <f>M110+M116+M122+M135+M140+M144</f>
        <v>500.54425428899998</v>
      </c>
      <c r="N146" s="233">
        <f ca="1">N110+N116+N122+N135+N140+N144</f>
        <v>579.65971406891219</v>
      </c>
      <c r="O146" s="233">
        <f t="shared" ca="1" si="120"/>
        <v>645.8377022746032</v>
      </c>
      <c r="P146" s="233">
        <f t="shared" ca="1" si="120"/>
        <v>716.16549987481574</v>
      </c>
      <c r="Q146" s="233">
        <f t="shared" ca="1" si="120"/>
        <v>755.91131800522101</v>
      </c>
      <c r="R146" s="233">
        <f t="shared" ca="1" si="120"/>
        <v>823.6610445110349</v>
      </c>
      <c r="S146" s="233">
        <f t="shared" ca="1" si="120"/>
        <v>831.52095018550153</v>
      </c>
    </row>
    <row r="148" spans="2:20" x14ac:dyDescent="0.3">
      <c r="B148" s="56" t="s">
        <v>245</v>
      </c>
      <c r="C148" s="56"/>
      <c r="D148" s="320">
        <f>InBS!C29/10^9</f>
        <v>0</v>
      </c>
      <c r="E148" s="320">
        <f>InBS!D29/10^9</f>
        <v>0</v>
      </c>
      <c r="F148" s="320">
        <f>InBS!E29/10^9</f>
        <v>0</v>
      </c>
      <c r="G148" s="320">
        <f>InBS!F29/10^9</f>
        <v>0</v>
      </c>
      <c r="H148" s="320">
        <f>InBS!G29/10^9</f>
        <v>0</v>
      </c>
      <c r="I148" s="320">
        <f>InBS!H29/10^9</f>
        <v>0</v>
      </c>
      <c r="J148" s="320">
        <f>InBS!I29/10^9</f>
        <v>0</v>
      </c>
      <c r="K148" s="320">
        <f>InBS!J29/10^9</f>
        <v>0</v>
      </c>
      <c r="L148" s="320">
        <f>InBS!K29/10^9</f>
        <v>0.93600000000000005</v>
      </c>
      <c r="M148" s="320">
        <f>InBS!L29/10^9</f>
        <v>1.927</v>
      </c>
      <c r="N148" s="219"/>
      <c r="O148" s="219"/>
      <c r="P148" s="219"/>
      <c r="Q148" s="219"/>
      <c r="R148" s="219"/>
      <c r="S148" s="219"/>
      <c r="T148" s="56"/>
    </row>
    <row r="149" spans="2:20" x14ac:dyDescent="0.3">
      <c r="B149" s="311" t="s">
        <v>170</v>
      </c>
      <c r="C149" s="232"/>
      <c r="D149" s="232"/>
      <c r="E149" s="232"/>
      <c r="F149" s="232"/>
      <c r="G149" s="232"/>
      <c r="H149" s="232"/>
      <c r="I149" s="232"/>
      <c r="J149" s="232"/>
      <c r="K149" s="232"/>
      <c r="L149" s="278">
        <f>L148/L7</f>
        <v>9.8504759061296973E-4</v>
      </c>
      <c r="M149" s="278">
        <f>M148/M7</f>
        <v>2.1637902870179134E-3</v>
      </c>
      <c r="N149" s="287">
        <f>M149</f>
        <v>2.1637902870179134E-3</v>
      </c>
      <c r="O149" s="287">
        <f t="shared" ref="O149:S149" si="121">N149</f>
        <v>2.1637902870179134E-3</v>
      </c>
      <c r="P149" s="287">
        <f t="shared" si="121"/>
        <v>2.1637902870179134E-3</v>
      </c>
      <c r="Q149" s="287">
        <f t="shared" si="121"/>
        <v>2.1637902870179134E-3</v>
      </c>
      <c r="R149" s="287">
        <f t="shared" si="121"/>
        <v>2.1637902870179134E-3</v>
      </c>
      <c r="S149" s="287">
        <f t="shared" si="121"/>
        <v>2.1637902870179134E-3</v>
      </c>
      <c r="T149" s="232" t="s">
        <v>679</v>
      </c>
    </row>
    <row r="150" spans="2:20" s="55" customFormat="1" x14ac:dyDescent="0.3">
      <c r="B150" s="55" t="s">
        <v>245</v>
      </c>
      <c r="D150" s="233">
        <f>D148</f>
        <v>0</v>
      </c>
      <c r="E150" s="233">
        <f t="shared" ref="E150:L150" si="122">E148</f>
        <v>0</v>
      </c>
      <c r="F150" s="233">
        <f t="shared" si="122"/>
        <v>0</v>
      </c>
      <c r="G150" s="233">
        <f t="shared" si="122"/>
        <v>0</v>
      </c>
      <c r="H150" s="233">
        <f t="shared" si="122"/>
        <v>0</v>
      </c>
      <c r="I150" s="233">
        <f t="shared" si="122"/>
        <v>0</v>
      </c>
      <c r="J150" s="233">
        <f t="shared" si="122"/>
        <v>0</v>
      </c>
      <c r="K150" s="233">
        <f t="shared" si="122"/>
        <v>0</v>
      </c>
      <c r="L150" s="233">
        <f t="shared" si="122"/>
        <v>0.93600000000000005</v>
      </c>
      <c r="M150" s="233">
        <f>M148</f>
        <v>1.927</v>
      </c>
      <c r="N150" s="233">
        <f>N$7*N149</f>
        <v>2.4259744818057905</v>
      </c>
      <c r="O150" s="233">
        <f t="shared" ref="O150:S150" si="123">O$7*O149</f>
        <v>2.7653644418395427</v>
      </c>
      <c r="P150" s="233">
        <f t="shared" si="123"/>
        <v>2.8782461705231341</v>
      </c>
      <c r="Q150" s="233">
        <f t="shared" si="123"/>
        <v>2.9677220840850485</v>
      </c>
      <c r="R150" s="233">
        <f t="shared" si="123"/>
        <v>3.3377735298777065</v>
      </c>
      <c r="S150" s="233">
        <f t="shared" si="123"/>
        <v>3.4407473940973374</v>
      </c>
    </row>
    <row r="152" spans="2:20" x14ac:dyDescent="0.3">
      <c r="B152" s="56" t="s">
        <v>236</v>
      </c>
      <c r="C152" s="56"/>
      <c r="D152" s="320">
        <f>(InBS!C34-InBS!C41)/10^9</f>
        <v>1.3049055389999999</v>
      </c>
      <c r="E152" s="320">
        <f>(InBS!D34-InBS!D41)/10^9</f>
        <v>66.197712625999998</v>
      </c>
      <c r="F152" s="320">
        <f>(InBS!E34-InBS!E41)/10^9</f>
        <v>104.455746901</v>
      </c>
      <c r="G152" s="320">
        <f>(InBS!F34-InBS!F41)/10^9</f>
        <v>176.514438173</v>
      </c>
      <c r="H152" s="320">
        <f>(InBS!G34-InBS!G41)/10^9</f>
        <v>292.34442256800003</v>
      </c>
      <c r="I152" s="320">
        <f>(InBS!H34-InBS!H41)/10^9</f>
        <v>225.10109260300001</v>
      </c>
      <c r="J152" s="320">
        <f>(InBS!I34-InBS!I41)/10^9</f>
        <v>97.436153461999993</v>
      </c>
      <c r="K152" s="320">
        <f>(InBS!J34-InBS!J41)/10^9</f>
        <v>111.74238171499999</v>
      </c>
      <c r="L152" s="320">
        <f>(InBS!K34-InBS!K41)/10^9</f>
        <v>170.39048180500001</v>
      </c>
      <c r="M152" s="320">
        <f>(InBS!L34-InBS!L41)/10^9</f>
        <v>142.525687323</v>
      </c>
      <c r="N152" s="219"/>
      <c r="O152" s="219"/>
      <c r="P152" s="219"/>
      <c r="Q152" s="219"/>
      <c r="R152" s="219"/>
      <c r="S152" s="219"/>
      <c r="T152" s="56"/>
    </row>
    <row r="153" spans="2:20" x14ac:dyDescent="0.3">
      <c r="B153" s="308" t="s">
        <v>237</v>
      </c>
      <c r="C153" s="56"/>
      <c r="D153" s="320">
        <f>-InCF!C25/10^9</f>
        <v>1.3847950440000001</v>
      </c>
      <c r="E153" s="320">
        <f>-InCF!D25/10^9</f>
        <v>74.228031927000004</v>
      </c>
      <c r="F153" s="320">
        <f>-InCF!E25/10^9</f>
        <v>37.392170219</v>
      </c>
      <c r="G153" s="320">
        <f>-InCF!F25/10^9</f>
        <v>76.238155000000006</v>
      </c>
      <c r="H153" s="320">
        <f>-InCF!G25/10^9</f>
        <v>208.81538049599999</v>
      </c>
      <c r="I153" s="320">
        <f>-InCF!H25/10^9</f>
        <v>48.393234714999998</v>
      </c>
      <c r="J153" s="320">
        <f>-InCF!I25/10^9</f>
        <v>5.8650082049999996</v>
      </c>
      <c r="K153" s="320">
        <f>-InCF!J25/10^9</f>
        <v>89.309139549999998</v>
      </c>
      <c r="L153" s="320">
        <f>-InCF!K25/10^9</f>
        <v>122.59183730700001</v>
      </c>
      <c r="M153" s="320">
        <f>-InCF!L25/10^9</f>
        <v>32.670468849000002</v>
      </c>
      <c r="N153" s="391">
        <f>'Fixed Assets (F)'!N8</f>
        <v>61.467163394333333</v>
      </c>
      <c r="O153" s="391">
        <f>'Fixed Assets (F)'!O8</f>
        <v>81.671545771111127</v>
      </c>
      <c r="P153" s="391">
        <f>'Fixed Assets (F)'!P8</f>
        <v>30.672467761481482</v>
      </c>
      <c r="Q153" s="391">
        <f>'Fixed Assets (F)'!Q8</f>
        <v>50.647245378641969</v>
      </c>
      <c r="R153" s="391">
        <f>'Fixed Assets (F)'!R8</f>
        <v>30.660484070411524</v>
      </c>
      <c r="S153" s="391">
        <f>'Fixed Assets (F)'!S8</f>
        <v>50.660065736844992</v>
      </c>
      <c r="T153" s="627" t="s">
        <v>707</v>
      </c>
    </row>
    <row r="154" spans="2:20" x14ac:dyDescent="0.3">
      <c r="B154" s="376" t="s">
        <v>170</v>
      </c>
      <c r="C154" s="232"/>
      <c r="D154" s="347" t="s">
        <v>121</v>
      </c>
      <c r="E154" s="278">
        <f t="shared" ref="E154:L154" si="124">IF(E$7,E153/E$7,0)</f>
        <v>9.4361077065488352</v>
      </c>
      <c r="F154" s="278">
        <f t="shared" si="124"/>
        <v>0.49403457922580701</v>
      </c>
      <c r="G154" s="278">
        <f t="shared" si="124"/>
        <v>0.26711949576427513</v>
      </c>
      <c r="H154" s="278">
        <f t="shared" si="124"/>
        <v>0.28533731295567</v>
      </c>
      <c r="I154" s="278">
        <f>IF(I$7,I153/I$7,0)</f>
        <v>6.0401816877876435E-2</v>
      </c>
      <c r="J154" s="278">
        <f t="shared" si="124"/>
        <v>6.1751192489149353E-3</v>
      </c>
      <c r="K154" s="278">
        <f t="shared" si="124"/>
        <v>8.2268483131114567E-2</v>
      </c>
      <c r="L154" s="278">
        <f t="shared" si="124"/>
        <v>0.12901580552145034</v>
      </c>
      <c r="M154" s="278">
        <f>IF(M$7,M153/M$7,0)</f>
        <v>3.6685024996257136E-2</v>
      </c>
      <c r="N154" s="287">
        <f>IF(N$7,N153/N$7,0)</f>
        <v>5.4824175654230513E-2</v>
      </c>
      <c r="O154" s="287">
        <f>IF(O$7,O153/O$7,0)</f>
        <v>6.3904812975650177E-2</v>
      </c>
      <c r="P154" s="287">
        <f t="shared" ref="P154:S154" si="125">IF(P$7,P153/P$7,0)</f>
        <v>2.3058760053557503E-2</v>
      </c>
      <c r="Q154" s="287">
        <f t="shared" si="125"/>
        <v>3.6927318161702159E-2</v>
      </c>
      <c r="R154" s="287">
        <f t="shared" si="125"/>
        <v>1.9876380776875136E-2</v>
      </c>
      <c r="S154" s="287">
        <f t="shared" si="125"/>
        <v>3.1858705573424358E-2</v>
      </c>
      <c r="T154" s="278"/>
    </row>
    <row r="155" spans="2:20" x14ac:dyDescent="0.3">
      <c r="B155" s="56" t="s">
        <v>237</v>
      </c>
      <c r="C155" s="56"/>
      <c r="D155" s="320">
        <f>D153</f>
        <v>1.3847950440000001</v>
      </c>
      <c r="E155" s="320">
        <f t="shared" ref="E155:L155" si="126">E153</f>
        <v>74.228031927000004</v>
      </c>
      <c r="F155" s="320">
        <f t="shared" si="126"/>
        <v>37.392170219</v>
      </c>
      <c r="G155" s="320">
        <f t="shared" si="126"/>
        <v>76.238155000000006</v>
      </c>
      <c r="H155" s="320">
        <f t="shared" si="126"/>
        <v>208.81538049599999</v>
      </c>
      <c r="I155" s="320">
        <f>I153</f>
        <v>48.393234714999998</v>
      </c>
      <c r="J155" s="320">
        <f t="shared" si="126"/>
        <v>5.8650082049999996</v>
      </c>
      <c r="K155" s="320">
        <f t="shared" si="126"/>
        <v>89.309139549999998</v>
      </c>
      <c r="L155" s="320">
        <f t="shared" si="126"/>
        <v>122.59183730700001</v>
      </c>
      <c r="M155" s="320">
        <f>M153</f>
        <v>32.670468849000002</v>
      </c>
      <c r="N155" s="291">
        <f>N153</f>
        <v>61.467163394333333</v>
      </c>
      <c r="O155" s="291">
        <f t="shared" ref="O155:S155" si="127">O153</f>
        <v>81.671545771111127</v>
      </c>
      <c r="P155" s="291">
        <f t="shared" si="127"/>
        <v>30.672467761481482</v>
      </c>
      <c r="Q155" s="291">
        <f t="shared" si="127"/>
        <v>50.647245378641969</v>
      </c>
      <c r="R155" s="291">
        <f t="shared" si="127"/>
        <v>30.660484070411524</v>
      </c>
      <c r="S155" s="291">
        <f t="shared" si="127"/>
        <v>50.660065736844992</v>
      </c>
      <c r="T155" s="56"/>
    </row>
    <row r="156" spans="2:20" x14ac:dyDescent="0.3">
      <c r="B156" s="56" t="s">
        <v>173</v>
      </c>
      <c r="C156" s="56"/>
      <c r="D156" s="320">
        <f>InCF!C7/10^9</f>
        <v>4.7576489999999999E-2</v>
      </c>
      <c r="E156" s="320">
        <f>InCF!D7/10^9</f>
        <v>2.2720071310000001</v>
      </c>
      <c r="F156" s="320">
        <f>InCF!E7/10^9</f>
        <v>7.9598231359999998</v>
      </c>
      <c r="G156" s="320">
        <f>InCF!F7/10^9</f>
        <v>20.385813119000002</v>
      </c>
      <c r="H156" s="320">
        <f>InCF!G7/10^9</f>
        <v>82.458634855</v>
      </c>
      <c r="I156" s="320">
        <f>InCF!H7/10^9</f>
        <v>120.27550900599999</v>
      </c>
      <c r="J156" s="320">
        <f>InCF!I7/10^9</f>
        <v>133.03504750100001</v>
      </c>
      <c r="K156" s="320">
        <f>InCF!J7/10^9</f>
        <v>80.028708037000001</v>
      </c>
      <c r="L156" s="320">
        <f>InCF!K7/10^9</f>
        <v>64.229387505999995</v>
      </c>
      <c r="M156" s="320">
        <f>InCF!L7/10^9</f>
        <v>60.815179999000001</v>
      </c>
      <c r="N156" s="291">
        <f>'Fixed Assets (F)'!N17</f>
        <v>56.282736575700028</v>
      </c>
      <c r="O156" s="291">
        <f>'Fixed Assets (F)'!O17</f>
        <v>64.889807691971129</v>
      </c>
      <c r="P156" s="291">
        <f>'Fixed Assets (F)'!P17</f>
        <v>55.049157192753356</v>
      </c>
      <c r="Q156" s="291">
        <f>'Fixed Assets (F)'!Q17</f>
        <v>62.40914088127186</v>
      </c>
      <c r="R156" s="291">
        <f>'Fixed Assets (F)'!R17</f>
        <v>46.707854926227583</v>
      </c>
      <c r="S156" s="291">
        <f>'Fixed Assets (F)'!S17</f>
        <v>44.600791993873663</v>
      </c>
      <c r="T156" s="627" t="s">
        <v>707</v>
      </c>
    </row>
    <row r="157" spans="2:20" x14ac:dyDescent="0.3">
      <c r="B157" s="232" t="s">
        <v>181</v>
      </c>
      <c r="C157" s="232"/>
      <c r="D157" s="232"/>
      <c r="E157" s="232"/>
      <c r="F157" s="232"/>
      <c r="G157" s="232"/>
      <c r="H157" s="232"/>
      <c r="I157" s="232"/>
      <c r="J157" s="232"/>
      <c r="K157" s="232"/>
      <c r="L157" s="232"/>
      <c r="M157" s="232"/>
      <c r="N157" s="147"/>
      <c r="O157" s="147"/>
      <c r="P157" s="147"/>
      <c r="Q157" s="147"/>
      <c r="R157" s="147"/>
      <c r="S157" s="147"/>
      <c r="T157" s="232"/>
    </row>
    <row r="158" spans="2:20" s="55" customFormat="1" x14ac:dyDescent="0.3">
      <c r="B158" s="55" t="s">
        <v>236</v>
      </c>
      <c r="D158" s="233">
        <f>D152</f>
        <v>1.3049055389999999</v>
      </c>
      <c r="E158" s="233">
        <f t="shared" ref="E158:L158" si="128">E152</f>
        <v>66.197712625999998</v>
      </c>
      <c r="F158" s="233">
        <f t="shared" si="128"/>
        <v>104.455746901</v>
      </c>
      <c r="G158" s="233">
        <f t="shared" si="128"/>
        <v>176.514438173</v>
      </c>
      <c r="H158" s="233">
        <f t="shared" si="128"/>
        <v>292.34442256800003</v>
      </c>
      <c r="I158" s="233">
        <f>I152</f>
        <v>225.10109260300001</v>
      </c>
      <c r="J158" s="233">
        <f t="shared" si="128"/>
        <v>97.436153461999993</v>
      </c>
      <c r="K158" s="233">
        <f t="shared" si="128"/>
        <v>111.74238171499999</v>
      </c>
      <c r="L158" s="233">
        <f t="shared" si="128"/>
        <v>170.39048180500001</v>
      </c>
      <c r="M158" s="233">
        <f>M152</f>
        <v>142.525687323</v>
      </c>
      <c r="N158" s="233">
        <f>'Fixed Assets (F)'!N15-'Fixed Assets (F)'!N16+'Fixed Assets (F)'!N11</f>
        <v>107.91211414163331</v>
      </c>
      <c r="O158" s="233">
        <f>'Fixed Assets (F)'!O15-'Fixed Assets (F)'!O16+'Fixed Assets (F)'!O11</f>
        <v>123.68404552077357</v>
      </c>
      <c r="P158" s="233">
        <f>'Fixed Assets (F)'!P15-'Fixed Assets (F)'!P16+'Fixed Assets (F)'!P11</f>
        <v>99.307356089501582</v>
      </c>
      <c r="Q158" s="233">
        <f>'Fixed Assets (F)'!Q15-'Fixed Assets (F)'!Q16+'Fixed Assets (F)'!Q11</f>
        <v>87.545460586871627</v>
      </c>
      <c r="R158" s="233">
        <f>'Fixed Assets (F)'!R15-'Fixed Assets (F)'!R16+'Fixed Assets (F)'!R11</f>
        <v>71.498089731055529</v>
      </c>
      <c r="S158" s="233">
        <f>'Fixed Assets (F)'!S15-'Fixed Assets (F)'!S16+'Fixed Assets (F)'!S11</f>
        <v>77.557363474026943</v>
      </c>
    </row>
    <row r="160" spans="2:20" x14ac:dyDescent="0.3">
      <c r="B160" s="56" t="s">
        <v>238</v>
      </c>
      <c r="C160" s="56"/>
      <c r="D160" s="320">
        <f>InBS!C41/10^9</f>
        <v>3.2313015E-2</v>
      </c>
      <c r="E160" s="320">
        <f>InBS!D41/10^9</f>
        <v>2.5510274999999999E-2</v>
      </c>
      <c r="F160" s="320">
        <f>InBS!E41/10^9</f>
        <v>1.8707535000000001E-2</v>
      </c>
      <c r="G160" s="320">
        <f>InBS!F41/10^9</f>
        <v>3.045411E-3</v>
      </c>
      <c r="H160" s="320">
        <f>InBS!G41/10^9</f>
        <v>0</v>
      </c>
      <c r="I160" s="320">
        <f>InBS!H41/10^9</f>
        <v>9.6428949E-2</v>
      </c>
      <c r="J160" s="320">
        <f>InBS!I41/10^9</f>
        <v>5.1081284999999997E-2</v>
      </c>
      <c r="K160" s="320">
        <f>InBS!J41/10^9</f>
        <v>0.71228454500000005</v>
      </c>
      <c r="L160" s="320">
        <f>InBS!K41/10^9</f>
        <v>0.42663425599999999</v>
      </c>
      <c r="M160" s="320">
        <f>InBS!L41/10^9</f>
        <v>0.14671758800000001</v>
      </c>
      <c r="N160" s="56"/>
      <c r="O160" s="56"/>
      <c r="P160" s="56"/>
      <c r="Q160" s="56"/>
      <c r="R160" s="56"/>
      <c r="S160" s="56"/>
      <c r="T160" s="56"/>
    </row>
    <row r="161" spans="2:20" x14ac:dyDescent="0.3">
      <c r="B161" s="308" t="s">
        <v>239</v>
      </c>
      <c r="C161" s="56"/>
      <c r="D161" s="56"/>
      <c r="E161" s="56"/>
      <c r="F161" s="56"/>
      <c r="G161" s="56"/>
      <c r="H161" s="56"/>
      <c r="I161" s="56"/>
      <c r="J161" s="56"/>
      <c r="K161" s="56"/>
      <c r="L161" s="56"/>
      <c r="M161" s="56"/>
      <c r="N161" s="291">
        <f>-'Fixed Assets (F)'!O21</f>
        <v>-1.117400516</v>
      </c>
      <c r="O161" s="291">
        <f>-'Fixed Assets (F)'!P21</f>
        <v>-1.1149410280000001</v>
      </c>
      <c r="P161" s="291">
        <f>-'Fixed Assets (F)'!Q21</f>
        <v>-1.1149410280000001</v>
      </c>
      <c r="Q161" s="291">
        <f>-'Fixed Assets (F)'!R21</f>
        <v>-1.1149410280000001</v>
      </c>
      <c r="R161" s="291">
        <f>-'Fixed Assets (F)'!S21</f>
        <v>-1.1149410280000001</v>
      </c>
      <c r="S161" s="291">
        <f>-'Fixed Assets (F)'!T21</f>
        <v>0</v>
      </c>
      <c r="T161" s="56"/>
    </row>
    <row r="162" spans="2:20" x14ac:dyDescent="0.3">
      <c r="B162" s="311" t="s">
        <v>240</v>
      </c>
      <c r="C162" s="232"/>
      <c r="D162" s="281">
        <f>InBS!C43/10^9</f>
        <v>-1.700685E-3</v>
      </c>
      <c r="E162" s="281">
        <f>InBS!D43/10^9</f>
        <v>-8.5034250000000002E-3</v>
      </c>
      <c r="F162" s="281">
        <f>InBS!E43/10^9</f>
        <v>-1.5306165E-2</v>
      </c>
      <c r="G162" s="281">
        <f>InBS!F43/10^9</f>
        <v>-3.0968289E-2</v>
      </c>
      <c r="H162" s="281">
        <f>InBS!G43/10^9</f>
        <v>-3.4013700000000001E-2</v>
      </c>
      <c r="I162" s="281">
        <f>InBS!H43/10^9</f>
        <v>-7.3627751000000005E-2</v>
      </c>
      <c r="J162" s="281">
        <f>InBS!I43/10^9</f>
        <v>-0.118975415</v>
      </c>
      <c r="K162" s="281">
        <f>InBS!J43/10^9</f>
        <v>-0.29752215500000001</v>
      </c>
      <c r="L162" s="281">
        <f>InBS!K43/10^9</f>
        <v>-0.58317244400000001</v>
      </c>
      <c r="M162" s="281">
        <f>InBS!L43/10^9</f>
        <v>-0.86308911200000005</v>
      </c>
      <c r="N162" s="282">
        <f>-'Fixed Assets (F)'!N20</f>
        <v>-1.97803014</v>
      </c>
      <c r="O162" s="282">
        <f>-'Fixed Assets (F)'!O20</f>
        <v>-3.095430656</v>
      </c>
      <c r="P162" s="282">
        <f>-'Fixed Assets (F)'!P20</f>
        <v>-4.2103716840000001</v>
      </c>
      <c r="Q162" s="282">
        <f>-'Fixed Assets (F)'!Q20</f>
        <v>-5.3253127120000006</v>
      </c>
      <c r="R162" s="282">
        <f>-'Fixed Assets (F)'!R20</f>
        <v>-6.4402537400000011</v>
      </c>
      <c r="S162" s="282">
        <f>-'Fixed Assets (F)'!S20</f>
        <v>-7.5551947680000016</v>
      </c>
      <c r="T162" s="232"/>
    </row>
    <row r="163" spans="2:20" s="55" customFormat="1" x14ac:dyDescent="0.3">
      <c r="B163" s="55" t="s">
        <v>238</v>
      </c>
      <c r="D163" s="233">
        <f t="shared" ref="D163:M163" si="129">D160</f>
        <v>3.2313015E-2</v>
      </c>
      <c r="E163" s="233">
        <f t="shared" si="129"/>
        <v>2.5510274999999999E-2</v>
      </c>
      <c r="F163" s="233">
        <f t="shared" si="129"/>
        <v>1.8707535000000001E-2</v>
      </c>
      <c r="G163" s="233">
        <f t="shared" si="129"/>
        <v>3.045411E-3</v>
      </c>
      <c r="H163" s="233">
        <f t="shared" si="129"/>
        <v>0</v>
      </c>
      <c r="I163" s="233">
        <f t="shared" si="129"/>
        <v>9.6428949E-2</v>
      </c>
      <c r="J163" s="233">
        <f t="shared" si="129"/>
        <v>5.1081284999999997E-2</v>
      </c>
      <c r="K163" s="233">
        <f t="shared" si="129"/>
        <v>0.71228454500000005</v>
      </c>
      <c r="L163" s="233">
        <f t="shared" si="129"/>
        <v>0.42663425599999999</v>
      </c>
      <c r="M163" s="233">
        <f t="shared" si="129"/>
        <v>0.14671758800000001</v>
      </c>
      <c r="N163" s="233">
        <f>'Fixed Assets (F)'!N19-'Fixed Assets (F)'!N20</f>
        <v>38.829776559999999</v>
      </c>
      <c r="O163" s="233">
        <f>'Fixed Assets (F)'!O19-'Fixed Assets (F)'!O20</f>
        <v>38.722182744000001</v>
      </c>
      <c r="P163" s="233">
        <f>'Fixed Assets (F)'!P19-'Fixed Assets (F)'!P20</f>
        <v>37.607241715999997</v>
      </c>
      <c r="Q163" s="233">
        <f>'Fixed Assets (F)'!Q19-'Fixed Assets (F)'!Q20</f>
        <v>36.492300688</v>
      </c>
      <c r="R163" s="233">
        <f>'Fixed Assets (F)'!R19-'Fixed Assets (F)'!R20</f>
        <v>35.377359659999996</v>
      </c>
      <c r="S163" s="233">
        <f>'Fixed Assets (F)'!S19-'Fixed Assets (F)'!S20</f>
        <v>34.262418631999999</v>
      </c>
    </row>
    <row r="165" spans="2:20" x14ac:dyDescent="0.3">
      <c r="B165" s="54" t="s">
        <v>241</v>
      </c>
      <c r="D165" s="227">
        <f>InBS!C53/10^9</f>
        <v>0.12790987300000001</v>
      </c>
      <c r="E165" s="227">
        <f>InBS!D53/10^9</f>
        <v>1.3930262760000001</v>
      </c>
      <c r="F165" s="227">
        <f>InBS!E53/10^9</f>
        <v>0.91794845300000005</v>
      </c>
      <c r="G165" s="227">
        <f>InBS!F53/10^9</f>
        <v>0.23613266099999999</v>
      </c>
      <c r="H165" s="227">
        <f>InBS!G53/10^9</f>
        <v>16.547760561</v>
      </c>
      <c r="I165" s="227">
        <f>InBS!H53/10^9+60</f>
        <v>82.116681456999999</v>
      </c>
      <c r="J165" s="227">
        <f>InBS!I53/10^9</f>
        <v>19.698904445</v>
      </c>
      <c r="K165" s="227">
        <f>InBS!J53/10^9</f>
        <v>7.9796257429999997</v>
      </c>
      <c r="L165" s="227">
        <f>InBS!K53/10^9</f>
        <v>6.4097504829999998</v>
      </c>
      <c r="M165" s="227">
        <f>InBS!L53/10^9</f>
        <v>4.7676375750000002</v>
      </c>
    </row>
    <row r="166" spans="2:20" x14ac:dyDescent="0.3">
      <c r="B166" s="308" t="s">
        <v>170</v>
      </c>
      <c r="C166" s="56"/>
      <c r="D166" s="379" t="s">
        <v>121</v>
      </c>
      <c r="E166" s="230">
        <f t="shared" ref="E166:M166" si="130">E165/E7</f>
        <v>0.17708600965354845</v>
      </c>
      <c r="F166" s="230">
        <f t="shared" si="130"/>
        <v>1.2128161459277921E-2</v>
      </c>
      <c r="G166" s="230">
        <f t="shared" si="130"/>
        <v>8.273499973838101E-4</v>
      </c>
      <c r="H166" s="230">
        <f t="shared" si="130"/>
        <v>2.2611809162208712E-2</v>
      </c>
      <c r="I166" s="230">
        <f t="shared" si="130"/>
        <v>0.10249359823114328</v>
      </c>
      <c r="J166" s="230">
        <f t="shared" si="130"/>
        <v>2.0740479769005796E-2</v>
      </c>
      <c r="K166" s="230">
        <f t="shared" si="130"/>
        <v>7.3505545920423444E-3</v>
      </c>
      <c r="L166" s="230">
        <f t="shared" si="130"/>
        <v>6.7456295616554153E-3</v>
      </c>
      <c r="M166" s="230">
        <f t="shared" si="130"/>
        <v>5.3534861841238388E-3</v>
      </c>
      <c r="N166" s="275">
        <f>AVERAGE(K166:M166)</f>
        <v>6.4832234459405334E-3</v>
      </c>
      <c r="O166" s="275">
        <f>N166</f>
        <v>6.4832234459405334E-3</v>
      </c>
      <c r="P166" s="275">
        <f t="shared" ref="P166:S166" si="131">O166</f>
        <v>6.4832234459405334E-3</v>
      </c>
      <c r="Q166" s="275">
        <f t="shared" si="131"/>
        <v>6.4832234459405334E-3</v>
      </c>
      <c r="R166" s="275">
        <f t="shared" si="131"/>
        <v>6.4832234459405334E-3</v>
      </c>
      <c r="S166" s="275">
        <f t="shared" si="131"/>
        <v>6.4832234459405334E-3</v>
      </c>
      <c r="T166" s="56"/>
    </row>
    <row r="167" spans="2:20" x14ac:dyDescent="0.3">
      <c r="B167" s="311" t="s">
        <v>224</v>
      </c>
      <c r="C167" s="232"/>
      <c r="D167" s="232"/>
      <c r="E167" s="278">
        <f>IF(D168,E165/D168-1,0)</f>
        <v>9.8906861005170406</v>
      </c>
      <c r="F167" s="278">
        <f t="shared" ref="F167:L167" si="132">IF(E168,F165/E168-1,0)</f>
        <v>-0.3410401018164283</v>
      </c>
      <c r="G167" s="278">
        <f t="shared" si="132"/>
        <v>-0.74276043471909414</v>
      </c>
      <c r="H167" s="278">
        <f t="shared" si="132"/>
        <v>69.078236915307542</v>
      </c>
      <c r="I167" s="278">
        <f t="shared" si="132"/>
        <v>3.9624044990434397</v>
      </c>
      <c r="J167" s="278">
        <f t="shared" si="132"/>
        <v>-0.76011080701897049</v>
      </c>
      <c r="K167" s="278">
        <f t="shared" si="132"/>
        <v>-0.59492032842337084</v>
      </c>
      <c r="L167" s="278">
        <f t="shared" si="132"/>
        <v>-0.19673544982697311</v>
      </c>
      <c r="M167" s="278">
        <f>IF(L168,M165/L168-1,0)</f>
        <v>-0.25618983334144241</v>
      </c>
      <c r="N167" s="232"/>
      <c r="O167" s="232"/>
      <c r="P167" s="232"/>
      <c r="Q167" s="232"/>
      <c r="R167" s="232"/>
      <c r="S167" s="232"/>
      <c r="T167" s="232"/>
    </row>
    <row r="168" spans="2:20" s="55" customFormat="1" x14ac:dyDescent="0.3">
      <c r="B168" s="55" t="s">
        <v>241</v>
      </c>
      <c r="D168" s="233">
        <f>D165</f>
        <v>0.12790987300000001</v>
      </c>
      <c r="E168" s="233">
        <f t="shared" ref="E168:L168" si="133">E165</f>
        <v>1.3930262760000001</v>
      </c>
      <c r="F168" s="233">
        <f t="shared" si="133"/>
        <v>0.91794845300000005</v>
      </c>
      <c r="G168" s="233">
        <f t="shared" si="133"/>
        <v>0.23613266099999999</v>
      </c>
      <c r="H168" s="233">
        <f t="shared" si="133"/>
        <v>16.547760561</v>
      </c>
      <c r="I168" s="233">
        <f t="shared" si="133"/>
        <v>82.116681456999999</v>
      </c>
      <c r="J168" s="233">
        <f t="shared" si="133"/>
        <v>19.698904445</v>
      </c>
      <c r="K168" s="233">
        <f t="shared" si="133"/>
        <v>7.9796257429999997</v>
      </c>
      <c r="L168" s="233">
        <f t="shared" si="133"/>
        <v>6.4097504829999998</v>
      </c>
      <c r="M168" s="233">
        <f>M165</f>
        <v>4.7676375750000002</v>
      </c>
      <c r="N168" s="233">
        <f>N$7*N166</f>
        <v>7.2687888165783816</v>
      </c>
      <c r="O168" s="233">
        <f t="shared" ref="O168:S168" si="134">O$7*O166</f>
        <v>8.2856807766768359</v>
      </c>
      <c r="P168" s="233">
        <f t="shared" si="134"/>
        <v>8.6239009241701314</v>
      </c>
      <c r="Q168" s="233">
        <f t="shared" si="134"/>
        <v>8.8919917572475935</v>
      </c>
      <c r="R168" s="233">
        <f t="shared" si="134"/>
        <v>10.000752723576531</v>
      </c>
      <c r="S168" s="233">
        <f t="shared" si="134"/>
        <v>10.309286584197508</v>
      </c>
    </row>
    <row r="169" spans="2:20" x14ac:dyDescent="0.3">
      <c r="B169" s="232"/>
      <c r="C169" s="232"/>
      <c r="D169" s="232"/>
      <c r="E169" s="232"/>
      <c r="F169" s="232"/>
      <c r="G169" s="232"/>
      <c r="H169" s="232"/>
      <c r="I169" s="232"/>
      <c r="J169" s="232"/>
      <c r="K169" s="232"/>
      <c r="L169" s="232"/>
      <c r="M169" s="232"/>
      <c r="N169" s="232"/>
      <c r="O169" s="232"/>
      <c r="P169" s="232"/>
      <c r="Q169" s="232"/>
      <c r="R169" s="232"/>
      <c r="S169" s="232"/>
      <c r="T169" s="232"/>
    </row>
    <row r="170" spans="2:20" s="55" customFormat="1" x14ac:dyDescent="0.3">
      <c r="B170" s="224" t="s">
        <v>242</v>
      </c>
      <c r="C170" s="340"/>
      <c r="D170" s="340">
        <f t="shared" ref="D170:S170" si="135">D150+D158+D163+D168</f>
        <v>1.4651284269999998</v>
      </c>
      <c r="E170" s="340">
        <f t="shared" si="135"/>
        <v>67.616249177</v>
      </c>
      <c r="F170" s="340">
        <f t="shared" si="135"/>
        <v>105.392402889</v>
      </c>
      <c r="G170" s="340">
        <f t="shared" si="135"/>
        <v>176.75361624499999</v>
      </c>
      <c r="H170" s="340">
        <f t="shared" si="135"/>
        <v>308.89218312900005</v>
      </c>
      <c r="I170" s="340">
        <f t="shared" si="135"/>
        <v>307.31420300900004</v>
      </c>
      <c r="J170" s="340">
        <f t="shared" si="135"/>
        <v>117.18613919199998</v>
      </c>
      <c r="K170" s="340">
        <f t="shared" si="135"/>
        <v>120.434292003</v>
      </c>
      <c r="L170" s="340">
        <f t="shared" si="135"/>
        <v>178.16286654400002</v>
      </c>
      <c r="M170" s="340">
        <f t="shared" si="135"/>
        <v>149.367042486</v>
      </c>
      <c r="N170" s="340">
        <f t="shared" si="135"/>
        <v>156.43665400001751</v>
      </c>
      <c r="O170" s="340">
        <f t="shared" si="135"/>
        <v>173.45727348328992</v>
      </c>
      <c r="P170" s="340">
        <f t="shared" si="135"/>
        <v>148.41674490019486</v>
      </c>
      <c r="Q170" s="340">
        <f t="shared" si="135"/>
        <v>135.89747511620428</v>
      </c>
      <c r="R170" s="340">
        <f t="shared" si="135"/>
        <v>120.21397564450976</v>
      </c>
      <c r="S170" s="340">
        <f t="shared" si="135"/>
        <v>125.56981608432179</v>
      </c>
      <c r="T170" s="224"/>
    </row>
    <row r="171" spans="2:20" x14ac:dyDescent="0.3">
      <c r="B171" s="232"/>
      <c r="C171" s="232"/>
      <c r="D171" s="232"/>
      <c r="E171" s="232"/>
      <c r="F171" s="232"/>
      <c r="G171" s="232"/>
      <c r="H171" s="232"/>
      <c r="I171" s="232"/>
      <c r="J171" s="232"/>
      <c r="K171" s="232"/>
      <c r="L171" s="232"/>
      <c r="M171" s="232"/>
      <c r="N171" s="232"/>
      <c r="O171" s="232"/>
      <c r="P171" s="232"/>
      <c r="Q171" s="232"/>
      <c r="R171" s="232"/>
      <c r="S171" s="232"/>
      <c r="T171" s="232"/>
    </row>
    <row r="172" spans="2:20" s="55" customFormat="1" ht="15" thickBot="1" x14ac:dyDescent="0.35">
      <c r="B172" s="380" t="s">
        <v>243</v>
      </c>
      <c r="C172" s="380"/>
      <c r="D172" s="381">
        <f t="shared" ref="D172:S172" si="136">D146+D170</f>
        <v>12.654372351999999</v>
      </c>
      <c r="E172" s="381">
        <f t="shared" si="136"/>
        <v>97.42069621600001</v>
      </c>
      <c r="F172" s="381">
        <f t="shared" si="136"/>
        <v>173.88723100099998</v>
      </c>
      <c r="G172" s="381">
        <f t="shared" si="136"/>
        <v>359.57623096499992</v>
      </c>
      <c r="H172" s="381">
        <f t="shared" si="136"/>
        <v>705.273812593</v>
      </c>
      <c r="I172" s="381">
        <f t="shared" si="136"/>
        <v>623.73245860700013</v>
      </c>
      <c r="J172" s="381">
        <f t="shared" si="136"/>
        <v>628.14309298499995</v>
      </c>
      <c r="K172" s="381">
        <f t="shared" si="136"/>
        <v>641.52213940800004</v>
      </c>
      <c r="L172" s="381">
        <f t="shared" si="136"/>
        <v>643.79620716099998</v>
      </c>
      <c r="M172" s="381">
        <f t="shared" si="136"/>
        <v>649.91129677499998</v>
      </c>
      <c r="N172" s="381">
        <f t="shared" ca="1" si="136"/>
        <v>736.09636806892968</v>
      </c>
      <c r="O172" s="381">
        <f t="shared" ca="1" si="136"/>
        <v>819.2949757578931</v>
      </c>
      <c r="P172" s="381">
        <f t="shared" ca="1" si="136"/>
        <v>864.58224477501062</v>
      </c>
      <c r="Q172" s="381">
        <f t="shared" ca="1" si="136"/>
        <v>891.80879312142531</v>
      </c>
      <c r="R172" s="381">
        <f t="shared" ca="1" si="136"/>
        <v>943.87502015554469</v>
      </c>
      <c r="S172" s="381">
        <f t="shared" ca="1" si="136"/>
        <v>957.09076626982335</v>
      </c>
      <c r="T172" s="380"/>
    </row>
    <row r="173" spans="2:20" ht="15" thickTop="1" x14ac:dyDescent="0.3">
      <c r="B173" s="56" t="s">
        <v>244</v>
      </c>
      <c r="D173" s="54" t="b">
        <f>D172=InBS!C57/10^9</f>
        <v>1</v>
      </c>
      <c r="E173" s="54" t="b">
        <f>E172=InBS!D57/10^9</f>
        <v>1</v>
      </c>
      <c r="F173" s="54" t="b">
        <f>F172=InBS!E57/10^9</f>
        <v>1</v>
      </c>
      <c r="G173" s="54" t="b">
        <f>G172=InBS!F57/10^9</f>
        <v>1</v>
      </c>
      <c r="H173" s="54" t="b">
        <f>H172=InBS!G57/10^9</f>
        <v>1</v>
      </c>
      <c r="I173" s="54" t="b">
        <f>I172=InBS!H57/10^9</f>
        <v>1</v>
      </c>
      <c r="J173" s="54" t="b">
        <f>J172=InBS!I57/10^9</f>
        <v>1</v>
      </c>
      <c r="K173" s="54" t="b">
        <f>K172=InBS!J57/10^9</f>
        <v>1</v>
      </c>
      <c r="L173" s="54" t="b">
        <f>L172=InBS!K57/10^9</f>
        <v>1</v>
      </c>
      <c r="M173" s="54" t="b">
        <f>M172=InBS!L57/10^9</f>
        <v>1</v>
      </c>
    </row>
    <row r="174" spans="2:20" x14ac:dyDescent="0.3">
      <c r="M174" s="227"/>
      <c r="N174" s="227"/>
      <c r="O174" s="227"/>
      <c r="P174" s="227"/>
      <c r="Q174" s="227"/>
      <c r="R174" s="227"/>
      <c r="S174" s="227"/>
    </row>
    <row r="175" spans="2:20" x14ac:dyDescent="0.3">
      <c r="B175" s="55" t="s">
        <v>248</v>
      </c>
    </row>
    <row r="176" spans="2:20" s="107" customFormat="1" x14ac:dyDescent="0.3">
      <c r="B176" s="304" t="s">
        <v>194</v>
      </c>
      <c r="C176" s="304"/>
      <c r="D176" s="304"/>
      <c r="E176" s="304"/>
      <c r="F176" s="304"/>
      <c r="G176" s="304"/>
      <c r="H176" s="304"/>
      <c r="I176" s="304"/>
      <c r="J176" s="304"/>
      <c r="K176" s="426"/>
      <c r="L176" s="426"/>
      <c r="M176" s="426"/>
      <c r="N176" s="426">
        <f ca="1">-MIN(N251,0)</f>
        <v>0</v>
      </c>
      <c r="O176" s="426">
        <f t="shared" ref="O176:S176" ca="1" si="137">-MIN(O251,0)</f>
        <v>0</v>
      </c>
      <c r="P176" s="426">
        <f t="shared" ca="1" si="137"/>
        <v>0</v>
      </c>
      <c r="Q176" s="426">
        <f t="shared" ca="1" si="137"/>
        <v>0</v>
      </c>
      <c r="R176" s="426">
        <f t="shared" ca="1" si="137"/>
        <v>0</v>
      </c>
      <c r="S176" s="426">
        <f t="shared" ca="1" si="137"/>
        <v>0</v>
      </c>
      <c r="T176" s="426"/>
    </row>
    <row r="177" spans="2:20" x14ac:dyDescent="0.3">
      <c r="B177" s="311" t="s">
        <v>222</v>
      </c>
      <c r="C177" s="232"/>
      <c r="D177" s="232"/>
      <c r="E177" s="232"/>
      <c r="F177" s="232"/>
      <c r="G177" s="232"/>
      <c r="H177" s="232"/>
      <c r="I177" s="232"/>
      <c r="J177" s="232"/>
      <c r="K177" s="232"/>
      <c r="L177" s="232"/>
      <c r="M177" s="232"/>
      <c r="N177" s="425">
        <v>4.9000000000000002E-2</v>
      </c>
      <c r="O177" s="425">
        <v>4.9000000000000002E-2</v>
      </c>
      <c r="P177" s="425">
        <v>4.9000000000000002E-2</v>
      </c>
      <c r="Q177" s="425">
        <v>4.9000000000000002E-2</v>
      </c>
      <c r="R177" s="425">
        <v>4.9000000000000002E-2</v>
      </c>
      <c r="S177" s="425">
        <v>4.9000000000000002E-2</v>
      </c>
      <c r="T177" s="232"/>
    </row>
    <row r="178" spans="2:20" x14ac:dyDescent="0.3">
      <c r="B178" s="307" t="s">
        <v>193</v>
      </c>
      <c r="N178" s="107">
        <f ca="1">SUM(M176:N176,M180:N180)/2*N177</f>
        <v>1.8122815968946615</v>
      </c>
      <c r="O178" s="107">
        <f t="shared" ref="O178:S178" ca="1" si="138">SUM(N176:O176,N180:O180)/2*O177</f>
        <v>2.2798059135811433</v>
      </c>
      <c r="P178" s="107">
        <f t="shared" ca="1" si="138"/>
        <v>2.5102852486197373</v>
      </c>
      <c r="Q178" s="107">
        <f t="shared" ca="1" si="138"/>
        <v>2.6459396401432791</v>
      </c>
      <c r="R178" s="107">
        <f t="shared" ca="1" si="138"/>
        <v>2.8963676593510388</v>
      </c>
      <c r="S178" s="107">
        <f t="shared" ca="1" si="138"/>
        <v>3.1414031078681734</v>
      </c>
    </row>
    <row r="180" spans="2:20" x14ac:dyDescent="0.3">
      <c r="B180" s="54" t="s">
        <v>195</v>
      </c>
      <c r="D180" s="227">
        <f>InBS!C61/10^9</f>
        <v>0</v>
      </c>
      <c r="E180" s="227">
        <f>InBS!D61/10^9</f>
        <v>0</v>
      </c>
      <c r="F180" s="227">
        <f>InBS!E61/10^9</f>
        <v>24.232938009000002</v>
      </c>
      <c r="G180" s="227">
        <f>InBS!F61/10^9</f>
        <v>31.053738106000001</v>
      </c>
      <c r="H180" s="227">
        <f>InBS!G61/10^9</f>
        <v>61.946897153999998</v>
      </c>
      <c r="I180" s="227">
        <f>InBS!H61/10^9</f>
        <v>60.183954800000002</v>
      </c>
      <c r="J180" s="227">
        <f>InBS!I61/10^9</f>
        <v>39.660229072</v>
      </c>
      <c r="K180" s="227">
        <f>InBS!J61/10^9</f>
        <v>44.60523628</v>
      </c>
      <c r="L180" s="227">
        <f>InBS!K61/10^9</f>
        <v>38.121860355999999</v>
      </c>
      <c r="M180" s="227">
        <f>InBS!L61/10^9</f>
        <v>30.839581662000001</v>
      </c>
      <c r="N180" s="227">
        <f>0.646668+((N188+N192+N196+N200)/80%*20%)</f>
        <v>43.131095762271897</v>
      </c>
      <c r="O180" s="227">
        <f t="shared" ref="O180:S180" si="139">(O188+O192+O196+O200)/80%*20%</f>
        <v>49.922206832876796</v>
      </c>
      <c r="P180" s="227">
        <f t="shared" si="139"/>
        <v>52.538415559765546</v>
      </c>
      <c r="Q180" s="227">
        <f t="shared" si="139"/>
        <v>55.45912077261319</v>
      </c>
      <c r="R180" s="227">
        <f t="shared" si="139"/>
        <v>62.759967364163892</v>
      </c>
      <c r="S180" s="227">
        <f t="shared" si="139"/>
        <v>65.460567650863595</v>
      </c>
      <c r="T180" s="54" t="s">
        <v>680</v>
      </c>
    </row>
    <row r="181" spans="2:20" x14ac:dyDescent="0.3">
      <c r="B181" s="237" t="s">
        <v>195</v>
      </c>
      <c r="C181" s="237"/>
      <c r="D181" s="239">
        <f>D180</f>
        <v>0</v>
      </c>
      <c r="E181" s="239">
        <f t="shared" ref="E181:S181" si="140">E180</f>
        <v>0</v>
      </c>
      <c r="F181" s="239">
        <f t="shared" si="140"/>
        <v>24.232938009000002</v>
      </c>
      <c r="G181" s="239">
        <f t="shared" si="140"/>
        <v>31.053738106000001</v>
      </c>
      <c r="H181" s="239">
        <f t="shared" si="140"/>
        <v>61.946897153999998</v>
      </c>
      <c r="I181" s="239">
        <f t="shared" si="140"/>
        <v>60.183954800000002</v>
      </c>
      <c r="J181" s="239">
        <f t="shared" si="140"/>
        <v>39.660229072</v>
      </c>
      <c r="K181" s="239">
        <f t="shared" si="140"/>
        <v>44.60523628</v>
      </c>
      <c r="L181" s="239">
        <f t="shared" si="140"/>
        <v>38.121860355999999</v>
      </c>
      <c r="M181" s="239">
        <f t="shared" si="140"/>
        <v>30.839581662000001</v>
      </c>
      <c r="N181" s="239">
        <f t="shared" si="140"/>
        <v>43.131095762271897</v>
      </c>
      <c r="O181" s="239">
        <f t="shared" si="140"/>
        <v>49.922206832876796</v>
      </c>
      <c r="P181" s="239">
        <f t="shared" si="140"/>
        <v>52.538415559765546</v>
      </c>
      <c r="Q181" s="239">
        <f t="shared" si="140"/>
        <v>55.45912077261319</v>
      </c>
      <c r="R181" s="239">
        <f t="shared" si="140"/>
        <v>62.759967364163892</v>
      </c>
      <c r="S181" s="239">
        <f t="shared" si="140"/>
        <v>65.460567650863595</v>
      </c>
      <c r="T181" s="237"/>
    </row>
    <row r="182" spans="2:20" x14ac:dyDescent="0.3">
      <c r="B182" s="308" t="s">
        <v>222</v>
      </c>
      <c r="C182" s="56"/>
      <c r="D182" s="56"/>
      <c r="E182" s="56"/>
      <c r="F182" s="56"/>
      <c r="G182" s="56"/>
      <c r="H182" s="56"/>
      <c r="I182" s="56"/>
      <c r="J182" s="56"/>
      <c r="K182" s="56"/>
      <c r="L182" s="230"/>
      <c r="M182" s="230"/>
      <c r="N182" s="230"/>
      <c r="O182" s="230"/>
      <c r="P182" s="230"/>
      <c r="Q182" s="230"/>
      <c r="R182" s="230"/>
      <c r="S182" s="56"/>
      <c r="T182" s="56"/>
    </row>
    <row r="183" spans="2:20" x14ac:dyDescent="0.3">
      <c r="B183" s="307" t="s">
        <v>193</v>
      </c>
    </row>
    <row r="185" spans="2:20" x14ac:dyDescent="0.3">
      <c r="B185" s="56" t="s">
        <v>252</v>
      </c>
      <c r="C185" s="56"/>
      <c r="D185" s="320">
        <f>InBS!C62/10^9</f>
        <v>0</v>
      </c>
      <c r="E185" s="320">
        <f>InBS!D62/10^9</f>
        <v>8.3627708320000007</v>
      </c>
      <c r="F185" s="320">
        <f>InBS!E62/10^9</f>
        <v>20.336353680999999</v>
      </c>
      <c r="G185" s="320">
        <f>InBS!F62/10^9</f>
        <v>37.970883592</v>
      </c>
      <c r="H185" s="320">
        <f>InBS!G62/10^9</f>
        <v>103.071909159</v>
      </c>
      <c r="I185" s="320">
        <f>InBS!H62/10^9</f>
        <v>91.395735677000005</v>
      </c>
      <c r="J185" s="320">
        <f>InBS!I62/10^9</f>
        <v>90.994504555999995</v>
      </c>
      <c r="K185" s="320">
        <f>InBS!J62/10^9</f>
        <v>122.30382674400001</v>
      </c>
      <c r="L185" s="320">
        <f>InBS!K62/10^9</f>
        <v>100.003964075</v>
      </c>
      <c r="M185" s="320">
        <f>InBS!L62/10^9</f>
        <v>96.642193336000005</v>
      </c>
      <c r="N185" s="56"/>
      <c r="O185" s="56"/>
      <c r="P185" s="56"/>
      <c r="Q185" s="56"/>
      <c r="R185" s="56"/>
      <c r="S185" s="56"/>
      <c r="T185" s="56"/>
    </row>
    <row r="186" spans="2:20" x14ac:dyDescent="0.3">
      <c r="B186" s="308" t="s">
        <v>170</v>
      </c>
      <c r="C186" s="56"/>
      <c r="D186" s="56"/>
      <c r="E186" s="230">
        <f>AVERAGE(D185:E185)/E$7</f>
        <v>0.53155124989399893</v>
      </c>
      <c r="F186" s="230">
        <f t="shared" ref="F186:M186" si="141">AVERAGE(E185:F185)/F$7</f>
        <v>0.18958995720078023</v>
      </c>
      <c r="G186" s="230">
        <f t="shared" si="141"/>
        <v>0.10214701431174263</v>
      </c>
      <c r="H186" s="230">
        <f t="shared" si="141"/>
        <v>9.6364480910697839E-2</v>
      </c>
      <c r="I186" s="230">
        <f t="shared" si="141"/>
        <v>0.12136199554785213</v>
      </c>
      <c r="J186" s="230">
        <f t="shared" si="141"/>
        <v>9.6017042424326626E-2</v>
      </c>
      <c r="K186" s="230">
        <f t="shared" si="141"/>
        <v>9.8241514020100854E-2</v>
      </c>
      <c r="L186" s="230">
        <f t="shared" si="141"/>
        <v>0.11697850091920299</v>
      </c>
      <c r="M186" s="230">
        <f t="shared" si="141"/>
        <v>0.11040504550734753</v>
      </c>
      <c r="N186" s="218">
        <f>AVERAGE(M188:N188)/N$7</f>
        <v>9.7745139428004987E-2</v>
      </c>
      <c r="O186" s="218">
        <f t="shared" ref="O186:S186" si="142">AVERAGE(N188:O188)/O$7</f>
        <v>0.10492432106476636</v>
      </c>
      <c r="P186" s="218">
        <f t="shared" si="142"/>
        <v>0.11260418229023014</v>
      </c>
      <c r="Q186" s="218">
        <f t="shared" si="142"/>
        <v>0.11584178537778307</v>
      </c>
      <c r="R186" s="218">
        <f t="shared" si="142"/>
        <v>0.11334099079296558</v>
      </c>
      <c r="S186" s="218">
        <f t="shared" si="142"/>
        <v>0.11962198383088393</v>
      </c>
      <c r="T186" s="56"/>
    </row>
    <row r="187" spans="2:20" x14ac:dyDescent="0.3">
      <c r="B187" s="311" t="s">
        <v>249</v>
      </c>
      <c r="C187" s="232"/>
      <c r="D187" s="232"/>
      <c r="E187" s="330">
        <f>365/((((InBS!D21-InBS!C21)/10^9)+Input!E11)/AVERAGE(Input!D185:E185))</f>
        <v>210.06003665974441</v>
      </c>
      <c r="F187" s="330">
        <f>365/((((InBS!E21-InBS!D21)/10^9)+Input!F11)/AVERAGE(Input!E185:F185))</f>
        <v>103.08202620946415</v>
      </c>
      <c r="G187" s="330">
        <f>365/((((InBS!F21-InBS!E21)/10^9)+Input!G11)/AVERAGE(Input!F185:G185))</f>
        <v>67.19322601639746</v>
      </c>
      <c r="H187" s="330">
        <f>365/((((InBS!G21-InBS!F21)/10^9)+Input!H11)/AVERAGE(Input!G185:H185))</f>
        <v>55.867112933295147</v>
      </c>
      <c r="I187" s="330">
        <f>365/((((InBS!H21-InBS!G21)/10^9)+Input!I11)/AVERAGE(Input!H185:I185))</f>
        <v>56.543656857903528</v>
      </c>
      <c r="J187" s="330">
        <f>365/((((InBS!I21-InBS!H21)/10^9)+Input!J11)/AVERAGE(Input!I185:J185))</f>
        <v>44.621835525093488</v>
      </c>
      <c r="K187" s="330">
        <f>365/((((InBS!J21-InBS!I21)/10^9)+Input!K11)/AVERAGE(Input!J185:K185))</f>
        <v>45.538593259822981</v>
      </c>
      <c r="L187" s="330">
        <f>365/((((InBS!K21-InBS!J21)/10^9)+Input!L11)/AVERAGE(Input!K185:L185))</f>
        <v>56.188863261093935</v>
      </c>
      <c r="M187" s="330">
        <f>365/((((InBS!L21-InBS!K21)/10^9)+Input!M11)/AVERAGE(Input!L185:M185))</f>
        <v>53.752241705015088</v>
      </c>
      <c r="N187" s="296">
        <f>AVERAGE(K187:M187)</f>
        <v>51.826566075310666</v>
      </c>
      <c r="O187" s="296">
        <f>N187</f>
        <v>51.826566075310666</v>
      </c>
      <c r="P187" s="296">
        <f t="shared" ref="P187:S187" si="143">O187</f>
        <v>51.826566075310666</v>
      </c>
      <c r="Q187" s="296">
        <f t="shared" si="143"/>
        <v>51.826566075310666</v>
      </c>
      <c r="R187" s="296">
        <f t="shared" si="143"/>
        <v>51.826566075310666</v>
      </c>
      <c r="S187" s="296">
        <f t="shared" si="143"/>
        <v>51.826566075310666</v>
      </c>
      <c r="T187" s="232"/>
    </row>
    <row r="188" spans="2:20" s="55" customFormat="1" x14ac:dyDescent="0.3">
      <c r="B188" s="55" t="s">
        <v>252</v>
      </c>
      <c r="D188" s="233">
        <f>D185</f>
        <v>0</v>
      </c>
      <c r="E188" s="233">
        <f t="shared" ref="E188:L188" si="144">E185</f>
        <v>8.3627708320000007</v>
      </c>
      <c r="F188" s="233">
        <f t="shared" si="144"/>
        <v>20.336353680999999</v>
      </c>
      <c r="G188" s="233">
        <f t="shared" si="144"/>
        <v>37.970883592</v>
      </c>
      <c r="H188" s="233">
        <f t="shared" si="144"/>
        <v>103.071909159</v>
      </c>
      <c r="I188" s="233">
        <f t="shared" si="144"/>
        <v>91.395735677000005</v>
      </c>
      <c r="J188" s="233">
        <f t="shared" si="144"/>
        <v>90.994504555999995</v>
      </c>
      <c r="K188" s="233">
        <f t="shared" si="144"/>
        <v>122.30382674400001</v>
      </c>
      <c r="L188" s="233">
        <f t="shared" si="144"/>
        <v>100.003964075</v>
      </c>
      <c r="M188" s="233">
        <f>M185</f>
        <v>96.642193336000005</v>
      </c>
      <c r="N188" s="427">
        <f t="shared" ref="N188:S188" si="145">(N140+N11-M140)/(365/N187)</f>
        <v>122.53543713547462</v>
      </c>
      <c r="O188" s="427">
        <f t="shared" si="145"/>
        <v>145.65505091458886</v>
      </c>
      <c r="P188" s="427">
        <f t="shared" si="145"/>
        <v>153.91423581921435</v>
      </c>
      <c r="Q188" s="427">
        <f t="shared" si="145"/>
        <v>163.84874406668359</v>
      </c>
      <c r="R188" s="427">
        <f t="shared" si="145"/>
        <v>185.821518517078</v>
      </c>
      <c r="S188" s="427">
        <f t="shared" si="145"/>
        <v>194.61186415616649</v>
      </c>
    </row>
    <row r="190" spans="2:20" x14ac:dyDescent="0.3">
      <c r="B190" s="382" t="s">
        <v>253</v>
      </c>
      <c r="D190" s="227">
        <f>InBS!C64/10^9</f>
        <v>1.3033256E-2</v>
      </c>
      <c r="E190" s="227">
        <f>InBS!D64/10^9</f>
        <v>5.5235530999999997E-2</v>
      </c>
      <c r="F190" s="227">
        <f>InBS!E64/10^9</f>
        <v>0.80141605599999999</v>
      </c>
      <c r="G190" s="227">
        <f>InBS!F64/10^9</f>
        <v>1.687716046</v>
      </c>
      <c r="H190" s="227">
        <f>InBS!G64/10^9</f>
        <v>3.2078370230000002</v>
      </c>
      <c r="I190" s="227">
        <f>InBS!H64/10^9</f>
        <v>4.3316504419999999</v>
      </c>
      <c r="J190" s="227">
        <f>InBS!I64/10^9</f>
        <v>4.0766735599999997</v>
      </c>
      <c r="K190" s="227">
        <f>InBS!J64/10^9</f>
        <v>5.5503764990000004</v>
      </c>
      <c r="L190" s="227">
        <f>InBS!K64/10^9</f>
        <v>7.0508022500000003</v>
      </c>
      <c r="M190" s="227">
        <f>InBS!L64/10^9</f>
        <v>10.477874057999999</v>
      </c>
    </row>
    <row r="191" spans="2:20" x14ac:dyDescent="0.3">
      <c r="B191" s="311" t="s">
        <v>170</v>
      </c>
      <c r="C191" s="232"/>
      <c r="D191" s="378" t="s">
        <v>121</v>
      </c>
      <c r="E191" s="278">
        <f>E190/E$7</f>
        <v>7.0217195069512631E-3</v>
      </c>
      <c r="F191" s="278">
        <f t="shared" ref="F191:M191" si="146">F190/F$7</f>
        <v>1.0588506676448112E-2</v>
      </c>
      <c r="G191" s="278">
        <f t="shared" si="146"/>
        <v>5.9133364284693945E-3</v>
      </c>
      <c r="H191" s="278">
        <f t="shared" si="146"/>
        <v>4.3833725004756982E-3</v>
      </c>
      <c r="I191" s="278">
        <f t="shared" si="146"/>
        <v>5.4065316839743832E-3</v>
      </c>
      <c r="J191" s="278">
        <f t="shared" si="146"/>
        <v>4.2922267952562182E-3</v>
      </c>
      <c r="K191" s="278">
        <f t="shared" si="146"/>
        <v>5.1128144071265584E-3</v>
      </c>
      <c r="L191" s="278">
        <f t="shared" si="146"/>
        <v>7.4202732566784248E-3</v>
      </c>
      <c r="M191" s="278">
        <f t="shared" si="146"/>
        <v>1.1765398087855405E-2</v>
      </c>
      <c r="N191" s="396">
        <f>M191</f>
        <v>1.1765398087855405E-2</v>
      </c>
      <c r="O191" s="396">
        <f t="shared" ref="O191:S191" si="147">N191</f>
        <v>1.1765398087855405E-2</v>
      </c>
      <c r="P191" s="396">
        <f t="shared" si="147"/>
        <v>1.1765398087855405E-2</v>
      </c>
      <c r="Q191" s="396">
        <f t="shared" si="147"/>
        <v>1.1765398087855405E-2</v>
      </c>
      <c r="R191" s="396">
        <f t="shared" si="147"/>
        <v>1.1765398087855405E-2</v>
      </c>
      <c r="S191" s="396">
        <f t="shared" si="147"/>
        <v>1.1765398087855405E-2</v>
      </c>
      <c r="T191" s="232"/>
    </row>
    <row r="192" spans="2:20" s="55" customFormat="1" ht="28.8" x14ac:dyDescent="0.3">
      <c r="B192" s="383" t="s">
        <v>253</v>
      </c>
      <c r="D192" s="233">
        <f t="shared" ref="D192:L192" si="148">D190</f>
        <v>1.3033256E-2</v>
      </c>
      <c r="E192" s="233">
        <f t="shared" si="148"/>
        <v>5.5235530999999997E-2</v>
      </c>
      <c r="F192" s="233">
        <f t="shared" si="148"/>
        <v>0.80141605599999999</v>
      </c>
      <c r="G192" s="233">
        <f t="shared" si="148"/>
        <v>1.687716046</v>
      </c>
      <c r="H192" s="233">
        <f t="shared" si="148"/>
        <v>3.2078370230000002</v>
      </c>
      <c r="I192" s="233">
        <f t="shared" si="148"/>
        <v>4.3316504419999999</v>
      </c>
      <c r="J192" s="233">
        <f t="shared" si="148"/>
        <v>4.0766735599999997</v>
      </c>
      <c r="K192" s="233">
        <f t="shared" si="148"/>
        <v>5.5503764990000004</v>
      </c>
      <c r="L192" s="233">
        <f t="shared" si="148"/>
        <v>7.0508022500000003</v>
      </c>
      <c r="M192" s="233">
        <f>M190</f>
        <v>10.477874057999999</v>
      </c>
      <c r="N192" s="239">
        <f>IF(N190,N190,N191*N$7)</f>
        <v>13.190999007930918</v>
      </c>
      <c r="O192" s="239">
        <f t="shared" ref="O192" si="149">IF(O190,O190,O191*O$7)</f>
        <v>15.036398726552251</v>
      </c>
      <c r="P192" s="239">
        <f t="shared" ref="P192" si="150">IF(P190,P190,P191*P$7)</f>
        <v>15.650182087525785</v>
      </c>
      <c r="Q192" s="239">
        <f t="shared" ref="Q192" si="151">IF(Q190,Q190,Q191*Q$7)</f>
        <v>16.136698617637997</v>
      </c>
      <c r="R192" s="239">
        <f t="shared" ref="R192" si="152">IF(R190,R190,R191*R$7)</f>
        <v>18.148817166676025</v>
      </c>
      <c r="S192" s="239">
        <f t="shared" ref="S192" si="153">IF(S190,S190,S191*S$7)</f>
        <v>18.708727483520285</v>
      </c>
    </row>
    <row r="194" spans="2:20" x14ac:dyDescent="0.3">
      <c r="B194" s="56" t="s">
        <v>251</v>
      </c>
      <c r="C194" s="56"/>
      <c r="D194" s="320">
        <f>InBS!C65/10^9</f>
        <v>9.1546328999999996E-2</v>
      </c>
      <c r="E194" s="320">
        <f>InBS!D65/10^9</f>
        <v>0.33339872599999998</v>
      </c>
      <c r="F194" s="320">
        <f>InBS!E65/10^9</f>
        <v>1.854262785</v>
      </c>
      <c r="G194" s="320">
        <f>InBS!F65/10^9</f>
        <v>5.5375699120000004</v>
      </c>
      <c r="H194" s="320">
        <f>InBS!G65/10^9</f>
        <v>6.4651524509999998</v>
      </c>
      <c r="I194" s="320">
        <f>InBS!H65/10^9</f>
        <v>6.9496583369999998</v>
      </c>
      <c r="J194" s="320">
        <f>InBS!I65/10^9</f>
        <v>4.535910887</v>
      </c>
      <c r="K194" s="320">
        <f>InBS!J65/10^9</f>
        <v>3.3535451790000002</v>
      </c>
      <c r="L194" s="320">
        <f>InBS!K65/10^9</f>
        <v>9.8907533809999997</v>
      </c>
      <c r="M194" s="320">
        <f>InBS!L65/10^9</f>
        <v>6.2247448490000004</v>
      </c>
      <c r="N194" s="56"/>
      <c r="O194" s="56"/>
      <c r="P194" s="56"/>
      <c r="Q194" s="56"/>
      <c r="R194" s="56"/>
      <c r="S194" s="56"/>
      <c r="T194" s="56"/>
    </row>
    <row r="195" spans="2:20" x14ac:dyDescent="0.3">
      <c r="B195" s="311" t="s">
        <v>170</v>
      </c>
      <c r="C195" s="232"/>
      <c r="D195" s="378" t="s">
        <v>121</v>
      </c>
      <c r="E195" s="278">
        <f t="shared" ref="E195:L195" si="154">E194/E$7</f>
        <v>4.2382725314017516E-2</v>
      </c>
      <c r="F195" s="278">
        <f t="shared" si="154"/>
        <v>2.4498977443573666E-2</v>
      </c>
      <c r="G195" s="278">
        <f t="shared" si="154"/>
        <v>1.9402264950573126E-2</v>
      </c>
      <c r="H195" s="278">
        <f t="shared" si="154"/>
        <v>8.8343551314815222E-3</v>
      </c>
      <c r="I195" s="278">
        <f t="shared" si="154"/>
        <v>8.6741874707781923E-3</v>
      </c>
      <c r="J195" s="278">
        <f t="shared" si="154"/>
        <v>4.7757461968762106E-3</v>
      </c>
      <c r="K195" s="278">
        <f t="shared" si="154"/>
        <v>3.0891695561968057E-3</v>
      </c>
      <c r="L195" s="278">
        <f t="shared" si="154"/>
        <v>1.0409041439424288E-2</v>
      </c>
      <c r="M195" s="278">
        <f>M194/M$7</f>
        <v>6.9896431984592562E-3</v>
      </c>
      <c r="N195" s="396">
        <f>AVERAGE(K195:M195)</f>
        <v>6.8292847313601163E-3</v>
      </c>
      <c r="O195" s="396">
        <f>N195</f>
        <v>6.8292847313601163E-3</v>
      </c>
      <c r="P195" s="396">
        <f t="shared" ref="P195:S195" si="155">O195</f>
        <v>6.8292847313601163E-3</v>
      </c>
      <c r="Q195" s="396">
        <f t="shared" si="155"/>
        <v>6.8292847313601163E-3</v>
      </c>
      <c r="R195" s="396">
        <f t="shared" si="155"/>
        <v>6.8292847313601163E-3</v>
      </c>
      <c r="S195" s="396">
        <f t="shared" si="155"/>
        <v>6.8292847313601163E-3</v>
      </c>
      <c r="T195" s="232"/>
    </row>
    <row r="196" spans="2:20" s="55" customFormat="1" x14ac:dyDescent="0.3">
      <c r="B196" s="55" t="s">
        <v>251</v>
      </c>
      <c r="D196" s="233">
        <f t="shared" ref="D196:L196" si="156">D194</f>
        <v>9.1546328999999996E-2</v>
      </c>
      <c r="E196" s="233">
        <f t="shared" si="156"/>
        <v>0.33339872599999998</v>
      </c>
      <c r="F196" s="233">
        <f t="shared" si="156"/>
        <v>1.854262785</v>
      </c>
      <c r="G196" s="233">
        <f t="shared" si="156"/>
        <v>5.5375699120000004</v>
      </c>
      <c r="H196" s="233">
        <f t="shared" si="156"/>
        <v>6.4651524509999998</v>
      </c>
      <c r="I196" s="233">
        <f t="shared" si="156"/>
        <v>6.9496583369999998</v>
      </c>
      <c r="J196" s="233">
        <f t="shared" si="156"/>
        <v>4.535910887</v>
      </c>
      <c r="K196" s="233">
        <f t="shared" si="156"/>
        <v>3.3535451790000002</v>
      </c>
      <c r="L196" s="233">
        <f t="shared" si="156"/>
        <v>9.8907533809999997</v>
      </c>
      <c r="M196" s="233">
        <f>M194</f>
        <v>6.2247448490000004</v>
      </c>
      <c r="N196" s="239">
        <f>IF(N194,N194,N195*N$7)</f>
        <v>7.6567819842184157</v>
      </c>
      <c r="O196" s="239">
        <f t="shared" ref="O196:S196" si="157">IF(O194,O194,O195*O$7)</f>
        <v>8.7279535695339927</v>
      </c>
      <c r="P196" s="239">
        <f t="shared" si="157"/>
        <v>9.084227220808593</v>
      </c>
      <c r="Q196" s="239">
        <f t="shared" si="157"/>
        <v>9.3666281974554675</v>
      </c>
      <c r="R196" s="239">
        <f t="shared" si="157"/>
        <v>10.534572569759884</v>
      </c>
      <c r="S196" s="239">
        <f t="shared" si="157"/>
        <v>10.859575340529071</v>
      </c>
    </row>
    <row r="198" spans="2:20" x14ac:dyDescent="0.3">
      <c r="B198" s="56" t="s">
        <v>250</v>
      </c>
      <c r="C198" s="56"/>
      <c r="D198" s="320">
        <f>(InBS!C60-InBS!C61-InBS!C62-InBS!C64-InBS!C65)/10^9</f>
        <v>0.66451916899999997</v>
      </c>
      <c r="E198" s="320">
        <f>(InBS!D60-InBS!D61-InBS!D62-InBS!D64-InBS!D65)/10^9</f>
        <v>5.9490597730000001</v>
      </c>
      <c r="F198" s="320">
        <f>(InBS!E60-InBS!E61-InBS!E62-InBS!E64-InBS!E65)/10^9</f>
        <v>3.3412470910000001</v>
      </c>
      <c r="G198" s="320">
        <f>(InBS!F60-InBS!F61-InBS!F62-InBS!F64-InBS!F65)/10^9</f>
        <v>10.450979112000001</v>
      </c>
      <c r="H198" s="320">
        <f>(InBS!G60-InBS!G61-InBS!G62-InBS!G64-InBS!G65)/10^9</f>
        <v>32.663681013000001</v>
      </c>
      <c r="I198" s="320">
        <f>(InBS!H60-InBS!H61-InBS!H62-InBS!H64-InBS!H65)/10^9</f>
        <v>3.5646154819999998</v>
      </c>
      <c r="J198" s="320">
        <f>(InBS!I60-InBS!I61-InBS!I62-InBS!I64-InBS!I65)/10^9</f>
        <v>8.1918660659999993</v>
      </c>
      <c r="K198" s="320">
        <f>(InBS!J60-InBS!J61-InBS!J62-InBS!J64-InBS!J65)/10^9</f>
        <v>8.4715887240000001</v>
      </c>
      <c r="L198" s="320">
        <f>(InBS!K60-InBS!K61-InBS!K62-InBS!K64-InBS!K65)/10^9</f>
        <v>46.10908585</v>
      </c>
      <c r="M198" s="320">
        <f>(InBS!L60-InBS!L61-InBS!L62-InBS!L64-InBS!L65)/10^9</f>
        <v>13.113555055999999</v>
      </c>
      <c r="N198" s="56"/>
      <c r="O198" s="56"/>
      <c r="P198" s="56"/>
      <c r="Q198" s="56"/>
      <c r="R198" s="56"/>
      <c r="S198" s="56"/>
      <c r="T198" s="56"/>
    </row>
    <row r="199" spans="2:20" x14ac:dyDescent="0.3">
      <c r="B199" s="311" t="s">
        <v>170</v>
      </c>
      <c r="C199" s="232"/>
      <c r="D199" s="378" t="s">
        <v>121</v>
      </c>
      <c r="E199" s="278">
        <f t="shared" ref="E199:L199" si="158">E198/E$7</f>
        <v>0.75626373639991173</v>
      </c>
      <c r="F199" s="278">
        <f t="shared" si="158"/>
        <v>4.4145380998850785E-2</v>
      </c>
      <c r="G199" s="278">
        <f t="shared" si="158"/>
        <v>3.6617626313758665E-2</v>
      </c>
      <c r="H199" s="278">
        <f t="shared" si="158"/>
        <v>4.4633527230380873E-2</v>
      </c>
      <c r="I199" s="278">
        <f t="shared" si="158"/>
        <v>4.4491601533110546E-3</v>
      </c>
      <c r="J199" s="278">
        <f t="shared" si="158"/>
        <v>8.625009217474687E-3</v>
      </c>
      <c r="K199" s="278">
        <f t="shared" si="158"/>
        <v>7.8037338344744411E-3</v>
      </c>
      <c r="L199" s="278">
        <f t="shared" si="158"/>
        <v>4.852526060033021E-2</v>
      </c>
      <c r="M199" s="278">
        <f>M198/M$7</f>
        <v>1.4724952287725711E-2</v>
      </c>
      <c r="N199" s="396">
        <f>AVERAGE(K199:M199)</f>
        <v>2.3684648907510122E-2</v>
      </c>
      <c r="O199" s="396">
        <f>N199</f>
        <v>2.3684648907510122E-2</v>
      </c>
      <c r="P199" s="396">
        <f t="shared" ref="P199:S199" si="159">O199</f>
        <v>2.3684648907510122E-2</v>
      </c>
      <c r="Q199" s="396">
        <f t="shared" si="159"/>
        <v>2.3684648907510122E-2</v>
      </c>
      <c r="R199" s="396">
        <f t="shared" si="159"/>
        <v>2.3684648907510122E-2</v>
      </c>
      <c r="S199" s="396">
        <f t="shared" si="159"/>
        <v>2.3684648907510122E-2</v>
      </c>
      <c r="T199" s="232"/>
    </row>
    <row r="200" spans="2:20" s="55" customFormat="1" x14ac:dyDescent="0.3">
      <c r="B200" s="237" t="s">
        <v>250</v>
      </c>
      <c r="C200" s="237"/>
      <c r="D200" s="239">
        <f>D198</f>
        <v>0.66451916899999997</v>
      </c>
      <c r="E200" s="239">
        <f t="shared" ref="E200:L200" si="160">E198</f>
        <v>5.9490597730000001</v>
      </c>
      <c r="F200" s="239">
        <f t="shared" si="160"/>
        <v>3.3412470910000001</v>
      </c>
      <c r="G200" s="239">
        <f t="shared" si="160"/>
        <v>10.450979112000001</v>
      </c>
      <c r="H200" s="239">
        <f t="shared" si="160"/>
        <v>32.663681013000001</v>
      </c>
      <c r="I200" s="239">
        <f t="shared" si="160"/>
        <v>3.5646154819999998</v>
      </c>
      <c r="J200" s="239">
        <f t="shared" si="160"/>
        <v>8.1918660659999993</v>
      </c>
      <c r="K200" s="239">
        <f t="shared" si="160"/>
        <v>8.4715887240000001</v>
      </c>
      <c r="L200" s="239">
        <f t="shared" si="160"/>
        <v>46.10908585</v>
      </c>
      <c r="M200" s="239">
        <f>M198</f>
        <v>13.113555055999999</v>
      </c>
      <c r="N200" s="239">
        <f>IF(N198,N198,N199*N$7)</f>
        <v>26.554492921463634</v>
      </c>
      <c r="O200" s="239">
        <f t="shared" ref="O200:S200" si="161">IF(O198,O198,O199*O$7)</f>
        <v>30.26942412083211</v>
      </c>
      <c r="P200" s="239">
        <f t="shared" si="161"/>
        <v>31.505017111513443</v>
      </c>
      <c r="Q200" s="239">
        <f t="shared" si="161"/>
        <v>32.4844122086757</v>
      </c>
      <c r="R200" s="239">
        <f t="shared" si="161"/>
        <v>36.534961203141656</v>
      </c>
      <c r="S200" s="239">
        <f t="shared" si="161"/>
        <v>37.662103623238579</v>
      </c>
    </row>
    <row r="201" spans="2:20" x14ac:dyDescent="0.3">
      <c r="B201" s="232"/>
      <c r="C201" s="232"/>
      <c r="D201" s="232"/>
      <c r="E201" s="232"/>
      <c r="F201" s="232"/>
      <c r="G201" s="232"/>
      <c r="H201" s="232"/>
      <c r="I201" s="232"/>
      <c r="J201" s="232"/>
      <c r="K201" s="232"/>
      <c r="L201" s="232"/>
      <c r="M201" s="232"/>
      <c r="N201" s="232"/>
      <c r="O201" s="232"/>
      <c r="P201" s="232"/>
      <c r="Q201" s="232"/>
      <c r="R201" s="232"/>
      <c r="S201" s="232"/>
      <c r="T201" s="232"/>
    </row>
    <row r="202" spans="2:20" s="55" customFormat="1" x14ac:dyDescent="0.3">
      <c r="B202" s="55" t="s">
        <v>254</v>
      </c>
      <c r="D202" s="233">
        <f t="shared" ref="D202:L202" si="162">D181+D188+D192+D196+D200</f>
        <v>0.76909875399999994</v>
      </c>
      <c r="E202" s="233">
        <f t="shared" si="162"/>
        <v>14.700464862</v>
      </c>
      <c r="F202" s="233">
        <f t="shared" si="162"/>
        <v>50.566217622000003</v>
      </c>
      <c r="G202" s="233">
        <f t="shared" si="162"/>
        <v>86.700886768000004</v>
      </c>
      <c r="H202" s="233">
        <f t="shared" si="162"/>
        <v>207.35547679999999</v>
      </c>
      <c r="I202" s="233">
        <f t="shared" si="162"/>
        <v>166.42561473800001</v>
      </c>
      <c r="J202" s="233">
        <f t="shared" si="162"/>
        <v>147.45918414099998</v>
      </c>
      <c r="K202" s="233">
        <f t="shared" si="162"/>
        <v>184.28457342600001</v>
      </c>
      <c r="L202" s="233">
        <f t="shared" si="162"/>
        <v>201.17646591200003</v>
      </c>
      <c r="M202" s="233">
        <f>M181+M188+M192+M196+M200</f>
        <v>157.297948961</v>
      </c>
      <c r="N202" s="233">
        <f ca="1">N176+N181+N188+N192+N196+N200</f>
        <v>213.06880681135948</v>
      </c>
      <c r="O202" s="233">
        <f t="shared" ref="O202:S202" ca="1" si="163">O176+O181+O188+O192+O196+O200</f>
        <v>249.61103416438397</v>
      </c>
      <c r="P202" s="233">
        <f t="shared" ca="1" si="163"/>
        <v>262.69207779882777</v>
      </c>
      <c r="Q202" s="233">
        <f t="shared" ca="1" si="163"/>
        <v>277.29560386306594</v>
      </c>
      <c r="R202" s="233">
        <f t="shared" ca="1" si="163"/>
        <v>313.79983682081945</v>
      </c>
      <c r="S202" s="233">
        <f t="shared" ca="1" si="163"/>
        <v>327.30283825431803</v>
      </c>
    </row>
    <row r="205" spans="2:20" s="55" customFormat="1" x14ac:dyDescent="0.3">
      <c r="B205" s="224" t="s">
        <v>710</v>
      </c>
      <c r="C205" s="224"/>
      <c r="D205" s="340">
        <f>InBS!C75/10^9</f>
        <v>0</v>
      </c>
      <c r="E205" s="340">
        <f>InBS!D75/10^9</f>
        <v>21.556941201000001</v>
      </c>
      <c r="F205" s="340">
        <f>InBS!E75/10^9</f>
        <v>49.976408102000001</v>
      </c>
      <c r="G205" s="340">
        <f>InBS!F75/10^9</f>
        <v>37.625259253999999</v>
      </c>
      <c r="H205" s="340">
        <f>InBS!G75/10^9</f>
        <v>110.078688914</v>
      </c>
      <c r="I205" s="340">
        <f>InBS!H75/10^9</f>
        <v>69.785388862000005</v>
      </c>
      <c r="J205" s="340">
        <f>InBS!I75/10^9</f>
        <v>30.231079229999999</v>
      </c>
      <c r="K205" s="340">
        <f>InBS!J75/10^9</f>
        <v>17.915339356</v>
      </c>
      <c r="L205" s="340">
        <f>InBS!K75/10^9</f>
        <v>36.928912826000001</v>
      </c>
      <c r="M205" s="340">
        <f>InBS!L75/10^9</f>
        <v>16.614683723999999</v>
      </c>
      <c r="N205" s="428">
        <f>'LT.Debt (F)'!P29</f>
        <v>2.6973319999999998</v>
      </c>
      <c r="O205" s="428">
        <f>'LT.Debt (F)'!Q29</f>
        <v>4.9173306666666674</v>
      </c>
      <c r="P205" s="428">
        <f>'LT.Debt (F)'!R29+0.0001</f>
        <v>2.8445444444444452</v>
      </c>
      <c r="Q205" s="428">
        <f>'LT.Debt (F)'!S29</f>
        <v>1.8962962962962968</v>
      </c>
      <c r="R205" s="428">
        <f>'LT.Debt (F)'!T29</f>
        <v>1.2641975308641977</v>
      </c>
      <c r="S205" s="428">
        <f>'LT.Debt (F)'!U29</f>
        <v>0.84279835390946523</v>
      </c>
      <c r="T205" s="530" t="s">
        <v>681</v>
      </c>
    </row>
    <row r="206" spans="2:20" x14ac:dyDescent="0.3">
      <c r="B206" s="311" t="s">
        <v>255</v>
      </c>
      <c r="C206" s="232"/>
      <c r="D206" s="232"/>
      <c r="E206" s="232"/>
      <c r="F206" s="232"/>
      <c r="G206" s="232"/>
      <c r="H206" s="232"/>
      <c r="I206" s="232"/>
      <c r="J206" s="232"/>
      <c r="K206" s="232"/>
      <c r="L206" s="232"/>
      <c r="M206" s="232"/>
      <c r="N206" s="232"/>
      <c r="O206" s="232"/>
      <c r="P206" s="232"/>
      <c r="Q206" s="232"/>
      <c r="R206" s="232"/>
      <c r="S206" s="232"/>
      <c r="T206" s="232"/>
    </row>
    <row r="207" spans="2:20" s="55" customFormat="1" x14ac:dyDescent="0.3">
      <c r="B207" s="55" t="s">
        <v>712</v>
      </c>
      <c r="D207" s="233">
        <f t="shared" ref="D207:N207" si="164">D205</f>
        <v>0</v>
      </c>
      <c r="E207" s="233">
        <f t="shared" si="164"/>
        <v>21.556941201000001</v>
      </c>
      <c r="F207" s="233">
        <f t="shared" si="164"/>
        <v>49.976408102000001</v>
      </c>
      <c r="G207" s="233">
        <f t="shared" si="164"/>
        <v>37.625259253999999</v>
      </c>
      <c r="H207" s="233">
        <f t="shared" si="164"/>
        <v>110.078688914</v>
      </c>
      <c r="I207" s="233">
        <f t="shared" si="164"/>
        <v>69.785388862000005</v>
      </c>
      <c r="J207" s="233">
        <f t="shared" si="164"/>
        <v>30.231079229999999</v>
      </c>
      <c r="K207" s="233">
        <f t="shared" si="164"/>
        <v>17.915339356</v>
      </c>
      <c r="L207" s="233">
        <f t="shared" si="164"/>
        <v>36.928912826000001</v>
      </c>
      <c r="M207" s="233">
        <f t="shared" si="164"/>
        <v>16.614683723999999</v>
      </c>
      <c r="N207" s="233">
        <f t="shared" si="164"/>
        <v>2.6973319999999998</v>
      </c>
      <c r="O207" s="233">
        <f t="shared" ref="O207:S207" si="165">O205</f>
        <v>4.9173306666666674</v>
      </c>
      <c r="P207" s="233">
        <f t="shared" si="165"/>
        <v>2.8445444444444452</v>
      </c>
      <c r="Q207" s="233">
        <f t="shared" si="165"/>
        <v>1.8962962962962968</v>
      </c>
      <c r="R207" s="233">
        <f t="shared" si="165"/>
        <v>1.2641975308641977</v>
      </c>
      <c r="S207" s="233">
        <f t="shared" si="165"/>
        <v>0.84279835390946523</v>
      </c>
    </row>
    <row r="208" spans="2:20" x14ac:dyDescent="0.3">
      <c r="B208" s="308" t="s">
        <v>222</v>
      </c>
    </row>
    <row r="209" spans="2:20" x14ac:dyDescent="0.3">
      <c r="B209" s="307" t="s">
        <v>193</v>
      </c>
      <c r="D209" s="227">
        <f t="shared" ref="D209:M209" si="166">D58</f>
        <v>0</v>
      </c>
      <c r="E209" s="227">
        <f t="shared" si="166"/>
        <v>1.1484824170000001</v>
      </c>
      <c r="F209" s="227">
        <f t="shared" si="166"/>
        <v>3.6857485030000001</v>
      </c>
      <c r="G209" s="227">
        <f t="shared" si="166"/>
        <v>7.2169908380000001</v>
      </c>
      <c r="H209" s="227">
        <f t="shared" si="166"/>
        <v>26.064097663999998</v>
      </c>
      <c r="I209" s="227">
        <f t="shared" si="166"/>
        <v>23.422238238999999</v>
      </c>
      <c r="J209" s="227">
        <f t="shared" si="166"/>
        <v>14.508051373000001</v>
      </c>
      <c r="K209" s="227">
        <f t="shared" si="166"/>
        <v>7.4831519579999997</v>
      </c>
      <c r="L209" s="227">
        <f t="shared" si="166"/>
        <v>6.107955735</v>
      </c>
      <c r="M209" s="227">
        <f t="shared" si="166"/>
        <v>6.1545161190000002</v>
      </c>
      <c r="N209" s="227">
        <f>'LT.Debt (F)'!P31</f>
        <v>2.1802392025585</v>
      </c>
      <c r="O209" s="227">
        <f>'LT.Debt (F)'!Q31</f>
        <v>0.47165982000000006</v>
      </c>
      <c r="P209" s="227">
        <f>'LT.Debt (F)'!R31</f>
        <v>0.28527988000000004</v>
      </c>
      <c r="Q209" s="227">
        <f>'LT.Debt (F)'!S31</f>
        <v>0.17066666666666672</v>
      </c>
      <c r="R209" s="227">
        <f>'LT.Debt (F)'!T31</f>
        <v>0.1137777777777778</v>
      </c>
      <c r="S209" s="227">
        <f>'LT.Debt (F)'!U31</f>
        <v>7.5851851851851865E-2</v>
      </c>
      <c r="T209" s="530" t="s">
        <v>681</v>
      </c>
    </row>
    <row r="211" spans="2:20" x14ac:dyDescent="0.3">
      <c r="B211" s="56" t="s">
        <v>692</v>
      </c>
      <c r="C211" s="56"/>
      <c r="D211" s="320">
        <f>(InBS!C71-InBS!C75)/10^9</f>
        <v>0</v>
      </c>
      <c r="E211" s="320">
        <f>(InBS!D71-InBS!D75)/10^9</f>
        <v>0.1243827</v>
      </c>
      <c r="F211" s="320">
        <f>(InBS!E71-InBS!E75)/10^9</f>
        <v>7.3932072000000001E-2</v>
      </c>
      <c r="G211" s="320">
        <f>(InBS!F71-InBS!F75)/10^9</f>
        <v>2.0735996220000001</v>
      </c>
      <c r="H211" s="320">
        <f>(InBS!G71-InBS!G75)/10^9</f>
        <v>7.6106999999999994E-2</v>
      </c>
      <c r="I211" s="320">
        <f>(InBS!H71-InBS!H75)/10^9</f>
        <v>6.9544476389999996</v>
      </c>
      <c r="J211" s="320">
        <f>(InBS!I71-InBS!I75)/10^9</f>
        <v>6.9544476389999996</v>
      </c>
      <c r="K211" s="320">
        <f>(InBS!J71-InBS!J75)/10^9</f>
        <v>6.9544476389999996</v>
      </c>
      <c r="L211" s="320">
        <f>(InBS!K71-InBS!K75)/10^9</f>
        <v>6.9544476389999996</v>
      </c>
      <c r="M211" s="320">
        <f>(InBS!L71-InBS!L75)/10^9</f>
        <v>11.40728212</v>
      </c>
      <c r="N211" s="570">
        <v>7</v>
      </c>
      <c r="O211" s="570">
        <v>7</v>
      </c>
      <c r="P211" s="570">
        <v>7</v>
      </c>
      <c r="Q211" s="570">
        <v>7</v>
      </c>
      <c r="R211" s="570">
        <v>7</v>
      </c>
      <c r="S211" s="570">
        <v>7</v>
      </c>
      <c r="T211" s="56" t="s">
        <v>693</v>
      </c>
    </row>
    <row r="212" spans="2:20" x14ac:dyDescent="0.3">
      <c r="B212" s="308" t="s">
        <v>170</v>
      </c>
      <c r="C212" s="56"/>
      <c r="D212" s="230">
        <f>IF(D$7,D211/D$7,0)</f>
        <v>0</v>
      </c>
      <c r="E212" s="230">
        <f t="shared" ref="E212:L212" si="167">IF(E$7,E211/E$7,0)</f>
        <v>1.5811931470655488E-2</v>
      </c>
      <c r="F212" s="230">
        <f t="shared" si="167"/>
        <v>9.7680877755666339E-4</v>
      </c>
      <c r="G212" s="230">
        <f t="shared" si="167"/>
        <v>7.2653763124990566E-3</v>
      </c>
      <c r="H212" s="230">
        <f t="shared" si="167"/>
        <v>1.0399697007727438E-4</v>
      </c>
      <c r="I212" s="230">
        <f t="shared" si="167"/>
        <v>8.6801652183720549E-3</v>
      </c>
      <c r="J212" s="230">
        <f t="shared" si="167"/>
        <v>7.3221625580249172E-3</v>
      </c>
      <c r="K212" s="230">
        <f t="shared" si="167"/>
        <v>6.4061960641215365E-3</v>
      </c>
      <c r="L212" s="230">
        <f t="shared" si="167"/>
        <v>7.3188695414968009E-3</v>
      </c>
      <c r="M212" s="230">
        <f>IF(M$7,M211/M$7,0)</f>
        <v>1.280901206669907E-2</v>
      </c>
      <c r="N212" s="218"/>
      <c r="O212" s="218"/>
      <c r="P212" s="218"/>
      <c r="Q212" s="218"/>
      <c r="R212" s="218"/>
      <c r="S212" s="218"/>
      <c r="T212" s="56"/>
    </row>
    <row r="213" spans="2:20" x14ac:dyDescent="0.3">
      <c r="B213" s="311" t="s">
        <v>224</v>
      </c>
      <c r="C213" s="232"/>
      <c r="D213" s="278">
        <f t="shared" ref="D213:L213" si="168">IF(C214,D211/C214-1,0)</f>
        <v>0</v>
      </c>
      <c r="E213" s="278">
        <f t="shared" si="168"/>
        <v>0</v>
      </c>
      <c r="F213" s="278">
        <f t="shared" si="168"/>
        <v>-0.40560807893702255</v>
      </c>
      <c r="G213" s="278">
        <f t="shared" si="168"/>
        <v>27.047362476193012</v>
      </c>
      <c r="H213" s="278">
        <f t="shared" si="168"/>
        <v>-0.96329715766122959</v>
      </c>
      <c r="I213" s="278">
        <f t="shared" si="168"/>
        <v>90.377240450944072</v>
      </c>
      <c r="J213" s="278">
        <f t="shared" si="168"/>
        <v>0</v>
      </c>
      <c r="K213" s="278">
        <f t="shared" si="168"/>
        <v>0</v>
      </c>
      <c r="L213" s="278">
        <f t="shared" si="168"/>
        <v>0</v>
      </c>
      <c r="M213" s="278">
        <f>IF(L214,M211/L214-1,0)</f>
        <v>0.64028585908517766</v>
      </c>
      <c r="N213" s="287"/>
      <c r="O213" s="287"/>
      <c r="P213" s="287"/>
      <c r="Q213" s="287"/>
      <c r="R213" s="287"/>
      <c r="S213" s="287"/>
      <c r="T213" s="232"/>
    </row>
    <row r="214" spans="2:20" s="55" customFormat="1" x14ac:dyDescent="0.3">
      <c r="B214" s="55" t="s">
        <v>692</v>
      </c>
      <c r="D214" s="233">
        <f t="shared" ref="D214:L214" si="169">D211</f>
        <v>0</v>
      </c>
      <c r="E214" s="233">
        <f t="shared" si="169"/>
        <v>0.1243827</v>
      </c>
      <c r="F214" s="233">
        <f t="shared" si="169"/>
        <v>7.3932072000000001E-2</v>
      </c>
      <c r="G214" s="233">
        <f t="shared" si="169"/>
        <v>2.0735996220000001</v>
      </c>
      <c r="H214" s="233">
        <f t="shared" si="169"/>
        <v>7.6106999999999994E-2</v>
      </c>
      <c r="I214" s="233">
        <f t="shared" si="169"/>
        <v>6.9544476389999996</v>
      </c>
      <c r="J214" s="233">
        <f t="shared" si="169"/>
        <v>6.9544476389999996</v>
      </c>
      <c r="K214" s="233">
        <f t="shared" si="169"/>
        <v>6.9544476389999996</v>
      </c>
      <c r="L214" s="233">
        <f t="shared" si="169"/>
        <v>6.9544476389999996</v>
      </c>
      <c r="M214" s="233">
        <f>M211</f>
        <v>11.40728212</v>
      </c>
      <c r="N214" s="233">
        <f>IF(N211,N211,IF(N212,N212*N$7,M214*(1+N213)))</f>
        <v>7</v>
      </c>
      <c r="O214" s="233">
        <f t="shared" ref="O214:S214" si="170">IF(O211,O211,IF(O212,O212*O$7,N214*(1+O213)))</f>
        <v>7</v>
      </c>
      <c r="P214" s="233">
        <f t="shared" si="170"/>
        <v>7</v>
      </c>
      <c r="Q214" s="233">
        <f t="shared" si="170"/>
        <v>7</v>
      </c>
      <c r="R214" s="233">
        <f t="shared" si="170"/>
        <v>7</v>
      </c>
      <c r="S214" s="233">
        <f t="shared" si="170"/>
        <v>7</v>
      </c>
    </row>
    <row r="216" spans="2:20" s="55" customFormat="1" x14ac:dyDescent="0.3">
      <c r="B216" s="100" t="s">
        <v>257</v>
      </c>
      <c r="C216" s="100"/>
      <c r="D216" s="384">
        <f t="shared" ref="D216:M216" si="171">D207+D214</f>
        <v>0</v>
      </c>
      <c r="E216" s="384">
        <f t="shared" si="171"/>
        <v>21.681323901000003</v>
      </c>
      <c r="F216" s="384">
        <f t="shared" si="171"/>
        <v>50.050340173999999</v>
      </c>
      <c r="G216" s="384">
        <f t="shared" si="171"/>
        <v>39.698858876000003</v>
      </c>
      <c r="H216" s="384">
        <f t="shared" si="171"/>
        <v>110.15479591399999</v>
      </c>
      <c r="I216" s="384">
        <f t="shared" si="171"/>
        <v>76.739836500999999</v>
      </c>
      <c r="J216" s="384">
        <f t="shared" si="171"/>
        <v>37.185526869</v>
      </c>
      <c r="K216" s="384">
        <f t="shared" si="171"/>
        <v>24.869786994999998</v>
      </c>
      <c r="L216" s="384">
        <f t="shared" si="171"/>
        <v>43.883360465000003</v>
      </c>
      <c r="M216" s="384">
        <f t="shared" si="171"/>
        <v>28.021965844</v>
      </c>
      <c r="N216" s="384">
        <f>N207+N214</f>
        <v>9.6973319999999994</v>
      </c>
      <c r="O216" s="384">
        <f t="shared" ref="O216:S216" si="172">O207+O214</f>
        <v>11.917330666666668</v>
      </c>
      <c r="P216" s="384">
        <f t="shared" si="172"/>
        <v>9.8445444444444448</v>
      </c>
      <c r="Q216" s="384">
        <f t="shared" si="172"/>
        <v>8.8962962962962973</v>
      </c>
      <c r="R216" s="384">
        <f t="shared" si="172"/>
        <v>8.2641975308641982</v>
      </c>
      <c r="S216" s="384">
        <f t="shared" si="172"/>
        <v>7.8427983539094654</v>
      </c>
      <c r="T216" s="100"/>
    </row>
    <row r="217" spans="2:20" s="55" customFormat="1" x14ac:dyDescent="0.3">
      <c r="B217" s="55" t="s">
        <v>258</v>
      </c>
      <c r="D217" s="233">
        <f t="shared" ref="D217:S217" si="173">D202+D216</f>
        <v>0.76909875399999994</v>
      </c>
      <c r="E217" s="233">
        <f t="shared" si="173"/>
        <v>36.381788763000003</v>
      </c>
      <c r="F217" s="233">
        <f t="shared" si="173"/>
        <v>100.616557796</v>
      </c>
      <c r="G217" s="233">
        <f t="shared" si="173"/>
        <v>126.39974564400001</v>
      </c>
      <c r="H217" s="233">
        <f t="shared" si="173"/>
        <v>317.510272714</v>
      </c>
      <c r="I217" s="233">
        <f t="shared" si="173"/>
        <v>243.16545123899999</v>
      </c>
      <c r="J217" s="233">
        <f t="shared" si="173"/>
        <v>184.64471100999998</v>
      </c>
      <c r="K217" s="233">
        <f t="shared" si="173"/>
        <v>209.15436042100001</v>
      </c>
      <c r="L217" s="233">
        <f t="shared" si="173"/>
        <v>245.05982637700004</v>
      </c>
      <c r="M217" s="233">
        <f t="shared" si="173"/>
        <v>185.319914805</v>
      </c>
      <c r="N217" s="233">
        <f t="shared" ca="1" si="173"/>
        <v>222.76613881135947</v>
      </c>
      <c r="O217" s="233">
        <f t="shared" ca="1" si="173"/>
        <v>261.52836483105062</v>
      </c>
      <c r="P217" s="233">
        <f t="shared" ca="1" si="173"/>
        <v>272.53662224327223</v>
      </c>
      <c r="Q217" s="233">
        <f t="shared" ca="1" si="173"/>
        <v>286.19190015936221</v>
      </c>
      <c r="R217" s="233">
        <f t="shared" ca="1" si="173"/>
        <v>322.06403435168363</v>
      </c>
      <c r="S217" s="233">
        <f t="shared" ca="1" si="173"/>
        <v>335.14563660822751</v>
      </c>
    </row>
    <row r="219" spans="2:20" s="55" customFormat="1" x14ac:dyDescent="0.3">
      <c r="B219" s="224" t="s">
        <v>259</v>
      </c>
      <c r="C219" s="224"/>
      <c r="D219" s="224"/>
      <c r="E219" s="224"/>
      <c r="F219" s="224"/>
      <c r="G219" s="224"/>
      <c r="H219" s="224"/>
      <c r="I219" s="224"/>
      <c r="J219" s="224"/>
      <c r="K219" s="224"/>
      <c r="L219" s="224"/>
      <c r="M219" s="224"/>
      <c r="N219" s="224"/>
      <c r="O219" s="224"/>
      <c r="P219" s="224"/>
      <c r="Q219" s="224"/>
      <c r="R219" s="224"/>
      <c r="S219" s="224"/>
      <c r="T219" s="224"/>
    </row>
    <row r="220" spans="2:20" s="121" customFormat="1" x14ac:dyDescent="0.3">
      <c r="B220" s="309" t="s">
        <v>260</v>
      </c>
      <c r="C220" s="309"/>
      <c r="D220" s="371">
        <f>InBS!C94/10^9</f>
        <v>0</v>
      </c>
      <c r="E220" s="371">
        <f>InBS!D94/10^9</f>
        <v>0</v>
      </c>
      <c r="F220" s="371">
        <f>InBS!E94/10^9</f>
        <v>0</v>
      </c>
      <c r="G220" s="371">
        <f>InBS!F94/10^9</f>
        <v>0</v>
      </c>
      <c r="H220" s="371">
        <f>InBS!G94/10^9</f>
        <v>0</v>
      </c>
      <c r="I220" s="371">
        <f>InBS!H94/10^9</f>
        <v>0</v>
      </c>
      <c r="J220" s="371">
        <f>InBS!I94/10^9</f>
        <v>0</v>
      </c>
      <c r="K220" s="371">
        <f>InBS!J94/10^9</f>
        <v>0</v>
      </c>
      <c r="L220" s="371">
        <f>InBS!K94/10^9</f>
        <v>0</v>
      </c>
      <c r="M220" s="371">
        <f>InBS!L94/10^9</f>
        <v>0</v>
      </c>
      <c r="N220" s="284"/>
      <c r="O220" s="284"/>
      <c r="P220" s="284"/>
      <c r="Q220" s="284"/>
      <c r="R220" s="284"/>
      <c r="S220" s="284"/>
      <c r="T220" s="309"/>
    </row>
    <row r="221" spans="2:20" x14ac:dyDescent="0.3">
      <c r="B221" s="334" t="s">
        <v>261</v>
      </c>
      <c r="C221" s="232"/>
      <c r="D221" s="281">
        <f t="shared" ref="D221:S221" si="174">D82</f>
        <v>0</v>
      </c>
      <c r="E221" s="281">
        <f t="shared" si="174"/>
        <v>0</v>
      </c>
      <c r="F221" s="281">
        <f t="shared" si="174"/>
        <v>0</v>
      </c>
      <c r="G221" s="281">
        <f t="shared" si="174"/>
        <v>0</v>
      </c>
      <c r="H221" s="281">
        <f t="shared" si="174"/>
        <v>0</v>
      </c>
      <c r="I221" s="281">
        <f t="shared" si="174"/>
        <v>0</v>
      </c>
      <c r="J221" s="281">
        <f t="shared" si="174"/>
        <v>0</v>
      </c>
      <c r="K221" s="281">
        <f t="shared" si="174"/>
        <v>0</v>
      </c>
      <c r="L221" s="281">
        <f t="shared" si="174"/>
        <v>0</v>
      </c>
      <c r="M221" s="281">
        <f t="shared" si="174"/>
        <v>0</v>
      </c>
      <c r="N221" s="282">
        <f t="shared" si="174"/>
        <v>0</v>
      </c>
      <c r="O221" s="282">
        <f t="shared" si="174"/>
        <v>0</v>
      </c>
      <c r="P221" s="282">
        <f t="shared" si="174"/>
        <v>0</v>
      </c>
      <c r="Q221" s="282">
        <f t="shared" si="174"/>
        <v>0</v>
      </c>
      <c r="R221" s="282">
        <f t="shared" si="174"/>
        <v>0</v>
      </c>
      <c r="S221" s="282">
        <f t="shared" si="174"/>
        <v>0</v>
      </c>
      <c r="T221" s="232"/>
    </row>
    <row r="222" spans="2:20" s="55" customFormat="1" x14ac:dyDescent="0.3">
      <c r="B222" s="55" t="s">
        <v>260</v>
      </c>
      <c r="D222" s="233">
        <f t="shared" ref="D222:H222" si="175">D220</f>
        <v>0</v>
      </c>
      <c r="E222" s="233">
        <f t="shared" si="175"/>
        <v>0</v>
      </c>
      <c r="F222" s="233">
        <f t="shared" si="175"/>
        <v>0</v>
      </c>
      <c r="G222" s="233">
        <f t="shared" si="175"/>
        <v>0</v>
      </c>
      <c r="H222" s="233">
        <f t="shared" si="175"/>
        <v>0</v>
      </c>
      <c r="I222" s="233">
        <f>I220</f>
        <v>0</v>
      </c>
      <c r="J222" s="233">
        <f t="shared" ref="J222:M222" si="176">J220</f>
        <v>0</v>
      </c>
      <c r="K222" s="233">
        <f t="shared" si="176"/>
        <v>0</v>
      </c>
      <c r="L222" s="233">
        <f t="shared" si="176"/>
        <v>0</v>
      </c>
      <c r="M222" s="233">
        <f t="shared" si="176"/>
        <v>0</v>
      </c>
      <c r="N222" s="233">
        <f>IF(N220,N220,M222+N221)</f>
        <v>0</v>
      </c>
      <c r="O222" s="233">
        <f t="shared" ref="O222:S222" si="177">IF(O220,O220,N222+O221)</f>
        <v>0</v>
      </c>
      <c r="P222" s="233">
        <f t="shared" si="177"/>
        <v>0</v>
      </c>
      <c r="Q222" s="233">
        <f t="shared" si="177"/>
        <v>0</v>
      </c>
      <c r="R222" s="233">
        <f t="shared" si="177"/>
        <v>0</v>
      </c>
      <c r="S222" s="233">
        <f t="shared" si="177"/>
        <v>0</v>
      </c>
    </row>
    <row r="223" spans="2:20" ht="16.5" customHeight="1" x14ac:dyDescent="0.3"/>
    <row r="224" spans="2:20" s="55" customFormat="1" x14ac:dyDescent="0.3">
      <c r="B224" s="224" t="s">
        <v>262</v>
      </c>
      <c r="C224" s="224"/>
      <c r="D224" s="224"/>
      <c r="E224" s="224"/>
      <c r="F224" s="224"/>
      <c r="G224" s="224"/>
      <c r="H224" s="224"/>
      <c r="I224" s="224"/>
      <c r="J224" s="224"/>
      <c r="K224" s="224"/>
      <c r="L224" s="224"/>
      <c r="M224" s="224"/>
      <c r="N224" s="224"/>
      <c r="O224" s="224"/>
      <c r="P224" s="224"/>
      <c r="Q224" s="224"/>
      <c r="R224" s="224"/>
      <c r="S224" s="224"/>
      <c r="T224" s="224"/>
    </row>
    <row r="225" spans="2:20" x14ac:dyDescent="0.3">
      <c r="B225" s="232" t="s">
        <v>263</v>
      </c>
      <c r="C225" s="232"/>
      <c r="D225" s="281">
        <f>(InBS!C81+InBS!C82)/10^9</f>
        <v>13.570320000000001</v>
      </c>
      <c r="E225" s="281">
        <f>(InBS!D81+InBS!D82)/10^9</f>
        <v>67.2</v>
      </c>
      <c r="F225" s="281">
        <f>(InBS!E81+InBS!E82)/10^9</f>
        <v>67.2</v>
      </c>
      <c r="G225" s="281">
        <f>(InBS!F81+InBS!F82)/10^9</f>
        <v>126.69568</v>
      </c>
      <c r="H225" s="281">
        <f>(InBS!G81+InBS!G82)/10^9</f>
        <v>204.81605999999999</v>
      </c>
      <c r="I225" s="281">
        <f>(InBS!H81+InBS!H82)/10^9</f>
        <v>214.97206</v>
      </c>
      <c r="J225" s="281">
        <f>(InBS!I81+InBS!I82)/10^9</f>
        <v>271.69567999999998</v>
      </c>
      <c r="K225" s="281">
        <f>(InBS!J81+InBS!J82)/10^9</f>
        <v>271.69567999999998</v>
      </c>
      <c r="L225" s="281">
        <f>(InBS!K81+InBS!K82)/10^9</f>
        <v>271.69567999999998</v>
      </c>
      <c r="M225" s="281">
        <f>(InBS!L81+InBS!L82)/10^9</f>
        <v>271.69567999999998</v>
      </c>
      <c r="N225" s="232"/>
      <c r="O225" s="232"/>
      <c r="P225" s="232"/>
      <c r="Q225" s="232"/>
      <c r="R225" s="232"/>
      <c r="S225" s="232"/>
      <c r="T225" s="232"/>
    </row>
    <row r="226" spans="2:20" s="55" customFormat="1" x14ac:dyDescent="0.3">
      <c r="B226" s="55" t="s">
        <v>263</v>
      </c>
      <c r="D226" s="233">
        <f>D225</f>
        <v>13.570320000000001</v>
      </c>
      <c r="E226" s="233">
        <f t="shared" ref="E226:M226" si="178">E225</f>
        <v>67.2</v>
      </c>
      <c r="F226" s="233">
        <f t="shared" si="178"/>
        <v>67.2</v>
      </c>
      <c r="G226" s="233">
        <f t="shared" si="178"/>
        <v>126.69568</v>
      </c>
      <c r="H226" s="233">
        <f t="shared" si="178"/>
        <v>204.81605999999999</v>
      </c>
      <c r="I226" s="233">
        <f t="shared" si="178"/>
        <v>214.97206</v>
      </c>
      <c r="J226" s="233">
        <f t="shared" si="178"/>
        <v>271.69567999999998</v>
      </c>
      <c r="K226" s="233">
        <f t="shared" si="178"/>
        <v>271.69567999999998</v>
      </c>
      <c r="L226" s="233">
        <f t="shared" si="178"/>
        <v>271.69567999999998</v>
      </c>
      <c r="M226" s="233">
        <f t="shared" si="178"/>
        <v>271.69567999999998</v>
      </c>
      <c r="N226" s="246">
        <f>IF(N225,N225,M226)</f>
        <v>271.69567999999998</v>
      </c>
      <c r="O226" s="246">
        <f t="shared" ref="O226:S226" si="179">IF(O225,O225,N226)</f>
        <v>271.69567999999998</v>
      </c>
      <c r="P226" s="246">
        <f t="shared" si="179"/>
        <v>271.69567999999998</v>
      </c>
      <c r="Q226" s="246">
        <f t="shared" si="179"/>
        <v>271.69567999999998</v>
      </c>
      <c r="R226" s="246">
        <f t="shared" si="179"/>
        <v>271.69567999999998</v>
      </c>
      <c r="S226" s="246">
        <f t="shared" si="179"/>
        <v>271.69567999999998</v>
      </c>
    </row>
    <row r="228" spans="2:20" s="55" customFormat="1" x14ac:dyDescent="0.3">
      <c r="B228" s="312" t="s">
        <v>270</v>
      </c>
      <c r="C228" s="100"/>
      <c r="D228" s="384">
        <f>InBS!C83/10^9</f>
        <v>0</v>
      </c>
      <c r="E228" s="384">
        <f>InBS!D83/10^9</f>
        <v>0</v>
      </c>
      <c r="F228" s="384">
        <f>InBS!E83/10^9</f>
        <v>0</v>
      </c>
      <c r="G228" s="384">
        <f>InBS!F83/10^9</f>
        <v>0</v>
      </c>
      <c r="H228" s="384">
        <f>InBS!G83/10^9</f>
        <v>0</v>
      </c>
      <c r="I228" s="384">
        <f>InBS!H83/10^9</f>
        <v>10.172434366999999</v>
      </c>
      <c r="J228" s="384">
        <f>InBS!I83/10^9</f>
        <v>10.172434366999999</v>
      </c>
      <c r="K228" s="384">
        <f>InBS!J83/10^9</f>
        <v>3.5545817450000001</v>
      </c>
      <c r="L228" s="384">
        <f>InBS!K83/10^9</f>
        <v>9.1790456490000008</v>
      </c>
      <c r="M228" s="384">
        <f>InBS!L83/10^9</f>
        <v>9.1790456490000008</v>
      </c>
      <c r="N228" s="100"/>
      <c r="O228" s="100"/>
      <c r="P228" s="100"/>
      <c r="Q228" s="100"/>
      <c r="R228" s="100"/>
      <c r="S228" s="100"/>
      <c r="T228" s="100"/>
    </row>
    <row r="229" spans="2:20" s="55" customFormat="1" x14ac:dyDescent="0.3">
      <c r="B229" s="55" t="s">
        <v>270</v>
      </c>
      <c r="D229" s="233">
        <f t="shared" ref="D229:M229" si="180">D228</f>
        <v>0</v>
      </c>
      <c r="E229" s="233">
        <f t="shared" si="180"/>
        <v>0</v>
      </c>
      <c r="F229" s="233">
        <f t="shared" si="180"/>
        <v>0</v>
      </c>
      <c r="G229" s="233">
        <f t="shared" si="180"/>
        <v>0</v>
      </c>
      <c r="H229" s="233">
        <f t="shared" si="180"/>
        <v>0</v>
      </c>
      <c r="I229" s="233">
        <f t="shared" si="180"/>
        <v>10.172434366999999</v>
      </c>
      <c r="J229" s="233">
        <f t="shared" si="180"/>
        <v>10.172434366999999</v>
      </c>
      <c r="K229" s="233">
        <f t="shared" si="180"/>
        <v>3.5545817450000001</v>
      </c>
      <c r="L229" s="233">
        <f t="shared" si="180"/>
        <v>9.1790456490000008</v>
      </c>
      <c r="M229" s="233">
        <f t="shared" si="180"/>
        <v>9.1790456490000008</v>
      </c>
      <c r="N229" s="246">
        <f>IF(N228,N228,M229)</f>
        <v>9.1790456490000008</v>
      </c>
      <c r="O229" s="246">
        <f t="shared" ref="O229:S229" si="181">IF(O228,O228,N229)</f>
        <v>9.1790456490000008</v>
      </c>
      <c r="P229" s="246">
        <f t="shared" si="181"/>
        <v>9.1790456490000008</v>
      </c>
      <c r="Q229" s="246">
        <f t="shared" si="181"/>
        <v>9.1790456490000008</v>
      </c>
      <c r="R229" s="246">
        <f t="shared" si="181"/>
        <v>9.1790456490000008</v>
      </c>
      <c r="S229" s="246">
        <f t="shared" si="181"/>
        <v>9.1790456490000008</v>
      </c>
    </row>
    <row r="231" spans="2:20" x14ac:dyDescent="0.3">
      <c r="B231" s="56" t="s">
        <v>264</v>
      </c>
      <c r="C231" s="56"/>
      <c r="D231" s="320">
        <f>InBS!C90/10^9</f>
        <v>-1.688688333</v>
      </c>
      <c r="E231" s="320">
        <f>InBS!D90/10^9</f>
        <v>-6.161092547</v>
      </c>
      <c r="F231" s="320">
        <f>InBS!E90/10^9</f>
        <v>0</v>
      </c>
      <c r="G231" s="320">
        <f>InBS!F90/10^9</f>
        <v>105.87080532100001</v>
      </c>
      <c r="H231" s="320">
        <f>InBS!G90/10^9</f>
        <v>159.32091042600001</v>
      </c>
      <c r="I231" s="320">
        <f>InBS!H90/10^9</f>
        <v>91.106206080999996</v>
      </c>
      <c r="J231" s="320">
        <f>InBS!I90/10^9</f>
        <v>125.695984813</v>
      </c>
      <c r="K231" s="320">
        <f>InBS!J90/10^9</f>
        <v>116.518422421</v>
      </c>
      <c r="L231" s="320">
        <f>InBS!K90/10^9</f>
        <v>71.638096410000003</v>
      </c>
      <c r="M231" s="320">
        <f>InBS!L90/10^9</f>
        <v>113.74767878999999</v>
      </c>
      <c r="N231" s="320"/>
      <c r="O231" s="320"/>
      <c r="P231" s="320"/>
      <c r="Q231" s="320"/>
      <c r="R231" s="320"/>
      <c r="S231" s="320"/>
      <c r="T231" s="56"/>
    </row>
    <row r="232" spans="2:20" x14ac:dyDescent="0.3">
      <c r="B232" s="311" t="s">
        <v>216</v>
      </c>
      <c r="C232" s="232"/>
      <c r="D232" s="232"/>
      <c r="E232" s="232"/>
      <c r="F232" s="232"/>
      <c r="G232" s="232"/>
      <c r="H232" s="232"/>
      <c r="I232" s="232"/>
      <c r="J232" s="232"/>
      <c r="K232" s="232"/>
      <c r="L232" s="232"/>
      <c r="M232" s="232"/>
      <c r="N232" s="282">
        <f t="shared" ref="N232:S232" ca="1" si="182">N$101-M$84*5%</f>
        <v>42.677992494870281</v>
      </c>
      <c r="O232" s="282">
        <f t="shared" ca="1" si="182"/>
        <v>38.403850833735092</v>
      </c>
      <c r="P232" s="282">
        <f t="shared" ca="1" si="182"/>
        <v>28.555966159007973</v>
      </c>
      <c r="Q232" s="282">
        <f t="shared" ca="1" si="182"/>
        <v>8.43876975562155</v>
      </c>
      <c r="R232" s="282">
        <f t="shared" ca="1" si="182"/>
        <v>12.265530607476489</v>
      </c>
      <c r="S232" s="282">
        <f t="shared" ca="1" si="182"/>
        <v>-3.9469080516720867</v>
      </c>
      <c r="T232" s="232" t="s">
        <v>682</v>
      </c>
    </row>
    <row r="233" spans="2:20" s="55" customFormat="1" x14ac:dyDescent="0.3">
      <c r="B233" s="55" t="s">
        <v>264</v>
      </c>
      <c r="D233" s="233">
        <f t="shared" ref="D233:L233" si="183">D231</f>
        <v>-1.688688333</v>
      </c>
      <c r="E233" s="233">
        <f t="shared" si="183"/>
        <v>-6.161092547</v>
      </c>
      <c r="F233" s="233">
        <f t="shared" si="183"/>
        <v>0</v>
      </c>
      <c r="G233" s="233">
        <f t="shared" si="183"/>
        <v>105.87080532100001</v>
      </c>
      <c r="H233" s="233">
        <f t="shared" si="183"/>
        <v>159.32091042600001</v>
      </c>
      <c r="I233" s="233">
        <f t="shared" si="183"/>
        <v>91.106206080999996</v>
      </c>
      <c r="J233" s="233">
        <f t="shared" si="183"/>
        <v>125.695984813</v>
      </c>
      <c r="K233" s="233">
        <f t="shared" si="183"/>
        <v>116.518422421</v>
      </c>
      <c r="L233" s="233">
        <f t="shared" si="183"/>
        <v>71.638096410000003</v>
      </c>
      <c r="M233" s="233">
        <f>M231</f>
        <v>113.74767878999999</v>
      </c>
      <c r="N233" s="246">
        <f ca="1">IF(N231,N231,M233+N232)</f>
        <v>156.42567128487028</v>
      </c>
      <c r="O233" s="246">
        <f ca="1">IF(O231,O231,N233+O232)</f>
        <v>194.82952211860538</v>
      </c>
      <c r="P233" s="246">
        <f t="shared" ref="P233:R233" ca="1" si="184">IF(P231,P231,O233+P232)</f>
        <v>223.38548827761335</v>
      </c>
      <c r="Q233" s="246">
        <f t="shared" ca="1" si="184"/>
        <v>231.82425803323491</v>
      </c>
      <c r="R233" s="246">
        <f t="shared" ca="1" si="184"/>
        <v>244.08978864071139</v>
      </c>
      <c r="S233" s="246">
        <f ca="1">IF(S231,S231,R233+S232)</f>
        <v>240.14288058903929</v>
      </c>
    </row>
    <row r="234" spans="2:20" s="55" customFormat="1" x14ac:dyDescent="0.3">
      <c r="D234" s="233"/>
      <c r="E234" s="233"/>
      <c r="F234" s="233"/>
      <c r="G234" s="233"/>
      <c r="H234" s="233"/>
      <c r="I234" s="233"/>
      <c r="J234" s="233"/>
      <c r="K234" s="233"/>
      <c r="L234" s="233"/>
      <c r="M234" s="233"/>
    </row>
    <row r="235" spans="2:20" s="121" customFormat="1" x14ac:dyDescent="0.3">
      <c r="B235" s="309" t="s">
        <v>269</v>
      </c>
      <c r="C235" s="309"/>
      <c r="D235" s="371">
        <f>InBS!C87/10^9</f>
        <v>0</v>
      </c>
      <c r="E235" s="371">
        <f>InBS!D87/10^9</f>
        <v>0</v>
      </c>
      <c r="F235" s="371">
        <f>InBS!E87/10^9</f>
        <v>0</v>
      </c>
      <c r="G235" s="371">
        <f>InBS!F87/10^9</f>
        <v>0</v>
      </c>
      <c r="H235" s="371">
        <f>InBS!G87/10^9</f>
        <v>12.485556240999999</v>
      </c>
      <c r="I235" s="371">
        <f>InBS!H87/10^9</f>
        <v>43.002859340999997</v>
      </c>
      <c r="J235" s="371">
        <f>InBS!I87/10^9</f>
        <v>8.7277932580000002</v>
      </c>
      <c r="K235" s="371">
        <f>InBS!J87/10^9</f>
        <v>17.915375315999999</v>
      </c>
      <c r="L235" s="371">
        <f>InBS!K87/10^9</f>
        <v>46.226828724999997</v>
      </c>
      <c r="M235" s="371">
        <f>InBS!L87/10^9</f>
        <v>69.972247530999994</v>
      </c>
      <c r="N235" s="628">
        <f>M235+M$84*5%</f>
        <v>76.029832323699992</v>
      </c>
      <c r="O235" s="628">
        <f t="shared" ref="O235:S235" ca="1" si="185">N235+N$84*5%</f>
        <v>82.062363159237208</v>
      </c>
      <c r="P235" s="628">
        <f t="shared" ca="1" si="185"/>
        <v>87.785408605125127</v>
      </c>
      <c r="Q235" s="628">
        <f t="shared" ca="1" si="185"/>
        <v>92.917909279828379</v>
      </c>
      <c r="R235" s="628">
        <f t="shared" ca="1" si="185"/>
        <v>96.846471514149584</v>
      </c>
      <c r="S235" s="628">
        <f t="shared" ca="1" si="185"/>
        <v>100.92752342355642</v>
      </c>
      <c r="T235" s="309" t="s">
        <v>682</v>
      </c>
    </row>
    <row r="236" spans="2:20" s="121" customFormat="1" x14ac:dyDescent="0.3">
      <c r="B236" s="334" t="s">
        <v>170</v>
      </c>
      <c r="C236" s="312"/>
      <c r="D236" s="278">
        <f t="shared" ref="D236:L236" si="186">IF(D$7,D235/D$7,0)</f>
        <v>0</v>
      </c>
      <c r="E236" s="278">
        <f t="shared" si="186"/>
        <v>0</v>
      </c>
      <c r="F236" s="278">
        <f t="shared" si="186"/>
        <v>0</v>
      </c>
      <c r="G236" s="278">
        <f t="shared" si="186"/>
        <v>0</v>
      </c>
      <c r="H236" s="278">
        <f t="shared" si="186"/>
        <v>1.7060980183076505E-2</v>
      </c>
      <c r="I236" s="278">
        <f t="shared" si="186"/>
        <v>5.3673842024349168E-2</v>
      </c>
      <c r="J236" s="278">
        <f t="shared" si="186"/>
        <v>9.1892734441666145E-3</v>
      </c>
      <c r="K236" s="278">
        <f t="shared" si="186"/>
        <v>1.6503022640216806E-2</v>
      </c>
      <c r="L236" s="278">
        <f t="shared" si="186"/>
        <v>4.8649173351751777E-2</v>
      </c>
      <c r="M236" s="278">
        <f>IF(M$7,M235/M$7,0)</f>
        <v>7.8570456444416681E-2</v>
      </c>
      <c r="N236" s="287">
        <f t="shared" ref="N236:S236" si="187">IF(N$7,N235/N$7,0)</f>
        <v>6.7813002131484321E-2</v>
      </c>
      <c r="O236" s="287">
        <f t="shared" ca="1" si="187"/>
        <v>6.4210612405060055E-2</v>
      </c>
      <c r="P236" s="287">
        <f t="shared" ca="1" si="187"/>
        <v>6.5994777106624061E-2</v>
      </c>
      <c r="Q236" s="287">
        <f t="shared" ca="1" si="187"/>
        <v>6.774720270064967E-2</v>
      </c>
      <c r="R236" s="287">
        <f t="shared" ca="1" si="187"/>
        <v>6.2783005652858617E-2</v>
      </c>
      <c r="S236" s="287">
        <f t="shared" ca="1" si="187"/>
        <v>6.3470510869617844E-2</v>
      </c>
      <c r="T236" s="312"/>
    </row>
    <row r="237" spans="2:20" s="55" customFormat="1" x14ac:dyDescent="0.3">
      <c r="B237" s="55" t="s">
        <v>269</v>
      </c>
      <c r="D237" s="233">
        <f>D235</f>
        <v>0</v>
      </c>
      <c r="E237" s="233">
        <f t="shared" ref="E237:L237" si="188">E235</f>
        <v>0</v>
      </c>
      <c r="F237" s="233">
        <f t="shared" si="188"/>
        <v>0</v>
      </c>
      <c r="G237" s="233">
        <f t="shared" si="188"/>
        <v>0</v>
      </c>
      <c r="H237" s="233">
        <f t="shared" si="188"/>
        <v>12.485556240999999</v>
      </c>
      <c r="I237" s="233">
        <f t="shared" si="188"/>
        <v>43.002859340999997</v>
      </c>
      <c r="J237" s="233">
        <f t="shared" si="188"/>
        <v>8.7277932580000002</v>
      </c>
      <c r="K237" s="233">
        <f t="shared" si="188"/>
        <v>17.915375315999999</v>
      </c>
      <c r="L237" s="233">
        <f t="shared" si="188"/>
        <v>46.226828724999997</v>
      </c>
      <c r="M237" s="233">
        <f>M235</f>
        <v>69.972247530999994</v>
      </c>
      <c r="N237" s="246">
        <f>N235</f>
        <v>76.029832323699992</v>
      </c>
      <c r="O237" s="246">
        <f t="shared" ref="O237:R237" ca="1" si="189">O235</f>
        <v>82.062363159237208</v>
      </c>
      <c r="P237" s="246">
        <f t="shared" ca="1" si="189"/>
        <v>87.785408605125127</v>
      </c>
      <c r="Q237" s="246">
        <f t="shared" ca="1" si="189"/>
        <v>92.917909279828379</v>
      </c>
      <c r="R237" s="246">
        <f t="shared" ca="1" si="189"/>
        <v>96.846471514149584</v>
      </c>
      <c r="S237" s="246">
        <f ca="1">S235</f>
        <v>100.92752342355642</v>
      </c>
    </row>
    <row r="238" spans="2:20" s="55" customFormat="1" x14ac:dyDescent="0.3">
      <c r="D238" s="233"/>
      <c r="E238" s="233"/>
      <c r="F238" s="233"/>
      <c r="G238" s="233"/>
      <c r="H238" s="233"/>
      <c r="I238" s="233"/>
      <c r="J238" s="233"/>
      <c r="K238" s="233"/>
      <c r="L238" s="233"/>
      <c r="M238" s="233"/>
    </row>
    <row r="239" spans="2:20" x14ac:dyDescent="0.3">
      <c r="B239" s="56" t="s">
        <v>265</v>
      </c>
      <c r="C239" s="56"/>
      <c r="D239" s="320">
        <f>(InBS!C79-InBS!C81-InBS!C82-InBS!C83-InBS!C87-InBS!C90-InBS!C91)/10^9</f>
        <v>3.6419310000000002E-3</v>
      </c>
      <c r="E239" s="320">
        <f>(InBS!D79-InBS!D81-InBS!D82-InBS!D83-InBS!D87-InBS!D90-InBS!D91)/10^9</f>
        <v>0</v>
      </c>
      <c r="F239" s="320">
        <f>(InBS!E79-InBS!E81-InBS!E82-InBS!E83-InBS!E87-InBS!E90-InBS!E91)/10^9</f>
        <v>6.0706732050000003</v>
      </c>
      <c r="G239" s="320">
        <f>(InBS!F79-InBS!F81-InBS!F82-InBS!F83-InBS!F87-InBS!F90-InBS!F91)/10^9</f>
        <v>0.61</v>
      </c>
      <c r="H239" s="320">
        <f>(InBS!G79-InBS!G81-InBS!G82-InBS!G83-InBS!G87-InBS!G90-InBS!G91)/10^9</f>
        <v>11.141013212000001</v>
      </c>
      <c r="I239" s="320">
        <f>(InBS!H79-InBS!H81-InBS!H82-InBS!H83-InBS!H87-InBS!H90-InBS!H91)/10^9</f>
        <v>21.313447579000002</v>
      </c>
      <c r="J239" s="320">
        <f>(InBS!I79-InBS!I81-InBS!I82-InBS!I83-InBS!I87-InBS!I90-InBS!I91)/10^9</f>
        <v>27.206489537</v>
      </c>
      <c r="K239" s="320">
        <f>(InBS!J79-InBS!J81-InBS!J82-InBS!J83-InBS!J87-InBS!J90-InBS!J91)/10^9</f>
        <v>22.683719504999999</v>
      </c>
      <c r="L239" s="320">
        <f>(InBS!K79-InBS!K81-InBS!K82-InBS!K83-InBS!K87-InBS!K90-InBS!K91)/10^9</f>
        <v>-3.2699999999999999E-3</v>
      </c>
      <c r="M239" s="320">
        <f>(InBS!L79-InBS!L81-InBS!L82-InBS!L83-InBS!L87-InBS!L90-InBS!L91)/10^9</f>
        <v>-3.2699999999999999E-3</v>
      </c>
      <c r="N239" s="219"/>
      <c r="O239" s="219"/>
      <c r="P239" s="219"/>
      <c r="Q239" s="219"/>
      <c r="R239" s="219"/>
      <c r="S239" s="219"/>
      <c r="T239" s="56"/>
    </row>
    <row r="240" spans="2:20" x14ac:dyDescent="0.3">
      <c r="B240" s="311" t="s">
        <v>170</v>
      </c>
      <c r="C240" s="232"/>
      <c r="D240" s="278">
        <f>IF(D$7,D239/D$7,0)</f>
        <v>0</v>
      </c>
      <c r="E240" s="278">
        <f t="shared" ref="E240:M240" si="190">IF(E$7,E239/E$7,0)</f>
        <v>0</v>
      </c>
      <c r="F240" s="278">
        <f t="shared" si="190"/>
        <v>8.0207232286443192E-2</v>
      </c>
      <c r="G240" s="278">
        <f t="shared" si="190"/>
        <v>2.1372879815390049E-3</v>
      </c>
      <c r="H240" s="278">
        <f t="shared" si="190"/>
        <v>1.5223719469153728E-2</v>
      </c>
      <c r="I240" s="278">
        <f t="shared" si="190"/>
        <v>2.6602291937801434E-2</v>
      </c>
      <c r="J240" s="278">
        <f t="shared" si="190"/>
        <v>2.8645026803561222E-2</v>
      </c>
      <c r="K240" s="278">
        <f t="shared" si="190"/>
        <v>2.0895455995332417E-2</v>
      </c>
      <c r="L240" s="278">
        <f t="shared" si="190"/>
        <v>-3.4413521595132596E-6</v>
      </c>
      <c r="M240" s="278">
        <f t="shared" si="190"/>
        <v>-3.6718184943168531E-6</v>
      </c>
      <c r="N240" s="147"/>
      <c r="O240" s="147"/>
      <c r="P240" s="147"/>
      <c r="Q240" s="147"/>
      <c r="R240" s="147"/>
      <c r="S240" s="147"/>
      <c r="T240" s="232"/>
    </row>
    <row r="241" spans="2:20" s="55" customFormat="1" x14ac:dyDescent="0.3">
      <c r="B241" s="55" t="s">
        <v>265</v>
      </c>
      <c r="D241" s="233">
        <f>D239</f>
        <v>3.6419310000000002E-3</v>
      </c>
      <c r="E241" s="233">
        <f t="shared" ref="E241:L241" si="191">E239</f>
        <v>0</v>
      </c>
      <c r="F241" s="233">
        <f t="shared" si="191"/>
        <v>6.0706732050000003</v>
      </c>
      <c r="G241" s="233">
        <f t="shared" si="191"/>
        <v>0.61</v>
      </c>
      <c r="H241" s="233">
        <f t="shared" si="191"/>
        <v>11.141013212000001</v>
      </c>
      <c r="I241" s="233">
        <f t="shared" si="191"/>
        <v>21.313447579000002</v>
      </c>
      <c r="J241" s="233">
        <f t="shared" si="191"/>
        <v>27.206489537</v>
      </c>
      <c r="K241" s="233">
        <f t="shared" si="191"/>
        <v>22.683719504999999</v>
      </c>
      <c r="L241" s="233">
        <f t="shared" si="191"/>
        <v>-3.2699999999999999E-3</v>
      </c>
      <c r="M241" s="233">
        <f>M239</f>
        <v>-3.2699999999999999E-3</v>
      </c>
      <c r="N241" s="246">
        <f t="shared" ref="N241:S241" si="192">N239</f>
        <v>0</v>
      </c>
      <c r="O241" s="246">
        <f t="shared" si="192"/>
        <v>0</v>
      </c>
      <c r="P241" s="246">
        <f t="shared" si="192"/>
        <v>0</v>
      </c>
      <c r="Q241" s="246">
        <f t="shared" si="192"/>
        <v>0</v>
      </c>
      <c r="R241" s="246">
        <f t="shared" si="192"/>
        <v>0</v>
      </c>
      <c r="S241" s="246">
        <f t="shared" si="192"/>
        <v>0</v>
      </c>
    </row>
    <row r="243" spans="2:20" s="55" customFormat="1" x14ac:dyDescent="0.3">
      <c r="B243" s="100" t="s">
        <v>266</v>
      </c>
      <c r="C243" s="100"/>
      <c r="D243" s="384">
        <f t="shared" ref="D243:L243" si="193">D222+D226+D229+D233+D237+D241</f>
        <v>11.885273598000001</v>
      </c>
      <c r="E243" s="384">
        <f t="shared" si="193"/>
        <v>61.038907453</v>
      </c>
      <c r="F243" s="384">
        <f t="shared" si="193"/>
        <v>73.270673205000008</v>
      </c>
      <c r="G243" s="384">
        <f t="shared" si="193"/>
        <v>233.17648532100003</v>
      </c>
      <c r="H243" s="384">
        <f t="shared" si="193"/>
        <v>387.76353987900001</v>
      </c>
      <c r="I243" s="384">
        <f t="shared" si="193"/>
        <v>380.56700736799996</v>
      </c>
      <c r="J243" s="384">
        <f t="shared" si="193"/>
        <v>443.49838197499997</v>
      </c>
      <c r="K243" s="384">
        <f t="shared" si="193"/>
        <v>432.36777898699995</v>
      </c>
      <c r="L243" s="384">
        <f t="shared" si="193"/>
        <v>398.736380784</v>
      </c>
      <c r="M243" s="384">
        <f>M222+M226+M229+M233+M237+M241</f>
        <v>464.59138196999999</v>
      </c>
      <c r="N243" s="626">
        <f ca="1">N222+N226+N229+N233+N237+N241</f>
        <v>513.33022925757029</v>
      </c>
      <c r="O243" s="626">
        <f t="shared" ref="O243:S243" ca="1" si="194">O222+O226+O229+O233+O237+O241</f>
        <v>557.76661092684253</v>
      </c>
      <c r="P243" s="626">
        <f t="shared" ca="1" si="194"/>
        <v>592.04562253173845</v>
      </c>
      <c r="Q243" s="626">
        <f t="shared" ca="1" si="194"/>
        <v>605.61689296206328</v>
      </c>
      <c r="R243" s="626">
        <f t="shared" ca="1" si="194"/>
        <v>621.81098580386094</v>
      </c>
      <c r="S243" s="626">
        <f t="shared" ca="1" si="194"/>
        <v>621.94512966159562</v>
      </c>
      <c r="T243" s="100"/>
    </row>
    <row r="244" spans="2:20" s="55" customFormat="1" ht="15" thickBot="1" x14ac:dyDescent="0.35">
      <c r="B244" s="380" t="s">
        <v>267</v>
      </c>
      <c r="C244" s="380"/>
      <c r="D244" s="381">
        <f t="shared" ref="D244:S244" si="195">D217+D222+D243</f>
        <v>12.654372352000001</v>
      </c>
      <c r="E244" s="381">
        <f t="shared" si="195"/>
        <v>97.42069621600001</v>
      </c>
      <c r="F244" s="381">
        <f t="shared" si="195"/>
        <v>173.887231001</v>
      </c>
      <c r="G244" s="381">
        <f t="shared" si="195"/>
        <v>359.57623096500004</v>
      </c>
      <c r="H244" s="381">
        <f t="shared" si="195"/>
        <v>705.273812593</v>
      </c>
      <c r="I244" s="381">
        <f t="shared" si="195"/>
        <v>623.7324586069999</v>
      </c>
      <c r="J244" s="381">
        <f t="shared" si="195"/>
        <v>628.14309298499995</v>
      </c>
      <c r="K244" s="381">
        <f t="shared" si="195"/>
        <v>641.52213940799993</v>
      </c>
      <c r="L244" s="381">
        <f t="shared" si="195"/>
        <v>643.79620716099998</v>
      </c>
      <c r="M244" s="381">
        <f t="shared" si="195"/>
        <v>649.91129677499998</v>
      </c>
      <c r="N244" s="629">
        <f t="shared" ca="1" si="195"/>
        <v>736.09636806892979</v>
      </c>
      <c r="O244" s="629">
        <f t="shared" ca="1" si="195"/>
        <v>819.2949757578931</v>
      </c>
      <c r="P244" s="629">
        <f t="shared" ca="1" si="195"/>
        <v>864.58224477501062</v>
      </c>
      <c r="Q244" s="629">
        <f t="shared" ca="1" si="195"/>
        <v>891.80879312142542</v>
      </c>
      <c r="R244" s="629">
        <f t="shared" ca="1" si="195"/>
        <v>943.87502015554458</v>
      </c>
      <c r="S244" s="629">
        <f t="shared" ca="1" si="195"/>
        <v>957.09076626982312</v>
      </c>
      <c r="T244" s="380"/>
    </row>
    <row r="245" spans="2:20" ht="15" thickTop="1" x14ac:dyDescent="0.3">
      <c r="B245" s="224" t="s">
        <v>244</v>
      </c>
      <c r="D245" s="54" t="b">
        <f>D244=InBS!C95/10^9</f>
        <v>1</v>
      </c>
      <c r="E245" s="54" t="b">
        <f>E244=InBS!D95/10^9</f>
        <v>1</v>
      </c>
      <c r="F245" s="54" t="b">
        <f>F244=InBS!E95/10^9</f>
        <v>1</v>
      </c>
      <c r="G245" s="54" t="b">
        <f>G244=InBS!F95/10^9</f>
        <v>1</v>
      </c>
      <c r="H245" s="54" t="b">
        <f>H244=InBS!G95/10^9</f>
        <v>1</v>
      </c>
      <c r="I245" s="54" t="b">
        <f>I244=InBS!H95/10^9</f>
        <v>1</v>
      </c>
      <c r="J245" s="54" t="b">
        <f>J244=InBS!I95/10^9</f>
        <v>1</v>
      </c>
      <c r="K245" s="54" t="b">
        <f>K244=InBS!J95/10^9</f>
        <v>1</v>
      </c>
      <c r="L245" s="54" t="b">
        <f>L244=InBS!K95/10^9</f>
        <v>1</v>
      </c>
      <c r="M245" s="54" t="b">
        <f>M244=InBS!L95/10^9</f>
        <v>1</v>
      </c>
    </row>
    <row r="247" spans="2:20" s="55" customFormat="1" x14ac:dyDescent="0.3">
      <c r="B247" s="224" t="s">
        <v>268</v>
      </c>
      <c r="C247" s="453"/>
      <c r="D247" s="453" t="str">
        <f t="shared" ref="D247:S247" si="196">IF(ABS(D172-D244)&lt;0.0001,"OK","Recheck")</f>
        <v>OK</v>
      </c>
      <c r="E247" s="453" t="str">
        <f t="shared" si="196"/>
        <v>OK</v>
      </c>
      <c r="F247" s="453" t="str">
        <f t="shared" si="196"/>
        <v>OK</v>
      </c>
      <c r="G247" s="453" t="str">
        <f t="shared" si="196"/>
        <v>OK</v>
      </c>
      <c r="H247" s="453" t="str">
        <f t="shared" si="196"/>
        <v>OK</v>
      </c>
      <c r="I247" s="453" t="str">
        <f t="shared" si="196"/>
        <v>OK</v>
      </c>
      <c r="J247" s="453" t="str">
        <f t="shared" si="196"/>
        <v>OK</v>
      </c>
      <c r="K247" s="453" t="str">
        <f t="shared" si="196"/>
        <v>OK</v>
      </c>
      <c r="L247" s="453" t="str">
        <f t="shared" si="196"/>
        <v>OK</v>
      </c>
      <c r="M247" s="453" t="str">
        <f t="shared" si="196"/>
        <v>OK</v>
      </c>
      <c r="N247" s="630" t="str">
        <f t="shared" ca="1" si="196"/>
        <v>OK</v>
      </c>
      <c r="O247" s="630" t="str">
        <f t="shared" ca="1" si="196"/>
        <v>OK</v>
      </c>
      <c r="P247" s="630" t="str">
        <f t="shared" ca="1" si="196"/>
        <v>OK</v>
      </c>
      <c r="Q247" s="630" t="str">
        <f t="shared" ca="1" si="196"/>
        <v>OK</v>
      </c>
      <c r="R247" s="630" t="str">
        <f t="shared" ca="1" si="196"/>
        <v>OK</v>
      </c>
      <c r="S247" s="630" t="str">
        <f t="shared" ca="1" si="196"/>
        <v>OK</v>
      </c>
    </row>
    <row r="249" spans="2:20" s="121" customFormat="1" x14ac:dyDescent="0.3">
      <c r="B249" s="386" t="s">
        <v>271</v>
      </c>
      <c r="C249" s="387"/>
      <c r="D249" s="637">
        <f t="shared" ref="D249:S249" si="197">D116+D122+D135+D140+D144+D150+D158+D163+D168</f>
        <v>6.6543723520000002</v>
      </c>
      <c r="E249" s="637">
        <f t="shared" si="197"/>
        <v>84.695258397000003</v>
      </c>
      <c r="F249" s="637">
        <f t="shared" si="197"/>
        <v>149.887231001</v>
      </c>
      <c r="G249" s="637">
        <f t="shared" si="197"/>
        <v>290.57623096499998</v>
      </c>
      <c r="H249" s="637">
        <f t="shared" si="197"/>
        <v>533.82515661299999</v>
      </c>
      <c r="I249" s="637">
        <f t="shared" si="197"/>
        <v>555.73245860700001</v>
      </c>
      <c r="J249" s="637">
        <f t="shared" si="197"/>
        <v>440.49337076299992</v>
      </c>
      <c r="K249" s="637">
        <f t="shared" si="197"/>
        <v>479.40713940799998</v>
      </c>
      <c r="L249" s="637">
        <f t="shared" si="197"/>
        <v>394.39620716100001</v>
      </c>
      <c r="M249" s="637">
        <f t="shared" si="197"/>
        <v>326.01129677500001</v>
      </c>
      <c r="N249" s="638">
        <f t="shared" si="197"/>
        <v>439.08445214878708</v>
      </c>
      <c r="O249" s="638">
        <f t="shared" si="197"/>
        <v>497.04672330841174</v>
      </c>
      <c r="P249" s="638">
        <f t="shared" si="197"/>
        <v>486.12962065726401</v>
      </c>
      <c r="Q249" s="638">
        <f t="shared" si="197"/>
        <v>485.77932424279692</v>
      </c>
      <c r="R249" s="638">
        <f t="shared" si="197"/>
        <v>514.10190405570143</v>
      </c>
      <c r="S249" s="638">
        <f t="shared" si="197"/>
        <v>532.76027001139005</v>
      </c>
      <c r="T249" s="387"/>
    </row>
    <row r="250" spans="2:20" x14ac:dyDescent="0.3">
      <c r="B250" s="388" t="s">
        <v>272</v>
      </c>
      <c r="C250" s="354"/>
      <c r="D250" s="354">
        <f t="shared" ref="D250:L250" si="198">D181+D188+D192+D196+D200+D207+D214+D222+D226+D229+D233+D237+D241</f>
        <v>12.654372352000001</v>
      </c>
      <c r="E250" s="354">
        <f t="shared" si="198"/>
        <v>97.42069621600001</v>
      </c>
      <c r="F250" s="354">
        <f t="shared" si="198"/>
        <v>173.887231001</v>
      </c>
      <c r="G250" s="354">
        <f t="shared" si="198"/>
        <v>359.57623096500004</v>
      </c>
      <c r="H250" s="354">
        <f t="shared" si="198"/>
        <v>705.273812593</v>
      </c>
      <c r="I250" s="354">
        <f t="shared" si="198"/>
        <v>623.73245860700001</v>
      </c>
      <c r="J250" s="354">
        <f t="shared" si="198"/>
        <v>628.14309298499995</v>
      </c>
      <c r="K250" s="354">
        <f t="shared" si="198"/>
        <v>641.52213940800004</v>
      </c>
      <c r="L250" s="354">
        <f t="shared" si="198"/>
        <v>643.79620716099998</v>
      </c>
      <c r="M250" s="354">
        <f>M181+M188+M192+M196+M200+M207+M214+M222+M226+M229+M233+M237+M241</f>
        <v>649.91129677499987</v>
      </c>
      <c r="N250" s="557">
        <f ca="1">N181+N188+N192+N196+N200+N207+N214+N222+N226+N229+N233+N237+N241</f>
        <v>736.09636806892968</v>
      </c>
      <c r="O250" s="557">
        <f t="shared" ref="O250:S250" ca="1" si="199">O181+O188+O192+O196+O200+O207+O214+O222+O226+O229+O233+O237+O241</f>
        <v>819.29497575789321</v>
      </c>
      <c r="P250" s="557">
        <f t="shared" ca="1" si="199"/>
        <v>864.58224477501074</v>
      </c>
      <c r="Q250" s="557">
        <f t="shared" ca="1" si="199"/>
        <v>891.80879312142542</v>
      </c>
      <c r="R250" s="557">
        <f t="shared" ca="1" si="199"/>
        <v>943.87502015554469</v>
      </c>
      <c r="S250" s="557">
        <f t="shared" ca="1" si="199"/>
        <v>957.09076626982335</v>
      </c>
    </row>
    <row r="251" spans="2:20" s="55" customFormat="1" x14ac:dyDescent="0.3">
      <c r="B251" s="389" t="s">
        <v>708</v>
      </c>
      <c r="C251" s="100"/>
      <c r="D251" s="639">
        <f t="shared" ref="D251:L251" si="200">IF(ISERROR(D250-D249),0,D250-D249)</f>
        <v>6.0000000000000009</v>
      </c>
      <c r="E251" s="639">
        <f t="shared" si="200"/>
        <v>12.725437819000007</v>
      </c>
      <c r="F251" s="639">
        <f t="shared" si="200"/>
        <v>24</v>
      </c>
      <c r="G251" s="639">
        <f t="shared" si="200"/>
        <v>69.000000000000057</v>
      </c>
      <c r="H251" s="639">
        <f t="shared" si="200"/>
        <v>171.44865598000001</v>
      </c>
      <c r="I251" s="639">
        <f t="shared" si="200"/>
        <v>68</v>
      </c>
      <c r="J251" s="639">
        <f t="shared" si="200"/>
        <v>187.64972222200004</v>
      </c>
      <c r="K251" s="639">
        <f t="shared" si="200"/>
        <v>162.11500000000007</v>
      </c>
      <c r="L251" s="639">
        <f t="shared" si="200"/>
        <v>249.39999999999998</v>
      </c>
      <c r="M251" s="639">
        <f>IF(ISERROR(M250-M249),0,M250-M249)</f>
        <v>323.89999999999986</v>
      </c>
      <c r="N251" s="640">
        <f ca="1">IF(ISERROR(N250-N249),0,N250-N249)</f>
        <v>297.0119159201426</v>
      </c>
      <c r="O251" s="640">
        <f t="shared" ref="O251:S251" ca="1" si="201">IF(ISERROR(O250-O249),0,O250-O249)</f>
        <v>322.24825244948147</v>
      </c>
      <c r="P251" s="640">
        <f t="shared" ca="1" si="201"/>
        <v>378.45262411774672</v>
      </c>
      <c r="Q251" s="640">
        <f t="shared" ca="1" si="201"/>
        <v>406.02946887862851</v>
      </c>
      <c r="R251" s="640">
        <f t="shared" ca="1" si="201"/>
        <v>429.77311609984326</v>
      </c>
      <c r="S251" s="640">
        <f t="shared" ca="1" si="201"/>
        <v>424.3304962584333</v>
      </c>
      <c r="T251" s="100"/>
    </row>
  </sheetData>
  <mergeCells count="5">
    <mergeCell ref="T69:T70"/>
    <mergeCell ref="T137:T139"/>
    <mergeCell ref="T89:T91"/>
    <mergeCell ref="T114:T115"/>
    <mergeCell ref="T98:T99"/>
  </mergeCells>
  <hyperlinks>
    <hyperlink ref="T7" location="'CNG Forecast'!A1" display="Dự phóng chi tiết từ CNG Forecast" xr:uid="{00000000-0004-0000-0A00-000000000000}"/>
    <hyperlink ref="T11" location="'CNG Forecast'!A1" display="Dự phóng chi tiết từ CNG Forecast" xr:uid="{00000000-0004-0000-0A00-000001000000}"/>
    <hyperlink ref="T18" location="'CNG Forecast'!A1" display="Dự phóng chi tiết từ CNG Forecast" xr:uid="{00000000-0004-0000-0A00-000002000000}"/>
    <hyperlink ref="T20" location="'CNG Forecast'!A1" display="Dự phóng chi tiết từ CNG Forecast" xr:uid="{00000000-0004-0000-0A00-000003000000}"/>
    <hyperlink ref="T27" location="'Fixed Assets (F)'!A1" display="Dự phóng chi tiết từ sheet Fixed Assets (F)" xr:uid="{00000000-0004-0000-0A00-000004000000}"/>
    <hyperlink ref="T205" location="'LT.Debt (F)'!A1" display="Dự phóng chi tiết từ Nợ vay dài hạn LT.Debt(F)" xr:uid="{00000000-0004-0000-0A00-000005000000}"/>
    <hyperlink ref="T209" location="'LT.Debt (F)'!A1" display="Dự phóng chi tiết từ Nợ vay dài hạn LT.Debt(F)" xr:uid="{00000000-0004-0000-0A00-000006000000}"/>
    <hyperlink ref="T153" location="'Fixed Assets (F)'!A1" display="Dự phóng chi tiết từ Fixed Assets (F)" xr:uid="{00000000-0004-0000-0A00-000007000000}"/>
    <hyperlink ref="T156" location="'Fixed Assets (F)'!A1" display="Dự phóng chi tiết từ Fixed Assets (F)" xr:uid="{00000000-0004-0000-0A00-000008000000}"/>
  </hyperlinks>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8CB4D2"/>
  </sheetPr>
  <dimension ref="B2:BK1497"/>
  <sheetViews>
    <sheetView topLeftCell="W1" workbookViewId="0">
      <selection activeCell="AG20" sqref="AG20"/>
    </sheetView>
  </sheetViews>
  <sheetFormatPr defaultColWidth="8.88671875" defaultRowHeight="14.4" x14ac:dyDescent="0.3"/>
  <cols>
    <col min="1" max="1" width="8.88671875" style="54"/>
    <col min="2" max="2" width="10.6640625" style="54" bestFit="1" customWidth="1"/>
    <col min="3" max="3" width="9.33203125" style="54" bestFit="1" customWidth="1"/>
    <col min="4" max="4" width="8.44140625" style="54" bestFit="1" customWidth="1"/>
    <col min="5" max="5" width="3.88671875" style="54" customWidth="1"/>
    <col min="6" max="8" width="8.88671875" style="54"/>
    <col min="9" max="9" width="11.44140625" style="54" customWidth="1"/>
    <col min="10" max="10" width="25.109375" style="54" bestFit="1" customWidth="1"/>
    <col min="11" max="11" width="9.109375" style="54" customWidth="1"/>
    <col min="12" max="12" width="11.44140625" style="54" bestFit="1" customWidth="1"/>
    <col min="13" max="13" width="11.44140625" style="54" customWidth="1"/>
    <col min="14" max="14" width="9.109375" style="54" customWidth="1"/>
    <col min="15" max="15" width="24.33203125" style="54" bestFit="1" customWidth="1"/>
    <col min="16" max="16" width="11.6640625" style="54" bestFit="1" customWidth="1"/>
    <col min="17" max="17" width="14.44140625" style="54" bestFit="1" customWidth="1"/>
    <col min="18" max="23" width="11.44140625" style="54" customWidth="1"/>
    <col min="24" max="24" width="8.88671875" style="54"/>
    <col min="25" max="25" width="20.6640625" style="54" bestFit="1" customWidth="1"/>
    <col min="26" max="26" width="11.6640625" style="54" bestFit="1" customWidth="1"/>
    <col min="27" max="28" width="13" style="54" bestFit="1" customWidth="1"/>
    <col min="29" max="29" width="14.33203125" style="54" bestFit="1" customWidth="1"/>
    <col min="30" max="31" width="13" style="54" bestFit="1" customWidth="1"/>
    <col min="32" max="32" width="12.88671875" style="54" bestFit="1" customWidth="1"/>
    <col min="33" max="33" width="12.44140625" style="54" customWidth="1"/>
    <col min="34" max="34" width="8.88671875" style="54"/>
    <col min="35" max="35" width="20.6640625" style="54" bestFit="1" customWidth="1"/>
    <col min="36" max="36" width="11.6640625" style="54" bestFit="1" customWidth="1"/>
    <col min="37" max="37" width="14.44140625" style="54" bestFit="1" customWidth="1"/>
    <col min="38" max="38" width="10.6640625" style="54" bestFit="1" customWidth="1"/>
    <col min="39" max="39" width="12" style="54" bestFit="1" customWidth="1"/>
    <col min="40" max="40" width="13.44140625" style="54" bestFit="1" customWidth="1"/>
    <col min="41" max="41" width="11" style="54" bestFit="1" customWidth="1"/>
    <col min="42" max="43" width="12.44140625" style="54" bestFit="1" customWidth="1"/>
    <col min="44" max="44" width="8.88671875" style="54"/>
    <col min="45" max="45" width="24.33203125" style="54" bestFit="1" customWidth="1"/>
    <col min="46" max="46" width="11.109375" style="54" bestFit="1" customWidth="1"/>
    <col min="47" max="47" width="12" style="54" bestFit="1" customWidth="1"/>
    <col min="48" max="48" width="10.6640625" style="54" bestFit="1" customWidth="1"/>
    <col min="49" max="49" width="12" style="54" bestFit="1" customWidth="1"/>
    <col min="50" max="50" width="9.33203125" style="54" customWidth="1"/>
    <col min="51" max="54" width="8.88671875" style="54"/>
    <col min="55" max="55" width="18" style="54" bestFit="1" customWidth="1"/>
    <col min="56" max="56" width="12" style="54" bestFit="1" customWidth="1"/>
    <col min="57" max="57" width="14.44140625" style="54" bestFit="1" customWidth="1"/>
    <col min="58" max="59" width="12" style="54" bestFit="1" customWidth="1"/>
    <col min="60" max="60" width="13.44140625" style="54" bestFit="1" customWidth="1"/>
    <col min="61" max="61" width="12" style="54" bestFit="1" customWidth="1"/>
    <col min="62" max="63" width="12.44140625" style="54" bestFit="1" customWidth="1"/>
    <col min="64" max="16384" width="8.88671875" style="54"/>
  </cols>
  <sheetData>
    <row r="2" spans="2:60" s="114" customFormat="1" ht="21" x14ac:dyDescent="0.4">
      <c r="B2" s="113" t="s">
        <v>401</v>
      </c>
      <c r="O2" s="113" t="s">
        <v>688</v>
      </c>
    </row>
    <row r="3" spans="2:60" ht="15" thickBot="1" x14ac:dyDescent="0.35">
      <c r="B3" s="97"/>
      <c r="C3" s="655" t="s">
        <v>402</v>
      </c>
      <c r="D3" s="655"/>
      <c r="E3" s="98"/>
      <c r="F3" s="655" t="s">
        <v>403</v>
      </c>
      <c r="G3" s="655"/>
      <c r="J3" s="655" t="s">
        <v>407</v>
      </c>
      <c r="K3" s="655"/>
      <c r="L3" s="655"/>
      <c r="M3" s="112" t="s">
        <v>1</v>
      </c>
      <c r="N3" s="112"/>
      <c r="O3" s="55" t="s">
        <v>426</v>
      </c>
      <c r="Q3" s="55" t="s">
        <v>683</v>
      </c>
      <c r="Y3" s="55" t="s">
        <v>426</v>
      </c>
      <c r="AA3" s="55" t="s">
        <v>685</v>
      </c>
      <c r="AI3" s="55" t="s">
        <v>426</v>
      </c>
      <c r="AK3" s="55" t="s">
        <v>686</v>
      </c>
      <c r="AS3" s="55" t="s">
        <v>426</v>
      </c>
      <c r="AU3" s="55" t="s">
        <v>687</v>
      </c>
      <c r="BC3" s="55" t="s">
        <v>426</v>
      </c>
      <c r="BE3" s="55" t="s">
        <v>685</v>
      </c>
    </row>
    <row r="4" spans="2:60" ht="15.6" thickTop="1" thickBot="1" x14ac:dyDescent="0.35">
      <c r="B4" s="99" t="s">
        <v>404</v>
      </c>
      <c r="C4" s="100" t="s">
        <v>405</v>
      </c>
      <c r="D4" s="100" t="s">
        <v>406</v>
      </c>
      <c r="E4" s="100"/>
      <c r="F4" s="100" t="s">
        <v>405</v>
      </c>
      <c r="G4" s="100" t="s">
        <v>406</v>
      </c>
      <c r="J4" s="100" t="s">
        <v>408</v>
      </c>
      <c r="K4" s="100" t="s">
        <v>416</v>
      </c>
      <c r="L4" s="100" t="s">
        <v>409</v>
      </c>
    </row>
    <row r="5" spans="2:60" x14ac:dyDescent="0.3">
      <c r="B5" s="101">
        <v>43010</v>
      </c>
      <c r="C5" s="54">
        <v>802.23</v>
      </c>
      <c r="D5" s="102">
        <f>C5/C6-1</f>
        <v>-2.7224584172446109E-3</v>
      </c>
      <c r="E5" s="102"/>
      <c r="F5" s="54">
        <v>2529.12</v>
      </c>
      <c r="G5" s="102">
        <f>F5/F6-1</f>
        <v>3.8739997459671383E-3</v>
      </c>
      <c r="J5" s="103">
        <f>STDEV(D5:D593)</f>
        <v>3.8631676225372169E-2</v>
      </c>
      <c r="K5" s="103">
        <f>STDEV(G5:G593)</f>
        <v>2.4541168675703877E-2</v>
      </c>
      <c r="L5" s="103">
        <f>J5/K5</f>
        <v>1.5741579684270743</v>
      </c>
      <c r="O5" s="539" t="s">
        <v>427</v>
      </c>
      <c r="P5" s="539"/>
      <c r="Y5" s="539" t="s">
        <v>427</v>
      </c>
      <c r="Z5" s="539"/>
      <c r="AI5" s="539" t="s">
        <v>427</v>
      </c>
      <c r="AJ5" s="539"/>
      <c r="AS5" s="539" t="s">
        <v>427</v>
      </c>
      <c r="AT5" s="539"/>
      <c r="BC5" s="621" t="s">
        <v>427</v>
      </c>
      <c r="BD5" s="621"/>
    </row>
    <row r="6" spans="2:60" x14ac:dyDescent="0.3">
      <c r="B6" s="101">
        <v>43007</v>
      </c>
      <c r="C6" s="54">
        <v>804.42</v>
      </c>
      <c r="D6" s="102">
        <f t="shared" ref="D6:G21" si="0">C6/C7-1</f>
        <v>-3.3575756073991325E-3</v>
      </c>
      <c r="E6" s="102"/>
      <c r="F6" s="54">
        <v>2519.36</v>
      </c>
      <c r="G6" s="102">
        <f t="shared" si="0"/>
        <v>6.8499172734612923E-3</v>
      </c>
      <c r="O6" s="104" t="s">
        <v>428</v>
      </c>
      <c r="P6" s="542">
        <v>0.39603743345650894</v>
      </c>
      <c r="Q6" s="536"/>
      <c r="R6" s="536"/>
      <c r="S6" s="536"/>
      <c r="T6" s="536"/>
      <c r="U6" s="536"/>
      <c r="V6" s="536"/>
      <c r="W6" s="536"/>
      <c r="Y6" s="104" t="s">
        <v>428</v>
      </c>
      <c r="Z6" s="542">
        <v>0.33503588657527872</v>
      </c>
      <c r="AA6" s="536"/>
      <c r="AB6" s="536"/>
      <c r="AC6" s="536"/>
      <c r="AD6" s="536"/>
      <c r="AE6" s="536"/>
      <c r="AF6" s="536"/>
      <c r="AG6" s="536"/>
      <c r="AI6" s="104" t="s">
        <v>428</v>
      </c>
      <c r="AJ6" s="542">
        <v>0.44498271469508655</v>
      </c>
      <c r="AK6" s="536"/>
      <c r="AL6" s="536"/>
      <c r="AM6" s="536"/>
      <c r="AN6" s="536"/>
      <c r="AO6" s="536"/>
      <c r="AP6" s="536"/>
      <c r="AQ6" s="536"/>
      <c r="AS6" s="104" t="s">
        <v>428</v>
      </c>
      <c r="AT6" s="542">
        <v>0.44870105055818027</v>
      </c>
      <c r="AU6" s="536"/>
      <c r="AV6" s="536"/>
      <c r="AW6" s="536"/>
      <c r="AX6" s="536"/>
      <c r="AY6" s="536"/>
      <c r="AZ6" s="536"/>
      <c r="BA6" s="536"/>
      <c r="BC6" s="104" t="s">
        <v>428</v>
      </c>
      <c r="BD6" s="104">
        <v>0.5919362108954227</v>
      </c>
    </row>
    <row r="7" spans="2:60" x14ac:dyDescent="0.3">
      <c r="B7" s="101">
        <v>43000</v>
      </c>
      <c r="C7" s="54">
        <v>807.13</v>
      </c>
      <c r="D7" s="102">
        <f t="shared" si="0"/>
        <v>1.6256732272714736E-3</v>
      </c>
      <c r="E7" s="102"/>
      <c r="F7" s="54">
        <v>2502.2199999999998</v>
      </c>
      <c r="G7" s="102">
        <f t="shared" si="0"/>
        <v>7.9592677473661055E-4</v>
      </c>
      <c r="I7" s="55" t="s">
        <v>410</v>
      </c>
      <c r="J7" s="654" t="s">
        <v>411</v>
      </c>
      <c r="K7" s="654"/>
      <c r="L7" s="654"/>
      <c r="M7" s="56"/>
      <c r="N7" s="56"/>
      <c r="O7" s="104" t="s">
        <v>429</v>
      </c>
      <c r="P7" s="542">
        <v>0.15684564869881873</v>
      </c>
      <c r="Q7" s="536"/>
      <c r="R7" s="536"/>
      <c r="S7" s="536"/>
      <c r="T7" s="536"/>
      <c r="U7" s="536"/>
      <c r="V7" s="536"/>
      <c r="W7" s="536"/>
      <c r="Y7" s="104" t="s">
        <v>429</v>
      </c>
      <c r="Z7" s="542">
        <v>0.11224904529328303</v>
      </c>
      <c r="AA7" s="536"/>
      <c r="AB7" s="536"/>
      <c r="AC7" s="536"/>
      <c r="AD7" s="536"/>
      <c r="AE7" s="536"/>
      <c r="AF7" s="536"/>
      <c r="AG7" s="536"/>
      <c r="AI7" s="104" t="s">
        <v>429</v>
      </c>
      <c r="AJ7" s="542">
        <v>0.1980096163774088</v>
      </c>
      <c r="AK7" s="536"/>
      <c r="AL7" s="536"/>
      <c r="AM7" s="536"/>
      <c r="AN7" s="536"/>
      <c r="AO7" s="536"/>
      <c r="AP7" s="536"/>
      <c r="AQ7" s="536"/>
      <c r="AS7" s="104" t="s">
        <v>429</v>
      </c>
      <c r="AT7" s="542">
        <v>0.20133263277201463</v>
      </c>
      <c r="AU7" s="536"/>
      <c r="AV7" s="536"/>
      <c r="AW7" s="536"/>
      <c r="AX7" s="536"/>
      <c r="AY7" s="536"/>
      <c r="AZ7" s="536"/>
      <c r="BA7" s="536"/>
      <c r="BC7" s="104" t="s">
        <v>429</v>
      </c>
      <c r="BD7" s="104">
        <v>0.35038847776923032</v>
      </c>
    </row>
    <row r="8" spans="2:60" x14ac:dyDescent="0.3">
      <c r="B8" s="101">
        <v>42993</v>
      </c>
      <c r="C8" s="54">
        <v>805.82</v>
      </c>
      <c r="D8" s="102">
        <f t="shared" si="0"/>
        <v>5.7663504742886396E-3</v>
      </c>
      <c r="E8" s="102"/>
      <c r="F8" s="54">
        <v>2500.23</v>
      </c>
      <c r="G8" s="102">
        <f t="shared" si="0"/>
        <v>1.5763194565760585E-2</v>
      </c>
      <c r="J8" s="54" t="s">
        <v>412</v>
      </c>
      <c r="L8" s="105">
        <v>5.1299999999999998E-2</v>
      </c>
      <c r="M8" s="106" t="s">
        <v>415</v>
      </c>
      <c r="N8" s="106"/>
      <c r="O8" s="104" t="s">
        <v>430</v>
      </c>
      <c r="P8" s="542">
        <v>0.15626932993511319</v>
      </c>
      <c r="Q8" s="536"/>
      <c r="R8" s="536"/>
      <c r="S8" s="536"/>
      <c r="T8" s="536"/>
      <c r="U8" s="536"/>
      <c r="V8" s="536"/>
      <c r="W8" s="536"/>
      <c r="Y8" s="104" t="s">
        <v>430</v>
      </c>
      <c r="Z8" s="542">
        <v>0.10929970657332716</v>
      </c>
      <c r="AA8" s="536"/>
      <c r="AB8" s="536"/>
      <c r="AC8" s="536"/>
      <c r="AD8" s="536"/>
      <c r="AE8" s="536"/>
      <c r="AF8" s="536"/>
      <c r="AG8" s="536"/>
      <c r="AI8" s="104" t="s">
        <v>430</v>
      </c>
      <c r="AJ8" s="542">
        <v>0.18638656733940023</v>
      </c>
      <c r="AK8" s="536"/>
      <c r="AL8" s="536"/>
      <c r="AM8" s="536"/>
      <c r="AN8" s="536"/>
      <c r="AO8" s="536"/>
      <c r="AP8" s="536"/>
      <c r="AQ8" s="536"/>
      <c r="AS8" s="104" t="s">
        <v>430</v>
      </c>
      <c r="AT8" s="542">
        <v>0.165029570625288</v>
      </c>
      <c r="AU8" s="536"/>
      <c r="AV8" s="536"/>
      <c r="AW8" s="536"/>
      <c r="AX8" s="536"/>
      <c r="AY8" s="536"/>
      <c r="AZ8" s="536"/>
      <c r="BA8" s="536"/>
      <c r="BC8" s="104" t="s">
        <v>430</v>
      </c>
      <c r="BD8" s="104">
        <v>0.34904352637744818</v>
      </c>
    </row>
    <row r="9" spans="2:60" x14ac:dyDescent="0.3">
      <c r="B9" s="101">
        <v>42986</v>
      </c>
      <c r="C9" s="54">
        <v>801.2</v>
      </c>
      <c r="D9" s="102">
        <f t="shared" si="0"/>
        <v>1.5810226566759233E-2</v>
      </c>
      <c r="E9" s="102"/>
      <c r="F9" s="54">
        <v>2461.4299999999998</v>
      </c>
      <c r="G9" s="102">
        <f t="shared" si="0"/>
        <v>-6.1052674082898717E-3</v>
      </c>
      <c r="J9" s="54" t="s">
        <v>413</v>
      </c>
      <c r="L9" s="107">
        <f>L5</f>
        <v>1.5741579684270743</v>
      </c>
      <c r="O9" s="104" t="s">
        <v>431</v>
      </c>
      <c r="P9" s="542">
        <v>1.6013875834539289E-2</v>
      </c>
      <c r="Q9" s="536"/>
      <c r="R9" s="536"/>
      <c r="S9" s="536"/>
      <c r="T9" s="536"/>
      <c r="U9" s="536"/>
      <c r="V9" s="536"/>
      <c r="W9" s="536"/>
      <c r="Y9" s="104" t="s">
        <v>431</v>
      </c>
      <c r="Z9" s="542">
        <v>3.4207692904383157E-2</v>
      </c>
      <c r="AA9" s="536"/>
      <c r="AB9" s="536"/>
      <c r="AC9" s="536"/>
      <c r="AD9" s="536"/>
      <c r="AE9" s="536"/>
      <c r="AF9" s="536"/>
      <c r="AG9" s="536"/>
      <c r="AI9" s="104" t="s">
        <v>431</v>
      </c>
      <c r="AJ9" s="542">
        <v>6.2231215732980481E-2</v>
      </c>
      <c r="AK9" s="536"/>
      <c r="AL9" s="536"/>
      <c r="AM9" s="536"/>
      <c r="AN9" s="536"/>
      <c r="AO9" s="536"/>
      <c r="AP9" s="536"/>
      <c r="AQ9" s="536"/>
      <c r="AS9" s="104" t="s">
        <v>431</v>
      </c>
      <c r="AT9" s="542">
        <v>0.12067499733303155</v>
      </c>
      <c r="AU9" s="536"/>
      <c r="AV9" s="536"/>
      <c r="AW9" s="536"/>
      <c r="AX9" s="536"/>
      <c r="AY9" s="536"/>
      <c r="AZ9" s="536"/>
      <c r="BA9" s="536"/>
      <c r="BC9" s="104" t="s">
        <v>431</v>
      </c>
      <c r="BD9" s="104">
        <v>4.4149208834193432E-2</v>
      </c>
    </row>
    <row r="10" spans="2:60" ht="15" thickBot="1" x14ac:dyDescent="0.35">
      <c r="B10" s="101">
        <v>42979</v>
      </c>
      <c r="C10" s="54">
        <v>788.73</v>
      </c>
      <c r="D10" s="102">
        <f t="shared" si="0"/>
        <v>2.2160880214610712E-2</v>
      </c>
      <c r="E10" s="102"/>
      <c r="F10" s="54">
        <v>2476.5500000000002</v>
      </c>
      <c r="G10" s="102">
        <f t="shared" si="0"/>
        <v>1.3712367737050091E-2</v>
      </c>
      <c r="J10" s="40" t="s">
        <v>414</v>
      </c>
      <c r="K10" s="40"/>
      <c r="L10" s="42">
        <f>L9*L8</f>
        <v>8.0754303780308914E-2</v>
      </c>
      <c r="O10" s="108" t="s">
        <v>432</v>
      </c>
      <c r="P10" s="545">
        <v>1465</v>
      </c>
      <c r="Q10" s="536"/>
      <c r="R10" s="536"/>
      <c r="S10" s="536"/>
      <c r="T10" s="536"/>
      <c r="U10" s="536"/>
      <c r="V10" s="536"/>
      <c r="W10" s="536"/>
      <c r="Y10" s="108" t="s">
        <v>432</v>
      </c>
      <c r="Z10" s="545">
        <v>303</v>
      </c>
      <c r="AA10" s="536"/>
      <c r="AB10" s="536"/>
      <c r="AC10" s="536"/>
      <c r="AD10" s="536"/>
      <c r="AE10" s="536"/>
      <c r="AF10" s="536"/>
      <c r="AG10" s="536"/>
      <c r="AI10" s="108" t="s">
        <v>432</v>
      </c>
      <c r="AJ10" s="545">
        <v>71</v>
      </c>
      <c r="AK10" s="536"/>
      <c r="AL10" s="536"/>
      <c r="AM10" s="536"/>
      <c r="AN10" s="536"/>
      <c r="AO10" s="536"/>
      <c r="AP10" s="536"/>
      <c r="AQ10" s="536"/>
      <c r="AS10" s="108" t="s">
        <v>432</v>
      </c>
      <c r="AT10" s="545">
        <v>24</v>
      </c>
      <c r="AU10" s="536"/>
      <c r="AV10" s="536"/>
      <c r="AW10" s="536"/>
      <c r="AX10" s="536"/>
      <c r="AY10" s="536"/>
      <c r="AZ10" s="536"/>
      <c r="BA10" s="536"/>
      <c r="BC10" s="108" t="s">
        <v>432</v>
      </c>
      <c r="BD10" s="108">
        <v>485</v>
      </c>
    </row>
    <row r="11" spans="2:60" x14ac:dyDescent="0.3">
      <c r="B11" s="101">
        <v>42972</v>
      </c>
      <c r="C11" s="54">
        <v>771.63</v>
      </c>
      <c r="D11" s="102">
        <f t="shared" si="0"/>
        <v>3.4591726595314398E-3</v>
      </c>
      <c r="E11" s="102"/>
      <c r="F11" s="54">
        <v>2443.0500000000002</v>
      </c>
      <c r="G11" s="102">
        <f t="shared" si="0"/>
        <v>7.2148584857043563E-3</v>
      </c>
      <c r="P11" s="536"/>
      <c r="Q11" s="536"/>
      <c r="R11" s="536"/>
      <c r="S11" s="536"/>
      <c r="T11" s="536"/>
      <c r="U11" s="536"/>
      <c r="V11" s="536"/>
      <c r="W11" s="536"/>
      <c r="Z11" s="536"/>
      <c r="AA11" s="536"/>
      <c r="AB11" s="536"/>
      <c r="AC11" s="536"/>
      <c r="AD11" s="536"/>
      <c r="AE11" s="536"/>
      <c r="AF11" s="536"/>
      <c r="AG11" s="536"/>
      <c r="AJ11" s="536"/>
      <c r="AK11" s="536"/>
      <c r="AL11" s="536"/>
      <c r="AM11" s="536"/>
      <c r="AN11" s="536"/>
      <c r="AO11" s="536"/>
      <c r="AP11" s="536"/>
      <c r="AQ11" s="536"/>
      <c r="AT11" s="536"/>
      <c r="AU11" s="536"/>
      <c r="AV11" s="536"/>
      <c r="AW11" s="536"/>
      <c r="AX11" s="536"/>
      <c r="AY11" s="536"/>
      <c r="AZ11" s="536"/>
      <c r="BA11" s="536"/>
    </row>
    <row r="12" spans="2:60" ht="15" thickBot="1" x14ac:dyDescent="0.35">
      <c r="B12" s="101">
        <v>42965</v>
      </c>
      <c r="C12" s="54">
        <v>768.97</v>
      </c>
      <c r="D12" s="102">
        <f t="shared" si="0"/>
        <v>-4.0280799917107313E-3</v>
      </c>
      <c r="E12" s="102"/>
      <c r="F12" s="54">
        <v>2425.5500000000002</v>
      </c>
      <c r="G12" s="102">
        <f t="shared" si="0"/>
        <v>-6.4596202054626461E-3</v>
      </c>
      <c r="I12" s="55" t="s">
        <v>714</v>
      </c>
      <c r="J12" s="654" t="s">
        <v>417</v>
      </c>
      <c r="K12" s="654"/>
      <c r="L12" s="654"/>
      <c r="O12" s="54" t="s">
        <v>433</v>
      </c>
      <c r="P12" s="536"/>
      <c r="Q12" s="536"/>
      <c r="R12" s="536"/>
      <c r="S12" s="536"/>
      <c r="T12" s="536"/>
      <c r="U12" s="536"/>
      <c r="V12" s="536"/>
      <c r="W12" s="536"/>
      <c r="Y12" s="54" t="s">
        <v>433</v>
      </c>
      <c r="Z12" s="536"/>
      <c r="AA12" s="536"/>
      <c r="AB12" s="536"/>
      <c r="AC12" s="536"/>
      <c r="AD12" s="536"/>
      <c r="AE12" s="536"/>
      <c r="AF12" s="536"/>
      <c r="AG12" s="536"/>
      <c r="AI12" s="54" t="s">
        <v>433</v>
      </c>
      <c r="AJ12" s="536"/>
      <c r="AK12" s="536"/>
      <c r="AL12" s="536"/>
      <c r="AM12" s="536"/>
      <c r="AN12" s="536"/>
      <c r="AO12" s="536"/>
      <c r="AP12" s="536"/>
      <c r="AQ12" s="536"/>
      <c r="AS12" s="54" t="s">
        <v>433</v>
      </c>
      <c r="AT12" s="536"/>
      <c r="AU12" s="536"/>
      <c r="AV12" s="536"/>
      <c r="AW12" s="536"/>
      <c r="AX12" s="536"/>
      <c r="AY12" s="536"/>
      <c r="AZ12" s="536"/>
      <c r="BA12" s="536"/>
      <c r="BC12" s="54" t="s">
        <v>433</v>
      </c>
    </row>
    <row r="13" spans="2:60" x14ac:dyDescent="0.3">
      <c r="B13" s="101">
        <v>42958</v>
      </c>
      <c r="C13" s="54">
        <v>772.08</v>
      </c>
      <c r="D13" s="102">
        <f t="shared" si="0"/>
        <v>-2.1047826748491039E-2</v>
      </c>
      <c r="E13" s="102"/>
      <c r="F13" s="54">
        <v>2441.3200000000002</v>
      </c>
      <c r="G13" s="102">
        <f t="shared" si="0"/>
        <v>-1.4336874149618595E-2</v>
      </c>
      <c r="J13" s="54" t="s">
        <v>412</v>
      </c>
      <c r="L13" s="105">
        <f>L8</f>
        <v>5.1299999999999998E-2</v>
      </c>
      <c r="O13" s="540"/>
      <c r="P13" s="544" t="s">
        <v>438</v>
      </c>
      <c r="Q13" s="544" t="s">
        <v>439</v>
      </c>
      <c r="R13" s="544" t="s">
        <v>440</v>
      </c>
      <c r="S13" s="544" t="s">
        <v>441</v>
      </c>
      <c r="T13" s="544" t="s">
        <v>442</v>
      </c>
      <c r="U13" s="536"/>
      <c r="V13" s="536"/>
      <c r="W13" s="536"/>
      <c r="Y13" s="540"/>
      <c r="Z13" s="544" t="s">
        <v>438</v>
      </c>
      <c r="AA13" s="544" t="s">
        <v>439</v>
      </c>
      <c r="AB13" s="544" t="s">
        <v>440</v>
      </c>
      <c r="AC13" s="544" t="s">
        <v>441</v>
      </c>
      <c r="AD13" s="544" t="s">
        <v>442</v>
      </c>
      <c r="AE13" s="536"/>
      <c r="AF13" s="536"/>
      <c r="AG13" s="536"/>
      <c r="AI13" s="540"/>
      <c r="AJ13" s="544" t="s">
        <v>438</v>
      </c>
      <c r="AK13" s="544" t="s">
        <v>439</v>
      </c>
      <c r="AL13" s="544" t="s">
        <v>440</v>
      </c>
      <c r="AM13" s="544" t="s">
        <v>441</v>
      </c>
      <c r="AN13" s="544" t="s">
        <v>442</v>
      </c>
      <c r="AO13" s="536"/>
      <c r="AP13" s="536"/>
      <c r="AQ13" s="536"/>
      <c r="AS13" s="540"/>
      <c r="AT13" s="544" t="s">
        <v>438</v>
      </c>
      <c r="AU13" s="544" t="s">
        <v>439</v>
      </c>
      <c r="AV13" s="544" t="s">
        <v>440</v>
      </c>
      <c r="AW13" s="544" t="s">
        <v>441</v>
      </c>
      <c r="AX13" s="544" t="s">
        <v>442</v>
      </c>
      <c r="AY13" s="536"/>
      <c r="AZ13" s="536"/>
      <c r="BA13" s="536"/>
      <c r="BC13" s="622"/>
      <c r="BD13" s="622" t="s">
        <v>438</v>
      </c>
      <c r="BE13" s="622" t="s">
        <v>439</v>
      </c>
      <c r="BF13" s="622" t="s">
        <v>440</v>
      </c>
      <c r="BG13" s="622" t="s">
        <v>441</v>
      </c>
      <c r="BH13" s="622" t="s">
        <v>442</v>
      </c>
    </row>
    <row r="14" spans="2:60" x14ac:dyDescent="0.3">
      <c r="B14" s="101">
        <v>42951</v>
      </c>
      <c r="C14" s="54">
        <v>788.68</v>
      </c>
      <c r="D14" s="102">
        <f t="shared" si="0"/>
        <v>1.4914617354489179E-2</v>
      </c>
      <c r="E14" s="102"/>
      <c r="F14" s="54">
        <v>2476.83</v>
      </c>
      <c r="G14" s="102">
        <f t="shared" si="0"/>
        <v>1.9133530196997484E-3</v>
      </c>
      <c r="J14" s="54" t="s">
        <v>418</v>
      </c>
      <c r="L14" s="105">
        <v>1.89E-2</v>
      </c>
      <c r="M14" s="106" t="s">
        <v>415</v>
      </c>
      <c r="N14" s="106"/>
      <c r="O14" s="104" t="s">
        <v>434</v>
      </c>
      <c r="P14" s="546">
        <v>1</v>
      </c>
      <c r="Q14" s="542">
        <v>6.9791515486637368E-2</v>
      </c>
      <c r="R14" s="542">
        <v>6.9791515486637368E-2</v>
      </c>
      <c r="S14" s="542">
        <v>272.15086264128769</v>
      </c>
      <c r="T14" s="542">
        <v>3.3186490030509876E-56</v>
      </c>
      <c r="U14" s="536"/>
      <c r="V14" s="536"/>
      <c r="W14" s="536"/>
      <c r="Y14" s="104" t="s">
        <v>434</v>
      </c>
      <c r="Z14" s="546">
        <v>1</v>
      </c>
      <c r="AA14" s="542">
        <v>4.4535422106413258E-2</v>
      </c>
      <c r="AB14" s="542">
        <v>4.4535422106413258E-2</v>
      </c>
      <c r="AC14" s="542">
        <v>38.059055249836675</v>
      </c>
      <c r="AD14" s="542">
        <v>2.2097413499465648E-9</v>
      </c>
      <c r="AE14" s="536"/>
      <c r="AF14" s="536"/>
      <c r="AG14" s="536"/>
      <c r="AI14" s="104" t="s">
        <v>434</v>
      </c>
      <c r="AJ14" s="546">
        <v>1</v>
      </c>
      <c r="AK14" s="542">
        <v>6.5975514081350439E-2</v>
      </c>
      <c r="AL14" s="542">
        <v>6.5975514081350439E-2</v>
      </c>
      <c r="AM14" s="542">
        <v>17.035944331809745</v>
      </c>
      <c r="AN14" s="542">
        <v>1.0101987177645375E-4</v>
      </c>
      <c r="AO14" s="536"/>
      <c r="AP14" s="536"/>
      <c r="AQ14" s="536"/>
      <c r="AS14" s="104" t="s">
        <v>434</v>
      </c>
      <c r="AT14" s="546">
        <v>1</v>
      </c>
      <c r="AU14" s="542">
        <v>8.076171065582971E-2</v>
      </c>
      <c r="AV14" s="542">
        <v>8.076171065582971E-2</v>
      </c>
      <c r="AW14" s="542">
        <v>5.5458856875016664</v>
      </c>
      <c r="AX14" s="542">
        <v>2.7857932524075243E-2</v>
      </c>
      <c r="AY14" s="536"/>
      <c r="AZ14" s="536"/>
      <c r="BA14" s="536"/>
      <c r="BC14" s="104" t="s">
        <v>434</v>
      </c>
      <c r="BD14" s="104">
        <v>1</v>
      </c>
      <c r="BE14" s="104">
        <v>0.50779576933602921</v>
      </c>
      <c r="BF14" s="104">
        <v>0.50779576933602921</v>
      </c>
      <c r="BG14" s="104">
        <v>260.52129460600582</v>
      </c>
      <c r="BH14" s="104">
        <v>3.4809308301551138E-47</v>
      </c>
    </row>
    <row r="15" spans="2:60" x14ac:dyDescent="0.3">
      <c r="B15" s="101">
        <v>42944</v>
      </c>
      <c r="C15" s="54">
        <v>777.09</v>
      </c>
      <c r="D15" s="102">
        <f t="shared" si="0"/>
        <v>1.9990549444779848E-2</v>
      </c>
      <c r="E15" s="102"/>
      <c r="F15" s="54">
        <v>2472.1</v>
      </c>
      <c r="G15" s="102">
        <f t="shared" si="0"/>
        <v>-1.7795465391867715E-4</v>
      </c>
      <c r="J15" s="54" t="s">
        <v>413</v>
      </c>
      <c r="L15" s="107">
        <v>1</v>
      </c>
      <c r="O15" s="104" t="s">
        <v>435</v>
      </c>
      <c r="P15" s="546">
        <v>1463</v>
      </c>
      <c r="Q15" s="542">
        <v>0.37517789275403252</v>
      </c>
      <c r="R15" s="542">
        <v>2.5644421924404136E-4</v>
      </c>
      <c r="S15" s="542"/>
      <c r="T15" s="542"/>
      <c r="U15" s="536"/>
      <c r="V15" s="536"/>
      <c r="W15" s="536"/>
      <c r="Y15" s="104" t="s">
        <v>435</v>
      </c>
      <c r="Z15" s="546">
        <v>301</v>
      </c>
      <c r="AA15" s="542">
        <v>0.35222004240601634</v>
      </c>
      <c r="AB15" s="542">
        <v>1.1701662538405857E-3</v>
      </c>
      <c r="AC15" s="542"/>
      <c r="AD15" s="542"/>
      <c r="AE15" s="536"/>
      <c r="AF15" s="536"/>
      <c r="AG15" s="536"/>
      <c r="AI15" s="104" t="s">
        <v>435</v>
      </c>
      <c r="AJ15" s="546">
        <v>69</v>
      </c>
      <c r="AK15" s="542">
        <v>0.26721797060072827</v>
      </c>
      <c r="AL15" s="542">
        <v>3.8727242116047577E-3</v>
      </c>
      <c r="AM15" s="542"/>
      <c r="AN15" s="542"/>
      <c r="AO15" s="536"/>
      <c r="AP15" s="536"/>
      <c r="AQ15" s="536"/>
      <c r="AS15" s="104" t="s">
        <v>435</v>
      </c>
      <c r="AT15" s="546">
        <v>22</v>
      </c>
      <c r="AU15" s="542">
        <v>0.32037400958919776</v>
      </c>
      <c r="AV15" s="542">
        <v>1.4562454981327171E-2</v>
      </c>
      <c r="AW15" s="542"/>
      <c r="AX15" s="542"/>
      <c r="AY15" s="536"/>
      <c r="AZ15" s="536"/>
      <c r="BA15" s="536"/>
      <c r="BC15" s="104" t="s">
        <v>435</v>
      </c>
      <c r="BD15" s="104">
        <v>483</v>
      </c>
      <c r="BE15" s="104">
        <v>0.9414407254509628</v>
      </c>
      <c r="BF15" s="104">
        <v>1.9491526406852232E-3</v>
      </c>
      <c r="BG15" s="104"/>
      <c r="BH15" s="104"/>
    </row>
    <row r="16" spans="2:60" ht="15" thickBot="1" x14ac:dyDescent="0.35">
      <c r="B16" s="101">
        <v>42937</v>
      </c>
      <c r="C16" s="54">
        <v>761.86</v>
      </c>
      <c r="D16" s="102">
        <f t="shared" si="0"/>
        <v>-2.024176954732515E-2</v>
      </c>
      <c r="E16" s="102"/>
      <c r="F16" s="54">
        <v>2472.54</v>
      </c>
      <c r="G16" s="102">
        <f t="shared" si="0"/>
        <v>5.3959101684646349E-3</v>
      </c>
      <c r="J16" s="40" t="s">
        <v>414</v>
      </c>
      <c r="K16" s="41"/>
      <c r="L16" s="42">
        <f>L13+L14*L15</f>
        <v>7.0199999999999999E-2</v>
      </c>
      <c r="O16" s="108" t="s">
        <v>436</v>
      </c>
      <c r="P16" s="545">
        <v>1464</v>
      </c>
      <c r="Q16" s="543">
        <v>0.44496940824066988</v>
      </c>
      <c r="R16" s="543"/>
      <c r="S16" s="543"/>
      <c r="T16" s="543"/>
      <c r="U16" s="536"/>
      <c r="V16" s="536"/>
      <c r="W16" s="536"/>
      <c r="Y16" s="108" t="s">
        <v>436</v>
      </c>
      <c r="Z16" s="545">
        <v>302</v>
      </c>
      <c r="AA16" s="543">
        <v>0.3967554645124296</v>
      </c>
      <c r="AB16" s="543"/>
      <c r="AC16" s="543"/>
      <c r="AD16" s="543"/>
      <c r="AE16" s="536"/>
      <c r="AF16" s="536"/>
      <c r="AG16" s="536"/>
      <c r="AI16" s="108" t="s">
        <v>436</v>
      </c>
      <c r="AJ16" s="545">
        <v>70</v>
      </c>
      <c r="AK16" s="543">
        <v>0.33319348468207871</v>
      </c>
      <c r="AL16" s="543"/>
      <c r="AM16" s="543"/>
      <c r="AN16" s="543"/>
      <c r="AO16" s="536"/>
      <c r="AP16" s="536"/>
      <c r="AQ16" s="536"/>
      <c r="AS16" s="108" t="s">
        <v>436</v>
      </c>
      <c r="AT16" s="545">
        <v>23</v>
      </c>
      <c r="AU16" s="543">
        <v>0.40113572024502747</v>
      </c>
      <c r="AV16" s="543"/>
      <c r="AW16" s="543"/>
      <c r="AX16" s="543"/>
      <c r="AY16" s="536"/>
      <c r="AZ16" s="536"/>
      <c r="BA16" s="536"/>
      <c r="BC16" s="108" t="s">
        <v>436</v>
      </c>
      <c r="BD16" s="108">
        <v>484</v>
      </c>
      <c r="BE16" s="108">
        <v>1.449236494786992</v>
      </c>
      <c r="BF16" s="108"/>
      <c r="BG16" s="108"/>
      <c r="BH16" s="108"/>
    </row>
    <row r="17" spans="2:63" ht="15" thickBot="1" x14ac:dyDescent="0.35">
      <c r="B17" s="101">
        <v>42930</v>
      </c>
      <c r="C17" s="54">
        <v>777.6</v>
      </c>
      <c r="D17" s="102">
        <f t="shared" si="0"/>
        <v>2.4106325654544847E-3</v>
      </c>
      <c r="E17" s="102"/>
      <c r="F17" s="54">
        <v>2459.27</v>
      </c>
      <c r="G17" s="102">
        <f t="shared" si="0"/>
        <v>1.4056688575693421E-2</v>
      </c>
      <c r="P17" s="234"/>
      <c r="Q17" s="536"/>
      <c r="R17" s="536"/>
      <c r="S17" s="536"/>
      <c r="T17" s="536"/>
      <c r="U17" s="536"/>
      <c r="V17" s="536"/>
      <c r="W17" s="536"/>
      <c r="Z17" s="536"/>
      <c r="AA17" s="536"/>
      <c r="AB17" s="536"/>
      <c r="AC17" s="536"/>
      <c r="AD17" s="536"/>
      <c r="AE17" s="536"/>
      <c r="AF17" s="536"/>
      <c r="AG17" s="536"/>
      <c r="AJ17" s="536"/>
      <c r="AK17" s="536"/>
      <c r="AL17" s="536"/>
      <c r="AM17" s="536"/>
      <c r="AN17" s="536"/>
      <c r="AO17" s="536"/>
      <c r="AP17" s="536"/>
      <c r="AQ17" s="536"/>
      <c r="AT17" s="536"/>
      <c r="AU17" s="536"/>
      <c r="AV17" s="536"/>
      <c r="AW17" s="536"/>
      <c r="AX17" s="536"/>
      <c r="AY17" s="536"/>
      <c r="AZ17" s="536"/>
      <c r="BA17" s="536"/>
    </row>
    <row r="18" spans="2:63" x14ac:dyDescent="0.3">
      <c r="B18" s="101">
        <v>42923</v>
      </c>
      <c r="C18" s="54">
        <v>775.73</v>
      </c>
      <c r="D18" s="102">
        <f t="shared" si="0"/>
        <v>-9.5303102502353187E-4</v>
      </c>
      <c r="E18" s="102"/>
      <c r="F18" s="54">
        <v>2425.1799999999998</v>
      </c>
      <c r="G18" s="102">
        <f t="shared" si="0"/>
        <v>7.3037579278789622E-4</v>
      </c>
      <c r="I18" s="55" t="s">
        <v>713</v>
      </c>
      <c r="J18" s="654" t="s">
        <v>419</v>
      </c>
      <c r="K18" s="654"/>
      <c r="L18" s="654"/>
      <c r="O18" s="540"/>
      <c r="P18" s="544" t="s">
        <v>443</v>
      </c>
      <c r="Q18" s="544" t="s">
        <v>431</v>
      </c>
      <c r="R18" s="544" t="s">
        <v>444</v>
      </c>
      <c r="S18" s="544" t="s">
        <v>445</v>
      </c>
      <c r="T18" s="544" t="s">
        <v>446</v>
      </c>
      <c r="U18" s="544" t="s">
        <v>447</v>
      </c>
      <c r="V18" s="544" t="s">
        <v>448</v>
      </c>
      <c r="W18" s="544" t="s">
        <v>449</v>
      </c>
      <c r="Y18" s="540"/>
      <c r="Z18" s="544" t="s">
        <v>443</v>
      </c>
      <c r="AA18" s="544" t="s">
        <v>431</v>
      </c>
      <c r="AB18" s="544" t="s">
        <v>444</v>
      </c>
      <c r="AC18" s="544" t="s">
        <v>445</v>
      </c>
      <c r="AD18" s="544" t="s">
        <v>446</v>
      </c>
      <c r="AE18" s="544" t="s">
        <v>447</v>
      </c>
      <c r="AF18" s="544" t="s">
        <v>448</v>
      </c>
      <c r="AG18" s="544" t="s">
        <v>449</v>
      </c>
      <c r="AI18" s="540"/>
      <c r="AJ18" s="544" t="s">
        <v>443</v>
      </c>
      <c r="AK18" s="544" t="s">
        <v>431</v>
      </c>
      <c r="AL18" s="544" t="s">
        <v>444</v>
      </c>
      <c r="AM18" s="544" t="s">
        <v>445</v>
      </c>
      <c r="AN18" s="544" t="s">
        <v>446</v>
      </c>
      <c r="AO18" s="544" t="s">
        <v>447</v>
      </c>
      <c r="AP18" s="544" t="s">
        <v>448</v>
      </c>
      <c r="AQ18" s="544" t="s">
        <v>449</v>
      </c>
      <c r="AS18" s="540"/>
      <c r="AT18" s="544" t="s">
        <v>443</v>
      </c>
      <c r="AU18" s="544" t="s">
        <v>431</v>
      </c>
      <c r="AV18" s="544" t="s">
        <v>444</v>
      </c>
      <c r="AW18" s="544" t="s">
        <v>445</v>
      </c>
      <c r="AX18" s="544" t="s">
        <v>446</v>
      </c>
      <c r="AY18" s="544" t="s">
        <v>447</v>
      </c>
      <c r="AZ18" s="544" t="s">
        <v>448</v>
      </c>
      <c r="BA18" s="544" t="s">
        <v>449</v>
      </c>
      <c r="BC18" s="622"/>
      <c r="BD18" s="622" t="s">
        <v>443</v>
      </c>
      <c r="BE18" s="622" t="s">
        <v>431</v>
      </c>
      <c r="BF18" s="622" t="s">
        <v>444</v>
      </c>
      <c r="BG18" s="622" t="s">
        <v>445</v>
      </c>
      <c r="BH18" s="622" t="s">
        <v>446</v>
      </c>
      <c r="BI18" s="622" t="s">
        <v>447</v>
      </c>
      <c r="BJ18" s="622" t="s">
        <v>448</v>
      </c>
      <c r="BK18" s="622" t="s">
        <v>449</v>
      </c>
    </row>
    <row r="19" spans="2:63" x14ac:dyDescent="0.3">
      <c r="B19" s="101">
        <v>42916</v>
      </c>
      <c r="C19" s="54">
        <v>776.47</v>
      </c>
      <c r="D19" s="102">
        <f t="shared" si="0"/>
        <v>9.7007841250438265E-3</v>
      </c>
      <c r="E19" s="102"/>
      <c r="F19" s="54">
        <v>2423.41</v>
      </c>
      <c r="G19" s="102">
        <f t="shared" si="0"/>
        <v>-6.1067136939672029E-3</v>
      </c>
      <c r="J19" s="54" t="s">
        <v>412</v>
      </c>
      <c r="L19" s="105">
        <f>L8</f>
        <v>5.1299999999999998E-2</v>
      </c>
      <c r="O19" s="104" t="s">
        <v>437</v>
      </c>
      <c r="P19" s="542">
        <v>2.9268010759616415E-4</v>
      </c>
      <c r="Q19" s="542">
        <v>4.1890137536711771E-4</v>
      </c>
      <c r="R19" s="542">
        <v>0.69868500035280268</v>
      </c>
      <c r="S19" s="542">
        <v>0.48485995722885222</v>
      </c>
      <c r="T19" s="542">
        <v>-5.2903130731435854E-4</v>
      </c>
      <c r="U19" s="542">
        <v>1.1143915225066867E-3</v>
      </c>
      <c r="V19" s="542">
        <v>-5.2903130731435854E-4</v>
      </c>
      <c r="W19" s="542">
        <v>1.1143915225066867E-3</v>
      </c>
      <c r="Y19" s="104" t="s">
        <v>437</v>
      </c>
      <c r="Z19" s="542">
        <v>2.075000643217913E-3</v>
      </c>
      <c r="AA19" s="542">
        <v>1.9768350368962934E-3</v>
      </c>
      <c r="AB19" s="542">
        <v>1.04965796563164</v>
      </c>
      <c r="AC19" s="542">
        <v>0.29471742727996586</v>
      </c>
      <c r="AD19" s="542">
        <v>-1.8151666321136023E-3</v>
      </c>
      <c r="AE19" s="542">
        <v>5.9651679185494279E-3</v>
      </c>
      <c r="AF19" s="542">
        <v>-1.8151666321136023E-3</v>
      </c>
      <c r="AG19" s="542">
        <v>5.9651679185494279E-3</v>
      </c>
      <c r="AI19" s="104" t="s">
        <v>437</v>
      </c>
      <c r="AJ19" s="542">
        <v>9.3591544021853837E-3</v>
      </c>
      <c r="AK19" s="542">
        <v>7.567272168251195E-3</v>
      </c>
      <c r="AL19" s="542">
        <v>1.2367936812755467</v>
      </c>
      <c r="AM19" s="542">
        <v>0.22035677861298825</v>
      </c>
      <c r="AN19" s="542">
        <v>-5.7371405147359274E-3</v>
      </c>
      <c r="AO19" s="542">
        <v>2.4455449319106697E-2</v>
      </c>
      <c r="AP19" s="542">
        <v>-5.7371405147359274E-3</v>
      </c>
      <c r="AQ19" s="542">
        <v>2.4455449319106697E-2</v>
      </c>
      <c r="AS19" s="104" t="s">
        <v>437</v>
      </c>
      <c r="AT19" s="542">
        <v>1.9621619069520885E-2</v>
      </c>
      <c r="AU19" s="542">
        <v>2.7076125105338494E-2</v>
      </c>
      <c r="AV19" s="542">
        <v>0.72468342472136704</v>
      </c>
      <c r="AW19" s="542">
        <v>0.47628363031498155</v>
      </c>
      <c r="AX19" s="542">
        <v>-3.653082756964067E-2</v>
      </c>
      <c r="AY19" s="542">
        <v>7.5774065708682448E-2</v>
      </c>
      <c r="AZ19" s="542">
        <v>-3.653082756964067E-2</v>
      </c>
      <c r="BA19" s="542">
        <v>7.5774065708682448E-2</v>
      </c>
      <c r="BC19" s="104" t="s">
        <v>437</v>
      </c>
      <c r="BD19" s="104">
        <v>4.7520652409078056E-3</v>
      </c>
      <c r="BE19" s="104">
        <v>2.0059927920091317E-3</v>
      </c>
      <c r="BF19" s="104">
        <v>2.3689343550174495</v>
      </c>
      <c r="BG19" s="104">
        <v>1.8231865180863241E-2</v>
      </c>
      <c r="BH19" s="104">
        <v>8.1051479673303461E-4</v>
      </c>
      <c r="BI19" s="104">
        <v>8.6936156850825758E-3</v>
      </c>
      <c r="BJ19" s="104">
        <v>8.1051479673303461E-4</v>
      </c>
      <c r="BK19" s="104">
        <v>8.6936156850825758E-3</v>
      </c>
    </row>
    <row r="20" spans="2:63" ht="15" thickBot="1" x14ac:dyDescent="0.35">
      <c r="B20" s="101">
        <v>42909</v>
      </c>
      <c r="C20" s="54">
        <v>769.01</v>
      </c>
      <c r="D20" s="102">
        <f t="shared" si="0"/>
        <v>1.0207030634228342E-2</v>
      </c>
      <c r="E20" s="102"/>
      <c r="F20" s="54">
        <v>2438.3000000000002</v>
      </c>
      <c r="G20" s="102">
        <f t="shared" si="0"/>
        <v>2.1165978258637086E-3</v>
      </c>
      <c r="J20" s="56" t="s">
        <v>418</v>
      </c>
      <c r="L20" s="105">
        <f>L14</f>
        <v>1.89E-2</v>
      </c>
      <c r="M20" s="582"/>
      <c r="O20" s="108" t="s">
        <v>450</v>
      </c>
      <c r="P20" s="543">
        <v>0.67177502860897453</v>
      </c>
      <c r="Q20" s="543">
        <v>4.0721052872903646E-2</v>
      </c>
      <c r="R20" s="543">
        <v>16.496995564080393</v>
      </c>
      <c r="S20" s="543">
        <v>3.3186490030503238E-56</v>
      </c>
      <c r="T20" s="543">
        <v>0.59189714818063921</v>
      </c>
      <c r="U20" s="543">
        <v>0.75165290903730986</v>
      </c>
      <c r="V20" s="543">
        <v>0.59189714818063921</v>
      </c>
      <c r="W20" s="543">
        <v>0.75165290903730986</v>
      </c>
      <c r="Y20" s="108" t="s">
        <v>450</v>
      </c>
      <c r="Z20" s="543">
        <v>0.52688705699350569</v>
      </c>
      <c r="AA20" s="543">
        <v>8.5406028788345412E-2</v>
      </c>
      <c r="AB20" s="543">
        <v>6.16920215666795</v>
      </c>
      <c r="AC20" s="543">
        <v>2.2097413499467328E-9</v>
      </c>
      <c r="AD20" s="543">
        <v>0.35881853731060998</v>
      </c>
      <c r="AE20" s="543">
        <v>0.6949555766764014</v>
      </c>
      <c r="AF20" s="543">
        <v>0.35881853731060998</v>
      </c>
      <c r="AG20" s="543">
        <v>0.6949555766764014</v>
      </c>
      <c r="AI20" s="108" t="s">
        <v>450</v>
      </c>
      <c r="AJ20" s="543">
        <v>0.62959976771512849</v>
      </c>
      <c r="AK20" s="543">
        <v>0.15253919600018154</v>
      </c>
      <c r="AL20" s="543">
        <v>4.1274622144617776</v>
      </c>
      <c r="AM20" s="543">
        <v>1.0101987177645478E-4</v>
      </c>
      <c r="AN20" s="543">
        <v>0.32529239803042237</v>
      </c>
      <c r="AO20" s="543">
        <v>0.93390713739983466</v>
      </c>
      <c r="AP20" s="543">
        <v>0.32529239803042237</v>
      </c>
      <c r="AQ20" s="543">
        <v>0.93390713739983466</v>
      </c>
      <c r="AS20" s="108" t="s">
        <v>450</v>
      </c>
      <c r="AT20" s="543">
        <v>0.74996312006894972</v>
      </c>
      <c r="AU20" s="543">
        <v>0.31845967708553385</v>
      </c>
      <c r="AV20" s="543">
        <v>2.3549704217891296</v>
      </c>
      <c r="AW20" s="543">
        <v>2.7857932524075125E-2</v>
      </c>
      <c r="AX20" s="543">
        <v>8.9518172547848218E-2</v>
      </c>
      <c r="AY20" s="543">
        <v>1.4104080675900512</v>
      </c>
      <c r="AZ20" s="543">
        <v>8.9518172547848218E-2</v>
      </c>
      <c r="BA20" s="543">
        <v>1.4104080675900512</v>
      </c>
      <c r="BC20" s="108" t="s">
        <v>450</v>
      </c>
      <c r="BD20" s="623">
        <v>0.96186662489074648</v>
      </c>
      <c r="BE20" s="108">
        <v>5.9592724590956415E-2</v>
      </c>
      <c r="BF20" s="108">
        <v>16.140672061782453</v>
      </c>
      <c r="BG20" s="108">
        <v>3.4809308301564041E-47</v>
      </c>
      <c r="BH20" s="108">
        <v>0.84477361687160313</v>
      </c>
      <c r="BI20" s="108">
        <v>1.0789596329098898</v>
      </c>
      <c r="BJ20" s="108">
        <v>0.84477361687160313</v>
      </c>
      <c r="BK20" s="108">
        <v>1.0789596329098898</v>
      </c>
    </row>
    <row r="21" spans="2:63" x14ac:dyDescent="0.3">
      <c r="B21" s="101">
        <v>42902</v>
      </c>
      <c r="C21" s="54">
        <v>761.24</v>
      </c>
      <c r="D21" s="102">
        <f t="shared" si="0"/>
        <v>1.5365736541642194E-2</v>
      </c>
      <c r="E21" s="102"/>
      <c r="F21" s="54">
        <v>2433.15</v>
      </c>
      <c r="G21" s="102">
        <f t="shared" si="0"/>
        <v>5.6748787919924659E-4</v>
      </c>
      <c r="J21" s="54" t="s">
        <v>413</v>
      </c>
      <c r="L21" s="54">
        <v>1.1499999999999999</v>
      </c>
    </row>
    <row r="22" spans="2:63" x14ac:dyDescent="0.3">
      <c r="B22" s="101">
        <v>42895</v>
      </c>
      <c r="C22" s="54">
        <v>749.72</v>
      </c>
      <c r="D22" s="102">
        <f t="shared" ref="D22:G37" si="1">C22/C23-1</f>
        <v>1.4766990159851723E-2</v>
      </c>
      <c r="E22" s="102"/>
      <c r="F22" s="54">
        <v>2431.77</v>
      </c>
      <c r="G22" s="102">
        <f t="shared" si="1"/>
        <v>-2.9929440319467204E-3</v>
      </c>
      <c r="J22" s="40" t="s">
        <v>414</v>
      </c>
      <c r="K22" s="41"/>
      <c r="L22" s="42">
        <f>L19+L20*L21</f>
        <v>7.3034999999999989E-2</v>
      </c>
      <c r="O22" s="41"/>
      <c r="P22" s="548" t="s">
        <v>683</v>
      </c>
      <c r="Q22" s="548" t="s">
        <v>685</v>
      </c>
      <c r="R22" s="40" t="s">
        <v>686</v>
      </c>
      <c r="S22" s="40" t="s">
        <v>687</v>
      </c>
      <c r="T22" s="40" t="s">
        <v>690</v>
      </c>
    </row>
    <row r="23" spans="2:63" x14ac:dyDescent="0.3">
      <c r="B23" s="101">
        <v>42888</v>
      </c>
      <c r="C23" s="54">
        <v>738.81</v>
      </c>
      <c r="D23" s="102">
        <f t="shared" si="1"/>
        <v>-6.1877026136317737E-3</v>
      </c>
      <c r="E23" s="102"/>
      <c r="F23" s="54">
        <v>2439.0700000000002</v>
      </c>
      <c r="G23" s="102">
        <f t="shared" si="1"/>
        <v>9.6240613953026966E-3</v>
      </c>
      <c r="O23" s="144" t="s">
        <v>429</v>
      </c>
      <c r="P23" s="547">
        <f>P7</f>
        <v>0.15684564869881873</v>
      </c>
      <c r="Q23" s="547">
        <f>Z7</f>
        <v>0.11224904529328303</v>
      </c>
      <c r="R23" s="547">
        <f>AJ7</f>
        <v>0.1980096163774088</v>
      </c>
      <c r="S23" s="547">
        <f>AT7</f>
        <v>0.20133263277201463</v>
      </c>
      <c r="T23" s="624">
        <f>BD7</f>
        <v>0.35038847776923032</v>
      </c>
    </row>
    <row r="24" spans="2:63" x14ac:dyDescent="0.3">
      <c r="B24" s="101">
        <v>42881</v>
      </c>
      <c r="C24" s="54">
        <v>743.41</v>
      </c>
      <c r="D24" s="102">
        <f t="shared" si="1"/>
        <v>1.3068599929137781E-2</v>
      </c>
      <c r="E24" s="102"/>
      <c r="F24" s="54">
        <v>2415.8200000000002</v>
      </c>
      <c r="G24" s="102">
        <f t="shared" si="1"/>
        <v>1.431312533326623E-2</v>
      </c>
      <c r="J24" s="30" t="s">
        <v>420</v>
      </c>
      <c r="K24" s="30"/>
      <c r="L24" s="43">
        <f>AVERAGE(L10,L16,L22)</f>
        <v>7.4663101260102963E-2</v>
      </c>
      <c r="O24" s="161" t="s">
        <v>423</v>
      </c>
      <c r="P24" s="162">
        <f>P20</f>
        <v>0.67177502860897453</v>
      </c>
      <c r="Q24" s="162">
        <f>Z20</f>
        <v>0.52688705699350569</v>
      </c>
      <c r="R24" s="162">
        <f>AJ20</f>
        <v>0.62959976771512849</v>
      </c>
      <c r="S24" s="162">
        <f>AT20</f>
        <v>0.74996312006894972</v>
      </c>
      <c r="T24" s="162">
        <f>BD20</f>
        <v>0.96186662489074648</v>
      </c>
    </row>
    <row r="25" spans="2:63" x14ac:dyDescent="0.3">
      <c r="B25" s="101">
        <v>42874</v>
      </c>
      <c r="C25" s="54">
        <v>733.82</v>
      </c>
      <c r="D25" s="102">
        <f t="shared" si="1"/>
        <v>1.16492272908999E-2</v>
      </c>
      <c r="E25" s="102"/>
      <c r="F25" s="54">
        <v>2381.73</v>
      </c>
      <c r="G25" s="102">
        <f t="shared" si="1"/>
        <v>-3.8353757999080029E-3</v>
      </c>
      <c r="O25" s="161" t="s">
        <v>424</v>
      </c>
      <c r="P25" s="163">
        <f>SUM('Raw Data'!R87:AN87,'Raw Data'!R101:AN101)/SUM('Raw Data'!R105:AN105)</f>
        <v>0.20823286093448137</v>
      </c>
      <c r="Q25" s="541">
        <f>P25</f>
        <v>0.20823286093448137</v>
      </c>
      <c r="R25" s="163">
        <f>Q25</f>
        <v>0.20823286093448137</v>
      </c>
      <c r="S25" s="163">
        <f>R25</f>
        <v>0.20823286093448137</v>
      </c>
      <c r="T25" s="163">
        <f>10856026216192/45999947030528</f>
        <v>0.23600084167460816</v>
      </c>
    </row>
    <row r="26" spans="2:63" x14ac:dyDescent="0.3">
      <c r="B26" s="101">
        <v>42867</v>
      </c>
      <c r="C26" s="54">
        <v>725.37</v>
      </c>
      <c r="D26" s="102">
        <f t="shared" si="1"/>
        <v>7.4583333333333446E-3</v>
      </c>
      <c r="E26" s="102"/>
      <c r="F26" s="54">
        <v>2390.9</v>
      </c>
      <c r="G26" s="102">
        <f t="shared" si="1"/>
        <v>-3.4968678233977535E-3</v>
      </c>
      <c r="N26" s="106"/>
      <c r="O26" s="161" t="s">
        <v>425</v>
      </c>
      <c r="P26" s="163">
        <f>Input!N70</f>
        <v>0.2</v>
      </c>
      <c r="Q26" s="163">
        <f>P26</f>
        <v>0.2</v>
      </c>
      <c r="R26" s="163">
        <f t="shared" ref="R26:S26" si="2">Q26</f>
        <v>0.2</v>
      </c>
      <c r="S26" s="163">
        <f t="shared" si="2"/>
        <v>0.2</v>
      </c>
      <c r="T26" s="163">
        <f>S26</f>
        <v>0.2</v>
      </c>
      <c r="U26" s="106"/>
      <c r="V26" s="106"/>
      <c r="W26" s="106"/>
    </row>
    <row r="27" spans="2:63" x14ac:dyDescent="0.3">
      <c r="B27" s="101">
        <v>42860</v>
      </c>
      <c r="C27" s="54">
        <v>720</v>
      </c>
      <c r="D27" s="102">
        <f t="shared" si="1"/>
        <v>3.1627492232455534E-3</v>
      </c>
      <c r="E27" s="102"/>
      <c r="F27" s="54">
        <v>2399.29</v>
      </c>
      <c r="G27" s="102">
        <f t="shared" si="1"/>
        <v>6.3291670161900182E-3</v>
      </c>
      <c r="O27" s="44" t="s">
        <v>277</v>
      </c>
      <c r="P27" s="45">
        <f>P24/(1+P25*(1-P26))</f>
        <v>0.57584684055405255</v>
      </c>
      <c r="Q27" s="45">
        <f>Q24/(1+P25*(1-Q26))</f>
        <v>0.45164859391512063</v>
      </c>
      <c r="R27" s="45">
        <f>R24/(1+R25*(1-R26))</f>
        <v>0.53969412617651236</v>
      </c>
      <c r="S27" s="45">
        <f>S24/(1+S25*(1-S26))</f>
        <v>0.64286982223500111</v>
      </c>
      <c r="T27" s="45">
        <f>T24/(1+T25*(1-T26))</f>
        <v>0.80910672954834695</v>
      </c>
    </row>
    <row r="28" spans="2:63" x14ac:dyDescent="0.3">
      <c r="B28" s="101">
        <v>42853</v>
      </c>
      <c r="C28" s="54">
        <v>717.73</v>
      </c>
      <c r="D28" s="102">
        <f t="shared" si="1"/>
        <v>7.4676099437123167E-3</v>
      </c>
      <c r="E28" s="102"/>
      <c r="F28" s="54">
        <v>2384.1999999999998</v>
      </c>
      <c r="G28" s="102">
        <f t="shared" si="1"/>
        <v>1.5119066373169732E-2</v>
      </c>
      <c r="Y28" s="55" t="s">
        <v>685</v>
      </c>
      <c r="AI28" s="55" t="s">
        <v>686</v>
      </c>
      <c r="AJ28" s="55"/>
      <c r="AK28" s="55"/>
      <c r="AL28" s="55"/>
      <c r="AM28" s="55"/>
      <c r="AN28" s="55"/>
      <c r="AS28" s="55" t="s">
        <v>687</v>
      </c>
      <c r="AT28" s="55"/>
      <c r="AU28" s="55"/>
      <c r="AV28" s="55"/>
      <c r="AW28" s="55"/>
      <c r="BC28" s="55" t="s">
        <v>685</v>
      </c>
      <c r="BD28" s="55"/>
      <c r="BE28" s="55"/>
      <c r="BF28" s="55"/>
      <c r="BG28" s="55"/>
    </row>
    <row r="29" spans="2:63" x14ac:dyDescent="0.3">
      <c r="B29" s="101">
        <v>42846</v>
      </c>
      <c r="C29" s="54">
        <v>712.41</v>
      </c>
      <c r="D29" s="102">
        <f t="shared" si="1"/>
        <v>-8.4069872642494881E-3</v>
      </c>
      <c r="E29" s="102"/>
      <c r="F29" s="54">
        <v>2348.69</v>
      </c>
      <c r="G29" s="102">
        <f t="shared" si="1"/>
        <v>8.4759226260762155E-3</v>
      </c>
      <c r="O29" s="55" t="s">
        <v>683</v>
      </c>
      <c r="Y29" s="109" t="s">
        <v>422</v>
      </c>
      <c r="Z29" s="653" t="s">
        <v>405</v>
      </c>
      <c r="AA29" s="653"/>
      <c r="AB29" s="653" t="s">
        <v>421</v>
      </c>
      <c r="AC29" s="653"/>
      <c r="AI29" s="109" t="s">
        <v>422</v>
      </c>
      <c r="AJ29" s="653" t="s">
        <v>405</v>
      </c>
      <c r="AK29" s="653"/>
      <c r="AL29" s="653" t="s">
        <v>421</v>
      </c>
      <c r="AM29" s="653"/>
      <c r="AS29" s="109" t="s">
        <v>422</v>
      </c>
      <c r="AT29" s="653" t="s">
        <v>405</v>
      </c>
      <c r="AU29" s="653"/>
      <c r="AV29" s="653" t="s">
        <v>421</v>
      </c>
      <c r="AW29" s="653"/>
      <c r="BC29" s="109" t="s">
        <v>422</v>
      </c>
      <c r="BD29" s="653" t="s">
        <v>405</v>
      </c>
      <c r="BE29" s="653"/>
      <c r="BF29" s="653" t="s">
        <v>421</v>
      </c>
      <c r="BG29" s="653"/>
    </row>
    <row r="30" spans="2:63" x14ac:dyDescent="0.3">
      <c r="B30" s="101">
        <v>42839</v>
      </c>
      <c r="C30" s="54">
        <v>718.45</v>
      </c>
      <c r="D30" s="102">
        <f t="shared" si="1"/>
        <v>-1.3050346864482476E-2</v>
      </c>
      <c r="E30" s="102"/>
      <c r="F30" s="54">
        <v>2328.9499999999998</v>
      </c>
      <c r="G30" s="102">
        <f t="shared" si="1"/>
        <v>-1.1288282092428936E-2</v>
      </c>
      <c r="O30" s="109" t="s">
        <v>422</v>
      </c>
      <c r="P30" s="653" t="s">
        <v>405</v>
      </c>
      <c r="Q30" s="653"/>
      <c r="R30" s="653" t="s">
        <v>421</v>
      </c>
      <c r="S30" s="653"/>
      <c r="Y30" s="100" t="s">
        <v>404</v>
      </c>
      <c r="Z30" s="100" t="s">
        <v>684</v>
      </c>
      <c r="AA30" s="100" t="s">
        <v>402</v>
      </c>
      <c r="AB30" s="100" t="s">
        <v>684</v>
      </c>
      <c r="AC30" s="100" t="s">
        <v>402</v>
      </c>
      <c r="AI30" s="100" t="s">
        <v>404</v>
      </c>
      <c r="AJ30" s="100" t="s">
        <v>684</v>
      </c>
      <c r="AK30" s="100" t="s">
        <v>402</v>
      </c>
      <c r="AL30" s="100" t="s">
        <v>684</v>
      </c>
      <c r="AM30" s="100" t="s">
        <v>402</v>
      </c>
      <c r="AS30" s="100" t="s">
        <v>404</v>
      </c>
      <c r="AT30" s="100" t="s">
        <v>684</v>
      </c>
      <c r="AU30" s="100" t="s">
        <v>402</v>
      </c>
      <c r="AV30" s="100" t="s">
        <v>684</v>
      </c>
      <c r="AW30" s="100" t="s">
        <v>402</v>
      </c>
      <c r="BC30" s="100" t="s">
        <v>404</v>
      </c>
      <c r="BD30" s="100" t="s">
        <v>690</v>
      </c>
      <c r="BE30" s="100" t="s">
        <v>402</v>
      </c>
      <c r="BF30" s="100" t="s">
        <v>706</v>
      </c>
      <c r="BG30" s="100" t="s">
        <v>402</v>
      </c>
    </row>
    <row r="31" spans="2:63" x14ac:dyDescent="0.3">
      <c r="B31" s="101">
        <v>42832</v>
      </c>
      <c r="C31" s="54">
        <v>727.95</v>
      </c>
      <c r="D31" s="102">
        <f t="shared" si="1"/>
        <v>7.8082817626781154E-3</v>
      </c>
      <c r="E31" s="102"/>
      <c r="F31" s="54">
        <v>2355.54</v>
      </c>
      <c r="G31" s="102">
        <f t="shared" si="1"/>
        <v>-3.0388704543914402E-3</v>
      </c>
      <c r="O31" s="100" t="s">
        <v>404</v>
      </c>
      <c r="P31" s="100" t="s">
        <v>684</v>
      </c>
      <c r="Q31" s="100" t="s">
        <v>402</v>
      </c>
      <c r="R31" s="100" t="s">
        <v>684</v>
      </c>
      <c r="S31" s="100" t="s">
        <v>402</v>
      </c>
      <c r="Y31" s="101">
        <v>43021</v>
      </c>
      <c r="Z31" s="110">
        <v>28000</v>
      </c>
      <c r="AA31" s="110">
        <v>820.06</v>
      </c>
      <c r="AB31" s="102">
        <f>LN(Z31/Z32)</f>
        <v>0</v>
      </c>
      <c r="AC31" s="102">
        <f>LN(AA31/AA32)</f>
        <v>1.5063005183846234E-2</v>
      </c>
      <c r="AI31" s="101">
        <v>43021</v>
      </c>
      <c r="AJ31" s="110">
        <v>28000</v>
      </c>
      <c r="AK31" s="110">
        <v>820.06</v>
      </c>
      <c r="AL31" s="102">
        <f>LN(AJ31/AJ32)</f>
        <v>-1.7699577099400975E-2</v>
      </c>
      <c r="AM31" s="102">
        <f>LN(AK31/AK32)</f>
        <v>1.9255987471633932E-2</v>
      </c>
      <c r="AN31" s="102"/>
      <c r="AS31" s="101">
        <v>43021</v>
      </c>
      <c r="AT31" s="110">
        <v>28000</v>
      </c>
      <c r="AU31" s="110">
        <v>820.06</v>
      </c>
      <c r="AV31" s="102">
        <f>LN(AT31/AT32)</f>
        <v>-1.7699577099400975E-2</v>
      </c>
      <c r="AW31" s="102">
        <f>LN(AU31/AU32)</f>
        <v>1.9255987471633932E-2</v>
      </c>
      <c r="BC31" s="101">
        <v>43075</v>
      </c>
      <c r="BD31" s="110">
        <v>213700</v>
      </c>
      <c r="BE31" s="110">
        <v>944.26</v>
      </c>
      <c r="BF31" s="272">
        <f>LN(BD31/BD32)</f>
        <v>-1.5430297873699607E-3</v>
      </c>
      <c r="BG31" s="272">
        <f>LN(BE31/BE32)</f>
        <v>-1.6875423441224887E-2</v>
      </c>
    </row>
    <row r="32" spans="2:63" x14ac:dyDescent="0.3">
      <c r="B32" s="101">
        <v>42825</v>
      </c>
      <c r="C32" s="54">
        <v>722.31</v>
      </c>
      <c r="D32" s="102">
        <f t="shared" si="1"/>
        <v>2.3541141606875371E-4</v>
      </c>
      <c r="E32" s="102"/>
      <c r="F32" s="54">
        <v>2362.7199999999998</v>
      </c>
      <c r="G32" s="102">
        <f t="shared" si="1"/>
        <v>7.994948762361398E-3</v>
      </c>
      <c r="O32" s="101">
        <v>43021</v>
      </c>
      <c r="P32" s="110">
        <v>28000</v>
      </c>
      <c r="Q32" s="110">
        <v>820.13</v>
      </c>
      <c r="R32" s="102">
        <f>LN(P32/P33)</f>
        <v>-7.1174677688639896E-3</v>
      </c>
      <c r="S32" s="102">
        <f>LN(Q32/Q33)</f>
        <v>5.2078357312310879E-3</v>
      </c>
      <c r="Y32" s="101">
        <v>43014</v>
      </c>
      <c r="Z32" s="110">
        <v>28000</v>
      </c>
      <c r="AA32" s="110">
        <v>807.8</v>
      </c>
      <c r="AB32" s="102">
        <f t="shared" ref="AB32:AC95" si="3">LN(Z32/Z33)</f>
        <v>-1.7699577099400975E-2</v>
      </c>
      <c r="AC32" s="102">
        <f t="shared" si="3"/>
        <v>4.1929822877876796E-3</v>
      </c>
      <c r="AI32" s="101">
        <v>43007</v>
      </c>
      <c r="AJ32" s="110">
        <v>28500</v>
      </c>
      <c r="AK32" s="110">
        <v>804.42</v>
      </c>
      <c r="AL32" s="102">
        <f t="shared" ref="AL32:AM95" si="4">LN(AJ32/AJ33)</f>
        <v>-1.7391742711869222E-2</v>
      </c>
      <c r="AM32" s="102">
        <f t="shared" si="4"/>
        <v>2.7295385245519919E-2</v>
      </c>
      <c r="AN32" s="102"/>
      <c r="AS32" s="101">
        <v>43007</v>
      </c>
      <c r="AT32" s="110">
        <v>28500</v>
      </c>
      <c r="AU32" s="110">
        <v>804.42</v>
      </c>
      <c r="AV32" s="102">
        <f t="shared" ref="AV32:AW55" si="5">LN(AT32/AT33)</f>
        <v>-0.1158318155251217</v>
      </c>
      <c r="AW32" s="102">
        <f t="shared" si="5"/>
        <v>3.5363513899323198E-2</v>
      </c>
      <c r="BC32" s="101">
        <v>43070</v>
      </c>
      <c r="BD32" s="110">
        <v>214030</v>
      </c>
      <c r="BE32" s="110">
        <v>960.33</v>
      </c>
      <c r="BF32" s="272">
        <f t="shared" ref="BF32:BG95" si="6">LN(BD32/BD33)</f>
        <v>1.2553351338456788E-2</v>
      </c>
      <c r="BG32" s="272">
        <f t="shared" si="6"/>
        <v>2.612100618249185E-2</v>
      </c>
    </row>
    <row r="33" spans="2:59" x14ac:dyDescent="0.3">
      <c r="B33" s="101">
        <v>42818</v>
      </c>
      <c r="C33" s="54">
        <v>722.14</v>
      </c>
      <c r="D33" s="102">
        <f t="shared" si="1"/>
        <v>1.6325611506741389E-2</v>
      </c>
      <c r="E33" s="102"/>
      <c r="F33" s="54">
        <v>2343.98</v>
      </c>
      <c r="G33" s="102">
        <f t="shared" si="1"/>
        <v>-1.4409755072006702E-2</v>
      </c>
      <c r="O33" s="101">
        <v>43020</v>
      </c>
      <c r="P33" s="110">
        <v>28200</v>
      </c>
      <c r="Q33" s="110">
        <v>815.87</v>
      </c>
      <c r="R33" s="102">
        <f t="shared" ref="R33:S96" si="7">LN(P33/P34)</f>
        <v>-7.067167223092443E-3</v>
      </c>
      <c r="S33" s="102">
        <f t="shared" si="7"/>
        <v>2.3560894923181953E-3</v>
      </c>
      <c r="Y33" s="101">
        <v>43007</v>
      </c>
      <c r="Z33" s="110">
        <v>28500</v>
      </c>
      <c r="AA33" s="110">
        <v>804.42</v>
      </c>
      <c r="AB33" s="102">
        <f t="shared" si="3"/>
        <v>2.4868066578013524E-2</v>
      </c>
      <c r="AC33" s="102">
        <f t="shared" si="3"/>
        <v>-3.3632249132376376E-3</v>
      </c>
      <c r="AI33" s="101">
        <v>42978</v>
      </c>
      <c r="AJ33" s="110">
        <v>29000</v>
      </c>
      <c r="AK33" s="110">
        <v>782.76</v>
      </c>
      <c r="AL33" s="102">
        <f t="shared" si="4"/>
        <v>-7.6322267559633464E-2</v>
      </c>
      <c r="AM33" s="102">
        <f t="shared" si="4"/>
        <v>-1.0087403732200206E-3</v>
      </c>
      <c r="AN33" s="102"/>
      <c r="AS33" s="101">
        <v>42916</v>
      </c>
      <c r="AT33" s="110">
        <v>32000</v>
      </c>
      <c r="AU33" s="110">
        <v>776.47</v>
      </c>
      <c r="AV33" s="102">
        <f t="shared" si="5"/>
        <v>0</v>
      </c>
      <c r="AW33" s="102">
        <f t="shared" si="5"/>
        <v>7.2303597318354507E-2</v>
      </c>
      <c r="BC33" s="101">
        <v>43063</v>
      </c>
      <c r="BD33" s="110">
        <v>211360</v>
      </c>
      <c r="BE33" s="110">
        <v>935.57</v>
      </c>
      <c r="BF33" s="272">
        <f t="shared" si="6"/>
        <v>1.9058203464266066E-2</v>
      </c>
      <c r="BG33" s="272">
        <f t="shared" si="6"/>
        <v>4.9159525960829127E-2</v>
      </c>
    </row>
    <row r="34" spans="2:59" x14ac:dyDescent="0.3">
      <c r="B34" s="101">
        <v>42811</v>
      </c>
      <c r="C34" s="54">
        <v>710.54</v>
      </c>
      <c r="D34" s="102">
        <f t="shared" si="1"/>
        <v>-2.344814029569986E-3</v>
      </c>
      <c r="E34" s="102"/>
      <c r="F34" s="54">
        <v>2378.25</v>
      </c>
      <c r="G34" s="102">
        <f t="shared" si="1"/>
        <v>2.381353789092211E-3</v>
      </c>
      <c r="O34" s="101">
        <v>43019</v>
      </c>
      <c r="P34" s="110">
        <v>28400</v>
      </c>
      <c r="Q34" s="110">
        <v>813.95</v>
      </c>
      <c r="R34" s="102">
        <f>LN(P34/P35)</f>
        <v>-1.3986241974739839E-2</v>
      </c>
      <c r="S34" s="102">
        <f>LN(Q34/Q35)</f>
        <v>4.0625440584408905E-3</v>
      </c>
      <c r="Y34" s="101">
        <v>43000</v>
      </c>
      <c r="Z34" s="110">
        <v>27800</v>
      </c>
      <c r="AA34" s="110">
        <v>807.13</v>
      </c>
      <c r="AB34" s="102">
        <f>LN(Z34/Z35)</f>
        <v>-7.168489478612516E-3</v>
      </c>
      <c r="AC34" s="102">
        <f>LN(AA34/AA35)</f>
        <v>1.6243532509237111E-3</v>
      </c>
      <c r="AI34" s="101">
        <v>42947</v>
      </c>
      <c r="AJ34" s="110">
        <v>31300</v>
      </c>
      <c r="AK34" s="110">
        <v>783.55</v>
      </c>
      <c r="AL34" s="102">
        <f>LN(AJ34/AJ35)</f>
        <v>-2.2117805253618991E-2</v>
      </c>
      <c r="AM34" s="102">
        <f>LN(AK34/AK35)</f>
        <v>9.0768690270232946E-3</v>
      </c>
      <c r="AN34" s="102"/>
      <c r="AS34" s="101">
        <v>42825</v>
      </c>
      <c r="AT34" s="110">
        <v>32000</v>
      </c>
      <c r="AU34" s="110">
        <v>722.31</v>
      </c>
      <c r="AV34" s="102">
        <f>LN(AT34/AT35)</f>
        <v>-0.16025433599042024</v>
      </c>
      <c r="AW34" s="102">
        <f>LN(AU34/AU35)</f>
        <v>8.286287680020829E-2</v>
      </c>
      <c r="BC34" s="101">
        <v>43056</v>
      </c>
      <c r="BD34" s="110">
        <v>207370</v>
      </c>
      <c r="BE34" s="110">
        <v>890.69</v>
      </c>
      <c r="BF34" s="272">
        <f>LN(BD34/BD35)</f>
        <v>1.4803785836533766E-2</v>
      </c>
      <c r="BG34" s="272">
        <f>LN(BE34/BE35)</f>
        <v>2.5562822367514282E-2</v>
      </c>
    </row>
    <row r="35" spans="2:59" x14ac:dyDescent="0.3">
      <c r="B35" s="101">
        <v>42804</v>
      </c>
      <c r="C35" s="54">
        <v>712.21</v>
      </c>
      <c r="D35" s="102">
        <f t="shared" si="1"/>
        <v>-5.7534169683692848E-4</v>
      </c>
      <c r="E35" s="102"/>
      <c r="F35" s="54">
        <v>2372.6</v>
      </c>
      <c r="G35" s="102">
        <f t="shared" si="1"/>
        <v>-4.4143811474034456E-3</v>
      </c>
      <c r="O35" s="101">
        <v>43018</v>
      </c>
      <c r="P35" s="110">
        <v>28800</v>
      </c>
      <c r="Q35" s="110">
        <v>810.65</v>
      </c>
      <c r="R35" s="102">
        <f t="shared" si="7"/>
        <v>-6.9204428445737952E-3</v>
      </c>
      <c r="S35" s="102">
        <f t="shared" si="7"/>
        <v>2.0869229176949076E-3</v>
      </c>
      <c r="Y35" s="101">
        <v>42993</v>
      </c>
      <c r="Z35" s="110">
        <v>28000</v>
      </c>
      <c r="AA35" s="110">
        <v>805.82</v>
      </c>
      <c r="AB35" s="102">
        <f t="shared" si="3"/>
        <v>-7.1174677688639896E-3</v>
      </c>
      <c r="AC35" s="102">
        <f t="shared" si="3"/>
        <v>5.7497887121754363E-3</v>
      </c>
      <c r="AI35" s="101">
        <v>42916</v>
      </c>
      <c r="AJ35" s="110">
        <v>32000</v>
      </c>
      <c r="AK35" s="110">
        <v>776.47</v>
      </c>
      <c r="AL35" s="102">
        <f t="shared" si="4"/>
        <v>-1.5504186535965199E-2</v>
      </c>
      <c r="AM35" s="102">
        <f t="shared" si="4"/>
        <v>5.1058114529790768E-2</v>
      </c>
      <c r="AN35" s="102"/>
      <c r="AS35" s="101">
        <v>42734</v>
      </c>
      <c r="AT35" s="110">
        <v>37561.9</v>
      </c>
      <c r="AU35" s="110">
        <v>664.87</v>
      </c>
      <c r="AV35" s="102">
        <f t="shared" si="5"/>
        <v>-3.6105204784541052E-2</v>
      </c>
      <c r="AW35" s="102">
        <f t="shared" si="5"/>
        <v>-3.0892431421114072E-2</v>
      </c>
      <c r="BC35" s="101">
        <v>43049</v>
      </c>
      <c r="BD35" s="110">
        <v>204322.75</v>
      </c>
      <c r="BE35" s="110">
        <v>868.21</v>
      </c>
      <c r="BF35" s="272">
        <f t="shared" si="6"/>
        <v>3.3586072079487043E-2</v>
      </c>
      <c r="BG35" s="272">
        <f t="shared" si="6"/>
        <v>2.860108268045277E-2</v>
      </c>
    </row>
    <row r="36" spans="2:59" x14ac:dyDescent="0.3">
      <c r="B36" s="101">
        <v>42797</v>
      </c>
      <c r="C36" s="54">
        <v>712.62</v>
      </c>
      <c r="D36" s="102">
        <f t="shared" si="1"/>
        <v>-2.589331952356333E-3</v>
      </c>
      <c r="E36" s="102"/>
      <c r="F36" s="54">
        <v>2383.12</v>
      </c>
      <c r="G36" s="102">
        <f t="shared" si="1"/>
        <v>6.6657091925959033E-3</v>
      </c>
      <c r="O36" s="101">
        <v>43017</v>
      </c>
      <c r="P36" s="110">
        <v>29000</v>
      </c>
      <c r="Q36" s="110">
        <v>808.96</v>
      </c>
      <c r="R36" s="102">
        <f t="shared" si="7"/>
        <v>3.5091319811270193E-2</v>
      </c>
      <c r="S36" s="102">
        <f t="shared" si="7"/>
        <v>1.4349689490708367E-3</v>
      </c>
      <c r="Y36" s="101">
        <v>42986</v>
      </c>
      <c r="Z36" s="110">
        <v>28200</v>
      </c>
      <c r="AA36" s="110">
        <v>801.2</v>
      </c>
      <c r="AB36" s="102">
        <f t="shared" si="3"/>
        <v>-5.1825067864586023E-2</v>
      </c>
      <c r="AC36" s="102">
        <f t="shared" si="3"/>
        <v>1.5686546834585841E-2</v>
      </c>
      <c r="AI36" s="101">
        <v>42886</v>
      </c>
      <c r="AJ36" s="110">
        <v>32500</v>
      </c>
      <c r="AK36" s="110">
        <v>737.82</v>
      </c>
      <c r="AL36" s="102">
        <f t="shared" si="4"/>
        <v>1.2384059199721622E-2</v>
      </c>
      <c r="AM36" s="102">
        <f t="shared" si="4"/>
        <v>2.7606438654920989E-2</v>
      </c>
      <c r="AN36" s="102"/>
      <c r="AS36" s="101">
        <v>42643</v>
      </c>
      <c r="AT36" s="110">
        <v>38942.86</v>
      </c>
      <c r="AU36" s="110">
        <v>685.73</v>
      </c>
      <c r="AV36" s="102">
        <f t="shared" si="5"/>
        <v>3.1215138972853457E-2</v>
      </c>
      <c r="AW36" s="102">
        <f t="shared" si="5"/>
        <v>8.1183262291486258E-2</v>
      </c>
      <c r="BC36" s="101">
        <v>43042</v>
      </c>
      <c r="BD36" s="110">
        <v>197574.3125</v>
      </c>
      <c r="BE36" s="110">
        <v>843.73</v>
      </c>
      <c r="BF36" s="272">
        <f t="shared" si="6"/>
        <v>9.6995066702083941E-3</v>
      </c>
      <c r="BG36" s="272">
        <f t="shared" si="6"/>
        <v>3.9902671554229137E-3</v>
      </c>
    </row>
    <row r="37" spans="2:59" x14ac:dyDescent="0.3">
      <c r="B37" s="101">
        <v>42790</v>
      </c>
      <c r="C37" s="54">
        <v>714.47</v>
      </c>
      <c r="D37" s="102">
        <f t="shared" si="1"/>
        <v>9.3807835214669844E-3</v>
      </c>
      <c r="E37" s="102"/>
      <c r="F37" s="54">
        <v>2367.34</v>
      </c>
      <c r="G37" s="102">
        <f t="shared" si="1"/>
        <v>6.8817094540567503E-3</v>
      </c>
      <c r="O37" s="101">
        <v>43014</v>
      </c>
      <c r="P37" s="110">
        <v>28000</v>
      </c>
      <c r="Q37" s="110">
        <v>807.8</v>
      </c>
      <c r="R37" s="102">
        <f t="shared" si="7"/>
        <v>-1.7699577099400975E-2</v>
      </c>
      <c r="S37" s="102">
        <f t="shared" si="7"/>
        <v>3.1865522335884668E-3</v>
      </c>
      <c r="Y37" s="101">
        <v>42979</v>
      </c>
      <c r="Z37" s="110">
        <v>29700</v>
      </c>
      <c r="AA37" s="110">
        <v>788.73</v>
      </c>
      <c r="AB37" s="102">
        <f t="shared" si="3"/>
        <v>-3.3613477027048832E-3</v>
      </c>
      <c r="AC37" s="102">
        <f t="shared" si="3"/>
        <v>2.1918896432487119E-2</v>
      </c>
      <c r="AI37" s="101">
        <v>42853</v>
      </c>
      <c r="AJ37" s="110">
        <v>32100</v>
      </c>
      <c r="AK37" s="110">
        <v>717.73</v>
      </c>
      <c r="AL37" s="102">
        <f t="shared" si="4"/>
        <v>3.1201273362436777E-3</v>
      </c>
      <c r="AM37" s="102">
        <f t="shared" si="4"/>
        <v>-6.3609558663570232E-3</v>
      </c>
      <c r="AN37" s="102"/>
      <c r="AS37" s="101">
        <v>42551</v>
      </c>
      <c r="AT37" s="110">
        <v>37746.03</v>
      </c>
      <c r="AU37" s="110">
        <v>632.26</v>
      </c>
      <c r="AV37" s="102">
        <f t="shared" si="5"/>
        <v>6.2913622413409434E-2</v>
      </c>
      <c r="AW37" s="102">
        <f t="shared" si="5"/>
        <v>0.11918771644123058</v>
      </c>
      <c r="BC37" s="101">
        <v>43035</v>
      </c>
      <c r="BD37" s="110">
        <v>195667.20310000001</v>
      </c>
      <c r="BE37" s="110">
        <v>840.37</v>
      </c>
      <c r="BF37" s="272">
        <f t="shared" si="6"/>
        <v>-3.3637263577933695E-2</v>
      </c>
      <c r="BG37" s="272">
        <f t="shared" si="6"/>
        <v>1.6231065115640556E-2</v>
      </c>
    </row>
    <row r="38" spans="2:59" x14ac:dyDescent="0.3">
      <c r="B38" s="101">
        <v>42783</v>
      </c>
      <c r="C38" s="54">
        <v>707.83</v>
      </c>
      <c r="D38" s="102">
        <f t="shared" ref="D38:G53" si="8">C38/C39-1</f>
        <v>5.7546392338516661E-3</v>
      </c>
      <c r="E38" s="102"/>
      <c r="F38" s="54">
        <v>2351.16</v>
      </c>
      <c r="G38" s="102">
        <f t="shared" si="8"/>
        <v>1.5137515651310274E-2</v>
      </c>
      <c r="O38" s="101">
        <v>43013</v>
      </c>
      <c r="P38" s="110">
        <v>28500</v>
      </c>
      <c r="Q38" s="110">
        <v>805.23</v>
      </c>
      <c r="R38" s="102">
        <f t="shared" si="7"/>
        <v>2.8471674081311994E-2</v>
      </c>
      <c r="S38" s="102">
        <f t="shared" si="7"/>
        <v>-5.3386638468535977E-4</v>
      </c>
      <c r="Y38" s="101">
        <v>42972</v>
      </c>
      <c r="Z38" s="110">
        <v>29800</v>
      </c>
      <c r="AA38" s="110">
        <v>771.63</v>
      </c>
      <c r="AB38" s="102">
        <f t="shared" si="3"/>
        <v>3.3613477027049274E-3</v>
      </c>
      <c r="AC38" s="102">
        <f t="shared" si="3"/>
        <v>3.4532034834335568E-3</v>
      </c>
      <c r="AI38" s="101">
        <v>42825</v>
      </c>
      <c r="AJ38" s="110">
        <v>32000</v>
      </c>
      <c r="AK38" s="110">
        <v>722.31</v>
      </c>
      <c r="AL38" s="102">
        <f t="shared" si="4"/>
        <v>-0.10999249023108998</v>
      </c>
      <c r="AM38" s="102">
        <f t="shared" si="4"/>
        <v>1.6077382097351822E-2</v>
      </c>
      <c r="AN38" s="102"/>
      <c r="AS38" s="101">
        <v>42460</v>
      </c>
      <c r="AT38" s="110">
        <v>35444.449999999997</v>
      </c>
      <c r="AU38" s="110">
        <v>561.22</v>
      </c>
      <c r="AV38" s="102">
        <f t="shared" si="5"/>
        <v>0.25185961484805236</v>
      </c>
      <c r="AW38" s="102">
        <f t="shared" si="5"/>
        <v>-3.1241304190190271E-2</v>
      </c>
      <c r="BC38" s="101">
        <v>43028</v>
      </c>
      <c r="BD38" s="110">
        <v>202360.85939999999</v>
      </c>
      <c r="BE38" s="110">
        <v>826.84</v>
      </c>
      <c r="BF38" s="272">
        <f t="shared" si="6"/>
        <v>3.9351997648830869E-3</v>
      </c>
      <c r="BG38" s="272">
        <f t="shared" si="6"/>
        <v>7.1489996729983928E-3</v>
      </c>
    </row>
    <row r="39" spans="2:59" x14ac:dyDescent="0.3">
      <c r="B39" s="101">
        <v>42776</v>
      </c>
      <c r="C39" s="54">
        <v>703.78</v>
      </c>
      <c r="D39" s="102">
        <f t="shared" si="8"/>
        <v>4.8975512243878416E-3</v>
      </c>
      <c r="E39" s="102"/>
      <c r="F39" s="54">
        <v>2316.1</v>
      </c>
      <c r="G39" s="102">
        <f t="shared" si="8"/>
        <v>8.1308598340745775E-3</v>
      </c>
      <c r="O39" s="101">
        <v>43012</v>
      </c>
      <c r="P39" s="110">
        <v>27700</v>
      </c>
      <c r="Q39" s="110">
        <v>805.66</v>
      </c>
      <c r="R39" s="102">
        <f t="shared" si="7"/>
        <v>-2.6715747379047146E-2</v>
      </c>
      <c r="S39" s="102">
        <f t="shared" si="7"/>
        <v>9.5532198306006264E-3</v>
      </c>
      <c r="Y39" s="101">
        <v>42965</v>
      </c>
      <c r="Z39" s="110">
        <v>29700</v>
      </c>
      <c r="AA39" s="110">
        <v>768.97</v>
      </c>
      <c r="AB39" s="102">
        <f t="shared" si="3"/>
        <v>-1.3378125946176087E-2</v>
      </c>
      <c r="AC39" s="102">
        <f t="shared" si="3"/>
        <v>-4.0362145577240022E-3</v>
      </c>
      <c r="AI39" s="101">
        <v>42794</v>
      </c>
      <c r="AJ39" s="110">
        <v>35720.629999999997</v>
      </c>
      <c r="AK39" s="110">
        <v>710.79</v>
      </c>
      <c r="AL39" s="102">
        <f t="shared" si="4"/>
        <v>5.1677743383248048E-3</v>
      </c>
      <c r="AM39" s="102">
        <f t="shared" si="4"/>
        <v>1.9189975770240234E-2</v>
      </c>
      <c r="AN39" s="102"/>
      <c r="AS39" s="101">
        <v>42369</v>
      </c>
      <c r="AT39" s="110">
        <v>27552.880000000001</v>
      </c>
      <c r="AU39" s="110">
        <v>579.03</v>
      </c>
      <c r="AV39" s="102">
        <f t="shared" si="5"/>
        <v>0.10782394760352469</v>
      </c>
      <c r="AW39" s="102">
        <f t="shared" si="5"/>
        <v>2.8714297702463337E-2</v>
      </c>
      <c r="BC39" s="101">
        <v>43021</v>
      </c>
      <c r="BD39" s="110">
        <v>201566.0938</v>
      </c>
      <c r="BE39" s="110">
        <v>820.95</v>
      </c>
      <c r="BF39" s="272">
        <f t="shared" si="6"/>
        <v>2.5956621396554965E-2</v>
      </c>
      <c r="BG39" s="272">
        <f t="shared" si="6"/>
        <v>1.6147703128724489E-2</v>
      </c>
    </row>
    <row r="40" spans="2:59" x14ac:dyDescent="0.3">
      <c r="B40" s="101">
        <v>42769</v>
      </c>
      <c r="C40" s="54">
        <v>700.35</v>
      </c>
      <c r="D40" s="102">
        <f t="shared" si="8"/>
        <v>4.402822395594308E-3</v>
      </c>
      <c r="E40" s="102"/>
      <c r="F40" s="54">
        <v>2297.42</v>
      </c>
      <c r="G40" s="102">
        <f t="shared" si="8"/>
        <v>1.1897031843082218E-3</v>
      </c>
      <c r="O40" s="101">
        <v>43011</v>
      </c>
      <c r="P40" s="110">
        <v>28450</v>
      </c>
      <c r="Q40" s="110">
        <v>798</v>
      </c>
      <c r="R40" s="102">
        <f t="shared" si="7"/>
        <v>-1.7559267022649199E-3</v>
      </c>
      <c r="S40" s="102">
        <f t="shared" si="7"/>
        <v>-5.2867523447035101E-3</v>
      </c>
      <c r="Y40" s="101">
        <v>42958</v>
      </c>
      <c r="Z40" s="110">
        <v>30100</v>
      </c>
      <c r="AA40" s="110">
        <v>772.08</v>
      </c>
      <c r="AB40" s="102">
        <f t="shared" si="3"/>
        <v>-3.2682647430358418E-2</v>
      </c>
      <c r="AC40" s="102">
        <f t="shared" si="3"/>
        <v>-2.1272490299186313E-2</v>
      </c>
      <c r="AI40" s="101">
        <v>42766</v>
      </c>
      <c r="AJ40" s="110">
        <v>35536.51</v>
      </c>
      <c r="AK40" s="110">
        <v>697.28</v>
      </c>
      <c r="AL40" s="102">
        <f t="shared" si="4"/>
        <v>-5.5429620097655126E-2</v>
      </c>
      <c r="AM40" s="102">
        <f t="shared" si="4"/>
        <v>4.7595518932616279E-2</v>
      </c>
      <c r="AN40" s="102"/>
      <c r="AS40" s="101">
        <v>42277</v>
      </c>
      <c r="AT40" s="110">
        <v>24736.58</v>
      </c>
      <c r="AU40" s="110">
        <v>562.64</v>
      </c>
      <c r="AV40" s="102">
        <f t="shared" si="5"/>
        <v>1.703587319155124E-2</v>
      </c>
      <c r="AW40" s="102">
        <f t="shared" si="5"/>
        <v>-5.2638720475521948E-2</v>
      </c>
      <c r="BC40" s="101">
        <v>43014</v>
      </c>
      <c r="BD40" s="110">
        <v>196401.4375</v>
      </c>
      <c r="BE40" s="110">
        <v>807.8</v>
      </c>
      <c r="BF40" s="272">
        <f t="shared" si="6"/>
        <v>-2.0384870083924055E-2</v>
      </c>
      <c r="BG40" s="272">
        <f t="shared" si="6"/>
        <v>4.1929822877876796E-3</v>
      </c>
    </row>
    <row r="41" spans="2:59" x14ac:dyDescent="0.3">
      <c r="B41" s="101">
        <v>42762</v>
      </c>
      <c r="C41" s="54">
        <v>697.28</v>
      </c>
      <c r="D41" s="102">
        <f t="shared" si="8"/>
        <v>1.6058053798851724E-2</v>
      </c>
      <c r="E41" s="102"/>
      <c r="F41" s="54">
        <v>2294.69</v>
      </c>
      <c r="G41" s="102">
        <f t="shared" si="8"/>
        <v>1.0293619100871343E-2</v>
      </c>
      <c r="O41" s="101">
        <v>43010</v>
      </c>
      <c r="P41" s="110">
        <v>28500</v>
      </c>
      <c r="Q41" s="110">
        <v>802.23</v>
      </c>
      <c r="R41" s="102">
        <f t="shared" si="7"/>
        <v>0</v>
      </c>
      <c r="S41" s="102">
        <f t="shared" si="7"/>
        <v>-2.7261710470124884E-3</v>
      </c>
      <c r="Y41" s="101">
        <v>42951</v>
      </c>
      <c r="Z41" s="110">
        <v>31100</v>
      </c>
      <c r="AA41" s="110">
        <v>788.68</v>
      </c>
      <c r="AB41" s="102">
        <f t="shared" si="3"/>
        <v>3.2206147000421572E-3</v>
      </c>
      <c r="AC41" s="102">
        <f t="shared" si="3"/>
        <v>1.4804488122379359E-2</v>
      </c>
      <c r="AI41" s="101">
        <v>42734</v>
      </c>
      <c r="AJ41" s="110">
        <v>37561.9</v>
      </c>
      <c r="AK41" s="110">
        <v>664.87</v>
      </c>
      <c r="AL41" s="102">
        <f t="shared" si="4"/>
        <v>-2.1819273400450805E-2</v>
      </c>
      <c r="AM41" s="102">
        <f t="shared" si="4"/>
        <v>-3.0076545033263098E-4</v>
      </c>
      <c r="AN41" s="102"/>
      <c r="AS41" s="101">
        <v>42185</v>
      </c>
      <c r="AT41" s="110">
        <v>24318.74</v>
      </c>
      <c r="AU41" s="110">
        <v>593.04999999999995</v>
      </c>
      <c r="AV41" s="102">
        <f t="shared" si="5"/>
        <v>-2.6142274320138891E-2</v>
      </c>
      <c r="AW41" s="102">
        <f t="shared" si="5"/>
        <v>7.3307996486329199E-2</v>
      </c>
      <c r="BC41" s="101">
        <v>43007</v>
      </c>
      <c r="BD41" s="110">
        <v>200446.14060000001</v>
      </c>
      <c r="BE41" s="110">
        <v>804.42</v>
      </c>
      <c r="BF41" s="272">
        <f t="shared" si="6"/>
        <v>5.3941101466711567E-4</v>
      </c>
      <c r="BG41" s="272">
        <f t="shared" si="6"/>
        <v>-3.3632249132376376E-3</v>
      </c>
    </row>
    <row r="42" spans="2:59" x14ac:dyDescent="0.3">
      <c r="B42" s="101">
        <v>42755</v>
      </c>
      <c r="C42" s="54">
        <v>686.26</v>
      </c>
      <c r="D42" s="102">
        <f t="shared" si="8"/>
        <v>1.7516713864480504E-3</v>
      </c>
      <c r="E42" s="102"/>
      <c r="F42" s="54">
        <v>2271.31</v>
      </c>
      <c r="G42" s="102">
        <f t="shared" si="8"/>
        <v>-1.463967924594578E-3</v>
      </c>
      <c r="O42" s="101">
        <v>43007</v>
      </c>
      <c r="P42" s="110">
        <v>28500</v>
      </c>
      <c r="Q42" s="110">
        <v>804.42</v>
      </c>
      <c r="R42" s="102">
        <f t="shared" si="7"/>
        <v>-1.7391742711869222E-2</v>
      </c>
      <c r="S42" s="102">
        <f t="shared" si="7"/>
        <v>-4.971290898038999E-4</v>
      </c>
      <c r="Y42" s="101">
        <v>42944</v>
      </c>
      <c r="Z42" s="110">
        <v>31000</v>
      </c>
      <c r="AA42" s="110">
        <v>777.09</v>
      </c>
      <c r="AB42" s="102">
        <f t="shared" si="3"/>
        <v>-2.7050177533026059E-2</v>
      </c>
      <c r="AC42" s="102">
        <f t="shared" si="3"/>
        <v>1.9793362003041184E-2</v>
      </c>
      <c r="AI42" s="101">
        <v>42704</v>
      </c>
      <c r="AJ42" s="110">
        <v>38390.480000000003</v>
      </c>
      <c r="AK42" s="110">
        <v>665.07</v>
      </c>
      <c r="AL42" s="102">
        <f t="shared" si="4"/>
        <v>3.6634335344348741E-2</v>
      </c>
      <c r="AM42" s="102">
        <f t="shared" si="4"/>
        <v>-1.6004876006217951E-2</v>
      </c>
      <c r="AN42" s="102"/>
      <c r="AS42" s="101">
        <v>42094</v>
      </c>
      <c r="AT42" s="110">
        <v>24962.87</v>
      </c>
      <c r="AU42" s="110">
        <v>551.13</v>
      </c>
      <c r="AV42" s="102">
        <f t="shared" si="5"/>
        <v>3.2365042036688309E-2</v>
      </c>
      <c r="AW42" s="102">
        <f t="shared" si="5"/>
        <v>1.0029625634097967E-2</v>
      </c>
      <c r="BC42" s="101">
        <v>43000</v>
      </c>
      <c r="BD42" s="110">
        <v>200338.04689999999</v>
      </c>
      <c r="BE42" s="110">
        <v>807.13</v>
      </c>
      <c r="BF42" s="272">
        <f t="shared" si="6"/>
        <v>6.9378724290009262E-3</v>
      </c>
      <c r="BG42" s="272">
        <f t="shared" si="6"/>
        <v>1.6243532509237111E-3</v>
      </c>
    </row>
    <row r="43" spans="2:59" x14ac:dyDescent="0.3">
      <c r="B43" s="101">
        <v>42748</v>
      </c>
      <c r="C43" s="54">
        <v>685.06</v>
      </c>
      <c r="D43" s="102">
        <f t="shared" si="8"/>
        <v>7.7375698734922782E-3</v>
      </c>
      <c r="E43" s="102"/>
      <c r="F43" s="54">
        <v>2274.64</v>
      </c>
      <c r="G43" s="102">
        <f t="shared" si="8"/>
        <v>-1.0276770107775501E-3</v>
      </c>
      <c r="O43" s="101">
        <v>43006</v>
      </c>
      <c r="P43" s="110">
        <v>29000</v>
      </c>
      <c r="Q43" s="110">
        <v>804.82</v>
      </c>
      <c r="R43" s="102">
        <f t="shared" si="7"/>
        <v>0</v>
      </c>
      <c r="S43" s="102">
        <f t="shared" si="7"/>
        <v>1.3054913298316184E-3</v>
      </c>
      <c r="Y43" s="101">
        <v>42937</v>
      </c>
      <c r="Z43" s="110">
        <v>31850</v>
      </c>
      <c r="AA43" s="110">
        <v>761.86</v>
      </c>
      <c r="AB43" s="102">
        <f t="shared" si="3"/>
        <v>4.7207011349373936E-3</v>
      </c>
      <c r="AC43" s="102">
        <f t="shared" si="3"/>
        <v>-2.044944137358292E-2</v>
      </c>
      <c r="AI43" s="101">
        <v>42674</v>
      </c>
      <c r="AJ43" s="110">
        <v>37009.519999999997</v>
      </c>
      <c r="AK43" s="110">
        <v>675.8</v>
      </c>
      <c r="AL43" s="102">
        <f t="shared" si="4"/>
        <v>-5.0920266728439009E-2</v>
      </c>
      <c r="AM43" s="102">
        <f t="shared" si="4"/>
        <v>-1.4586789964563375E-2</v>
      </c>
      <c r="AN43" s="102"/>
      <c r="AS43" s="101">
        <v>42004</v>
      </c>
      <c r="AT43" s="110">
        <v>24167.88</v>
      </c>
      <c r="AU43" s="110">
        <v>545.63</v>
      </c>
      <c r="AV43" s="102">
        <f t="shared" si="5"/>
        <v>-0.16989892042192312</v>
      </c>
      <c r="AW43" s="102">
        <f t="shared" si="5"/>
        <v>-9.298656219061574E-2</v>
      </c>
      <c r="BC43" s="101">
        <v>42993</v>
      </c>
      <c r="BD43" s="110">
        <v>198952.9375</v>
      </c>
      <c r="BE43" s="110">
        <v>805.82</v>
      </c>
      <c r="BF43" s="272">
        <f t="shared" si="6"/>
        <v>1.7472357258396333E-2</v>
      </c>
      <c r="BG43" s="272">
        <f t="shared" si="6"/>
        <v>5.7497887121754363E-3</v>
      </c>
    </row>
    <row r="44" spans="2:59" x14ac:dyDescent="0.3">
      <c r="B44" s="101">
        <v>42741</v>
      </c>
      <c r="C44" s="54">
        <v>679.8</v>
      </c>
      <c r="D44" s="102">
        <f t="shared" si="8"/>
        <v>2.2455517619985876E-2</v>
      </c>
      <c r="E44" s="102"/>
      <c r="F44" s="54">
        <v>2276.98</v>
      </c>
      <c r="G44" s="102">
        <f t="shared" si="8"/>
        <v>1.7040150435718715E-2</v>
      </c>
      <c r="O44" s="101">
        <v>43005</v>
      </c>
      <c r="P44" s="110">
        <v>29000</v>
      </c>
      <c r="Q44" s="110">
        <v>803.77</v>
      </c>
      <c r="R44" s="102">
        <f t="shared" si="7"/>
        <v>0</v>
      </c>
      <c r="S44" s="102">
        <f t="shared" si="7"/>
        <v>-1.9638069351912641E-3</v>
      </c>
      <c r="Y44" s="101">
        <v>42930</v>
      </c>
      <c r="Z44" s="110">
        <v>31700</v>
      </c>
      <c r="AA44" s="110">
        <v>777.6</v>
      </c>
      <c r="AB44" s="102">
        <f t="shared" si="3"/>
        <v>-3.14960890289622E-3</v>
      </c>
      <c r="AC44" s="102">
        <f t="shared" si="3"/>
        <v>2.4077316518608554E-3</v>
      </c>
      <c r="AI44" s="101">
        <v>42643</v>
      </c>
      <c r="AJ44" s="110">
        <v>38942.86</v>
      </c>
      <c r="AK44" s="110">
        <v>685.73</v>
      </c>
      <c r="AL44" s="102">
        <f t="shared" si="4"/>
        <v>3.1215138972853457E-2</v>
      </c>
      <c r="AM44" s="102">
        <f t="shared" si="4"/>
        <v>1.6319571808489891E-2</v>
      </c>
      <c r="AN44" s="102"/>
      <c r="AS44" s="101">
        <v>41912</v>
      </c>
      <c r="AT44" s="110">
        <v>28643.41</v>
      </c>
      <c r="AU44" s="110">
        <v>598.79999999999995</v>
      </c>
      <c r="AV44" s="102">
        <f t="shared" si="5"/>
        <v>6.1764560406603976E-2</v>
      </c>
      <c r="AW44" s="102">
        <f t="shared" si="5"/>
        <v>3.5128895667534195E-2</v>
      </c>
      <c r="BC44" s="101">
        <v>42986</v>
      </c>
      <c r="BD44" s="110">
        <v>195506.95310000001</v>
      </c>
      <c r="BE44" s="110">
        <v>801.2</v>
      </c>
      <c r="BF44" s="272">
        <f t="shared" si="6"/>
        <v>-4.9307427145801191E-3</v>
      </c>
      <c r="BG44" s="272">
        <f t="shared" si="6"/>
        <v>1.5686546834585841E-2</v>
      </c>
    </row>
    <row r="45" spans="2:59" x14ac:dyDescent="0.3">
      <c r="B45" s="101">
        <v>42734</v>
      </c>
      <c r="C45" s="54">
        <v>664.87</v>
      </c>
      <c r="D45" s="102">
        <f t="shared" si="8"/>
        <v>7.5259268178884398E-4</v>
      </c>
      <c r="E45" s="102"/>
      <c r="F45" s="54">
        <v>2238.83</v>
      </c>
      <c r="G45" s="102">
        <f t="shared" si="8"/>
        <v>-1.1025757689538396E-2</v>
      </c>
      <c r="O45" s="101">
        <v>43004</v>
      </c>
      <c r="P45" s="110">
        <v>29000</v>
      </c>
      <c r="Q45" s="110">
        <v>805.35</v>
      </c>
      <c r="R45" s="102">
        <f t="shared" si="7"/>
        <v>3.5091319811270193E-2</v>
      </c>
      <c r="S45" s="102">
        <f t="shared" si="7"/>
        <v>-2.8554934300411579E-4</v>
      </c>
      <c r="Y45" s="101">
        <v>42923</v>
      </c>
      <c r="Z45" s="110">
        <v>31800</v>
      </c>
      <c r="AA45" s="110">
        <v>775.73</v>
      </c>
      <c r="AB45" s="102">
        <f t="shared" si="3"/>
        <v>-6.2696130135953742E-3</v>
      </c>
      <c r="AC45" s="102">
        <f t="shared" si="3"/>
        <v>-9.5348544783315945E-4</v>
      </c>
      <c r="AI45" s="101">
        <v>42613</v>
      </c>
      <c r="AJ45" s="110">
        <v>37746.03</v>
      </c>
      <c r="AK45" s="110">
        <v>674.63</v>
      </c>
      <c r="AL45" s="102">
        <f t="shared" si="4"/>
        <v>4.4895242862353781E-2</v>
      </c>
      <c r="AM45" s="102">
        <f t="shared" si="4"/>
        <v>3.3767131978853449E-2</v>
      </c>
      <c r="AN45" s="102"/>
      <c r="AS45" s="101">
        <v>41820</v>
      </c>
      <c r="AT45" s="110">
        <v>26927.79</v>
      </c>
      <c r="AU45" s="110">
        <v>578.13</v>
      </c>
      <c r="AV45" s="102">
        <f t="shared" si="5"/>
        <v>-0.13841157658994996</v>
      </c>
      <c r="AW45" s="102">
        <f t="shared" si="5"/>
        <v>-2.2981262733765336E-2</v>
      </c>
      <c r="BC45" s="101">
        <v>42979</v>
      </c>
      <c r="BD45" s="110">
        <v>196473.32810000001</v>
      </c>
      <c r="BE45" s="110">
        <v>788.73</v>
      </c>
      <c r="BF45" s="272">
        <f t="shared" si="6"/>
        <v>1.4273405208462583E-3</v>
      </c>
      <c r="BG45" s="272">
        <f t="shared" si="6"/>
        <v>2.1918896432487119E-2</v>
      </c>
    </row>
    <row r="46" spans="2:59" x14ac:dyDescent="0.3">
      <c r="B46" s="101">
        <v>42727</v>
      </c>
      <c r="C46" s="54">
        <v>664.37</v>
      </c>
      <c r="D46" s="102">
        <f t="shared" si="8"/>
        <v>-1.5981397002192033E-2</v>
      </c>
      <c r="E46" s="102"/>
      <c r="F46" s="54">
        <v>2263.79</v>
      </c>
      <c r="G46" s="102">
        <f t="shared" si="8"/>
        <v>2.5331367052392473E-3</v>
      </c>
      <c r="O46" s="101">
        <v>43003</v>
      </c>
      <c r="P46" s="110">
        <v>28000</v>
      </c>
      <c r="Q46" s="110">
        <v>805.58</v>
      </c>
      <c r="R46" s="102">
        <f t="shared" si="7"/>
        <v>7.168489478612497E-3</v>
      </c>
      <c r="S46" s="102">
        <f t="shared" si="7"/>
        <v>-1.9222308750700028E-3</v>
      </c>
      <c r="Y46" s="101">
        <v>42916</v>
      </c>
      <c r="Z46" s="110">
        <v>32000</v>
      </c>
      <c r="AA46" s="110">
        <v>776.47</v>
      </c>
      <c r="AB46" s="102">
        <f t="shared" si="3"/>
        <v>1.5637219761827589E-3</v>
      </c>
      <c r="AC46" s="102">
        <f t="shared" si="3"/>
        <v>9.6540336199372086E-3</v>
      </c>
      <c r="AI46" s="101">
        <v>42580</v>
      </c>
      <c r="AJ46" s="110">
        <v>36088.89</v>
      </c>
      <c r="AK46" s="110">
        <v>652.23</v>
      </c>
      <c r="AL46" s="102">
        <f t="shared" si="4"/>
        <v>-4.4895242862353843E-2</v>
      </c>
      <c r="AM46" s="102">
        <f t="shared" si="4"/>
        <v>3.1096558504142831E-2</v>
      </c>
      <c r="AN46" s="102"/>
      <c r="AS46" s="101">
        <v>41729</v>
      </c>
      <c r="AT46" s="110">
        <v>30925.17</v>
      </c>
      <c r="AU46" s="110">
        <v>591.57000000000005</v>
      </c>
      <c r="AV46" s="102">
        <f t="shared" si="5"/>
        <v>0.34014030994976835</v>
      </c>
      <c r="AW46" s="102">
        <f t="shared" si="5"/>
        <v>0.15895453213990385</v>
      </c>
      <c r="BC46" s="101">
        <v>42972</v>
      </c>
      <c r="BD46" s="110">
        <v>196193.0938</v>
      </c>
      <c r="BE46" s="110">
        <v>771.63</v>
      </c>
      <c r="BF46" s="272">
        <f t="shared" si="6"/>
        <v>1.8254284918008973E-2</v>
      </c>
      <c r="BG46" s="272">
        <f t="shared" si="6"/>
        <v>3.4532034834335568E-3</v>
      </c>
    </row>
    <row r="47" spans="2:59" x14ac:dyDescent="0.3">
      <c r="B47" s="101">
        <v>42720</v>
      </c>
      <c r="C47" s="54">
        <v>675.16</v>
      </c>
      <c r="D47" s="102">
        <f t="shared" si="8"/>
        <v>1.8233369025894675E-2</v>
      </c>
      <c r="E47" s="102"/>
      <c r="F47" s="54">
        <v>2258.0700000000002</v>
      </c>
      <c r="G47" s="102">
        <f t="shared" si="8"/>
        <v>-6.4615207587415124E-4</v>
      </c>
      <c r="O47" s="101">
        <v>43000</v>
      </c>
      <c r="P47" s="110">
        <v>27800</v>
      </c>
      <c r="Q47" s="110">
        <v>807.13</v>
      </c>
      <c r="R47" s="102">
        <f t="shared" si="7"/>
        <v>-7.168489478612516E-3</v>
      </c>
      <c r="S47" s="102">
        <f t="shared" si="7"/>
        <v>3.972545042761926E-3</v>
      </c>
      <c r="Y47" s="101">
        <v>42909</v>
      </c>
      <c r="Z47" s="110">
        <v>31950</v>
      </c>
      <c r="AA47" s="110">
        <v>769.01</v>
      </c>
      <c r="AB47" s="102">
        <f t="shared" si="3"/>
        <v>1.4184634991956381E-2</v>
      </c>
      <c r="AC47" s="102">
        <f t="shared" si="3"/>
        <v>1.0155290673437692E-2</v>
      </c>
      <c r="AI47" s="101">
        <v>42551</v>
      </c>
      <c r="AJ47" s="110">
        <v>37746.03</v>
      </c>
      <c r="AK47" s="110">
        <v>632.26</v>
      </c>
      <c r="AL47" s="102">
        <f t="shared" si="4"/>
        <v>0.10265416838054418</v>
      </c>
      <c r="AM47" s="102">
        <f t="shared" si="4"/>
        <v>2.2100523718872701E-2</v>
      </c>
      <c r="AN47" s="102"/>
      <c r="AS47" s="101">
        <v>41639</v>
      </c>
      <c r="AT47" s="110">
        <v>22008.53</v>
      </c>
      <c r="AU47" s="110">
        <v>504.63</v>
      </c>
      <c r="AV47" s="102">
        <f t="shared" si="5"/>
        <v>9.9290277040981381E-2</v>
      </c>
      <c r="AW47" s="102">
        <f t="shared" si="5"/>
        <v>2.4067102299944767E-2</v>
      </c>
      <c r="BC47" s="101">
        <v>42965</v>
      </c>
      <c r="BD47" s="110">
        <v>192644.2188</v>
      </c>
      <c r="BE47" s="110">
        <v>768.97</v>
      </c>
      <c r="BF47" s="272">
        <f t="shared" si="6"/>
        <v>-1.4552660410082604E-2</v>
      </c>
      <c r="BG47" s="272">
        <f t="shared" si="6"/>
        <v>-4.0362145577240022E-3</v>
      </c>
    </row>
    <row r="48" spans="2:59" x14ac:dyDescent="0.3">
      <c r="B48" s="101">
        <v>42713</v>
      </c>
      <c r="C48" s="54">
        <v>663.07</v>
      </c>
      <c r="D48" s="102">
        <f t="shared" si="8"/>
        <v>-3.1121267703039246E-3</v>
      </c>
      <c r="E48" s="102"/>
      <c r="F48" s="54">
        <v>2259.5300000000002</v>
      </c>
      <c r="G48" s="102">
        <f t="shared" si="8"/>
        <v>3.0830995232555614E-2</v>
      </c>
      <c r="O48" s="101">
        <v>42999</v>
      </c>
      <c r="P48" s="110">
        <v>28000</v>
      </c>
      <c r="Q48" s="110">
        <v>803.93</v>
      </c>
      <c r="R48" s="102">
        <f t="shared" si="7"/>
        <v>0</v>
      </c>
      <c r="S48" s="102">
        <f t="shared" si="7"/>
        <v>-2.3978294370384646E-3</v>
      </c>
      <c r="Y48" s="101">
        <v>42902</v>
      </c>
      <c r="Z48" s="110">
        <v>31500</v>
      </c>
      <c r="AA48" s="110">
        <v>761.24</v>
      </c>
      <c r="AB48" s="102">
        <f t="shared" si="3"/>
        <v>-1.2618463959211462E-2</v>
      </c>
      <c r="AC48" s="102">
        <f t="shared" si="3"/>
        <v>1.5248879158042348E-2</v>
      </c>
      <c r="AI48" s="101">
        <v>42521</v>
      </c>
      <c r="AJ48" s="110">
        <v>34063.49</v>
      </c>
      <c r="AK48" s="110">
        <v>618.44000000000005</v>
      </c>
      <c r="AL48" s="102">
        <f t="shared" si="4"/>
        <v>-4.7502256809526522E-2</v>
      </c>
      <c r="AM48" s="102">
        <f t="shared" si="4"/>
        <v>3.2990886520701333E-2</v>
      </c>
      <c r="AN48" s="102"/>
      <c r="AS48" s="101">
        <v>41547</v>
      </c>
      <c r="AT48" s="110">
        <v>19928.28</v>
      </c>
      <c r="AU48" s="110">
        <v>492.63</v>
      </c>
      <c r="AV48" s="102">
        <f t="shared" si="5"/>
        <v>0.21344168180065018</v>
      </c>
      <c r="AW48" s="102">
        <f t="shared" si="5"/>
        <v>2.3620881312254295E-2</v>
      </c>
      <c r="BC48" s="101">
        <v>42958</v>
      </c>
      <c r="BD48" s="110">
        <v>195468.20310000001</v>
      </c>
      <c r="BE48" s="110">
        <v>772.08</v>
      </c>
      <c r="BF48" s="272">
        <f t="shared" si="6"/>
        <v>-1.8576084226276771E-2</v>
      </c>
      <c r="BG48" s="272">
        <f t="shared" si="6"/>
        <v>-2.1272490299186313E-2</v>
      </c>
    </row>
    <row r="49" spans="2:59" x14ac:dyDescent="0.3">
      <c r="B49" s="101">
        <v>42706</v>
      </c>
      <c r="C49" s="54">
        <v>665.14</v>
      </c>
      <c r="D49" s="102">
        <f t="shared" si="8"/>
        <v>-1.5875834110109954E-2</v>
      </c>
      <c r="E49" s="102"/>
      <c r="F49" s="54">
        <v>2191.9499999999998</v>
      </c>
      <c r="G49" s="102">
        <f t="shared" si="8"/>
        <v>-9.6686018930580708E-3</v>
      </c>
      <c r="O49" s="101">
        <v>42998</v>
      </c>
      <c r="P49" s="110">
        <v>28000</v>
      </c>
      <c r="Q49" s="110">
        <v>805.86</v>
      </c>
      <c r="R49" s="102">
        <f t="shared" si="7"/>
        <v>0</v>
      </c>
      <c r="S49" s="102">
        <f t="shared" si="7"/>
        <v>-8.6859950792484759E-5</v>
      </c>
      <c r="Y49" s="101">
        <v>42895</v>
      </c>
      <c r="Z49" s="110">
        <v>31900</v>
      </c>
      <c r="AA49" s="110">
        <v>749.72</v>
      </c>
      <c r="AB49" s="102">
        <f t="shared" si="3"/>
        <v>7.8678612006137377E-3</v>
      </c>
      <c r="AC49" s="102">
        <f t="shared" si="3"/>
        <v>1.4659019794390146E-2</v>
      </c>
      <c r="AI49" s="101">
        <v>42489</v>
      </c>
      <c r="AJ49" s="110">
        <v>35720.629999999997</v>
      </c>
      <c r="AK49" s="110">
        <v>598.37</v>
      </c>
      <c r="AL49" s="102">
        <f t="shared" si="4"/>
        <v>7.7617108423918175E-3</v>
      </c>
      <c r="AM49" s="102">
        <f t="shared" si="4"/>
        <v>6.4096306201656475E-2</v>
      </c>
      <c r="AN49" s="102"/>
      <c r="AS49" s="101">
        <v>41453</v>
      </c>
      <c r="AT49" s="110">
        <v>16098.05</v>
      </c>
      <c r="AU49" s="110">
        <v>481.13</v>
      </c>
      <c r="AV49" s="102">
        <f t="shared" si="5"/>
        <v>9.2020724880389648E-2</v>
      </c>
      <c r="AW49" s="102">
        <f t="shared" si="5"/>
        <v>-2.03880870118247E-2</v>
      </c>
      <c r="BC49" s="101">
        <v>42951</v>
      </c>
      <c r="BD49" s="110">
        <v>199133.17189999999</v>
      </c>
      <c r="BE49" s="110">
        <v>788.68</v>
      </c>
      <c r="BF49" s="272">
        <f t="shared" si="6"/>
        <v>1.9011271666703102E-2</v>
      </c>
      <c r="BG49" s="272">
        <f t="shared" si="6"/>
        <v>1.4804488122379359E-2</v>
      </c>
    </row>
    <row r="50" spans="2:59" x14ac:dyDescent="0.3">
      <c r="B50" s="101">
        <v>42699</v>
      </c>
      <c r="C50" s="54">
        <v>675.87</v>
      </c>
      <c r="D50" s="102">
        <f t="shared" si="8"/>
        <v>3.8915707389528542E-3</v>
      </c>
      <c r="E50" s="102"/>
      <c r="F50" s="54">
        <v>2213.35</v>
      </c>
      <c r="G50" s="102">
        <f t="shared" si="8"/>
        <v>1.4414042806728089E-2</v>
      </c>
      <c r="O50" s="101">
        <v>42997</v>
      </c>
      <c r="P50" s="110">
        <v>28000</v>
      </c>
      <c r="Q50" s="110">
        <v>805.93</v>
      </c>
      <c r="R50" s="102">
        <f t="shared" si="7"/>
        <v>-2.2948932985544651E-2</v>
      </c>
      <c r="S50" s="102">
        <f t="shared" si="7"/>
        <v>-2.4042643877953025E-3</v>
      </c>
      <c r="Y50" s="101">
        <v>42888</v>
      </c>
      <c r="Z50" s="110">
        <v>31650</v>
      </c>
      <c r="AA50" s="110">
        <v>738.81</v>
      </c>
      <c r="AB50" s="102">
        <f t="shared" si="3"/>
        <v>-1.0997754209541398E-2</v>
      </c>
      <c r="AC50" s="102">
        <f t="shared" si="3"/>
        <v>-6.2069257846511282E-3</v>
      </c>
      <c r="AI50" s="101">
        <v>42460</v>
      </c>
      <c r="AJ50" s="110">
        <v>35444.449999999997</v>
      </c>
      <c r="AK50" s="110">
        <v>561.22</v>
      </c>
      <c r="AL50" s="102">
        <f t="shared" si="4"/>
        <v>0.20385038431986482</v>
      </c>
      <c r="AM50" s="102">
        <f t="shared" si="4"/>
        <v>3.3018350703511151E-3</v>
      </c>
      <c r="AN50" s="102"/>
      <c r="AS50" s="101">
        <v>41362</v>
      </c>
      <c r="AT50" s="110">
        <v>14682.81</v>
      </c>
      <c r="AU50" s="110">
        <v>491.04</v>
      </c>
      <c r="AV50" s="102">
        <f t="shared" si="5"/>
        <v>0.19064950976711145</v>
      </c>
      <c r="AW50" s="102">
        <f t="shared" si="5"/>
        <v>0.17131200371707006</v>
      </c>
      <c r="BC50" s="101">
        <v>42944</v>
      </c>
      <c r="BD50" s="110">
        <v>195383.1563</v>
      </c>
      <c r="BE50" s="110">
        <v>777.09</v>
      </c>
      <c r="BF50" s="272">
        <f t="shared" si="6"/>
        <v>-1.1497545688686795E-2</v>
      </c>
      <c r="BG50" s="272">
        <f t="shared" si="6"/>
        <v>1.9793362003041184E-2</v>
      </c>
    </row>
    <row r="51" spans="2:59" x14ac:dyDescent="0.3">
      <c r="B51" s="101">
        <v>42692</v>
      </c>
      <c r="C51" s="54">
        <v>673.25</v>
      </c>
      <c r="D51" s="102">
        <f t="shared" si="8"/>
        <v>-8.7603062426384604E-3</v>
      </c>
      <c r="E51" s="102"/>
      <c r="F51" s="54">
        <v>2181.9</v>
      </c>
      <c r="G51" s="102">
        <f t="shared" si="8"/>
        <v>8.0620942964726439E-3</v>
      </c>
      <c r="O51" s="101">
        <v>42996</v>
      </c>
      <c r="P51" s="110">
        <v>28650</v>
      </c>
      <c r="Q51" s="110">
        <v>807.87</v>
      </c>
      <c r="R51" s="102">
        <f t="shared" si="7"/>
        <v>2.2948932985544568E-2</v>
      </c>
      <c r="S51" s="102">
        <f t="shared" si="7"/>
        <v>2.5407619837882036E-3</v>
      </c>
      <c r="Y51" s="101">
        <v>42881</v>
      </c>
      <c r="Z51" s="110">
        <v>32000</v>
      </c>
      <c r="AA51" s="110">
        <v>743.41</v>
      </c>
      <c r="AB51" s="102">
        <f t="shared" si="3"/>
        <v>-1.2422519998557209E-2</v>
      </c>
      <c r="AC51" s="102">
        <f t="shared" si="3"/>
        <v>1.2983942548346554E-2</v>
      </c>
      <c r="AI51" s="101">
        <v>42429</v>
      </c>
      <c r="AJ51" s="110">
        <v>28907.94</v>
      </c>
      <c r="AK51" s="110">
        <v>559.37</v>
      </c>
      <c r="AL51" s="102">
        <f t="shared" si="4"/>
        <v>3.535090898311842E-2</v>
      </c>
      <c r="AM51" s="102">
        <f t="shared" si="4"/>
        <v>2.5566745359946248E-2</v>
      </c>
      <c r="AN51" s="102"/>
      <c r="AS51" s="101">
        <v>41274</v>
      </c>
      <c r="AT51" s="110">
        <v>12134.2</v>
      </c>
      <c r="AU51" s="110">
        <v>413.73</v>
      </c>
      <c r="AV51" s="102">
        <f t="shared" si="5"/>
        <v>-4.5349646837043622E-2</v>
      </c>
      <c r="AW51" s="102">
        <f t="shared" si="5"/>
        <v>5.2498721884239805E-2</v>
      </c>
      <c r="BC51" s="101">
        <v>42937</v>
      </c>
      <c r="BD51" s="110">
        <v>197642.54689999999</v>
      </c>
      <c r="BE51" s="110">
        <v>761.86</v>
      </c>
      <c r="BF51" s="272">
        <f t="shared" si="6"/>
        <v>-2.4496063692944096E-2</v>
      </c>
      <c r="BG51" s="272">
        <f t="shared" si="6"/>
        <v>-2.044944137358292E-2</v>
      </c>
    </row>
    <row r="52" spans="2:59" x14ac:dyDescent="0.3">
      <c r="B52" s="101">
        <v>42685</v>
      </c>
      <c r="C52" s="54">
        <v>679.2</v>
      </c>
      <c r="D52" s="102">
        <f t="shared" si="8"/>
        <v>1.8703223193796692E-2</v>
      </c>
      <c r="E52" s="102"/>
      <c r="F52" s="54">
        <v>2164.4499999999998</v>
      </c>
      <c r="G52" s="102">
        <f t="shared" si="8"/>
        <v>3.8015902703843363E-2</v>
      </c>
      <c r="O52" s="101">
        <v>42993</v>
      </c>
      <c r="P52" s="110">
        <v>28000</v>
      </c>
      <c r="Q52" s="110">
        <v>805.82</v>
      </c>
      <c r="R52" s="102">
        <f t="shared" si="7"/>
        <v>-1.2422519998557209E-2</v>
      </c>
      <c r="S52" s="102">
        <f t="shared" si="7"/>
        <v>-6.2029354278391965E-4</v>
      </c>
      <c r="Y52" s="101">
        <v>42874</v>
      </c>
      <c r="Z52" s="110">
        <v>32400</v>
      </c>
      <c r="AA52" s="110">
        <v>733.82</v>
      </c>
      <c r="AB52" s="102">
        <f t="shared" si="3"/>
        <v>-1.8349138668196541E-2</v>
      </c>
      <c r="AC52" s="102">
        <f t="shared" si="3"/>
        <v>1.1581897432069424E-2</v>
      </c>
      <c r="AI52" s="101">
        <v>42398</v>
      </c>
      <c r="AJ52" s="110">
        <v>27903.87</v>
      </c>
      <c r="AK52" s="110">
        <v>545.25</v>
      </c>
      <c r="AL52" s="102">
        <f t="shared" si="4"/>
        <v>1.2658321545069179E-2</v>
      </c>
      <c r="AM52" s="102">
        <f t="shared" si="4"/>
        <v>-6.0109884620487795E-2</v>
      </c>
      <c r="AN52" s="102"/>
      <c r="AS52" s="101">
        <v>41180</v>
      </c>
      <c r="AT52" s="110">
        <v>12697.15</v>
      </c>
      <c r="AU52" s="110">
        <v>392.57</v>
      </c>
      <c r="AV52" s="102">
        <f t="shared" si="5"/>
        <v>2.2556718559458105E-2</v>
      </c>
      <c r="AW52" s="102">
        <f t="shared" si="5"/>
        <v>-7.3166841872429514E-2</v>
      </c>
      <c r="BC52" s="101">
        <v>42930</v>
      </c>
      <c r="BD52" s="110">
        <v>202543.79689999999</v>
      </c>
      <c r="BE52" s="110">
        <v>777.6</v>
      </c>
      <c r="BF52" s="272">
        <f t="shared" si="6"/>
        <v>1.610783482792346E-2</v>
      </c>
      <c r="BG52" s="272">
        <f t="shared" si="6"/>
        <v>2.4077316518608554E-3</v>
      </c>
    </row>
    <row r="53" spans="2:59" x14ac:dyDescent="0.3">
      <c r="B53" s="101">
        <v>42678</v>
      </c>
      <c r="C53" s="54">
        <v>666.73</v>
      </c>
      <c r="D53" s="102">
        <f t="shared" si="8"/>
        <v>-2.2748259435690699E-2</v>
      </c>
      <c r="E53" s="102"/>
      <c r="F53" s="54">
        <v>2085.1799999999998</v>
      </c>
      <c r="G53" s="102">
        <f t="shared" si="8"/>
        <v>-1.9389487445977016E-2</v>
      </c>
      <c r="O53" s="101">
        <v>42992</v>
      </c>
      <c r="P53" s="110">
        <v>28350</v>
      </c>
      <c r="Q53" s="110">
        <v>806.32</v>
      </c>
      <c r="R53" s="102">
        <f t="shared" si="7"/>
        <v>3.5335725813110445E-3</v>
      </c>
      <c r="S53" s="102">
        <f t="shared" si="7"/>
        <v>4.3999822399505128E-3</v>
      </c>
      <c r="Y53" s="101">
        <v>42867</v>
      </c>
      <c r="Z53" s="110">
        <v>33000</v>
      </c>
      <c r="AA53" s="110">
        <v>725.37</v>
      </c>
      <c r="AB53" s="102">
        <f t="shared" si="3"/>
        <v>1.5267472130788381E-2</v>
      </c>
      <c r="AC53" s="102">
        <f t="shared" si="3"/>
        <v>7.4306574905282762E-3</v>
      </c>
      <c r="AI53" s="101">
        <v>42369</v>
      </c>
      <c r="AJ53" s="110">
        <v>27552.880000000001</v>
      </c>
      <c r="AK53" s="110">
        <v>579.03</v>
      </c>
      <c r="AL53" s="102">
        <f t="shared" si="4"/>
        <v>-2.7816717377927156E-2</v>
      </c>
      <c r="AM53" s="102">
        <f t="shared" si="4"/>
        <v>1.0119593748209341E-2</v>
      </c>
      <c r="AN53" s="102"/>
      <c r="AS53" s="101">
        <v>41089</v>
      </c>
      <c r="AT53" s="110">
        <v>12413.95</v>
      </c>
      <c r="AU53" s="110">
        <v>422.37</v>
      </c>
      <c r="AV53" s="102">
        <f t="shared" si="5"/>
        <v>5.6448695964330824E-2</v>
      </c>
      <c r="AW53" s="102">
        <f t="shared" si="5"/>
        <v>-4.323119320143877E-2</v>
      </c>
      <c r="BC53" s="101">
        <v>42923</v>
      </c>
      <c r="BD53" s="110">
        <v>199307.39060000001</v>
      </c>
      <c r="BE53" s="110">
        <v>775.73</v>
      </c>
      <c r="BF53" s="272">
        <f t="shared" si="6"/>
        <v>2.8374403770896842E-2</v>
      </c>
      <c r="BG53" s="272">
        <f t="shared" si="6"/>
        <v>-9.5348544783315945E-4</v>
      </c>
    </row>
    <row r="54" spans="2:59" x14ac:dyDescent="0.3">
      <c r="B54" s="101">
        <v>42671</v>
      </c>
      <c r="C54" s="54">
        <v>682.25</v>
      </c>
      <c r="D54" s="102">
        <f t="shared" ref="D54:G69" si="9">C54/C55-1</f>
        <v>-3.7673583225034113E-3</v>
      </c>
      <c r="E54" s="102"/>
      <c r="F54" s="54">
        <v>2126.41</v>
      </c>
      <c r="G54" s="102">
        <f t="shared" si="9"/>
        <v>-6.8887892544228224E-3</v>
      </c>
      <c r="O54" s="101">
        <v>42991</v>
      </c>
      <c r="P54" s="110">
        <v>28250</v>
      </c>
      <c r="Q54" s="110">
        <v>802.78</v>
      </c>
      <c r="R54" s="102">
        <f t="shared" si="7"/>
        <v>8.8889474172459942E-3</v>
      </c>
      <c r="S54" s="102">
        <f t="shared" si="7"/>
        <v>3.5439789513854536E-3</v>
      </c>
      <c r="Y54" s="101">
        <v>42860</v>
      </c>
      <c r="Z54" s="110">
        <v>32500</v>
      </c>
      <c r="AA54" s="110">
        <v>720</v>
      </c>
      <c r="AB54" s="102">
        <f t="shared" si="3"/>
        <v>1.2384059199721622E-2</v>
      </c>
      <c r="AC54" s="102">
        <f t="shared" si="3"/>
        <v>3.1577582526110619E-3</v>
      </c>
      <c r="AI54" s="101">
        <v>42338</v>
      </c>
      <c r="AJ54" s="110">
        <v>28330.07</v>
      </c>
      <c r="AK54" s="110">
        <v>573.20000000000005</v>
      </c>
      <c r="AL54" s="102">
        <f t="shared" si="4"/>
        <v>4.8347693453488098E-2</v>
      </c>
      <c r="AM54" s="102">
        <f t="shared" si="4"/>
        <v>-5.790346459163366E-2</v>
      </c>
      <c r="AN54" s="102"/>
      <c r="AS54" s="101">
        <v>40998</v>
      </c>
      <c r="AT54" s="110">
        <v>11732.61</v>
      </c>
      <c r="AU54" s="110">
        <v>441.03</v>
      </c>
      <c r="AV54" s="102">
        <f t="shared" si="5"/>
        <v>0.23638843713418009</v>
      </c>
      <c r="AW54" s="102">
        <f t="shared" si="5"/>
        <v>0.22676095169881422</v>
      </c>
      <c r="BC54" s="101">
        <v>42916</v>
      </c>
      <c r="BD54" s="110">
        <v>193731.64060000001</v>
      </c>
      <c r="BE54" s="110">
        <v>776.47</v>
      </c>
      <c r="BF54" s="272">
        <f t="shared" si="6"/>
        <v>5.9616046572381429E-3</v>
      </c>
      <c r="BG54" s="272">
        <f t="shared" si="6"/>
        <v>9.6540336199372086E-3</v>
      </c>
    </row>
    <row r="55" spans="2:59" x14ac:dyDescent="0.3">
      <c r="B55" s="101">
        <v>42664</v>
      </c>
      <c r="C55" s="54">
        <v>684.83</v>
      </c>
      <c r="D55" s="102">
        <f t="shared" si="9"/>
        <v>-3.1586608442503161E-3</v>
      </c>
      <c r="E55" s="102"/>
      <c r="F55" s="54">
        <v>2141.16</v>
      </c>
      <c r="G55" s="102">
        <f t="shared" si="9"/>
        <v>3.8350101735600273E-3</v>
      </c>
      <c r="O55" s="101">
        <v>42990</v>
      </c>
      <c r="P55" s="110">
        <v>28000</v>
      </c>
      <c r="Q55" s="110">
        <v>799.94</v>
      </c>
      <c r="R55" s="102">
        <f t="shared" si="7"/>
        <v>-1.5943650397136001E-2</v>
      </c>
      <c r="S55" s="102">
        <f t="shared" si="7"/>
        <v>3.0925084587038938E-3</v>
      </c>
      <c r="Y55" s="101">
        <v>42853</v>
      </c>
      <c r="Z55" s="110">
        <v>32100</v>
      </c>
      <c r="AA55" s="110">
        <v>717.73</v>
      </c>
      <c r="AB55" s="102">
        <f t="shared" si="3"/>
        <v>-2.7651531330510008E-2</v>
      </c>
      <c r="AC55" s="102">
        <f t="shared" si="3"/>
        <v>7.4398653826694139E-3</v>
      </c>
      <c r="AI55" s="101">
        <v>42307</v>
      </c>
      <c r="AJ55" s="110">
        <v>26992.959999999999</v>
      </c>
      <c r="AK55" s="110">
        <v>607.37</v>
      </c>
      <c r="AL55" s="102">
        <f t="shared" si="4"/>
        <v>8.7292971527963586E-2</v>
      </c>
      <c r="AM55" s="102">
        <f t="shared" si="4"/>
        <v>7.6498168545887743E-2</v>
      </c>
      <c r="AN55" s="102"/>
      <c r="AS55" s="101">
        <v>40907</v>
      </c>
      <c r="AT55" s="110">
        <v>9262.59</v>
      </c>
      <c r="AU55" s="110">
        <v>351.55</v>
      </c>
      <c r="AV55" s="102" t="e">
        <f t="shared" si="5"/>
        <v>#DIV/0!</v>
      </c>
      <c r="AW55" s="102" t="e">
        <f t="shared" si="5"/>
        <v>#DIV/0!</v>
      </c>
      <c r="BC55" s="101">
        <v>42909</v>
      </c>
      <c r="BD55" s="110">
        <v>192580.125</v>
      </c>
      <c r="BE55" s="110">
        <v>769.01</v>
      </c>
      <c r="BF55" s="272">
        <f t="shared" si="6"/>
        <v>-4.4380022837629003E-5</v>
      </c>
      <c r="BG55" s="272">
        <f t="shared" si="6"/>
        <v>1.0155290673437692E-2</v>
      </c>
    </row>
    <row r="56" spans="2:59" x14ac:dyDescent="0.3">
      <c r="B56" s="101">
        <v>42657</v>
      </c>
      <c r="C56" s="54">
        <v>687</v>
      </c>
      <c r="D56" s="102">
        <f t="shared" si="9"/>
        <v>4.4593903063088192E-3</v>
      </c>
      <c r="E56" s="102"/>
      <c r="F56" s="54">
        <v>2132.98</v>
      </c>
      <c r="G56" s="102">
        <f t="shared" si="9"/>
        <v>-9.6390464958628908E-3</v>
      </c>
      <c r="O56" s="101">
        <v>42989</v>
      </c>
      <c r="P56" s="110">
        <v>28450</v>
      </c>
      <c r="Q56" s="110">
        <v>797.47</v>
      </c>
      <c r="R56" s="102">
        <f t="shared" si="7"/>
        <v>8.8261826282721185E-3</v>
      </c>
      <c r="S56" s="102">
        <f t="shared" si="7"/>
        <v>-4.6663873950804164E-3</v>
      </c>
      <c r="Y56" s="101">
        <v>42846</v>
      </c>
      <c r="Z56" s="110">
        <v>33000</v>
      </c>
      <c r="AA56" s="110">
        <v>712.41</v>
      </c>
      <c r="AB56" s="102">
        <f t="shared" si="3"/>
        <v>1.0662705744040111E-2</v>
      </c>
      <c r="AC56" s="102">
        <f t="shared" si="3"/>
        <v>-8.4425253003950016E-3</v>
      </c>
      <c r="AI56" s="101">
        <v>42277</v>
      </c>
      <c r="AJ56" s="110">
        <v>24736.58</v>
      </c>
      <c r="AK56" s="110">
        <v>562.64</v>
      </c>
      <c r="AL56" s="102">
        <f t="shared" si="4"/>
        <v>1.0186494856750553E-2</v>
      </c>
      <c r="AM56" s="102">
        <f t="shared" si="4"/>
        <v>-3.7431633483498545E-3</v>
      </c>
      <c r="AN56" s="102"/>
      <c r="BC56" s="101">
        <v>42902</v>
      </c>
      <c r="BD56" s="110">
        <v>192588.67189999999</v>
      </c>
      <c r="BE56" s="110">
        <v>761.24</v>
      </c>
      <c r="BF56" s="272">
        <f t="shared" si="6"/>
        <v>2.9234350001160606E-2</v>
      </c>
      <c r="BG56" s="272">
        <f t="shared" si="6"/>
        <v>1.5248879158042348E-2</v>
      </c>
    </row>
    <row r="57" spans="2:59" x14ac:dyDescent="0.3">
      <c r="B57" s="101">
        <v>42650</v>
      </c>
      <c r="C57" s="54">
        <v>683.95</v>
      </c>
      <c r="D57" s="102">
        <f t="shared" si="9"/>
        <v>-2.5957738468492808E-3</v>
      </c>
      <c r="E57" s="102"/>
      <c r="F57" s="54">
        <v>2153.7399999999998</v>
      </c>
      <c r="G57" s="102">
        <f t="shared" si="9"/>
        <v>-6.7011949618821509E-3</v>
      </c>
      <c r="O57" s="101">
        <v>42986</v>
      </c>
      <c r="P57" s="110">
        <v>28200</v>
      </c>
      <c r="Q57" s="110">
        <v>801.2</v>
      </c>
      <c r="R57" s="102">
        <f t="shared" si="7"/>
        <v>-2.2788015010040696E-2</v>
      </c>
      <c r="S57" s="102">
        <f t="shared" si="7"/>
        <v>5.60730416827905E-3</v>
      </c>
      <c r="Y57" s="101">
        <v>42839</v>
      </c>
      <c r="Z57" s="110">
        <v>32650</v>
      </c>
      <c r="AA57" s="110">
        <v>718.45</v>
      </c>
      <c r="AB57" s="102">
        <f t="shared" si="3"/>
        <v>1.6988825586469945E-2</v>
      </c>
      <c r="AC57" s="102">
        <f t="shared" si="3"/>
        <v>-1.3136250844119282E-2</v>
      </c>
      <c r="AI57" s="101">
        <v>42247</v>
      </c>
      <c r="AJ57" s="110">
        <v>24485.88</v>
      </c>
      <c r="AK57" s="110">
        <v>564.75</v>
      </c>
      <c r="AL57" s="102">
        <f t="shared" si="4"/>
        <v>-1.6920565022217587E-2</v>
      </c>
      <c r="AM57" s="102">
        <f t="shared" si="4"/>
        <v>-9.5044540275601025E-2</v>
      </c>
      <c r="AN57" s="102"/>
      <c r="BC57" s="101">
        <v>42895</v>
      </c>
      <c r="BD57" s="110">
        <v>187039.9688</v>
      </c>
      <c r="BE57" s="110">
        <v>749.72</v>
      </c>
      <c r="BF57" s="272">
        <f t="shared" si="6"/>
        <v>3.5979431997923226E-3</v>
      </c>
      <c r="BG57" s="272">
        <f t="shared" si="6"/>
        <v>1.4659019794390146E-2</v>
      </c>
    </row>
    <row r="58" spans="2:59" x14ac:dyDescent="0.3">
      <c r="B58" s="101">
        <v>42643</v>
      </c>
      <c r="C58" s="54">
        <v>685.73</v>
      </c>
      <c r="D58" s="102">
        <f t="shared" si="9"/>
        <v>1.7267723894435427E-2</v>
      </c>
      <c r="E58" s="102"/>
      <c r="F58" s="54">
        <v>2168.27</v>
      </c>
      <c r="G58" s="102">
        <f t="shared" si="9"/>
        <v>1.6538164818056256E-3</v>
      </c>
      <c r="O58" s="101">
        <v>42985</v>
      </c>
      <c r="P58" s="110">
        <v>28850</v>
      </c>
      <c r="Q58" s="110">
        <v>796.72</v>
      </c>
      <c r="R58" s="102">
        <f t="shared" si="7"/>
        <v>-2.2280270391665559E-2</v>
      </c>
      <c r="S58" s="102">
        <f t="shared" si="7"/>
        <v>3.9867496698167033E-3</v>
      </c>
      <c r="Y58" s="101">
        <v>42832</v>
      </c>
      <c r="Z58" s="110">
        <v>32100</v>
      </c>
      <c r="AA58" s="110">
        <v>727.95</v>
      </c>
      <c r="AB58" s="102">
        <f t="shared" si="3"/>
        <v>3.1201273362436777E-3</v>
      </c>
      <c r="AC58" s="102">
        <f t="shared" si="3"/>
        <v>7.7779548954877995E-3</v>
      </c>
      <c r="AI58" s="101">
        <v>42216</v>
      </c>
      <c r="AJ58" s="110">
        <v>24903.72</v>
      </c>
      <c r="AK58" s="110">
        <v>621.05999999999995</v>
      </c>
      <c r="AL58" s="102">
        <f t="shared" si="4"/>
        <v>2.3769943357018375E-2</v>
      </c>
      <c r="AM58" s="102">
        <f t="shared" si="4"/>
        <v>4.6148983148429107E-2</v>
      </c>
      <c r="AN58" s="102"/>
      <c r="BC58" s="101">
        <v>42888</v>
      </c>
      <c r="BD58" s="110">
        <v>186368.2188</v>
      </c>
      <c r="BE58" s="110">
        <v>738.81</v>
      </c>
      <c r="BF58" s="272">
        <f t="shared" si="6"/>
        <v>-1.185692411336498E-2</v>
      </c>
      <c r="BG58" s="272">
        <f t="shared" si="6"/>
        <v>-6.2069257846511282E-3</v>
      </c>
    </row>
    <row r="59" spans="2:59" x14ac:dyDescent="0.3">
      <c r="B59" s="101">
        <v>42636</v>
      </c>
      <c r="C59" s="54">
        <v>674.09</v>
      </c>
      <c r="D59" s="102">
        <f t="shared" si="9"/>
        <v>3.4975664430148656E-2</v>
      </c>
      <c r="E59" s="102"/>
      <c r="F59" s="54">
        <v>2164.69</v>
      </c>
      <c r="G59" s="102">
        <f t="shared" si="9"/>
        <v>1.1934591147927387E-2</v>
      </c>
      <c r="O59" s="101">
        <v>42984</v>
      </c>
      <c r="P59" s="110">
        <v>29500</v>
      </c>
      <c r="Q59" s="110">
        <v>793.55</v>
      </c>
      <c r="R59" s="102">
        <f t="shared" si="7"/>
        <v>0</v>
      </c>
      <c r="S59" s="102">
        <f t="shared" si="7"/>
        <v>1.5638205802595974E-3</v>
      </c>
      <c r="Y59" s="101">
        <v>42825</v>
      </c>
      <c r="Z59" s="110">
        <v>32000</v>
      </c>
      <c r="AA59" s="110">
        <v>722.31</v>
      </c>
      <c r="AB59" s="102">
        <f t="shared" si="3"/>
        <v>-1.3964540350372447E-2</v>
      </c>
      <c r="AC59" s="102">
        <f t="shared" si="3"/>
        <v>2.353837111492969E-4</v>
      </c>
      <c r="AI59" s="101">
        <v>42185</v>
      </c>
      <c r="AJ59" s="110">
        <v>24318.74</v>
      </c>
      <c r="AK59" s="110">
        <v>593.04999999999995</v>
      </c>
      <c r="AL59" s="102">
        <f t="shared" si="4"/>
        <v>1.2823484630471237E-2</v>
      </c>
      <c r="AM59" s="102">
        <f t="shared" si="4"/>
        <v>4.041457956249099E-2</v>
      </c>
      <c r="AN59" s="102"/>
      <c r="BC59" s="101">
        <v>42881</v>
      </c>
      <c r="BD59" s="110">
        <v>188591.125</v>
      </c>
      <c r="BE59" s="110">
        <v>743.41</v>
      </c>
      <c r="BF59" s="272">
        <f t="shared" si="6"/>
        <v>-3.8270208915615407E-3</v>
      </c>
      <c r="BG59" s="272">
        <f t="shared" si="6"/>
        <v>1.2983942548346554E-2</v>
      </c>
    </row>
    <row r="60" spans="2:59" x14ac:dyDescent="0.3">
      <c r="B60" s="101">
        <v>42629</v>
      </c>
      <c r="C60" s="54">
        <v>651.30999999999995</v>
      </c>
      <c r="D60" s="102">
        <f t="shared" si="9"/>
        <v>-2.3347528790787053E-2</v>
      </c>
      <c r="E60" s="102"/>
      <c r="F60" s="54">
        <v>2139.16</v>
      </c>
      <c r="G60" s="102">
        <f t="shared" si="9"/>
        <v>5.3341228775125593E-3</v>
      </c>
      <c r="O60" s="101">
        <v>42983</v>
      </c>
      <c r="P60" s="110">
        <v>29500</v>
      </c>
      <c r="Q60" s="110">
        <v>792.31</v>
      </c>
      <c r="R60" s="102">
        <f t="shared" si="7"/>
        <v>-6.7567824628797625E-3</v>
      </c>
      <c r="S60" s="102">
        <f t="shared" si="7"/>
        <v>4.5286724162304512E-3</v>
      </c>
      <c r="Y60" s="101">
        <v>42818</v>
      </c>
      <c r="Z60" s="110">
        <v>32450</v>
      </c>
      <c r="AA60" s="110">
        <v>722.14</v>
      </c>
      <c r="AB60" s="102">
        <f t="shared" si="3"/>
        <v>-6.1258880887215018E-2</v>
      </c>
      <c r="AC60" s="102">
        <f t="shared" si="3"/>
        <v>1.619378157881525E-2</v>
      </c>
      <c r="AI60" s="101">
        <v>42153</v>
      </c>
      <c r="AJ60" s="110">
        <v>24008.880000000001</v>
      </c>
      <c r="AK60" s="110">
        <v>569.55999999999995</v>
      </c>
      <c r="AL60" s="102">
        <f t="shared" si="4"/>
        <v>-5.4763957453130993E-2</v>
      </c>
      <c r="AM60" s="102">
        <f t="shared" si="4"/>
        <v>1.2650792416338631E-2</v>
      </c>
      <c r="AN60" s="102"/>
      <c r="BC60" s="101">
        <v>42874</v>
      </c>
      <c r="BD60" s="110">
        <v>189314.25</v>
      </c>
      <c r="BE60" s="110">
        <v>733.82</v>
      </c>
      <c r="BF60" s="272">
        <f t="shared" si="6"/>
        <v>2.2318233502780335E-2</v>
      </c>
      <c r="BG60" s="272">
        <f t="shared" si="6"/>
        <v>1.1581897432069424E-2</v>
      </c>
    </row>
    <row r="61" spans="2:59" x14ac:dyDescent="0.3">
      <c r="B61" s="101">
        <v>42622</v>
      </c>
      <c r="C61" s="54">
        <v>666.88</v>
      </c>
      <c r="D61" s="102">
        <f t="shared" si="9"/>
        <v>-3.4519344281893627E-3</v>
      </c>
      <c r="E61" s="102"/>
      <c r="F61" s="54">
        <v>2127.81</v>
      </c>
      <c r="G61" s="102">
        <f t="shared" si="9"/>
        <v>-2.3931412214791004E-2</v>
      </c>
      <c r="O61" s="101">
        <v>42979</v>
      </c>
      <c r="P61" s="110">
        <v>29700</v>
      </c>
      <c r="Q61" s="110">
        <v>788.73</v>
      </c>
      <c r="R61" s="102">
        <f t="shared" si="7"/>
        <v>2.3851215822179847E-2</v>
      </c>
      <c r="S61" s="102">
        <f t="shared" si="7"/>
        <v>7.5979213610723531E-3</v>
      </c>
      <c r="Y61" s="101">
        <v>42811</v>
      </c>
      <c r="Z61" s="110">
        <v>34500</v>
      </c>
      <c r="AA61" s="110">
        <v>710.54</v>
      </c>
      <c r="AB61" s="102">
        <f t="shared" si="3"/>
        <v>-2.7007358151110682E-2</v>
      </c>
      <c r="AC61" s="102">
        <f t="shared" si="3"/>
        <v>-2.3475674109402125E-3</v>
      </c>
      <c r="AI61" s="101">
        <v>42124</v>
      </c>
      <c r="AJ61" s="110">
        <v>25360.37</v>
      </c>
      <c r="AK61" s="110">
        <v>562.4</v>
      </c>
      <c r="AL61" s="102">
        <f t="shared" si="4"/>
        <v>1.5798198502520941E-2</v>
      </c>
      <c r="AM61" s="102">
        <f t="shared" si="4"/>
        <v>2.0242624507499769E-2</v>
      </c>
      <c r="AN61" s="102"/>
      <c r="BC61" s="101">
        <v>42867</v>
      </c>
      <c r="BD61" s="110">
        <v>185135.89060000001</v>
      </c>
      <c r="BE61" s="110">
        <v>725.37</v>
      </c>
      <c r="BF61" s="272">
        <f t="shared" si="6"/>
        <v>7.6530015378831239E-3</v>
      </c>
      <c r="BG61" s="272">
        <f t="shared" si="6"/>
        <v>7.4306574905282762E-3</v>
      </c>
    </row>
    <row r="62" spans="2:59" x14ac:dyDescent="0.3">
      <c r="B62" s="101">
        <v>42615</v>
      </c>
      <c r="C62" s="54">
        <v>669.19</v>
      </c>
      <c r="D62" s="102">
        <f t="shared" si="9"/>
        <v>2.1564956944966074E-3</v>
      </c>
      <c r="E62" s="102"/>
      <c r="F62" s="54">
        <v>2179.98</v>
      </c>
      <c r="G62" s="102">
        <f t="shared" si="9"/>
        <v>5.0437059713053234E-3</v>
      </c>
      <c r="O62" s="101">
        <v>42978</v>
      </c>
      <c r="P62" s="110">
        <v>29000</v>
      </c>
      <c r="Q62" s="110">
        <v>782.76</v>
      </c>
      <c r="R62" s="102">
        <f t="shared" si="7"/>
        <v>0</v>
      </c>
      <c r="S62" s="102">
        <f t="shared" si="7"/>
        <v>5.2644846546571452E-3</v>
      </c>
      <c r="Y62" s="101">
        <v>42804</v>
      </c>
      <c r="Z62" s="110">
        <v>35444.449999999997</v>
      </c>
      <c r="AA62" s="110">
        <v>712.21</v>
      </c>
      <c r="AB62" s="102">
        <f t="shared" si="3"/>
        <v>-2.5642291333162561E-2</v>
      </c>
      <c r="AC62" s="102">
        <f t="shared" si="3"/>
        <v>-5.7550726938122626E-4</v>
      </c>
      <c r="AI62" s="101">
        <v>42094</v>
      </c>
      <c r="AJ62" s="110">
        <v>24962.87</v>
      </c>
      <c r="AK62" s="110">
        <v>551.13</v>
      </c>
      <c r="AL62" s="102">
        <f t="shared" si="4"/>
        <v>-6.3492606390033093E-3</v>
      </c>
      <c r="AM62" s="102">
        <f t="shared" si="4"/>
        <v>-7.2498293501857575E-2</v>
      </c>
      <c r="AN62" s="102"/>
      <c r="BC62" s="101">
        <v>42860</v>
      </c>
      <c r="BD62" s="110">
        <v>183724.45310000001</v>
      </c>
      <c r="BE62" s="110">
        <v>720</v>
      </c>
      <c r="BF62" s="272">
        <f t="shared" si="6"/>
        <v>1.0621907073058681E-3</v>
      </c>
      <c r="BG62" s="272">
        <f t="shared" si="6"/>
        <v>3.1577582526110619E-3</v>
      </c>
    </row>
    <row r="63" spans="2:59" x14ac:dyDescent="0.3">
      <c r="B63" s="101">
        <v>42608</v>
      </c>
      <c r="C63" s="54">
        <v>667.75</v>
      </c>
      <c r="D63" s="102">
        <f t="shared" si="9"/>
        <v>8.259346499969844E-3</v>
      </c>
      <c r="E63" s="102"/>
      <c r="F63" s="54">
        <v>2169.04</v>
      </c>
      <c r="G63" s="102">
        <f t="shared" si="9"/>
        <v>-6.790697248462596E-3</v>
      </c>
      <c r="O63" s="101">
        <v>42977</v>
      </c>
      <c r="P63" s="110">
        <v>29000</v>
      </c>
      <c r="Q63" s="110">
        <v>778.65</v>
      </c>
      <c r="R63" s="102">
        <f t="shared" si="7"/>
        <v>-2.0478531343540676E-2</v>
      </c>
      <c r="S63" s="102">
        <f t="shared" si="7"/>
        <v>5.951018412835604E-3</v>
      </c>
      <c r="Y63" s="101">
        <v>42797</v>
      </c>
      <c r="Z63" s="110">
        <v>36365.08</v>
      </c>
      <c r="AA63" s="110">
        <v>712.62</v>
      </c>
      <c r="AB63" s="102">
        <f t="shared" si="3"/>
        <v>1.2739096287453466E-2</v>
      </c>
      <c r="AC63" s="102">
        <f t="shared" si="3"/>
        <v>-2.592690070443617E-3</v>
      </c>
      <c r="AI63" s="101">
        <v>42062</v>
      </c>
      <c r="AJ63" s="110">
        <v>25121.87</v>
      </c>
      <c r="AK63" s="110">
        <v>592.57000000000005</v>
      </c>
      <c r="AL63" s="102">
        <f t="shared" si="4"/>
        <v>3.543021119493469E-2</v>
      </c>
      <c r="AM63" s="102">
        <f t="shared" si="4"/>
        <v>2.8239828401046035E-2</v>
      </c>
      <c r="AN63" s="102"/>
      <c r="BC63" s="101">
        <v>42853</v>
      </c>
      <c r="BD63" s="110">
        <v>183529.4063</v>
      </c>
      <c r="BE63" s="110">
        <v>717.73</v>
      </c>
      <c r="BF63" s="272">
        <f t="shared" si="6"/>
        <v>2.1330908862820581E-2</v>
      </c>
      <c r="BG63" s="272">
        <f t="shared" si="6"/>
        <v>7.4398653826694139E-3</v>
      </c>
    </row>
    <row r="64" spans="2:59" x14ac:dyDescent="0.3">
      <c r="B64" s="101">
        <v>42601</v>
      </c>
      <c r="C64" s="54">
        <v>662.28</v>
      </c>
      <c r="D64" s="102">
        <f t="shared" si="9"/>
        <v>1.0019673331198131E-2</v>
      </c>
      <c r="E64" s="102"/>
      <c r="F64" s="54">
        <v>2183.87</v>
      </c>
      <c r="G64" s="102">
        <f t="shared" si="9"/>
        <v>-8.2415695611515183E-5</v>
      </c>
      <c r="O64" s="101">
        <v>42976</v>
      </c>
      <c r="P64" s="110">
        <v>29600</v>
      </c>
      <c r="Q64" s="110">
        <v>774.03</v>
      </c>
      <c r="R64" s="102">
        <f t="shared" si="7"/>
        <v>-6.7340321813440683E-3</v>
      </c>
      <c r="S64" s="102">
        <f t="shared" si="7"/>
        <v>-4.1642822008575043E-3</v>
      </c>
      <c r="Y64" s="101">
        <v>42790</v>
      </c>
      <c r="Z64" s="110">
        <v>35904.76</v>
      </c>
      <c r="AA64" s="110">
        <v>714.47</v>
      </c>
      <c r="AB64" s="102">
        <f t="shared" si="3"/>
        <v>-1.2739096287453554E-2</v>
      </c>
      <c r="AC64" s="102">
        <f t="shared" si="3"/>
        <v>9.3370572170183765E-3</v>
      </c>
      <c r="AI64" s="101">
        <v>42034</v>
      </c>
      <c r="AJ64" s="110">
        <v>24247.38</v>
      </c>
      <c r="AK64" s="110">
        <v>576.07000000000005</v>
      </c>
      <c r="AL64" s="102">
        <f t="shared" si="4"/>
        <v>3.2840914807568703E-3</v>
      </c>
      <c r="AM64" s="102">
        <f t="shared" si="4"/>
        <v>5.4288090734909526E-2</v>
      </c>
      <c r="AN64" s="102"/>
      <c r="BC64" s="101">
        <v>42846</v>
      </c>
      <c r="BD64" s="110">
        <v>179656.01560000001</v>
      </c>
      <c r="BE64" s="110">
        <v>712.41</v>
      </c>
      <c r="BF64" s="272">
        <f t="shared" si="6"/>
        <v>2.6580487028033267E-2</v>
      </c>
      <c r="BG64" s="272">
        <f t="shared" si="6"/>
        <v>-8.4425253003950016E-3</v>
      </c>
    </row>
    <row r="65" spans="2:59" x14ac:dyDescent="0.3">
      <c r="B65" s="101">
        <v>42594</v>
      </c>
      <c r="C65" s="54">
        <v>655.71</v>
      </c>
      <c r="D65" s="102">
        <f t="shared" si="9"/>
        <v>4.5139386984172525E-2</v>
      </c>
      <c r="E65" s="102"/>
      <c r="F65" s="54">
        <v>2184.0500000000002</v>
      </c>
      <c r="G65" s="102">
        <f t="shared" si="9"/>
        <v>5.4057273222873903E-4</v>
      </c>
      <c r="O65" s="101">
        <v>42975</v>
      </c>
      <c r="P65" s="110">
        <v>29800</v>
      </c>
      <c r="Q65" s="110">
        <v>777.26</v>
      </c>
      <c r="R65" s="102">
        <f t="shared" si="7"/>
        <v>0</v>
      </c>
      <c r="S65" s="102">
        <f t="shared" si="7"/>
        <v>7.2697542047793886E-3</v>
      </c>
      <c r="Y65" s="101">
        <v>42783</v>
      </c>
      <c r="Z65" s="110">
        <v>36365.08</v>
      </c>
      <c r="AA65" s="110">
        <v>707.83</v>
      </c>
      <c r="AB65" s="102">
        <f t="shared" si="3"/>
        <v>1.0178372300429301E-2</v>
      </c>
      <c r="AC65" s="102">
        <f t="shared" si="3"/>
        <v>5.7381445478867955E-3</v>
      </c>
      <c r="AI65" s="101">
        <v>42004</v>
      </c>
      <c r="AJ65" s="110">
        <v>24167.88</v>
      </c>
      <c r="AK65" s="110">
        <v>545.63</v>
      </c>
      <c r="AL65" s="102">
        <f t="shared" si="4"/>
        <v>-8.5724372349974515E-2</v>
      </c>
      <c r="AM65" s="102">
        <f t="shared" si="4"/>
        <v>-3.7677198148175377E-2</v>
      </c>
      <c r="AN65" s="102"/>
      <c r="BC65" s="101">
        <v>42839</v>
      </c>
      <c r="BD65" s="110">
        <v>174943.57810000001</v>
      </c>
      <c r="BE65" s="110">
        <v>718.45</v>
      </c>
      <c r="BF65" s="272">
        <f t="shared" si="6"/>
        <v>2.6130913978510456E-3</v>
      </c>
      <c r="BG65" s="272">
        <f t="shared" si="6"/>
        <v>-1.3136250844119282E-2</v>
      </c>
    </row>
    <row r="66" spans="2:59" x14ac:dyDescent="0.3">
      <c r="B66" s="101">
        <v>42587</v>
      </c>
      <c r="C66" s="54">
        <v>627.39</v>
      </c>
      <c r="D66" s="102">
        <f t="shared" si="9"/>
        <v>-3.8084724713674634E-2</v>
      </c>
      <c r="E66" s="102"/>
      <c r="F66" s="54">
        <v>2182.87</v>
      </c>
      <c r="G66" s="102">
        <f t="shared" si="9"/>
        <v>4.2648141332350953E-3</v>
      </c>
      <c r="O66" s="101">
        <v>42972</v>
      </c>
      <c r="P66" s="110">
        <v>29800</v>
      </c>
      <c r="Q66" s="110">
        <v>771.63</v>
      </c>
      <c r="R66" s="102">
        <f t="shared" si="7"/>
        <v>6.7340321813441194E-3</v>
      </c>
      <c r="S66" s="102">
        <f t="shared" si="7"/>
        <v>2.4133915956807369E-3</v>
      </c>
      <c r="Y66" s="101">
        <v>42776</v>
      </c>
      <c r="Z66" s="110">
        <v>35996.82</v>
      </c>
      <c r="AA66" s="110">
        <v>703.78</v>
      </c>
      <c r="AB66" s="102">
        <f t="shared" si="3"/>
        <v>1.8064884412245769E-2</v>
      </c>
      <c r="AC66" s="102">
        <f t="shared" si="3"/>
        <v>4.885597234686804E-3</v>
      </c>
      <c r="AI66" s="101">
        <v>41971</v>
      </c>
      <c r="AJ66" s="110">
        <v>26331.05</v>
      </c>
      <c r="AK66" s="110">
        <v>566.58000000000004</v>
      </c>
      <c r="AL66" s="102">
        <f t="shared" si="4"/>
        <v>-6.0458018661669014E-2</v>
      </c>
      <c r="AM66" s="102">
        <f t="shared" si="4"/>
        <v>-5.871038762682091E-2</v>
      </c>
      <c r="AN66" s="102"/>
      <c r="BC66" s="101">
        <v>42832</v>
      </c>
      <c r="BD66" s="110">
        <v>174487.0313</v>
      </c>
      <c r="BE66" s="110">
        <v>727.95</v>
      </c>
      <c r="BF66" s="272">
        <f t="shared" si="6"/>
        <v>9.7237919348284671E-3</v>
      </c>
      <c r="BG66" s="272">
        <f t="shared" si="6"/>
        <v>7.7779548954877995E-3</v>
      </c>
    </row>
    <row r="67" spans="2:59" x14ac:dyDescent="0.3">
      <c r="B67" s="101">
        <v>42580</v>
      </c>
      <c r="C67" s="54">
        <v>652.23</v>
      </c>
      <c r="D67" s="102">
        <f t="shared" si="9"/>
        <v>3.6314955298752949E-3</v>
      </c>
      <c r="E67" s="102"/>
      <c r="F67" s="54">
        <v>2173.6</v>
      </c>
      <c r="G67" s="102">
        <f t="shared" si="9"/>
        <v>-6.5746219592388577E-4</v>
      </c>
      <c r="O67" s="101">
        <v>42971</v>
      </c>
      <c r="P67" s="110">
        <v>29600</v>
      </c>
      <c r="Q67" s="110">
        <v>769.77</v>
      </c>
      <c r="R67" s="102">
        <f t="shared" si="7"/>
        <v>0</v>
      </c>
      <c r="S67" s="102">
        <f t="shared" si="7"/>
        <v>4.9357091897559409E-3</v>
      </c>
      <c r="Y67" s="101">
        <v>42769</v>
      </c>
      <c r="Z67" s="110">
        <v>35352.379999999997</v>
      </c>
      <c r="AA67" s="110">
        <v>700.35</v>
      </c>
      <c r="AB67" s="102">
        <f t="shared" si="3"/>
        <v>-5.1949018835795264E-3</v>
      </c>
      <c r="AC67" s="102">
        <f t="shared" si="3"/>
        <v>4.393158328800665E-3</v>
      </c>
      <c r="AI67" s="101">
        <v>41943</v>
      </c>
      <c r="AJ67" s="110">
        <v>27972.080000000002</v>
      </c>
      <c r="AK67" s="110">
        <v>600.84</v>
      </c>
      <c r="AL67" s="102">
        <f t="shared" si="4"/>
        <v>-2.3716529410279574E-2</v>
      </c>
      <c r="AM67" s="102">
        <f t="shared" si="4"/>
        <v>3.4010235843806099E-3</v>
      </c>
      <c r="AN67" s="102"/>
      <c r="BC67" s="101">
        <v>42825</v>
      </c>
      <c r="BD67" s="110">
        <v>172798.57810000001</v>
      </c>
      <c r="BE67" s="110">
        <v>722.31</v>
      </c>
      <c r="BF67" s="272">
        <f t="shared" si="6"/>
        <v>3.5280297743268193E-4</v>
      </c>
      <c r="BG67" s="272">
        <f t="shared" si="6"/>
        <v>2.353837111492969E-4</v>
      </c>
    </row>
    <row r="68" spans="2:59" x14ac:dyDescent="0.3">
      <c r="B68" s="101">
        <v>42573</v>
      </c>
      <c r="C68" s="54">
        <v>649.87</v>
      </c>
      <c r="D68" s="102">
        <f t="shared" si="9"/>
        <v>-2.2104851330203346E-2</v>
      </c>
      <c r="E68" s="102"/>
      <c r="F68" s="54">
        <v>2175.0300000000002</v>
      </c>
      <c r="G68" s="102">
        <f t="shared" si="9"/>
        <v>6.1478253629023705E-3</v>
      </c>
      <c r="O68" s="101">
        <v>42970</v>
      </c>
      <c r="P68" s="110">
        <v>29600</v>
      </c>
      <c r="Q68" s="110">
        <v>765.98</v>
      </c>
      <c r="R68" s="102">
        <f t="shared" si="7"/>
        <v>0</v>
      </c>
      <c r="S68" s="102">
        <f t="shared" si="7"/>
        <v>6.1811045123288926E-3</v>
      </c>
      <c r="Y68" s="101">
        <v>42762</v>
      </c>
      <c r="Z68" s="110">
        <v>35536.51</v>
      </c>
      <c r="AA68" s="110">
        <v>697.28</v>
      </c>
      <c r="AB68" s="102">
        <f t="shared" si="3"/>
        <v>-7.741960409106385E-3</v>
      </c>
      <c r="AC68" s="102">
        <f t="shared" si="3"/>
        <v>1.5930487089686283E-2</v>
      </c>
      <c r="AI68" s="101">
        <v>41912</v>
      </c>
      <c r="AJ68" s="110">
        <v>28643.41</v>
      </c>
      <c r="AK68" s="110">
        <v>598.79999999999995</v>
      </c>
      <c r="AL68" s="102">
        <f t="shared" si="4"/>
        <v>-7.0380732360939016E-2</v>
      </c>
      <c r="AM68" s="102">
        <f t="shared" si="4"/>
        <v>-6.129240147397131E-2</v>
      </c>
      <c r="AN68" s="102"/>
      <c r="BC68" s="101">
        <v>42818</v>
      </c>
      <c r="BD68" s="110">
        <v>172737.625</v>
      </c>
      <c r="BE68" s="110">
        <v>722.14</v>
      </c>
      <c r="BF68" s="272">
        <f t="shared" si="6"/>
        <v>-1.4929327904892953E-2</v>
      </c>
      <c r="BG68" s="272">
        <f t="shared" si="6"/>
        <v>1.619378157881525E-2</v>
      </c>
    </row>
    <row r="69" spans="2:59" x14ac:dyDescent="0.3">
      <c r="B69" s="101">
        <v>42566</v>
      </c>
      <c r="C69" s="54">
        <v>664.56</v>
      </c>
      <c r="D69" s="102">
        <f t="shared" si="9"/>
        <v>8.9269447986883854E-3</v>
      </c>
      <c r="E69" s="102"/>
      <c r="F69" s="54">
        <v>2161.7399999999998</v>
      </c>
      <c r="G69" s="102">
        <f t="shared" si="9"/>
        <v>1.4949058641250623E-2</v>
      </c>
      <c r="O69" s="101">
        <v>42969</v>
      </c>
      <c r="P69" s="110">
        <v>29600</v>
      </c>
      <c r="Q69" s="110">
        <v>761.26</v>
      </c>
      <c r="R69" s="102">
        <f t="shared" si="7"/>
        <v>0</v>
      </c>
      <c r="S69" s="102">
        <f t="shared" si="7"/>
        <v>-9.8428950605833621E-3</v>
      </c>
      <c r="Y69" s="101">
        <v>42755</v>
      </c>
      <c r="Z69" s="110">
        <v>35812.699999999997</v>
      </c>
      <c r="AA69" s="110">
        <v>686.26</v>
      </c>
      <c r="AB69" s="102">
        <f t="shared" si="3"/>
        <v>0</v>
      </c>
      <c r="AC69" s="102">
        <f t="shared" si="3"/>
        <v>1.7501389993564412E-3</v>
      </c>
      <c r="AI69" s="101">
        <v>41880</v>
      </c>
      <c r="AJ69" s="110">
        <v>30731.99</v>
      </c>
      <c r="AK69" s="110">
        <v>636.65</v>
      </c>
      <c r="AL69" s="102">
        <f t="shared" si="4"/>
        <v>0.12386926001591364</v>
      </c>
      <c r="AM69" s="102">
        <f t="shared" si="4"/>
        <v>6.5861944186336924E-2</v>
      </c>
      <c r="AN69" s="102"/>
      <c r="BC69" s="101">
        <v>42811</v>
      </c>
      <c r="BD69" s="110">
        <v>175335.82810000001</v>
      </c>
      <c r="BE69" s="110">
        <v>710.54</v>
      </c>
      <c r="BF69" s="272">
        <f t="shared" si="6"/>
        <v>5.0727998376234266E-4</v>
      </c>
      <c r="BG69" s="272">
        <f t="shared" si="6"/>
        <v>-2.3475674109402125E-3</v>
      </c>
    </row>
    <row r="70" spans="2:59" x14ac:dyDescent="0.3">
      <c r="B70" s="101">
        <v>42559</v>
      </c>
      <c r="C70" s="54">
        <v>658.68</v>
      </c>
      <c r="D70" s="102">
        <f t="shared" ref="D70:G85" si="10">C70/C71-1</f>
        <v>2.8705294393253089E-2</v>
      </c>
      <c r="E70" s="102"/>
      <c r="F70" s="54">
        <v>2129.9</v>
      </c>
      <c r="G70" s="102">
        <f t="shared" si="10"/>
        <v>1.2815330844765827E-2</v>
      </c>
      <c r="O70" s="101">
        <v>42968</v>
      </c>
      <c r="P70" s="110">
        <v>29600</v>
      </c>
      <c r="Q70" s="110">
        <v>768.79</v>
      </c>
      <c r="R70" s="102">
        <f t="shared" si="7"/>
        <v>-3.3726844786392302E-3</v>
      </c>
      <c r="S70" s="102">
        <f t="shared" si="7"/>
        <v>-2.3410675374855477E-4</v>
      </c>
      <c r="Y70" s="101">
        <v>42748</v>
      </c>
      <c r="Z70" s="110">
        <v>35812.699999999997</v>
      </c>
      <c r="AA70" s="110">
        <v>685.06</v>
      </c>
      <c r="AB70" s="102">
        <f t="shared" si="3"/>
        <v>-1.1501565996526165E-2</v>
      </c>
      <c r="AC70" s="102">
        <f t="shared" si="3"/>
        <v>7.7077884051968979E-3</v>
      </c>
      <c r="AI70" s="101">
        <v>41851</v>
      </c>
      <c r="AJ70" s="110">
        <v>27151.57</v>
      </c>
      <c r="AK70" s="110">
        <v>596.07000000000005</v>
      </c>
      <c r="AL70" s="102">
        <f t="shared" si="4"/>
        <v>8.2760327516293933E-3</v>
      </c>
      <c r="AM70" s="102">
        <f t="shared" si="4"/>
        <v>3.0559352955168581E-2</v>
      </c>
      <c r="AN70" s="102"/>
      <c r="BC70" s="101">
        <v>42804</v>
      </c>
      <c r="BD70" s="110">
        <v>175246.9063</v>
      </c>
      <c r="BE70" s="110">
        <v>712.21</v>
      </c>
      <c r="BF70" s="272">
        <f t="shared" si="6"/>
        <v>-2.1522193028290962E-2</v>
      </c>
      <c r="BG70" s="272">
        <f t="shared" si="6"/>
        <v>-5.7550726938122626E-4</v>
      </c>
    </row>
    <row r="71" spans="2:59" x14ac:dyDescent="0.3">
      <c r="B71" s="101">
        <v>42552</v>
      </c>
      <c r="C71" s="54">
        <v>640.29999999999995</v>
      </c>
      <c r="D71" s="102">
        <f t="shared" si="10"/>
        <v>3.1460927557710461E-2</v>
      </c>
      <c r="E71" s="102"/>
      <c r="F71" s="54">
        <v>2102.9499999999998</v>
      </c>
      <c r="G71" s="102">
        <f t="shared" si="10"/>
        <v>3.2168292096337758E-2</v>
      </c>
      <c r="O71" s="101">
        <v>42965</v>
      </c>
      <c r="P71" s="110">
        <v>29700</v>
      </c>
      <c r="Q71" s="110">
        <v>768.97</v>
      </c>
      <c r="R71" s="102">
        <f t="shared" si="7"/>
        <v>-3.3613477027048832E-3</v>
      </c>
      <c r="S71" s="102">
        <f t="shared" si="7"/>
        <v>1.7962206110231516E-3</v>
      </c>
      <c r="Y71" s="101">
        <v>42741</v>
      </c>
      <c r="Z71" s="110">
        <v>36226.980000000003</v>
      </c>
      <c r="AA71" s="110">
        <v>679.8</v>
      </c>
      <c r="AB71" s="102">
        <f t="shared" si="3"/>
        <v>-3.6186093692022581E-2</v>
      </c>
      <c r="AC71" s="102">
        <f t="shared" si="3"/>
        <v>2.2207104438376816E-2</v>
      </c>
      <c r="AI71" s="101">
        <v>41820</v>
      </c>
      <c r="AJ71" s="110">
        <v>26927.79</v>
      </c>
      <c r="AK71" s="110">
        <v>578.13</v>
      </c>
      <c r="AL71" s="102">
        <f t="shared" si="4"/>
        <v>-1.1721823289237744E-2</v>
      </c>
      <c r="AM71" s="102">
        <f t="shared" si="4"/>
        <v>2.8261320428844706E-2</v>
      </c>
      <c r="AN71" s="102"/>
      <c r="BC71" s="101">
        <v>42797</v>
      </c>
      <c r="BD71" s="110">
        <v>179059.48439999999</v>
      </c>
      <c r="BE71" s="110">
        <v>712.62</v>
      </c>
      <c r="BF71" s="272">
        <f t="shared" si="6"/>
        <v>-1.9148710367032171E-2</v>
      </c>
      <c r="BG71" s="272">
        <f t="shared" si="6"/>
        <v>-2.592690070443617E-3</v>
      </c>
    </row>
    <row r="72" spans="2:59" x14ac:dyDescent="0.3">
      <c r="B72" s="101">
        <v>42545</v>
      </c>
      <c r="C72" s="54">
        <v>620.77</v>
      </c>
      <c r="D72" s="102">
        <f t="shared" si="10"/>
        <v>2.4545821558337177E-3</v>
      </c>
      <c r="E72" s="102"/>
      <c r="F72" s="54">
        <v>2037.41</v>
      </c>
      <c r="G72" s="102">
        <f t="shared" si="10"/>
        <v>-1.6323712594509376E-2</v>
      </c>
      <c r="O72" s="101">
        <v>42964</v>
      </c>
      <c r="P72" s="110">
        <v>29800</v>
      </c>
      <c r="Q72" s="110">
        <v>767.59</v>
      </c>
      <c r="R72" s="102">
        <f t="shared" si="7"/>
        <v>-3.3006296468169972E-2</v>
      </c>
      <c r="S72" s="102">
        <f t="shared" si="7"/>
        <v>-7.7604272258707972E-3</v>
      </c>
      <c r="Y72" s="101">
        <v>42734</v>
      </c>
      <c r="Z72" s="110">
        <v>37561.9</v>
      </c>
      <c r="AA72" s="110">
        <v>664.87</v>
      </c>
      <c r="AB72" s="102">
        <f t="shared" si="3"/>
        <v>-1.5805993499013651E-2</v>
      </c>
      <c r="AC72" s="102">
        <f t="shared" si="3"/>
        <v>7.5230962592478092E-4</v>
      </c>
      <c r="AI72" s="101">
        <v>41789</v>
      </c>
      <c r="AJ72" s="110">
        <v>27245.29</v>
      </c>
      <c r="AK72" s="110">
        <v>562.02</v>
      </c>
      <c r="AL72" s="102">
        <f t="shared" si="4"/>
        <v>-0.11749421824948275</v>
      </c>
      <c r="AM72" s="102">
        <f t="shared" si="4"/>
        <v>-2.8036432223283329E-2</v>
      </c>
      <c r="AN72" s="102"/>
      <c r="BC72" s="101">
        <v>42790</v>
      </c>
      <c r="BD72" s="110">
        <v>182521.2813</v>
      </c>
      <c r="BE72" s="110">
        <v>714.47</v>
      </c>
      <c r="BF72" s="272">
        <f t="shared" si="6"/>
        <v>2.7578699823300908E-2</v>
      </c>
      <c r="BG72" s="272">
        <f t="shared" si="6"/>
        <v>9.3370572170183765E-3</v>
      </c>
    </row>
    <row r="73" spans="2:59" x14ac:dyDescent="0.3">
      <c r="B73" s="101">
        <v>42538</v>
      </c>
      <c r="C73" s="54">
        <v>619.25</v>
      </c>
      <c r="D73" s="102">
        <f t="shared" si="10"/>
        <v>-1.6813793979423397E-2</v>
      </c>
      <c r="E73" s="102"/>
      <c r="F73" s="54">
        <v>2071.2199999999998</v>
      </c>
      <c r="G73" s="102">
        <f t="shared" si="10"/>
        <v>-1.1855520092363458E-2</v>
      </c>
      <c r="O73" s="101">
        <v>42963</v>
      </c>
      <c r="P73" s="110">
        <v>30800</v>
      </c>
      <c r="Q73" s="110">
        <v>773.57</v>
      </c>
      <c r="R73" s="102">
        <f t="shared" si="7"/>
        <v>2.2989518224698781E-2</v>
      </c>
      <c r="S73" s="102">
        <f t="shared" si="7"/>
        <v>3.2499721088995203E-3</v>
      </c>
      <c r="Y73" s="101">
        <v>42727</v>
      </c>
      <c r="Z73" s="110">
        <v>38160.32</v>
      </c>
      <c r="AA73" s="110">
        <v>664.37</v>
      </c>
      <c r="AB73" s="102">
        <f t="shared" si="3"/>
        <v>1.091592768732624E-2</v>
      </c>
      <c r="AC73" s="102">
        <f t="shared" si="3"/>
        <v>-1.6110476623012866E-2</v>
      </c>
      <c r="AI73" s="101">
        <v>41759</v>
      </c>
      <c r="AJ73" s="110">
        <v>30642.1</v>
      </c>
      <c r="AK73" s="110">
        <v>578</v>
      </c>
      <c r="AL73" s="102">
        <f t="shared" si="4"/>
        <v>-9.1955350512295322E-3</v>
      </c>
      <c r="AM73" s="102">
        <f t="shared" si="4"/>
        <v>-2.3206150939326882E-2</v>
      </c>
      <c r="AN73" s="102"/>
      <c r="BC73" s="101">
        <v>42783</v>
      </c>
      <c r="BD73" s="110">
        <v>177556.35939999999</v>
      </c>
      <c r="BE73" s="110">
        <v>707.83</v>
      </c>
      <c r="BF73" s="272">
        <f t="shared" si="6"/>
        <v>1.4499156058969414E-2</v>
      </c>
      <c r="BG73" s="272">
        <f t="shared" si="6"/>
        <v>5.7381445478867955E-3</v>
      </c>
    </row>
    <row r="74" spans="2:59" x14ac:dyDescent="0.3">
      <c r="B74" s="101">
        <v>42531</v>
      </c>
      <c r="C74" s="54">
        <v>629.84</v>
      </c>
      <c r="D74" s="102">
        <f t="shared" si="10"/>
        <v>1.2799897086254619E-2</v>
      </c>
      <c r="E74" s="102"/>
      <c r="F74" s="54">
        <v>2096.0700000000002</v>
      </c>
      <c r="G74" s="102">
        <f t="shared" si="10"/>
        <v>-1.4577467808091216E-3</v>
      </c>
      <c r="O74" s="101">
        <v>42962</v>
      </c>
      <c r="P74" s="110">
        <v>30100</v>
      </c>
      <c r="Q74" s="110">
        <v>771.06</v>
      </c>
      <c r="R74" s="102">
        <f t="shared" si="7"/>
        <v>0</v>
      </c>
      <c r="S74" s="102">
        <f t="shared" si="7"/>
        <v>-6.6053768082596827E-3</v>
      </c>
      <c r="Y74" s="101">
        <v>42720</v>
      </c>
      <c r="Z74" s="110">
        <v>37746.03</v>
      </c>
      <c r="AA74" s="110">
        <v>675.16</v>
      </c>
      <c r="AB74" s="102">
        <f t="shared" si="3"/>
        <v>0</v>
      </c>
      <c r="AC74" s="102">
        <f t="shared" si="3"/>
        <v>1.8069134514297688E-2</v>
      </c>
      <c r="AI74" s="101">
        <v>41729</v>
      </c>
      <c r="AJ74" s="110">
        <v>30925.17</v>
      </c>
      <c r="AK74" s="110">
        <v>591.57000000000005</v>
      </c>
      <c r="AL74" s="102">
        <f t="shared" si="4"/>
        <v>-6.8415016853320704E-3</v>
      </c>
      <c r="AM74" s="102">
        <f t="shared" si="4"/>
        <v>8.6414526963730746E-3</v>
      </c>
      <c r="AN74" s="102"/>
      <c r="BC74" s="101">
        <v>42776</v>
      </c>
      <c r="BD74" s="110">
        <v>175000.51560000001</v>
      </c>
      <c r="BE74" s="110">
        <v>703.78</v>
      </c>
      <c r="BF74" s="272">
        <f t="shared" si="6"/>
        <v>-1.0529163820274861E-2</v>
      </c>
      <c r="BG74" s="272">
        <f t="shared" si="6"/>
        <v>4.885597234686804E-3</v>
      </c>
    </row>
    <row r="75" spans="2:59" x14ac:dyDescent="0.3">
      <c r="B75" s="101">
        <v>42524</v>
      </c>
      <c r="C75" s="54">
        <v>621.88</v>
      </c>
      <c r="D75" s="102">
        <f t="shared" si="10"/>
        <v>2.2643929552219166E-2</v>
      </c>
      <c r="E75" s="102"/>
      <c r="F75" s="54">
        <v>2099.13</v>
      </c>
      <c r="G75" s="102">
        <f t="shared" si="10"/>
        <v>3.3348260650045702E-5</v>
      </c>
      <c r="O75" s="101">
        <v>42961</v>
      </c>
      <c r="P75" s="110">
        <v>30100</v>
      </c>
      <c r="Q75" s="110">
        <v>776.17</v>
      </c>
      <c r="R75" s="102">
        <f t="shared" si="7"/>
        <v>0</v>
      </c>
      <c r="S75" s="102">
        <f t="shared" si="7"/>
        <v>5.2833967564837386E-3</v>
      </c>
      <c r="Y75" s="101">
        <v>42713</v>
      </c>
      <c r="Z75" s="110">
        <v>37746.03</v>
      </c>
      <c r="AA75" s="110">
        <v>663.07</v>
      </c>
      <c r="AB75" s="102">
        <f t="shared" si="3"/>
        <v>-2.1713724183387795E-2</v>
      </c>
      <c r="AC75" s="102">
        <f t="shared" si="3"/>
        <v>-3.1169795076591757E-3</v>
      </c>
      <c r="AI75" s="101">
        <v>41698</v>
      </c>
      <c r="AJ75" s="110">
        <v>31137.47</v>
      </c>
      <c r="AK75" s="110">
        <v>586.48</v>
      </c>
      <c r="AL75" s="102">
        <f t="shared" si="4"/>
        <v>0.17327178203337121</v>
      </c>
      <c r="AM75" s="102">
        <f t="shared" si="4"/>
        <v>5.2435457941655189E-2</v>
      </c>
      <c r="AN75" s="102"/>
      <c r="BC75" s="101">
        <v>42769</v>
      </c>
      <c r="BD75" s="110">
        <v>176852.85939999999</v>
      </c>
      <c r="BE75" s="110">
        <v>700.35</v>
      </c>
      <c r="BF75" s="272">
        <f t="shared" si="6"/>
        <v>-1.7802628785671111E-3</v>
      </c>
      <c r="BG75" s="272">
        <f t="shared" si="6"/>
        <v>4.393158328800665E-3</v>
      </c>
    </row>
    <row r="76" spans="2:59" x14ac:dyDescent="0.3">
      <c r="B76" s="101">
        <v>42517</v>
      </c>
      <c r="C76" s="54">
        <v>608.11</v>
      </c>
      <c r="D76" s="102">
        <f t="shared" si="10"/>
        <v>-1.0897675704689136E-2</v>
      </c>
      <c r="E76" s="102"/>
      <c r="F76" s="54">
        <v>2099.06</v>
      </c>
      <c r="G76" s="102">
        <f t="shared" si="10"/>
        <v>2.2774226241521589E-2</v>
      </c>
      <c r="O76" s="101">
        <v>42958</v>
      </c>
      <c r="P76" s="110">
        <v>30100</v>
      </c>
      <c r="Q76" s="110">
        <v>772.08</v>
      </c>
      <c r="R76" s="102">
        <f t="shared" si="7"/>
        <v>-1.3201511858535842E-2</v>
      </c>
      <c r="S76" s="102">
        <f t="shared" si="7"/>
        <v>-1.7469965815162004E-3</v>
      </c>
      <c r="Y76" s="101">
        <v>42706</v>
      </c>
      <c r="Z76" s="110">
        <v>38574.6</v>
      </c>
      <c r="AA76" s="110">
        <v>665.14</v>
      </c>
      <c r="AB76" s="102">
        <f t="shared" si="3"/>
        <v>7.1856478206797367E-3</v>
      </c>
      <c r="AC76" s="102">
        <f t="shared" si="3"/>
        <v>-1.600320504307259E-2</v>
      </c>
      <c r="AI76" s="101">
        <v>41670</v>
      </c>
      <c r="AJ76" s="110">
        <v>26183.78</v>
      </c>
      <c r="AK76" s="110">
        <v>556.52</v>
      </c>
      <c r="AL76" s="102">
        <f t="shared" si="4"/>
        <v>0.17371002960172921</v>
      </c>
      <c r="AM76" s="102">
        <f t="shared" si="4"/>
        <v>9.78776215018754E-2</v>
      </c>
      <c r="AN76" s="102"/>
      <c r="BC76" s="101">
        <v>42762</v>
      </c>
      <c r="BD76" s="110">
        <v>177167.98439999999</v>
      </c>
      <c r="BE76" s="110">
        <v>697.28</v>
      </c>
      <c r="BF76" s="272">
        <f t="shared" si="6"/>
        <v>1.5725422814065894E-2</v>
      </c>
      <c r="BG76" s="272">
        <f t="shared" si="6"/>
        <v>1.5930487089686283E-2</v>
      </c>
    </row>
    <row r="77" spans="2:59" x14ac:dyDescent="0.3">
      <c r="B77" s="101">
        <v>42510</v>
      </c>
      <c r="C77" s="54">
        <v>614.80999999999995</v>
      </c>
      <c r="D77" s="102">
        <f t="shared" si="10"/>
        <v>6.5322026128808997E-3</v>
      </c>
      <c r="E77" s="102"/>
      <c r="F77" s="54">
        <v>2052.3200000000002</v>
      </c>
      <c r="G77" s="102">
        <f t="shared" si="10"/>
        <v>2.7899795271206784E-3</v>
      </c>
      <c r="O77" s="101">
        <v>42957</v>
      </c>
      <c r="P77" s="110">
        <v>30500</v>
      </c>
      <c r="Q77" s="110">
        <v>773.43</v>
      </c>
      <c r="R77" s="102">
        <f t="shared" si="7"/>
        <v>-9.7880063661628207E-3</v>
      </c>
      <c r="S77" s="102">
        <f t="shared" si="7"/>
        <v>-2.9733241336249851E-4</v>
      </c>
      <c r="Y77" s="101">
        <v>42699</v>
      </c>
      <c r="Z77" s="110">
        <v>38298.410000000003</v>
      </c>
      <c r="AA77" s="110">
        <v>675.87</v>
      </c>
      <c r="AB77" s="102">
        <f t="shared" si="3"/>
        <v>-9.5693490599048966E-3</v>
      </c>
      <c r="AC77" s="102">
        <f t="shared" si="3"/>
        <v>3.8840181654528627E-3</v>
      </c>
      <c r="AI77" s="101">
        <v>41639</v>
      </c>
      <c r="AJ77" s="110">
        <v>22008.53</v>
      </c>
      <c r="AK77" s="110">
        <v>504.63</v>
      </c>
      <c r="AL77" s="102">
        <f t="shared" si="4"/>
        <v>3.4472919735913321E-2</v>
      </c>
      <c r="AM77" s="102">
        <f t="shared" si="4"/>
        <v>-6.2227954382690735E-3</v>
      </c>
      <c r="AN77" s="102"/>
      <c r="BC77" s="101">
        <v>42755</v>
      </c>
      <c r="BD77" s="110">
        <v>174403.73439999999</v>
      </c>
      <c r="BE77" s="110">
        <v>686.26</v>
      </c>
      <c r="BF77" s="272">
        <f t="shared" si="6"/>
        <v>-1.75024340924161E-2</v>
      </c>
      <c r="BG77" s="272">
        <f t="shared" si="6"/>
        <v>1.7501389993564412E-3</v>
      </c>
    </row>
    <row r="78" spans="2:59" x14ac:dyDescent="0.3">
      <c r="B78" s="101">
        <v>42503</v>
      </c>
      <c r="C78" s="54">
        <v>610.82000000000005</v>
      </c>
      <c r="D78" s="102">
        <f t="shared" si="10"/>
        <v>7.0896260634440988E-3</v>
      </c>
      <c r="E78" s="102"/>
      <c r="F78" s="54">
        <v>2046.61</v>
      </c>
      <c r="G78" s="102">
        <f t="shared" si="10"/>
        <v>-5.1187571093848083E-3</v>
      </c>
      <c r="O78" s="101">
        <v>42956</v>
      </c>
      <c r="P78" s="110">
        <v>30800</v>
      </c>
      <c r="Q78" s="110">
        <v>773.66</v>
      </c>
      <c r="R78" s="102">
        <f t="shared" si="7"/>
        <v>0</v>
      </c>
      <c r="S78" s="102">
        <f t="shared" si="7"/>
        <v>-2.2885814488260142E-2</v>
      </c>
      <c r="Y78" s="101">
        <v>42692</v>
      </c>
      <c r="Z78" s="110">
        <v>38666.660000000003</v>
      </c>
      <c r="AA78" s="110">
        <v>673.25</v>
      </c>
      <c r="AB78" s="102">
        <f t="shared" si="3"/>
        <v>1.9231156035673748E-2</v>
      </c>
      <c r="AC78" s="102">
        <f t="shared" si="3"/>
        <v>-8.7989033054293331E-3</v>
      </c>
      <c r="AI78" s="101">
        <v>41607</v>
      </c>
      <c r="AJ78" s="110">
        <v>21262.76</v>
      </c>
      <c r="AK78" s="110">
        <v>507.78</v>
      </c>
      <c r="AL78" s="102">
        <f t="shared" si="4"/>
        <v>0</v>
      </c>
      <c r="AM78" s="102">
        <f t="shared" si="4"/>
        <v>2.0633647199231876E-2</v>
      </c>
      <c r="AN78" s="102"/>
      <c r="BC78" s="101">
        <v>42748</v>
      </c>
      <c r="BD78" s="110">
        <v>177483.0938</v>
      </c>
      <c r="BE78" s="110">
        <v>685.06</v>
      </c>
      <c r="BF78" s="272">
        <f t="shared" si="6"/>
        <v>-1.5659067127429711E-2</v>
      </c>
      <c r="BG78" s="272">
        <f t="shared" si="6"/>
        <v>7.7077884051968979E-3</v>
      </c>
    </row>
    <row r="79" spans="2:59" x14ac:dyDescent="0.3">
      <c r="B79" s="101">
        <v>42496</v>
      </c>
      <c r="C79" s="54">
        <v>606.52</v>
      </c>
      <c r="D79" s="102">
        <f t="shared" si="10"/>
        <v>1.3620335244079795E-2</v>
      </c>
      <c r="E79" s="102"/>
      <c r="F79" s="54">
        <v>2057.14</v>
      </c>
      <c r="G79" s="102">
        <f t="shared" si="10"/>
        <v>-3.9509998547427871E-3</v>
      </c>
      <c r="O79" s="101">
        <v>42955</v>
      </c>
      <c r="P79" s="110">
        <v>30800</v>
      </c>
      <c r="Q79" s="110">
        <v>791.57</v>
      </c>
      <c r="R79" s="102">
        <f t="shared" si="7"/>
        <v>0</v>
      </c>
      <c r="S79" s="102">
        <f t="shared" si="7"/>
        <v>-1.779685553823355E-3</v>
      </c>
      <c r="Y79" s="101">
        <v>42685</v>
      </c>
      <c r="Z79" s="110">
        <v>37930.160000000003</v>
      </c>
      <c r="AA79" s="110">
        <v>679.2</v>
      </c>
      <c r="AB79" s="102">
        <f t="shared" si="3"/>
        <v>1.4670163773169327E-2</v>
      </c>
      <c r="AC79" s="102">
        <f t="shared" si="3"/>
        <v>1.8530468635379219E-2</v>
      </c>
      <c r="AI79" s="101">
        <v>41578</v>
      </c>
      <c r="AJ79" s="110">
        <v>21262.76</v>
      </c>
      <c r="AK79" s="110">
        <v>497.41</v>
      </c>
      <c r="AL79" s="102">
        <f t="shared" si="4"/>
        <v>6.4817357305068227E-2</v>
      </c>
      <c r="AM79" s="102">
        <f t="shared" si="4"/>
        <v>9.6562505389819371E-3</v>
      </c>
      <c r="AN79" s="102"/>
      <c r="BC79" s="101">
        <v>42741</v>
      </c>
      <c r="BD79" s="110">
        <v>180284.1875</v>
      </c>
      <c r="BE79" s="110">
        <v>679.8</v>
      </c>
      <c r="BF79" s="272">
        <f t="shared" si="6"/>
        <v>-7.8238401303082628E-3</v>
      </c>
      <c r="BG79" s="272">
        <f t="shared" si="6"/>
        <v>2.2207104438376816E-2</v>
      </c>
    </row>
    <row r="80" spans="2:59" x14ac:dyDescent="0.3">
      <c r="B80" s="101">
        <v>42489</v>
      </c>
      <c r="C80" s="54">
        <v>598.37</v>
      </c>
      <c r="D80" s="102">
        <f t="shared" si="10"/>
        <v>9.9412638401294995E-3</v>
      </c>
      <c r="E80" s="102"/>
      <c r="F80" s="54">
        <v>2065.3000000000002</v>
      </c>
      <c r="G80" s="102">
        <f t="shared" si="10"/>
        <v>-1.2564664033888118E-2</v>
      </c>
      <c r="O80" s="101">
        <v>42954</v>
      </c>
      <c r="P80" s="110">
        <v>30800</v>
      </c>
      <c r="Q80" s="110">
        <v>792.98</v>
      </c>
      <c r="R80" s="102">
        <f t="shared" si="7"/>
        <v>-9.6931292056596802E-3</v>
      </c>
      <c r="S80" s="102">
        <f t="shared" si="7"/>
        <v>5.4373387377758559E-3</v>
      </c>
      <c r="Y80" s="101">
        <v>42678</v>
      </c>
      <c r="Z80" s="110">
        <v>37377.78</v>
      </c>
      <c r="AA80" s="110">
        <v>666.73</v>
      </c>
      <c r="AB80" s="102">
        <f t="shared" si="3"/>
        <v>0</v>
      </c>
      <c r="AC80" s="102">
        <f t="shared" si="3"/>
        <v>-2.3010993226689379E-2</v>
      </c>
      <c r="AI80" s="101">
        <v>41547</v>
      </c>
      <c r="AJ80" s="110">
        <v>19928.28</v>
      </c>
      <c r="AK80" s="110">
        <v>492.63</v>
      </c>
      <c r="AL80" s="102">
        <f t="shared" si="4"/>
        <v>-8.3217443248681123E-3</v>
      </c>
      <c r="AM80" s="102">
        <f t="shared" si="4"/>
        <v>4.1297447372664955E-2</v>
      </c>
      <c r="AN80" s="102"/>
      <c r="BC80" s="101">
        <v>42734</v>
      </c>
      <c r="BD80" s="110">
        <v>181700.23439999999</v>
      </c>
      <c r="BE80" s="110">
        <v>664.87</v>
      </c>
      <c r="BF80" s="272">
        <f t="shared" si="6"/>
        <v>-1.6273016170567371E-2</v>
      </c>
      <c r="BG80" s="272">
        <f t="shared" si="6"/>
        <v>7.5230962592478092E-4</v>
      </c>
    </row>
    <row r="81" spans="2:59" x14ac:dyDescent="0.3">
      <c r="B81" s="101">
        <v>42482</v>
      </c>
      <c r="C81" s="54">
        <v>592.48</v>
      </c>
      <c r="D81" s="102">
        <f t="shared" si="10"/>
        <v>2.176387403856106E-2</v>
      </c>
      <c r="E81" s="102"/>
      <c r="F81" s="54">
        <v>2091.58</v>
      </c>
      <c r="G81" s="102">
        <f t="shared" si="10"/>
        <v>5.2145160592675932E-3</v>
      </c>
      <c r="O81" s="101">
        <v>42951</v>
      </c>
      <c r="P81" s="110">
        <v>31100</v>
      </c>
      <c r="Q81" s="110">
        <v>788.68</v>
      </c>
      <c r="R81" s="102">
        <f t="shared" si="7"/>
        <v>0</v>
      </c>
      <c r="S81" s="102">
        <f t="shared" si="7"/>
        <v>2.4093788357513931E-4</v>
      </c>
      <c r="Y81" s="101">
        <v>42671</v>
      </c>
      <c r="Z81" s="110">
        <v>37377.78</v>
      </c>
      <c r="AA81" s="110">
        <v>682.25</v>
      </c>
      <c r="AB81" s="102">
        <f t="shared" si="3"/>
        <v>-1.2239857007029566E-2</v>
      </c>
      <c r="AC81" s="102">
        <f t="shared" si="3"/>
        <v>-3.7744726907390407E-3</v>
      </c>
      <c r="AI81" s="101">
        <v>41516</v>
      </c>
      <c r="AJ81" s="110">
        <v>20094.810000000001</v>
      </c>
      <c r="AK81" s="110">
        <v>472.7</v>
      </c>
      <c r="AL81" s="102">
        <f t="shared" si="4"/>
        <v>9.8630172557497647E-2</v>
      </c>
      <c r="AM81" s="102">
        <f t="shared" si="4"/>
        <v>-3.9712854159576323E-2</v>
      </c>
      <c r="AN81" s="102"/>
      <c r="BC81" s="101">
        <v>42727</v>
      </c>
      <c r="BD81" s="110">
        <v>184681.23439999999</v>
      </c>
      <c r="BE81" s="110">
        <v>664.37</v>
      </c>
      <c r="BF81" s="272">
        <f t="shared" si="6"/>
        <v>4.6788834685952248E-2</v>
      </c>
      <c r="BG81" s="272">
        <f t="shared" si="6"/>
        <v>-1.6110476623012866E-2</v>
      </c>
    </row>
    <row r="82" spans="2:59" x14ac:dyDescent="0.3">
      <c r="B82" s="101">
        <v>42475</v>
      </c>
      <c r="C82" s="54">
        <v>579.86</v>
      </c>
      <c r="D82" s="102">
        <f t="shared" si="10"/>
        <v>1.3139043226054303E-2</v>
      </c>
      <c r="E82" s="102"/>
      <c r="F82" s="54">
        <v>2080.73</v>
      </c>
      <c r="G82" s="102">
        <f t="shared" si="10"/>
        <v>1.6179917952725109E-2</v>
      </c>
      <c r="O82" s="101">
        <v>42950</v>
      </c>
      <c r="P82" s="110">
        <v>31100</v>
      </c>
      <c r="Q82" s="110">
        <v>788.49</v>
      </c>
      <c r="R82" s="102">
        <f t="shared" si="7"/>
        <v>-9.600073729019231E-3</v>
      </c>
      <c r="S82" s="102">
        <f t="shared" si="7"/>
        <v>2.8703535252803847E-3</v>
      </c>
      <c r="Y82" s="101">
        <v>42664</v>
      </c>
      <c r="Z82" s="110">
        <v>37838.089999999997</v>
      </c>
      <c r="AA82" s="110">
        <v>684.83</v>
      </c>
      <c r="AB82" s="102">
        <f t="shared" si="3"/>
        <v>-6.3625846123817345E-2</v>
      </c>
      <c r="AC82" s="102">
        <f t="shared" si="3"/>
        <v>-3.163659943162415E-3</v>
      </c>
      <c r="AI82" s="101">
        <v>41486</v>
      </c>
      <c r="AJ82" s="110">
        <v>18207.46</v>
      </c>
      <c r="AK82" s="110">
        <v>491.85</v>
      </c>
      <c r="AL82" s="102">
        <f t="shared" si="4"/>
        <v>0.12313325356802059</v>
      </c>
      <c r="AM82" s="102">
        <f t="shared" si="4"/>
        <v>2.2036288099165614E-2</v>
      </c>
      <c r="AN82" s="102"/>
      <c r="BC82" s="101">
        <v>42720</v>
      </c>
      <c r="BD82" s="110">
        <v>176239.25</v>
      </c>
      <c r="BE82" s="110">
        <v>675.16</v>
      </c>
      <c r="BF82" s="272">
        <f t="shared" si="6"/>
        <v>-5.227413049771628E-3</v>
      </c>
      <c r="BG82" s="272">
        <f t="shared" si="6"/>
        <v>1.8069134514297688E-2</v>
      </c>
    </row>
    <row r="83" spans="2:59" x14ac:dyDescent="0.3">
      <c r="B83" s="101">
        <v>42468</v>
      </c>
      <c r="C83" s="54">
        <v>572.34</v>
      </c>
      <c r="D83" s="102">
        <f t="shared" si="10"/>
        <v>2.4909120212023073E-2</v>
      </c>
      <c r="E83" s="102"/>
      <c r="F83" s="54">
        <v>2047.6</v>
      </c>
      <c r="G83" s="102">
        <f t="shared" si="10"/>
        <v>-1.2147936587578179E-2</v>
      </c>
      <c r="O83" s="101">
        <v>42949</v>
      </c>
      <c r="P83" s="110">
        <v>31400</v>
      </c>
      <c r="Q83" s="110">
        <v>786.23</v>
      </c>
      <c r="R83" s="102">
        <f t="shared" si="7"/>
        <v>-3.1796529173796842E-3</v>
      </c>
      <c r="S83" s="102">
        <f t="shared" si="7"/>
        <v>-7.3742565514350465E-4</v>
      </c>
      <c r="Y83" s="101">
        <v>42657</v>
      </c>
      <c r="Z83" s="110">
        <v>40323.81</v>
      </c>
      <c r="AA83" s="110">
        <v>687</v>
      </c>
      <c r="AB83" s="102">
        <f t="shared" si="3"/>
        <v>-2.702862609599627E-2</v>
      </c>
      <c r="AC83" s="102">
        <f t="shared" si="3"/>
        <v>4.4494766868958969E-3</v>
      </c>
      <c r="AI83" s="101">
        <v>41453</v>
      </c>
      <c r="AJ83" s="110">
        <v>16098.05</v>
      </c>
      <c r="AK83" s="110">
        <v>481.13</v>
      </c>
      <c r="AL83" s="102">
        <f t="shared" si="4"/>
        <v>-1.7094886093261315E-2</v>
      </c>
      <c r="AM83" s="102">
        <f t="shared" si="4"/>
        <v>-7.4590350868949912E-2</v>
      </c>
      <c r="AN83" s="102"/>
      <c r="BC83" s="101">
        <v>42713</v>
      </c>
      <c r="BD83" s="110">
        <v>177162.9375</v>
      </c>
      <c r="BE83" s="110">
        <v>663.07</v>
      </c>
      <c r="BF83" s="272">
        <f t="shared" si="6"/>
        <v>-3.6222649328469594E-2</v>
      </c>
      <c r="BG83" s="272">
        <f t="shared" si="6"/>
        <v>-3.1169795076591757E-3</v>
      </c>
    </row>
    <row r="84" spans="2:59" x14ac:dyDescent="0.3">
      <c r="B84" s="101">
        <v>42461</v>
      </c>
      <c r="C84" s="54">
        <v>558.42999999999995</v>
      </c>
      <c r="D84" s="102">
        <f t="shared" si="10"/>
        <v>-2.386029925884503E-2</v>
      </c>
      <c r="E84" s="102"/>
      <c r="F84" s="54">
        <v>2072.7800000000002</v>
      </c>
      <c r="G84" s="102">
        <f t="shared" si="10"/>
        <v>1.8094835800662068E-2</v>
      </c>
      <c r="O84" s="101">
        <v>42948</v>
      </c>
      <c r="P84" s="110">
        <v>31500</v>
      </c>
      <c r="Q84" s="110">
        <v>786.81</v>
      </c>
      <c r="R84" s="102">
        <f t="shared" si="7"/>
        <v>6.3694482854799285E-3</v>
      </c>
      <c r="S84" s="102">
        <f t="shared" si="7"/>
        <v>4.1519201751299582E-3</v>
      </c>
      <c r="Y84" s="101">
        <v>42650</v>
      </c>
      <c r="Z84" s="110">
        <v>41428.57</v>
      </c>
      <c r="AA84" s="110">
        <v>683.95</v>
      </c>
      <c r="AB84" s="102">
        <f t="shared" si="3"/>
        <v>6.1875295867759431E-2</v>
      </c>
      <c r="AC84" s="102">
        <f t="shared" si="3"/>
        <v>-2.5991487092994806E-3</v>
      </c>
      <c r="AI84" s="101">
        <v>41425</v>
      </c>
      <c r="AJ84" s="110">
        <v>16375.61</v>
      </c>
      <c r="AK84" s="110">
        <v>518.39</v>
      </c>
      <c r="AL84" s="102">
        <f t="shared" si="4"/>
        <v>6.3413862389296E-2</v>
      </c>
      <c r="AM84" s="102">
        <f t="shared" si="4"/>
        <v>8.8445162085044132E-2</v>
      </c>
      <c r="AN84" s="102"/>
      <c r="BC84" s="101">
        <v>42706</v>
      </c>
      <c r="BD84" s="110">
        <v>183697.89060000001</v>
      </c>
      <c r="BE84" s="110">
        <v>665.14</v>
      </c>
      <c r="BF84" s="272">
        <f t="shared" si="6"/>
        <v>-4.7734218060426672E-2</v>
      </c>
      <c r="BG84" s="272">
        <f t="shared" si="6"/>
        <v>-1.600320504307259E-2</v>
      </c>
    </row>
    <row r="85" spans="2:59" x14ac:dyDescent="0.3">
      <c r="B85" s="101">
        <v>42454</v>
      </c>
      <c r="C85" s="54">
        <v>572.08000000000004</v>
      </c>
      <c r="D85" s="102">
        <f t="shared" si="10"/>
        <v>-6.4950852697023276E-3</v>
      </c>
      <c r="E85" s="102"/>
      <c r="F85" s="54">
        <v>2035.94</v>
      </c>
      <c r="G85" s="102">
        <f t="shared" si="10"/>
        <v>-6.655022004508182E-3</v>
      </c>
      <c r="O85" s="101">
        <v>42947</v>
      </c>
      <c r="P85" s="110">
        <v>31300</v>
      </c>
      <c r="Q85" s="110">
        <v>783.55</v>
      </c>
      <c r="R85" s="102">
        <f t="shared" si="7"/>
        <v>9.6308930609613659E-3</v>
      </c>
      <c r="S85" s="102">
        <f t="shared" si="7"/>
        <v>8.2787021935373482E-3</v>
      </c>
      <c r="Y85" s="101">
        <v>42643</v>
      </c>
      <c r="Z85" s="110">
        <v>38942.86</v>
      </c>
      <c r="AA85" s="110">
        <v>685.73</v>
      </c>
      <c r="AB85" s="102">
        <f t="shared" si="3"/>
        <v>4.8435617736782476E-2</v>
      </c>
      <c r="AC85" s="102">
        <f t="shared" si="3"/>
        <v>1.7120331089667182E-2</v>
      </c>
      <c r="AI85" s="101">
        <v>41394</v>
      </c>
      <c r="AJ85" s="110">
        <v>15369.41</v>
      </c>
      <c r="AK85" s="110">
        <v>474.51</v>
      </c>
      <c r="AL85" s="102">
        <f t="shared" si="4"/>
        <v>4.5701748584354947E-2</v>
      </c>
      <c r="AM85" s="102">
        <f t="shared" si="4"/>
        <v>-3.4242898227918955E-2</v>
      </c>
      <c r="AN85" s="102"/>
      <c r="BC85" s="101">
        <v>42699</v>
      </c>
      <c r="BD85" s="110">
        <v>192679.2188</v>
      </c>
      <c r="BE85" s="110">
        <v>675.87</v>
      </c>
      <c r="BF85" s="272">
        <f t="shared" si="6"/>
        <v>5.3598489279670846E-3</v>
      </c>
      <c r="BG85" s="272">
        <f t="shared" si="6"/>
        <v>3.8840181654528627E-3</v>
      </c>
    </row>
    <row r="86" spans="2:59" x14ac:dyDescent="0.3">
      <c r="B86" s="101">
        <v>42447</v>
      </c>
      <c r="C86" s="54">
        <v>575.82000000000005</v>
      </c>
      <c r="D86" s="102">
        <f t="shared" ref="D86:G101" si="11">C86/C87-1</f>
        <v>-2.4945431867787748E-3</v>
      </c>
      <c r="E86" s="102"/>
      <c r="F86" s="54">
        <v>2049.58</v>
      </c>
      <c r="G86" s="102">
        <f t="shared" si="11"/>
        <v>1.3544721316987918E-2</v>
      </c>
      <c r="O86" s="101">
        <v>42944</v>
      </c>
      <c r="P86" s="110">
        <v>31000</v>
      </c>
      <c r="Q86" s="110">
        <v>777.09</v>
      </c>
      <c r="R86" s="102">
        <f t="shared" si="7"/>
        <v>0</v>
      </c>
      <c r="S86" s="102">
        <f t="shared" si="7"/>
        <v>7.219501972472067E-3</v>
      </c>
      <c r="Y86" s="101">
        <v>42636</v>
      </c>
      <c r="Z86" s="110">
        <v>37101.589999999997</v>
      </c>
      <c r="AA86" s="110">
        <v>674.09</v>
      </c>
      <c r="AB86" s="102">
        <f t="shared" si="3"/>
        <v>-4.1317904186541687E-2</v>
      </c>
      <c r="AC86" s="102">
        <f t="shared" si="3"/>
        <v>3.4377913813030535E-2</v>
      </c>
      <c r="AI86" s="101">
        <v>41362</v>
      </c>
      <c r="AJ86" s="110">
        <v>14682.81</v>
      </c>
      <c r="AK86" s="110">
        <v>491.04</v>
      </c>
      <c r="AL86" s="102">
        <f t="shared" si="4"/>
        <v>0</v>
      </c>
      <c r="AM86" s="102">
        <f t="shared" si="4"/>
        <v>3.4137531921858845E-2</v>
      </c>
      <c r="AN86" s="102"/>
      <c r="BC86" s="101">
        <v>42692</v>
      </c>
      <c r="BD86" s="110">
        <v>191649.25</v>
      </c>
      <c r="BE86" s="110">
        <v>673.25</v>
      </c>
      <c r="BF86" s="272">
        <f t="shared" si="6"/>
        <v>6.475666219903471E-3</v>
      </c>
      <c r="BG86" s="272">
        <f t="shared" si="6"/>
        <v>-8.7989033054293331E-3</v>
      </c>
    </row>
    <row r="87" spans="2:59" x14ac:dyDescent="0.3">
      <c r="B87" s="101">
        <v>42440</v>
      </c>
      <c r="C87" s="54">
        <v>577.26</v>
      </c>
      <c r="D87" s="102">
        <f t="shared" si="11"/>
        <v>6.2930358232371475E-3</v>
      </c>
      <c r="E87" s="102"/>
      <c r="F87" s="54">
        <v>2022.19</v>
      </c>
      <c r="G87" s="102">
        <f t="shared" si="11"/>
        <v>1.1100055500277595E-2</v>
      </c>
      <c r="O87" s="101">
        <v>42943</v>
      </c>
      <c r="P87" s="110">
        <v>31000</v>
      </c>
      <c r="Q87" s="110">
        <v>771.5</v>
      </c>
      <c r="R87" s="102">
        <f t="shared" si="7"/>
        <v>-9.6308930609613E-3</v>
      </c>
      <c r="S87" s="102">
        <f t="shared" si="7"/>
        <v>-3.0801510070708219E-3</v>
      </c>
      <c r="Y87" s="101">
        <v>42629</v>
      </c>
      <c r="Z87" s="110">
        <v>38666.660000000003</v>
      </c>
      <c r="AA87" s="110">
        <v>651.30999999999995</v>
      </c>
      <c r="AB87" s="102">
        <f t="shared" si="3"/>
        <v>-1.6529446100461778E-2</v>
      </c>
      <c r="AC87" s="102">
        <f t="shared" si="3"/>
        <v>-2.3624400342837529E-2</v>
      </c>
      <c r="AI87" s="101">
        <v>41333</v>
      </c>
      <c r="AJ87" s="110">
        <v>14682.81</v>
      </c>
      <c r="AK87" s="110">
        <v>474.56</v>
      </c>
      <c r="AL87" s="102">
        <f t="shared" si="4"/>
        <v>8.2443743702949102E-2</v>
      </c>
      <c r="AM87" s="102">
        <f t="shared" si="4"/>
        <v>-1.0960449221321758E-2</v>
      </c>
      <c r="AN87" s="102"/>
      <c r="BC87" s="101">
        <v>42685</v>
      </c>
      <c r="BD87" s="110">
        <v>190412.20310000001</v>
      </c>
      <c r="BE87" s="110">
        <v>679.2</v>
      </c>
      <c r="BF87" s="272">
        <f t="shared" si="6"/>
        <v>-2.9823945082456009E-4</v>
      </c>
      <c r="BG87" s="272">
        <f t="shared" si="6"/>
        <v>1.8530468635379219E-2</v>
      </c>
    </row>
    <row r="88" spans="2:59" x14ac:dyDescent="0.3">
      <c r="B88" s="101">
        <v>42433</v>
      </c>
      <c r="C88" s="54">
        <v>573.65</v>
      </c>
      <c r="D88" s="102">
        <f t="shared" si="11"/>
        <v>1.3318966278638378E-2</v>
      </c>
      <c r="E88" s="102"/>
      <c r="F88" s="54">
        <v>1999.99</v>
      </c>
      <c r="G88" s="102">
        <f t="shared" si="11"/>
        <v>2.6662559995893398E-2</v>
      </c>
      <c r="O88" s="101">
        <v>42942</v>
      </c>
      <c r="P88" s="110">
        <v>31300</v>
      </c>
      <c r="Q88" s="110">
        <v>773.88</v>
      </c>
      <c r="R88" s="102">
        <f t="shared" si="7"/>
        <v>1.5987213636970735E-3</v>
      </c>
      <c r="S88" s="102">
        <f t="shared" si="7"/>
        <v>8.5780625273410831E-3</v>
      </c>
      <c r="Y88" s="101">
        <v>42622</v>
      </c>
      <c r="Z88" s="110">
        <v>39311.11</v>
      </c>
      <c r="AA88" s="110">
        <v>666.88</v>
      </c>
      <c r="AB88" s="102">
        <f t="shared" si="3"/>
        <v>5.0430765909304988E-2</v>
      </c>
      <c r="AC88" s="102">
        <f t="shared" si="3"/>
        <v>-3.4579061003452531E-3</v>
      </c>
      <c r="AI88" s="101">
        <v>41305</v>
      </c>
      <c r="AJ88" s="110">
        <v>13520.86</v>
      </c>
      <c r="AK88" s="110">
        <v>479.79</v>
      </c>
      <c r="AL88" s="102">
        <f t="shared" si="4"/>
        <v>0.10820576606416232</v>
      </c>
      <c r="AM88" s="102">
        <f t="shared" si="4"/>
        <v>0.14813492101653308</v>
      </c>
      <c r="AN88" s="102"/>
      <c r="BC88" s="101">
        <v>42678</v>
      </c>
      <c r="BD88" s="110">
        <v>190469</v>
      </c>
      <c r="BE88" s="110">
        <v>666.73</v>
      </c>
      <c r="BF88" s="272">
        <f t="shared" si="6"/>
        <v>-2.2690380244351393E-2</v>
      </c>
      <c r="BG88" s="272">
        <f t="shared" si="6"/>
        <v>-2.3010993226689379E-2</v>
      </c>
    </row>
    <row r="89" spans="2:59" x14ac:dyDescent="0.3">
      <c r="B89" s="101">
        <v>42426</v>
      </c>
      <c r="C89" s="54">
        <v>566.11</v>
      </c>
      <c r="D89" s="102">
        <f t="shared" si="11"/>
        <v>2.1803873436456511E-2</v>
      </c>
      <c r="E89" s="102"/>
      <c r="F89" s="54">
        <v>1948.05</v>
      </c>
      <c r="G89" s="102">
        <f t="shared" si="11"/>
        <v>1.5783875105590761E-2</v>
      </c>
      <c r="O89" s="101">
        <v>42941</v>
      </c>
      <c r="P89" s="110">
        <v>31250</v>
      </c>
      <c r="Q89" s="110">
        <v>767.27</v>
      </c>
      <c r="R89" s="102">
        <f t="shared" si="7"/>
        <v>-7.9681696491768449E-3</v>
      </c>
      <c r="S89" s="102">
        <f t="shared" si="7"/>
        <v>9.8624907970815447E-3</v>
      </c>
      <c r="Y89" s="101">
        <v>42615</v>
      </c>
      <c r="Z89" s="110">
        <v>37377.78</v>
      </c>
      <c r="AA89" s="110">
        <v>669.19</v>
      </c>
      <c r="AB89" s="102">
        <f t="shared" si="3"/>
        <v>-3.6279610532279079E-2</v>
      </c>
      <c r="AC89" s="102">
        <f t="shared" si="3"/>
        <v>2.1541737951678236E-3</v>
      </c>
      <c r="AI89" s="101">
        <v>41274</v>
      </c>
      <c r="AJ89" s="110">
        <v>12134.2</v>
      </c>
      <c r="AK89" s="110">
        <v>413.73</v>
      </c>
      <c r="AL89" s="102">
        <f t="shared" si="4"/>
        <v>5.4981722358958714E-2</v>
      </c>
      <c r="AM89" s="102">
        <f t="shared" si="4"/>
        <v>9.0795695425649678E-2</v>
      </c>
      <c r="AN89" s="102"/>
      <c r="BC89" s="101">
        <v>42671</v>
      </c>
      <c r="BD89" s="110">
        <v>194840.2188</v>
      </c>
      <c r="BE89" s="110">
        <v>682.25</v>
      </c>
      <c r="BF89" s="272">
        <f t="shared" si="6"/>
        <v>-4.1049495226395723E-3</v>
      </c>
      <c r="BG89" s="272">
        <f t="shared" si="6"/>
        <v>-3.7744726907390407E-3</v>
      </c>
    </row>
    <row r="90" spans="2:59" x14ac:dyDescent="0.3">
      <c r="B90" s="101">
        <v>42419</v>
      </c>
      <c r="C90" s="54">
        <v>554.03</v>
      </c>
      <c r="D90" s="102">
        <f t="shared" si="11"/>
        <v>1.8830798653892256E-2</v>
      </c>
      <c r="E90" s="102"/>
      <c r="F90" s="54">
        <v>1917.78</v>
      </c>
      <c r="G90" s="102">
        <f t="shared" si="11"/>
        <v>2.8421583243063431E-2</v>
      </c>
      <c r="O90" s="101">
        <v>42940</v>
      </c>
      <c r="P90" s="110">
        <v>31500</v>
      </c>
      <c r="Q90" s="110">
        <v>759.74</v>
      </c>
      <c r="R90" s="102">
        <f t="shared" si="7"/>
        <v>-1.1049836186584935E-2</v>
      </c>
      <c r="S90" s="102">
        <f t="shared" si="7"/>
        <v>-2.7865422867828166E-3</v>
      </c>
      <c r="Y90" s="101">
        <v>42608</v>
      </c>
      <c r="Z90" s="110">
        <v>38758.730000000003</v>
      </c>
      <c r="AA90" s="110">
        <v>667.75</v>
      </c>
      <c r="AB90" s="102">
        <f t="shared" si="3"/>
        <v>-9.4562338606959291E-3</v>
      </c>
      <c r="AC90" s="102">
        <f t="shared" si="3"/>
        <v>8.2254247506600674E-3</v>
      </c>
      <c r="AI90" s="101">
        <v>41243</v>
      </c>
      <c r="AJ90" s="110">
        <v>11485.05</v>
      </c>
      <c r="AK90" s="110">
        <v>377.82</v>
      </c>
      <c r="AL90" s="102">
        <f t="shared" si="4"/>
        <v>-1.2958714899197461E-2</v>
      </c>
      <c r="AM90" s="102">
        <f t="shared" si="4"/>
        <v>-2.7669336668599071E-2</v>
      </c>
      <c r="AN90" s="102"/>
      <c r="BC90" s="101">
        <v>42664</v>
      </c>
      <c r="BD90" s="110">
        <v>195641.67189999999</v>
      </c>
      <c r="BE90" s="110">
        <v>684.83</v>
      </c>
      <c r="BF90" s="272">
        <f t="shared" si="6"/>
        <v>-1.8138450304416954E-2</v>
      </c>
      <c r="BG90" s="272">
        <f t="shared" si="6"/>
        <v>-3.163659943162415E-3</v>
      </c>
    </row>
    <row r="91" spans="2:59" x14ac:dyDescent="0.3">
      <c r="B91" s="101">
        <v>42412</v>
      </c>
      <c r="C91" s="54">
        <v>543.79</v>
      </c>
      <c r="D91" s="102">
        <f t="shared" si="11"/>
        <v>-1.7622762735199915E-3</v>
      </c>
      <c r="E91" s="102"/>
      <c r="F91" s="54">
        <v>1864.78</v>
      </c>
      <c r="G91" s="102">
        <f t="shared" si="11"/>
        <v>-8.1221244115847746E-3</v>
      </c>
      <c r="O91" s="101">
        <v>42937</v>
      </c>
      <c r="P91" s="110">
        <v>31850</v>
      </c>
      <c r="Q91" s="110">
        <v>761.86</v>
      </c>
      <c r="R91" s="102">
        <f t="shared" si="7"/>
        <v>1.1049836186584935E-2</v>
      </c>
      <c r="S91" s="102">
        <f t="shared" si="7"/>
        <v>-8.5606330922525387E-3</v>
      </c>
      <c r="Y91" s="101">
        <v>42601</v>
      </c>
      <c r="Z91" s="110">
        <v>39126.980000000003</v>
      </c>
      <c r="AA91" s="110">
        <v>662.28</v>
      </c>
      <c r="AB91" s="102">
        <f t="shared" si="3"/>
        <v>5.5637077762329977E-2</v>
      </c>
      <c r="AC91" s="102">
        <f t="shared" si="3"/>
        <v>9.9698092092043982E-3</v>
      </c>
      <c r="AI91" s="101">
        <v>41213</v>
      </c>
      <c r="AJ91" s="110">
        <v>11634.85</v>
      </c>
      <c r="AK91" s="110">
        <v>388.42</v>
      </c>
      <c r="AL91" s="102">
        <f t="shared" si="4"/>
        <v>-8.7372654296805005E-2</v>
      </c>
      <c r="AM91" s="102">
        <f t="shared" si="4"/>
        <v>-1.0627636872810835E-2</v>
      </c>
      <c r="AN91" s="102"/>
      <c r="BC91" s="101">
        <v>42657</v>
      </c>
      <c r="BD91" s="110">
        <v>199222.6875</v>
      </c>
      <c r="BE91" s="110">
        <v>687</v>
      </c>
      <c r="BF91" s="272">
        <f t="shared" si="6"/>
        <v>-1.1952826156188527E-2</v>
      </c>
      <c r="BG91" s="272">
        <f t="shared" si="6"/>
        <v>4.4494766868958969E-3</v>
      </c>
    </row>
    <row r="92" spans="2:59" x14ac:dyDescent="0.3">
      <c r="B92" s="101">
        <v>42405</v>
      </c>
      <c r="C92" s="54">
        <v>544.75</v>
      </c>
      <c r="D92" s="102">
        <f t="shared" si="11"/>
        <v>-9.1701054562132178E-4</v>
      </c>
      <c r="E92" s="102"/>
      <c r="F92" s="54">
        <v>1880.05</v>
      </c>
      <c r="G92" s="102">
        <f t="shared" si="11"/>
        <v>-3.1021935430668446E-2</v>
      </c>
      <c r="O92" s="101">
        <v>42936</v>
      </c>
      <c r="P92" s="110">
        <v>31500</v>
      </c>
      <c r="Q92" s="110">
        <v>768.41</v>
      </c>
      <c r="R92" s="102">
        <f t="shared" si="7"/>
        <v>0</v>
      </c>
      <c r="S92" s="102">
        <f t="shared" si="7"/>
        <v>-3.7539580750543793E-3</v>
      </c>
      <c r="Y92" s="101">
        <v>42594</v>
      </c>
      <c r="Z92" s="110">
        <v>37009.519999999997</v>
      </c>
      <c r="AA92" s="110">
        <v>655.71</v>
      </c>
      <c r="AB92" s="102">
        <f t="shared" si="3"/>
        <v>4.5809460037336519E-2</v>
      </c>
      <c r="AC92" s="102">
        <f t="shared" si="3"/>
        <v>4.4150261195678983E-2</v>
      </c>
      <c r="AI92" s="101">
        <v>41180</v>
      </c>
      <c r="AJ92" s="110">
        <v>12697.15</v>
      </c>
      <c r="AK92" s="110">
        <v>392.57</v>
      </c>
      <c r="AL92" s="102">
        <f t="shared" si="4"/>
        <v>1.4981137536593638E-2</v>
      </c>
      <c r="AM92" s="102">
        <f t="shared" si="4"/>
        <v>-8.7498497595322119E-3</v>
      </c>
      <c r="AN92" s="102"/>
      <c r="BC92" s="101">
        <v>42650</v>
      </c>
      <c r="BD92" s="110">
        <v>201618.25</v>
      </c>
      <c r="BE92" s="110">
        <v>683.95</v>
      </c>
      <c r="BF92" s="272">
        <f t="shared" si="6"/>
        <v>3.4610192837402805E-2</v>
      </c>
      <c r="BG92" s="272">
        <f t="shared" si="6"/>
        <v>-2.5991487092994806E-3</v>
      </c>
    </row>
    <row r="93" spans="2:59" x14ac:dyDescent="0.3">
      <c r="B93" s="101">
        <v>42398</v>
      </c>
      <c r="C93" s="54">
        <v>545.25</v>
      </c>
      <c r="D93" s="102">
        <f t="shared" si="11"/>
        <v>4.4060202205882248E-2</v>
      </c>
      <c r="E93" s="102"/>
      <c r="F93" s="54">
        <v>1940.24</v>
      </c>
      <c r="G93" s="102">
        <f t="shared" si="11"/>
        <v>1.7483874351040818E-2</v>
      </c>
      <c r="O93" s="101">
        <v>42935</v>
      </c>
      <c r="P93" s="110">
        <v>31500</v>
      </c>
      <c r="Q93" s="110">
        <v>771.3</v>
      </c>
      <c r="R93" s="102">
        <f t="shared" si="7"/>
        <v>-2.5079684397023429E-2</v>
      </c>
      <c r="S93" s="102">
        <f t="shared" si="7"/>
        <v>4.9519528794444313E-3</v>
      </c>
      <c r="Y93" s="101">
        <v>42587</v>
      </c>
      <c r="Z93" s="110">
        <v>35352.379999999997</v>
      </c>
      <c r="AA93" s="110">
        <v>627.39</v>
      </c>
      <c r="AB93" s="102">
        <f t="shared" si="3"/>
        <v>-2.0619344930568169E-2</v>
      </c>
      <c r="AC93" s="102">
        <f t="shared" si="3"/>
        <v>-3.8828903622882709E-2</v>
      </c>
      <c r="AI93" s="101">
        <v>41152</v>
      </c>
      <c r="AJ93" s="110">
        <v>12508.35</v>
      </c>
      <c r="AK93" s="110">
        <v>396.02</v>
      </c>
      <c r="AL93" s="102">
        <f t="shared" si="4"/>
        <v>2.2901934057461989E-2</v>
      </c>
      <c r="AM93" s="102">
        <f t="shared" si="4"/>
        <v>-4.5560007476884448E-2</v>
      </c>
      <c r="AN93" s="102"/>
      <c r="BC93" s="101">
        <v>42643</v>
      </c>
      <c r="BD93" s="110">
        <v>194759.57810000001</v>
      </c>
      <c r="BE93" s="110">
        <v>685.73</v>
      </c>
      <c r="BF93" s="272">
        <f t="shared" si="6"/>
        <v>3.8422947715285927E-2</v>
      </c>
      <c r="BG93" s="272">
        <f t="shared" si="6"/>
        <v>1.7120331089667182E-2</v>
      </c>
    </row>
    <row r="94" spans="2:59" x14ac:dyDescent="0.3">
      <c r="B94" s="101">
        <v>42391</v>
      </c>
      <c r="C94" s="54">
        <v>522.24</v>
      </c>
      <c r="D94" s="102">
        <f t="shared" si="11"/>
        <v>-3.830288744843835E-2</v>
      </c>
      <c r="E94" s="102"/>
      <c r="F94" s="54">
        <v>1906.9</v>
      </c>
      <c r="G94" s="102">
        <f t="shared" si="11"/>
        <v>1.4130498369967048E-2</v>
      </c>
      <c r="O94" s="101">
        <v>42934</v>
      </c>
      <c r="P94" s="110">
        <v>32300</v>
      </c>
      <c r="Q94" s="110">
        <v>767.49</v>
      </c>
      <c r="R94" s="102">
        <f t="shared" si="7"/>
        <v>0</v>
      </c>
      <c r="S94" s="102">
        <f t="shared" si="7"/>
        <v>-1.8484774854587726E-3</v>
      </c>
      <c r="Y94" s="101">
        <v>42580</v>
      </c>
      <c r="Z94" s="110">
        <v>36088.89</v>
      </c>
      <c r="AA94" s="110">
        <v>652.23</v>
      </c>
      <c r="AB94" s="102">
        <f t="shared" si="3"/>
        <v>5.1151845053465103E-3</v>
      </c>
      <c r="AC94" s="102">
        <f t="shared" si="3"/>
        <v>3.624917570393793E-3</v>
      </c>
      <c r="AI94" s="101">
        <v>41121</v>
      </c>
      <c r="AJ94" s="110">
        <v>12225.14</v>
      </c>
      <c r="AK94" s="110">
        <v>414.48</v>
      </c>
      <c r="AL94" s="102">
        <f t="shared" si="4"/>
        <v>-1.5326353034597562E-2</v>
      </c>
      <c r="AM94" s="102">
        <f t="shared" si="4"/>
        <v>-1.8856984636012819E-2</v>
      </c>
      <c r="AN94" s="102"/>
      <c r="BC94" s="101">
        <v>42636</v>
      </c>
      <c r="BD94" s="110">
        <v>187418.2813</v>
      </c>
      <c r="BE94" s="110">
        <v>674.09</v>
      </c>
      <c r="BF94" s="272">
        <f t="shared" si="6"/>
        <v>1.3403901818376512E-2</v>
      </c>
      <c r="BG94" s="272">
        <f t="shared" si="6"/>
        <v>3.4377913813030535E-2</v>
      </c>
    </row>
    <row r="95" spans="2:59" x14ac:dyDescent="0.3">
      <c r="B95" s="101">
        <v>42384</v>
      </c>
      <c r="C95" s="54">
        <v>543.04</v>
      </c>
      <c r="D95" s="102">
        <f t="shared" si="11"/>
        <v>-3.037228818855453E-2</v>
      </c>
      <c r="E95" s="102"/>
      <c r="F95" s="54">
        <v>1880.33</v>
      </c>
      <c r="G95" s="102">
        <f t="shared" si="11"/>
        <v>-2.1695811199617054E-2</v>
      </c>
      <c r="O95" s="101">
        <v>42933</v>
      </c>
      <c r="P95" s="110">
        <v>32300</v>
      </c>
      <c r="Q95" s="110">
        <v>768.91</v>
      </c>
      <c r="R95" s="102">
        <f t="shared" si="7"/>
        <v>1.8750549345376028E-2</v>
      </c>
      <c r="S95" s="102">
        <f t="shared" si="7"/>
        <v>-1.1238325600261502E-2</v>
      </c>
      <c r="Y95" s="101">
        <v>42573</v>
      </c>
      <c r="Z95" s="110">
        <v>35904.76</v>
      </c>
      <c r="AA95" s="110">
        <v>649.87</v>
      </c>
      <c r="AB95" s="102">
        <f t="shared" si="3"/>
        <v>2.5672981325358737E-3</v>
      </c>
      <c r="AC95" s="102">
        <f t="shared" si="3"/>
        <v>-2.2352824643800274E-2</v>
      </c>
      <c r="AI95" s="101">
        <v>41089</v>
      </c>
      <c r="AJ95" s="110">
        <v>12413.95</v>
      </c>
      <c r="AK95" s="110">
        <v>422.37</v>
      </c>
      <c r="AL95" s="102">
        <f t="shared" si="4"/>
        <v>-4.8246273159837434E-2</v>
      </c>
      <c r="AM95" s="102">
        <f t="shared" si="4"/>
        <v>-1.6041303613997703E-2</v>
      </c>
      <c r="AN95" s="102"/>
      <c r="BC95" s="101">
        <v>42629</v>
      </c>
      <c r="BD95" s="110">
        <v>184922.9063</v>
      </c>
      <c r="BE95" s="110">
        <v>651.30999999999995</v>
      </c>
      <c r="BF95" s="272">
        <f t="shared" si="6"/>
        <v>-3.0407983805653384E-2</v>
      </c>
      <c r="BG95" s="272">
        <f t="shared" si="6"/>
        <v>-2.3624400342837529E-2</v>
      </c>
    </row>
    <row r="96" spans="2:59" x14ac:dyDescent="0.3">
      <c r="B96" s="101">
        <v>42377</v>
      </c>
      <c r="C96" s="54">
        <v>560.04999999999995</v>
      </c>
      <c r="D96" s="102">
        <f t="shared" si="11"/>
        <v>-3.2778957912370732E-2</v>
      </c>
      <c r="E96" s="102"/>
      <c r="F96" s="54">
        <v>1922.03</v>
      </c>
      <c r="G96" s="102">
        <f t="shared" si="11"/>
        <v>-5.9644607963051821E-2</v>
      </c>
      <c r="O96" s="101">
        <v>42930</v>
      </c>
      <c r="P96" s="110">
        <v>31700</v>
      </c>
      <c r="Q96" s="110">
        <v>777.6</v>
      </c>
      <c r="R96" s="102">
        <f t="shared" si="7"/>
        <v>3.1595602903685179E-3</v>
      </c>
      <c r="S96" s="102">
        <f t="shared" si="7"/>
        <v>-8.9980081911309416E-4</v>
      </c>
      <c r="Y96" s="101">
        <v>42566</v>
      </c>
      <c r="Z96" s="110">
        <v>35812.699999999997</v>
      </c>
      <c r="AA96" s="110">
        <v>664.56</v>
      </c>
      <c r="AB96" s="102">
        <f t="shared" ref="AB96:AC159" si="12">LN(Z96/Z97)</f>
        <v>-4.2773831114005893E-2</v>
      </c>
      <c r="AC96" s="102">
        <f t="shared" si="12"/>
        <v>8.8873351810180475E-3</v>
      </c>
      <c r="AI96" s="101">
        <v>41060</v>
      </c>
      <c r="AJ96" s="110">
        <v>13027.56</v>
      </c>
      <c r="AK96" s="110">
        <v>429.2</v>
      </c>
      <c r="AL96" s="102">
        <f t="shared" ref="AL96:AM102" si="13">LN(AJ96/AJ97)</f>
        <v>-8.0042707673536495E-2</v>
      </c>
      <c r="AM96" s="102">
        <f t="shared" si="13"/>
        <v>-9.8798961107846361E-2</v>
      </c>
      <c r="AN96" s="102"/>
      <c r="BC96" s="101">
        <v>42622</v>
      </c>
      <c r="BD96" s="110">
        <v>190632.4063</v>
      </c>
      <c r="BE96" s="110">
        <v>666.88</v>
      </c>
      <c r="BF96" s="272">
        <f t="shared" ref="BF96:BG159" si="14">LN(BD96/BD97)</f>
        <v>2.0533254683538605E-2</v>
      </c>
      <c r="BG96" s="272">
        <f t="shared" si="14"/>
        <v>-3.4579061003452531E-3</v>
      </c>
    </row>
    <row r="97" spans="2:59" x14ac:dyDescent="0.3">
      <c r="B97" s="101">
        <v>42370</v>
      </c>
      <c r="C97" s="54">
        <v>579.03</v>
      </c>
      <c r="D97" s="102">
        <f t="shared" si="11"/>
        <v>2.0011626473126931E-2</v>
      </c>
      <c r="E97" s="102"/>
      <c r="F97" s="54">
        <v>2043.94</v>
      </c>
      <c r="G97" s="102">
        <f t="shared" si="11"/>
        <v>-8.2727233028785374E-3</v>
      </c>
      <c r="O97" s="101">
        <v>42929</v>
      </c>
      <c r="P97" s="110">
        <v>31600</v>
      </c>
      <c r="Q97" s="110">
        <v>778.3</v>
      </c>
      <c r="R97" s="102">
        <f t="shared" ref="R97:S160" si="15">LN(P97/P98)</f>
        <v>-4.735604745834239E-3</v>
      </c>
      <c r="S97" s="102">
        <f t="shared" si="15"/>
        <v>5.3205662496689501E-3</v>
      </c>
      <c r="Y97" s="101">
        <v>42559</v>
      </c>
      <c r="Z97" s="110">
        <v>37377.78</v>
      </c>
      <c r="AA97" s="110">
        <v>658.68</v>
      </c>
      <c r="AB97" s="102">
        <f t="shared" si="12"/>
        <v>-1.4670163773169364E-2</v>
      </c>
      <c r="AC97" s="102">
        <f t="shared" si="12"/>
        <v>2.8301015825041579E-2</v>
      </c>
      <c r="AI97" s="101">
        <v>41029</v>
      </c>
      <c r="AJ97" s="110">
        <v>14113.19</v>
      </c>
      <c r="AK97" s="110">
        <v>473.77</v>
      </c>
      <c r="AL97" s="102">
        <f t="shared" si="13"/>
        <v>0.18473767679770464</v>
      </c>
      <c r="AM97" s="102">
        <f t="shared" si="13"/>
        <v>7.1609071520405174E-2</v>
      </c>
      <c r="AN97" s="102"/>
      <c r="BC97" s="101">
        <v>42615</v>
      </c>
      <c r="BD97" s="110">
        <v>186758.01560000001</v>
      </c>
      <c r="BE97" s="110">
        <v>669.19</v>
      </c>
      <c r="BF97" s="272">
        <f t="shared" si="14"/>
        <v>-1.3513205786471636E-2</v>
      </c>
      <c r="BG97" s="272">
        <f t="shared" si="14"/>
        <v>2.1541737951678236E-3</v>
      </c>
    </row>
    <row r="98" spans="2:59" x14ac:dyDescent="0.3">
      <c r="B98" s="101">
        <v>42363</v>
      </c>
      <c r="C98" s="54">
        <v>567.66999999999996</v>
      </c>
      <c r="D98" s="102">
        <f t="shared" si="11"/>
        <v>-8.9760287232920621E-4</v>
      </c>
      <c r="E98" s="102"/>
      <c r="F98" s="54">
        <v>2060.9899999999998</v>
      </c>
      <c r="G98" s="102">
        <f t="shared" si="11"/>
        <v>2.7643289870608934E-2</v>
      </c>
      <c r="O98" s="101">
        <v>42928</v>
      </c>
      <c r="P98" s="110">
        <v>31750</v>
      </c>
      <c r="Q98" s="110">
        <v>774.17</v>
      </c>
      <c r="R98" s="102">
        <f t="shared" si="15"/>
        <v>0</v>
      </c>
      <c r="S98" s="102">
        <f t="shared" si="15"/>
        <v>6.2324873114471052E-3</v>
      </c>
      <c r="Y98" s="101">
        <v>42552</v>
      </c>
      <c r="Z98" s="110">
        <v>37930.160000000003</v>
      </c>
      <c r="AA98" s="110">
        <v>640.29999999999995</v>
      </c>
      <c r="AB98" s="102">
        <f t="shared" si="12"/>
        <v>1.4670163773169327E-2</v>
      </c>
      <c r="AC98" s="102">
        <f t="shared" si="12"/>
        <v>3.0976173565693401E-2</v>
      </c>
      <c r="AI98" s="101">
        <v>40998</v>
      </c>
      <c r="AJ98" s="110">
        <v>11732.61</v>
      </c>
      <c r="AK98" s="110">
        <v>441.03</v>
      </c>
      <c r="AL98" s="102">
        <f t="shared" si="13"/>
        <v>2.4868121764543314E-2</v>
      </c>
      <c r="AM98" s="102">
        <f t="shared" si="13"/>
        <v>4.0228862368516152E-2</v>
      </c>
      <c r="AN98" s="102"/>
      <c r="BC98" s="101">
        <v>42608</v>
      </c>
      <c r="BD98" s="110">
        <v>189298.8438</v>
      </c>
      <c r="BE98" s="110">
        <v>667.75</v>
      </c>
      <c r="BF98" s="272">
        <f t="shared" si="14"/>
        <v>-1.2072558058216222E-2</v>
      </c>
      <c r="BG98" s="272">
        <f t="shared" si="14"/>
        <v>8.2254247506600674E-3</v>
      </c>
    </row>
    <row r="99" spans="2:59" x14ac:dyDescent="0.3">
      <c r="B99" s="101">
        <v>42356</v>
      </c>
      <c r="C99" s="54">
        <v>568.17999999999995</v>
      </c>
      <c r="D99" s="102">
        <f t="shared" si="11"/>
        <v>8.4305060078448957E-3</v>
      </c>
      <c r="E99" s="102"/>
      <c r="F99" s="54">
        <v>2005.55</v>
      </c>
      <c r="G99" s="102">
        <f t="shared" si="11"/>
        <v>-3.3890387950525902E-3</v>
      </c>
      <c r="O99" s="101">
        <v>42927</v>
      </c>
      <c r="P99" s="110">
        <v>31750</v>
      </c>
      <c r="Q99" s="110">
        <v>769.36</v>
      </c>
      <c r="R99" s="102">
        <f t="shared" si="15"/>
        <v>2.3905520853554386E-2</v>
      </c>
      <c r="S99" s="102">
        <f t="shared" si="15"/>
        <v>3.6460272694144357E-3</v>
      </c>
      <c r="Y99" s="101">
        <v>42545</v>
      </c>
      <c r="Z99" s="110">
        <v>37377.78</v>
      </c>
      <c r="AA99" s="110">
        <v>620.77</v>
      </c>
      <c r="AB99" s="102">
        <f t="shared" si="12"/>
        <v>-4.9138285745428398E-3</v>
      </c>
      <c r="AC99" s="102">
        <f t="shared" si="12"/>
        <v>2.4515745895940864E-3</v>
      </c>
      <c r="AI99" s="101">
        <v>40968</v>
      </c>
      <c r="AJ99" s="110">
        <v>11444.44</v>
      </c>
      <c r="AK99" s="110">
        <v>423.64</v>
      </c>
      <c r="AL99" s="102">
        <f t="shared" si="13"/>
        <v>0.16378867924256824</v>
      </c>
      <c r="AM99" s="102">
        <f t="shared" si="13"/>
        <v>8.795602092913718E-2</v>
      </c>
      <c r="AN99" s="102"/>
      <c r="BC99" s="101">
        <v>42601</v>
      </c>
      <c r="BD99" s="110">
        <v>191598.01560000001</v>
      </c>
      <c r="BE99" s="110">
        <v>662.28</v>
      </c>
      <c r="BF99" s="272">
        <f t="shared" si="14"/>
        <v>2.3867101232737897E-2</v>
      </c>
      <c r="BG99" s="272">
        <f t="shared" si="14"/>
        <v>9.9698092092043982E-3</v>
      </c>
    </row>
    <row r="100" spans="2:59" x14ac:dyDescent="0.3">
      <c r="B100" s="101">
        <v>42349</v>
      </c>
      <c r="C100" s="54">
        <v>563.42999999999995</v>
      </c>
      <c r="D100" s="102">
        <f t="shared" si="11"/>
        <v>-1.4327700220426287E-2</v>
      </c>
      <c r="E100" s="102"/>
      <c r="F100" s="54">
        <v>2012.37</v>
      </c>
      <c r="G100" s="102">
        <f t="shared" si="11"/>
        <v>-3.7921489322031543E-2</v>
      </c>
      <c r="O100" s="101">
        <v>42926</v>
      </c>
      <c r="P100" s="110">
        <v>31000</v>
      </c>
      <c r="Q100" s="110">
        <v>766.56</v>
      </c>
      <c r="R100" s="102">
        <f t="shared" si="15"/>
        <v>-2.5479085300984899E-2</v>
      </c>
      <c r="S100" s="102">
        <f t="shared" si="15"/>
        <v>-1.1891548359556577E-2</v>
      </c>
      <c r="Y100" s="101">
        <v>42538</v>
      </c>
      <c r="Z100" s="110">
        <v>37561.9</v>
      </c>
      <c r="AA100" s="110">
        <v>619.25</v>
      </c>
      <c r="AB100" s="102">
        <f t="shared" si="12"/>
        <v>3.745750156683815E-2</v>
      </c>
      <c r="AC100" s="102">
        <f t="shared" si="12"/>
        <v>-1.6956750506742873E-2</v>
      </c>
      <c r="AI100" s="101">
        <v>40939</v>
      </c>
      <c r="AJ100" s="110">
        <v>9715.43</v>
      </c>
      <c r="AK100" s="110">
        <v>387.97</v>
      </c>
      <c r="AL100" s="102">
        <f t="shared" si="13"/>
        <v>4.7731636127068551E-2</v>
      </c>
      <c r="AM100" s="102">
        <f t="shared" si="13"/>
        <v>9.8576068401160802E-2</v>
      </c>
      <c r="AN100" s="102"/>
      <c r="BC100" s="101">
        <v>42594</v>
      </c>
      <c r="BD100" s="110">
        <v>187079.26560000001</v>
      </c>
      <c r="BE100" s="110">
        <v>655.71</v>
      </c>
      <c r="BF100" s="272">
        <f t="shared" si="14"/>
        <v>3.1761670923043279E-2</v>
      </c>
      <c r="BG100" s="272">
        <f t="shared" si="14"/>
        <v>4.4150261195678983E-2</v>
      </c>
    </row>
    <row r="101" spans="2:59" x14ac:dyDescent="0.3">
      <c r="B101" s="101">
        <v>42342</v>
      </c>
      <c r="C101" s="54">
        <v>571.62</v>
      </c>
      <c r="D101" s="102">
        <f t="shared" si="11"/>
        <v>-1.9284219195004004E-2</v>
      </c>
      <c r="E101" s="102"/>
      <c r="F101" s="54">
        <v>2091.69</v>
      </c>
      <c r="G101" s="102">
        <f t="shared" si="11"/>
        <v>7.5594107487164663E-4</v>
      </c>
      <c r="O101" s="101">
        <v>42923</v>
      </c>
      <c r="P101" s="110">
        <v>31800</v>
      </c>
      <c r="Q101" s="110">
        <v>775.73</v>
      </c>
      <c r="R101" s="102">
        <f t="shared" si="15"/>
        <v>1.2658396871923465E-2</v>
      </c>
      <c r="S101" s="102">
        <f t="shared" si="15"/>
        <v>-8.8810758398634188E-3</v>
      </c>
      <c r="Y101" s="101">
        <v>42531</v>
      </c>
      <c r="Z101" s="110">
        <v>36180.949999999997</v>
      </c>
      <c r="AA101" s="110">
        <v>629.84</v>
      </c>
      <c r="AB101" s="102">
        <f t="shared" si="12"/>
        <v>6.0306601002018768E-2</v>
      </c>
      <c r="AC101" s="102">
        <f t="shared" si="12"/>
        <v>1.2718670794671797E-2</v>
      </c>
      <c r="AI101" s="101">
        <v>40907</v>
      </c>
      <c r="AJ101" s="110">
        <v>9262.59</v>
      </c>
      <c r="AK101" s="110">
        <v>351.55</v>
      </c>
      <c r="AL101" s="102">
        <f t="shared" si="13"/>
        <v>4.1429055438769687E-2</v>
      </c>
      <c r="AM101" s="102">
        <f t="shared" si="13"/>
        <v>-7.9633446996133062E-2</v>
      </c>
      <c r="AN101" s="102"/>
      <c r="BC101" s="101">
        <v>42587</v>
      </c>
      <c r="BD101" s="110">
        <v>181230.6875</v>
      </c>
      <c r="BE101" s="110">
        <v>627.39</v>
      </c>
      <c r="BF101" s="272">
        <f t="shared" si="14"/>
        <v>-9.649584286275022E-3</v>
      </c>
      <c r="BG101" s="272">
        <f t="shared" si="14"/>
        <v>-3.8828903622882709E-2</v>
      </c>
    </row>
    <row r="102" spans="2:59" x14ac:dyDescent="0.3">
      <c r="B102" s="101">
        <v>42335</v>
      </c>
      <c r="C102" s="54">
        <v>582.86</v>
      </c>
      <c r="D102" s="102">
        <f t="shared" ref="D102:G117" si="16">C102/C103-1</f>
        <v>-3.5734374483009645E-2</v>
      </c>
      <c r="E102" s="102"/>
      <c r="F102" s="54">
        <v>2090.11</v>
      </c>
      <c r="G102" s="102">
        <f t="shared" si="16"/>
        <v>4.4993944963800381E-4</v>
      </c>
      <c r="O102" s="101">
        <v>42922</v>
      </c>
      <c r="P102" s="110">
        <v>31400</v>
      </c>
      <c r="Q102" s="110">
        <v>782.65</v>
      </c>
      <c r="R102" s="102">
        <f t="shared" si="15"/>
        <v>-3.1796529173796842E-3</v>
      </c>
      <c r="S102" s="102">
        <f t="shared" si="15"/>
        <v>5.5478466670595755E-3</v>
      </c>
      <c r="Y102" s="101">
        <v>42524</v>
      </c>
      <c r="Z102" s="110">
        <v>34063.49</v>
      </c>
      <c r="AA102" s="110">
        <v>621.88</v>
      </c>
      <c r="AB102" s="102">
        <f t="shared" si="12"/>
        <v>5.4201568165668616E-3</v>
      </c>
      <c r="AC102" s="102">
        <f t="shared" si="12"/>
        <v>2.2391361426981324E-2</v>
      </c>
      <c r="AI102" s="101">
        <v>40877</v>
      </c>
      <c r="AJ102" s="110">
        <v>8886.69</v>
      </c>
      <c r="AK102" s="110">
        <v>380.69</v>
      </c>
      <c r="AL102" s="102" t="e">
        <f t="shared" si="13"/>
        <v>#DIV/0!</v>
      </c>
      <c r="AM102" s="102" t="e">
        <f t="shared" si="13"/>
        <v>#DIV/0!</v>
      </c>
      <c r="AN102" s="102"/>
      <c r="BC102" s="101">
        <v>42580</v>
      </c>
      <c r="BD102" s="110">
        <v>182987.95310000001</v>
      </c>
      <c r="BE102" s="110">
        <v>652.23</v>
      </c>
      <c r="BF102" s="272">
        <f t="shared" si="14"/>
        <v>-1.4038961048673637E-2</v>
      </c>
      <c r="BG102" s="272">
        <f t="shared" si="14"/>
        <v>3.624917570393793E-3</v>
      </c>
    </row>
    <row r="103" spans="2:59" x14ac:dyDescent="0.3">
      <c r="B103" s="101">
        <v>42328</v>
      </c>
      <c r="C103" s="54">
        <v>604.46</v>
      </c>
      <c r="D103" s="102">
        <f t="shared" si="16"/>
        <v>-1.1140739771295705E-2</v>
      </c>
      <c r="E103" s="102"/>
      <c r="F103" s="54">
        <v>2089.17</v>
      </c>
      <c r="G103" s="102">
        <f t="shared" si="16"/>
        <v>3.2688429294527088E-2</v>
      </c>
      <c r="O103" s="101">
        <v>42921</v>
      </c>
      <c r="P103" s="110">
        <v>31500</v>
      </c>
      <c r="Q103" s="110">
        <v>778.32</v>
      </c>
      <c r="R103" s="102">
        <f t="shared" si="15"/>
        <v>0</v>
      </c>
      <c r="S103" s="102">
        <f t="shared" si="15"/>
        <v>3.5781897547143855E-3</v>
      </c>
      <c r="Y103" s="101">
        <v>42517</v>
      </c>
      <c r="Z103" s="110">
        <v>33879.360000000001</v>
      </c>
      <c r="AA103" s="110">
        <v>608.11</v>
      </c>
      <c r="AB103" s="102">
        <f t="shared" si="12"/>
        <v>-8.1191117090180006E-3</v>
      </c>
      <c r="AC103" s="102">
        <f t="shared" si="12"/>
        <v>-1.0957490329780543E-2</v>
      </c>
      <c r="AI103" s="101"/>
      <c r="BC103" s="101">
        <v>42573</v>
      </c>
      <c r="BD103" s="110">
        <v>185575.0313</v>
      </c>
      <c r="BE103" s="110">
        <v>649.87</v>
      </c>
      <c r="BF103" s="272">
        <f t="shared" si="14"/>
        <v>-1.5750124849883279E-2</v>
      </c>
      <c r="BG103" s="272">
        <f t="shared" si="14"/>
        <v>-2.2352824643800274E-2</v>
      </c>
    </row>
    <row r="104" spans="2:59" x14ac:dyDescent="0.3">
      <c r="B104" s="101">
        <v>42321</v>
      </c>
      <c r="C104" s="54">
        <v>611.27</v>
      </c>
      <c r="D104" s="102">
        <f t="shared" si="16"/>
        <v>-1.7799986935790324E-3</v>
      </c>
      <c r="E104" s="102"/>
      <c r="F104" s="54">
        <v>2023.04</v>
      </c>
      <c r="G104" s="102">
        <f t="shared" si="16"/>
        <v>-3.6280487804878025E-2</v>
      </c>
      <c r="O104" s="101">
        <v>42920</v>
      </c>
      <c r="P104" s="110">
        <v>31500</v>
      </c>
      <c r="Q104" s="110">
        <v>775.54</v>
      </c>
      <c r="R104" s="102">
        <f t="shared" si="15"/>
        <v>0</v>
      </c>
      <c r="S104" s="102">
        <f t="shared" si="15"/>
        <v>-4.2974294466496367E-3</v>
      </c>
      <c r="Y104" s="101">
        <v>42510</v>
      </c>
      <c r="Z104" s="110">
        <v>34155.550000000003</v>
      </c>
      <c r="AA104" s="110">
        <v>614.80999999999995</v>
      </c>
      <c r="AB104" s="102">
        <f t="shared" si="12"/>
        <v>2.6989548924512561E-3</v>
      </c>
      <c r="AC104" s="102">
        <f t="shared" si="12"/>
        <v>6.5109602335623375E-3</v>
      </c>
      <c r="BC104" s="101">
        <v>42566</v>
      </c>
      <c r="BD104" s="110">
        <v>188521</v>
      </c>
      <c r="BE104" s="110">
        <v>664.56</v>
      </c>
      <c r="BF104" s="272">
        <f t="shared" si="14"/>
        <v>-1.6695671975130267E-2</v>
      </c>
      <c r="BG104" s="272">
        <f t="shared" si="14"/>
        <v>8.8873351810180475E-3</v>
      </c>
    </row>
    <row r="105" spans="2:59" x14ac:dyDescent="0.3">
      <c r="B105" s="101">
        <v>42314</v>
      </c>
      <c r="C105" s="54">
        <v>612.36</v>
      </c>
      <c r="D105" s="102">
        <f t="shared" si="16"/>
        <v>8.2157498724007016E-3</v>
      </c>
      <c r="E105" s="102"/>
      <c r="F105" s="54">
        <v>2099.1999999999998</v>
      </c>
      <c r="G105" s="102">
        <f t="shared" si="16"/>
        <v>9.541397353031611E-3</v>
      </c>
      <c r="O105" s="101">
        <v>42919</v>
      </c>
      <c r="P105" s="110">
        <v>31500</v>
      </c>
      <c r="Q105" s="110">
        <v>778.88</v>
      </c>
      <c r="R105" s="102">
        <f t="shared" si="15"/>
        <v>-1.5748356968139168E-2</v>
      </c>
      <c r="S105" s="102">
        <f t="shared" si="15"/>
        <v>3.0989834169060076E-3</v>
      </c>
      <c r="Y105" s="101">
        <v>42503</v>
      </c>
      <c r="Z105" s="110">
        <v>34063.49</v>
      </c>
      <c r="AA105" s="110">
        <v>610.82000000000005</v>
      </c>
      <c r="AB105" s="102">
        <f t="shared" si="12"/>
        <v>-1.075296760393795E-2</v>
      </c>
      <c r="AC105" s="102">
        <f t="shared" si="12"/>
        <v>7.0646128180385393E-3</v>
      </c>
      <c r="BC105" s="101">
        <v>42559</v>
      </c>
      <c r="BD105" s="110">
        <v>191694.9063</v>
      </c>
      <c r="BE105" s="110">
        <v>658.68</v>
      </c>
      <c r="BF105" s="272">
        <f t="shared" si="14"/>
        <v>-8.3649012626028276E-3</v>
      </c>
      <c r="BG105" s="272">
        <f t="shared" si="14"/>
        <v>2.8301015825041579E-2</v>
      </c>
    </row>
    <row r="106" spans="2:59" x14ac:dyDescent="0.3">
      <c r="B106" s="101">
        <v>42307</v>
      </c>
      <c r="C106" s="54">
        <v>607.37</v>
      </c>
      <c r="D106" s="102">
        <f t="shared" si="16"/>
        <v>9.35620035231155E-3</v>
      </c>
      <c r="E106" s="102"/>
      <c r="F106" s="54">
        <v>2079.36</v>
      </c>
      <c r="G106" s="102">
        <f t="shared" si="16"/>
        <v>2.0287690046503215E-3</v>
      </c>
      <c r="O106" s="101">
        <v>42916</v>
      </c>
      <c r="P106" s="110">
        <v>32000</v>
      </c>
      <c r="Q106" s="110">
        <v>776.47</v>
      </c>
      <c r="R106" s="102">
        <f t="shared" si="15"/>
        <v>1.5748356968139112E-2</v>
      </c>
      <c r="S106" s="102">
        <f t="shared" si="15"/>
        <v>6.0973435599328699E-3</v>
      </c>
      <c r="Y106" s="101">
        <v>42496</v>
      </c>
      <c r="Z106" s="110">
        <v>34431.75</v>
      </c>
      <c r="AA106" s="110">
        <v>606.52</v>
      </c>
      <c r="AB106" s="102">
        <f t="shared" si="12"/>
        <v>-3.6749289205588544E-2</v>
      </c>
      <c r="AC106" s="102">
        <f t="shared" si="12"/>
        <v>1.3528412219046061E-2</v>
      </c>
      <c r="BC106" s="101">
        <v>42552</v>
      </c>
      <c r="BD106" s="110">
        <v>193305.14060000001</v>
      </c>
      <c r="BE106" s="110">
        <v>640.29999999999995</v>
      </c>
      <c r="BF106" s="272">
        <f t="shared" si="14"/>
        <v>4.2488313294595452E-2</v>
      </c>
      <c r="BG106" s="272">
        <f t="shared" si="14"/>
        <v>3.0976173565693401E-2</v>
      </c>
    </row>
    <row r="107" spans="2:59" x14ac:dyDescent="0.3">
      <c r="B107" s="101">
        <v>42300</v>
      </c>
      <c r="C107" s="54">
        <v>601.74</v>
      </c>
      <c r="D107" s="102">
        <f t="shared" si="16"/>
        <v>1.4704394455498981E-2</v>
      </c>
      <c r="E107" s="102"/>
      <c r="F107" s="54">
        <v>2075.15</v>
      </c>
      <c r="G107" s="102">
        <f t="shared" si="16"/>
        <v>2.0677680991190828E-2</v>
      </c>
      <c r="O107" s="101">
        <v>42915</v>
      </c>
      <c r="P107" s="110">
        <v>31500</v>
      </c>
      <c r="Q107" s="110">
        <v>771.75</v>
      </c>
      <c r="R107" s="102">
        <f t="shared" si="15"/>
        <v>-1.2618463959211462E-2</v>
      </c>
      <c r="S107" s="102">
        <f t="shared" si="15"/>
        <v>3.5176796247080038E-3</v>
      </c>
      <c r="Y107" s="101">
        <v>42489</v>
      </c>
      <c r="Z107" s="110">
        <v>35720.629999999997</v>
      </c>
      <c r="AA107" s="110">
        <v>598.37</v>
      </c>
      <c r="AB107" s="102">
        <f t="shared" si="12"/>
        <v>-1.7880580490770778E-2</v>
      </c>
      <c r="AC107" s="102">
        <f t="shared" si="12"/>
        <v>9.8921745483898024E-3</v>
      </c>
      <c r="BC107" s="101">
        <v>42545</v>
      </c>
      <c r="BD107" s="110">
        <v>185263.9688</v>
      </c>
      <c r="BE107" s="110">
        <v>620.77</v>
      </c>
      <c r="BF107" s="272">
        <f t="shared" si="14"/>
        <v>1.2631011126555949E-3</v>
      </c>
      <c r="BG107" s="272">
        <f t="shared" si="14"/>
        <v>2.4515745895940864E-3</v>
      </c>
    </row>
    <row r="108" spans="2:59" x14ac:dyDescent="0.3">
      <c r="B108" s="101">
        <v>42293</v>
      </c>
      <c r="C108" s="54">
        <v>593.02</v>
      </c>
      <c r="D108" s="102">
        <f t="shared" si="16"/>
        <v>8.5031121390428677E-3</v>
      </c>
      <c r="E108" s="102"/>
      <c r="F108" s="54">
        <v>2033.11</v>
      </c>
      <c r="G108" s="102">
        <f t="shared" si="16"/>
        <v>9.0426772677416611E-3</v>
      </c>
      <c r="O108" s="101">
        <v>42914</v>
      </c>
      <c r="P108" s="110">
        <v>31900</v>
      </c>
      <c r="Q108" s="110">
        <v>769.04</v>
      </c>
      <c r="R108" s="102">
        <f t="shared" si="15"/>
        <v>-3.1298930089277044E-3</v>
      </c>
      <c r="S108" s="102">
        <f t="shared" si="15"/>
        <v>1.9914750651283263E-3</v>
      </c>
      <c r="Y108" s="101">
        <v>42482</v>
      </c>
      <c r="Z108" s="110">
        <v>36365.08</v>
      </c>
      <c r="AA108" s="110">
        <v>592.48</v>
      </c>
      <c r="AB108" s="102">
        <f t="shared" si="12"/>
        <v>-1.0075543785011416E-2</v>
      </c>
      <c r="AC108" s="102">
        <f t="shared" si="12"/>
        <v>2.1530422071856875E-2</v>
      </c>
      <c r="BC108" s="101">
        <v>42538</v>
      </c>
      <c r="BD108" s="110">
        <v>185030.10939999999</v>
      </c>
      <c r="BE108" s="110">
        <v>619.25</v>
      </c>
      <c r="BF108" s="272">
        <f t="shared" si="14"/>
        <v>-1.9054378606051605E-2</v>
      </c>
      <c r="BG108" s="272">
        <f t="shared" si="14"/>
        <v>-1.6956750506742873E-2</v>
      </c>
    </row>
    <row r="109" spans="2:59" x14ac:dyDescent="0.3">
      <c r="B109" s="101">
        <v>42286</v>
      </c>
      <c r="C109" s="54">
        <v>588.02</v>
      </c>
      <c r="D109" s="102">
        <f t="shared" si="16"/>
        <v>4.5722110579573538E-2</v>
      </c>
      <c r="E109" s="102"/>
      <c r="F109" s="54">
        <v>2014.89</v>
      </c>
      <c r="G109" s="102">
        <f t="shared" si="16"/>
        <v>3.2556780911774386E-2</v>
      </c>
      <c r="O109" s="101">
        <v>42913</v>
      </c>
      <c r="P109" s="110">
        <v>32000</v>
      </c>
      <c r="Q109" s="110">
        <v>767.51</v>
      </c>
      <c r="R109" s="102">
        <f t="shared" si="15"/>
        <v>3.1298930089275656E-3</v>
      </c>
      <c r="S109" s="102">
        <f t="shared" si="15"/>
        <v>-6.5063897119663119E-3</v>
      </c>
      <c r="Y109" s="101">
        <v>42475</v>
      </c>
      <c r="Z109" s="110">
        <v>36733.33</v>
      </c>
      <c r="AA109" s="110">
        <v>579.86</v>
      </c>
      <c r="AB109" s="102">
        <f t="shared" si="12"/>
        <v>-1.7391892909005193E-2</v>
      </c>
      <c r="AC109" s="102">
        <f t="shared" si="12"/>
        <v>1.3053474708273866E-2</v>
      </c>
      <c r="BC109" s="101">
        <v>42531</v>
      </c>
      <c r="BD109" s="110">
        <v>188589.54689999999</v>
      </c>
      <c r="BE109" s="110">
        <v>629.84</v>
      </c>
      <c r="BF109" s="272">
        <f t="shared" si="14"/>
        <v>2.3751708931634669E-2</v>
      </c>
      <c r="BG109" s="272">
        <f t="shared" si="14"/>
        <v>1.2718670794671797E-2</v>
      </c>
    </row>
    <row r="110" spans="2:59" x14ac:dyDescent="0.3">
      <c r="B110" s="101">
        <v>42279</v>
      </c>
      <c r="C110" s="54">
        <v>562.30999999999995</v>
      </c>
      <c r="D110" s="102">
        <f t="shared" si="16"/>
        <v>-1.4148462428556496E-2</v>
      </c>
      <c r="E110" s="102"/>
      <c r="F110" s="54">
        <v>1951.36</v>
      </c>
      <c r="G110" s="102">
        <f t="shared" si="16"/>
        <v>1.0365859972868652E-2</v>
      </c>
      <c r="O110" s="101">
        <v>42912</v>
      </c>
      <c r="P110" s="110">
        <v>31900</v>
      </c>
      <c r="Q110" s="110">
        <v>772.52</v>
      </c>
      <c r="R110" s="102">
        <f t="shared" si="15"/>
        <v>-1.5661710327449462E-3</v>
      </c>
      <c r="S110" s="102">
        <f t="shared" si="15"/>
        <v>4.5539250821343257E-3</v>
      </c>
      <c r="Y110" s="101">
        <v>42468</v>
      </c>
      <c r="Z110" s="110">
        <v>37377.78</v>
      </c>
      <c r="AA110" s="110">
        <v>572.34</v>
      </c>
      <c r="AB110" s="102">
        <f t="shared" si="12"/>
        <v>7.9427179291248803E-2</v>
      </c>
      <c r="AC110" s="102">
        <f t="shared" si="12"/>
        <v>2.4603945451774578E-2</v>
      </c>
      <c r="BC110" s="101">
        <v>42524</v>
      </c>
      <c r="BD110" s="110">
        <v>184163</v>
      </c>
      <c r="BE110" s="110">
        <v>621.88</v>
      </c>
      <c r="BF110" s="272">
        <f t="shared" si="14"/>
        <v>1.7131887997230866E-2</v>
      </c>
      <c r="BG110" s="272">
        <f t="shared" si="14"/>
        <v>2.2391361426981324E-2</v>
      </c>
    </row>
    <row r="111" spans="2:59" x14ac:dyDescent="0.3">
      <c r="B111" s="101">
        <v>42272</v>
      </c>
      <c r="C111" s="54">
        <v>570.38</v>
      </c>
      <c r="D111" s="102">
        <f t="shared" si="16"/>
        <v>7.2935982339956684E-3</v>
      </c>
      <c r="E111" s="102"/>
      <c r="F111" s="54">
        <v>1931.34</v>
      </c>
      <c r="G111" s="102">
        <f t="shared" si="16"/>
        <v>-1.363104753246891E-2</v>
      </c>
      <c r="O111" s="101">
        <v>42909</v>
      </c>
      <c r="P111" s="110">
        <v>31950</v>
      </c>
      <c r="Q111" s="110">
        <v>769.01</v>
      </c>
      <c r="R111" s="102">
        <f t="shared" si="15"/>
        <v>6.2794554848431012E-3</v>
      </c>
      <c r="S111" s="102">
        <f t="shared" si="15"/>
        <v>3.5302353459056631E-3</v>
      </c>
      <c r="Y111" s="101">
        <v>42461</v>
      </c>
      <c r="Z111" s="110">
        <v>34523.81</v>
      </c>
      <c r="AA111" s="110">
        <v>558.42999999999995</v>
      </c>
      <c r="AB111" s="102">
        <f t="shared" si="12"/>
        <v>3.2523134253296671E-2</v>
      </c>
      <c r="AC111" s="102">
        <f t="shared" si="12"/>
        <v>-2.4149566806743423E-2</v>
      </c>
      <c r="BC111" s="101">
        <v>42517</v>
      </c>
      <c r="BD111" s="110">
        <v>181034.8125</v>
      </c>
      <c r="BE111" s="110">
        <v>608.11</v>
      </c>
      <c r="BF111" s="272">
        <f t="shared" si="14"/>
        <v>-7.3260525548934563E-3</v>
      </c>
      <c r="BG111" s="272">
        <f t="shared" si="14"/>
        <v>-1.0957490329780543E-2</v>
      </c>
    </row>
    <row r="112" spans="2:59" x14ac:dyDescent="0.3">
      <c r="B112" s="101">
        <v>42265</v>
      </c>
      <c r="C112" s="54">
        <v>566.25</v>
      </c>
      <c r="D112" s="102">
        <f t="shared" si="16"/>
        <v>-8.6459399371852097E-4</v>
      </c>
      <c r="E112" s="102"/>
      <c r="F112" s="54">
        <v>1958.03</v>
      </c>
      <c r="G112" s="102">
        <f t="shared" si="16"/>
        <v>-1.5399913311746616E-3</v>
      </c>
      <c r="O112" s="101">
        <v>42908</v>
      </c>
      <c r="P112" s="110">
        <v>31750</v>
      </c>
      <c r="Q112" s="110">
        <v>766.3</v>
      </c>
      <c r="R112" s="102">
        <f t="shared" si="15"/>
        <v>7.9051795071132473E-3</v>
      </c>
      <c r="S112" s="102">
        <f t="shared" si="15"/>
        <v>-1.4474707654033993E-3</v>
      </c>
      <c r="Y112" s="101">
        <v>42454</v>
      </c>
      <c r="Z112" s="110">
        <v>33419.050000000003</v>
      </c>
      <c r="AA112" s="110">
        <v>572.08000000000004</v>
      </c>
      <c r="AB112" s="102">
        <f t="shared" si="12"/>
        <v>0.12296181460707931</v>
      </c>
      <c r="AC112" s="102">
        <f t="shared" si="12"/>
        <v>-6.516270117450808E-3</v>
      </c>
      <c r="BC112" s="101">
        <v>42510</v>
      </c>
      <c r="BD112" s="110">
        <v>182365.95310000001</v>
      </c>
      <c r="BE112" s="110">
        <v>614.80999999999995</v>
      </c>
      <c r="BF112" s="272">
        <f t="shared" si="14"/>
        <v>1.1747169480053483E-2</v>
      </c>
      <c r="BG112" s="272">
        <f t="shared" si="14"/>
        <v>6.5109602335623375E-3</v>
      </c>
    </row>
    <row r="113" spans="2:59" x14ac:dyDescent="0.3">
      <c r="B113" s="101">
        <v>42258</v>
      </c>
      <c r="C113" s="54">
        <v>566.74</v>
      </c>
      <c r="D113" s="102">
        <f t="shared" si="16"/>
        <v>1.7833731434421241E-2</v>
      </c>
      <c r="E113" s="102"/>
      <c r="F113" s="54">
        <v>1961.05</v>
      </c>
      <c r="G113" s="102">
        <f t="shared" si="16"/>
        <v>2.0731618450775979E-2</v>
      </c>
      <c r="O113" s="101">
        <v>42907</v>
      </c>
      <c r="P113" s="110">
        <v>31500</v>
      </c>
      <c r="Q113" s="110">
        <v>767.41</v>
      </c>
      <c r="R113" s="102">
        <f t="shared" si="15"/>
        <v>-6.3291350516475123E-3</v>
      </c>
      <c r="S113" s="102">
        <f t="shared" si="15"/>
        <v>-7.5550348780514473E-4</v>
      </c>
      <c r="Y113" s="101">
        <v>42447</v>
      </c>
      <c r="Z113" s="110">
        <v>29552.38</v>
      </c>
      <c r="AA113" s="110">
        <v>575.82000000000005</v>
      </c>
      <c r="AB113" s="102">
        <f t="shared" si="12"/>
        <v>-6.2113017120641878E-3</v>
      </c>
      <c r="AC113" s="102">
        <f t="shared" si="12"/>
        <v>-2.497659743636766E-3</v>
      </c>
      <c r="BC113" s="101">
        <v>42503</v>
      </c>
      <c r="BD113" s="110">
        <v>180236.20310000001</v>
      </c>
      <c r="BE113" s="110">
        <v>610.82000000000005</v>
      </c>
      <c r="BF113" s="272">
        <f t="shared" si="14"/>
        <v>1.6813381764712788E-2</v>
      </c>
      <c r="BG113" s="272">
        <f t="shared" si="14"/>
        <v>7.0646128180385393E-3</v>
      </c>
    </row>
    <row r="114" spans="2:59" x14ac:dyDescent="0.3">
      <c r="B114" s="101">
        <v>42251</v>
      </c>
      <c r="C114" s="54">
        <v>556.80999999999995</v>
      </c>
      <c r="D114" s="102">
        <f t="shared" si="16"/>
        <v>-2.4629074920735072E-2</v>
      </c>
      <c r="E114" s="102"/>
      <c r="F114" s="54">
        <v>1921.22</v>
      </c>
      <c r="G114" s="102">
        <f t="shared" si="16"/>
        <v>-3.4014289521185348E-2</v>
      </c>
      <c r="O114" s="101">
        <v>42906</v>
      </c>
      <c r="P114" s="110">
        <v>31700</v>
      </c>
      <c r="Q114" s="110">
        <v>767.99</v>
      </c>
      <c r="R114" s="102">
        <f t="shared" si="15"/>
        <v>0</v>
      </c>
      <c r="S114" s="102">
        <f t="shared" si="15"/>
        <v>1.5115781927138433E-3</v>
      </c>
      <c r="Y114" s="101">
        <v>42440</v>
      </c>
      <c r="Z114" s="110">
        <v>29736.51</v>
      </c>
      <c r="AA114" s="110">
        <v>577.26</v>
      </c>
      <c r="AB114" s="102">
        <f t="shared" si="12"/>
        <v>9.3313106145374251E-3</v>
      </c>
      <c r="AC114" s="102">
        <f t="shared" si="12"/>
        <v>6.2733173560762263E-3</v>
      </c>
      <c r="BC114" s="101">
        <v>42496</v>
      </c>
      <c r="BD114" s="110">
        <v>177231.1563</v>
      </c>
      <c r="BE114" s="110">
        <v>606.52</v>
      </c>
      <c r="BF114" s="272">
        <f t="shared" si="14"/>
        <v>-1.5771757833414547E-2</v>
      </c>
      <c r="BG114" s="272">
        <f t="shared" si="14"/>
        <v>1.3528412219046061E-2</v>
      </c>
    </row>
    <row r="115" spans="2:59" x14ac:dyDescent="0.3">
      <c r="B115" s="101">
        <v>42244</v>
      </c>
      <c r="C115" s="54">
        <v>570.87</v>
      </c>
      <c r="D115" s="102">
        <f t="shared" si="16"/>
        <v>2.6190904188387654E-2</v>
      </c>
      <c r="E115" s="102"/>
      <c r="F115" s="54">
        <v>1988.87</v>
      </c>
      <c r="G115" s="102">
        <f t="shared" si="16"/>
        <v>9.1227820933688086E-3</v>
      </c>
      <c r="O115" s="101">
        <v>42905</v>
      </c>
      <c r="P115" s="110">
        <v>31700</v>
      </c>
      <c r="Q115" s="110">
        <v>766.83</v>
      </c>
      <c r="R115" s="102">
        <f t="shared" si="15"/>
        <v>6.3291350516475296E-3</v>
      </c>
      <c r="S115" s="102">
        <f t="shared" si="15"/>
        <v>7.316451388026458E-3</v>
      </c>
      <c r="Y115" s="101">
        <v>42433</v>
      </c>
      <c r="Z115" s="110">
        <v>29460.32</v>
      </c>
      <c r="AA115" s="110">
        <v>573.65</v>
      </c>
      <c r="AB115" s="102">
        <f t="shared" si="12"/>
        <v>1.2578988448679339E-2</v>
      </c>
      <c r="AC115" s="102">
        <f t="shared" si="12"/>
        <v>1.323104863501004E-2</v>
      </c>
      <c r="BC115" s="101">
        <v>42489</v>
      </c>
      <c r="BD115" s="110">
        <v>180048.5625</v>
      </c>
      <c r="BE115" s="110">
        <v>598.37</v>
      </c>
      <c r="BF115" s="272">
        <f t="shared" si="14"/>
        <v>2.0200921803098459E-2</v>
      </c>
      <c r="BG115" s="272">
        <f t="shared" si="14"/>
        <v>9.8921745483898024E-3</v>
      </c>
    </row>
    <row r="116" spans="2:59" x14ac:dyDescent="0.3">
      <c r="B116" s="101">
        <v>42237</v>
      </c>
      <c r="C116" s="54">
        <v>556.29999999999995</v>
      </c>
      <c r="D116" s="102">
        <f t="shared" si="16"/>
        <v>-5.556593042799185E-2</v>
      </c>
      <c r="E116" s="102"/>
      <c r="F116" s="54">
        <v>1970.89</v>
      </c>
      <c r="G116" s="102">
        <f t="shared" si="16"/>
        <v>-5.7684768161259115E-2</v>
      </c>
      <c r="O116" s="101">
        <v>42902</v>
      </c>
      <c r="P116" s="110">
        <v>31500</v>
      </c>
      <c r="Q116" s="110">
        <v>761.24</v>
      </c>
      <c r="R116" s="102">
        <f t="shared" si="15"/>
        <v>0</v>
      </c>
      <c r="S116" s="102">
        <f t="shared" si="15"/>
        <v>8.8053047790392111E-4</v>
      </c>
      <c r="Y116" s="101">
        <v>42426</v>
      </c>
      <c r="Z116" s="110">
        <v>29092.06</v>
      </c>
      <c r="AA116" s="110">
        <v>566.11</v>
      </c>
      <c r="AB116" s="102">
        <f t="shared" si="12"/>
        <v>-1.2578988448679327E-2</v>
      </c>
      <c r="AC116" s="102">
        <f t="shared" si="12"/>
        <v>2.1569568704455654E-2</v>
      </c>
      <c r="BC116" s="101">
        <v>42482</v>
      </c>
      <c r="BD116" s="110">
        <v>176447.9063</v>
      </c>
      <c r="BE116" s="110">
        <v>592.48</v>
      </c>
      <c r="BF116" s="272">
        <f t="shared" si="14"/>
        <v>2.0290512851424688E-2</v>
      </c>
      <c r="BG116" s="272">
        <f t="shared" si="14"/>
        <v>2.1530422071856875E-2</v>
      </c>
    </row>
    <row r="117" spans="2:59" x14ac:dyDescent="0.3">
      <c r="B117" s="101">
        <v>42230</v>
      </c>
      <c r="C117" s="54">
        <v>589.03</v>
      </c>
      <c r="D117" s="102">
        <f t="shared" si="16"/>
        <v>-2.4397111435007335E-2</v>
      </c>
      <c r="E117" s="102"/>
      <c r="F117" s="54">
        <v>2091.54</v>
      </c>
      <c r="G117" s="102">
        <f t="shared" si="16"/>
        <v>6.7242018319477737E-3</v>
      </c>
      <c r="O117" s="101">
        <v>42901</v>
      </c>
      <c r="P117" s="110">
        <v>31500</v>
      </c>
      <c r="Q117" s="110">
        <v>760.57</v>
      </c>
      <c r="R117" s="102">
        <f t="shared" si="15"/>
        <v>-1.2618463959211462E-2</v>
      </c>
      <c r="S117" s="102">
        <f t="shared" si="15"/>
        <v>-2.6292610613291357E-4</v>
      </c>
      <c r="Y117" s="101">
        <v>42419</v>
      </c>
      <c r="Z117" s="110">
        <v>29460.32</v>
      </c>
      <c r="AA117" s="110">
        <v>554.03</v>
      </c>
      <c r="AB117" s="102">
        <f t="shared" si="12"/>
        <v>6.2697154859405824E-3</v>
      </c>
      <c r="AC117" s="102">
        <f t="shared" si="12"/>
        <v>1.6891863080956866E-2</v>
      </c>
      <c r="BC117" s="101">
        <v>42475</v>
      </c>
      <c r="BD117" s="110">
        <v>172903.76560000001</v>
      </c>
      <c r="BE117" s="110">
        <v>579.86</v>
      </c>
      <c r="BF117" s="272">
        <f t="shared" si="14"/>
        <v>2.9616322348127805E-2</v>
      </c>
      <c r="BG117" s="272">
        <f t="shared" si="14"/>
        <v>1.3053474708273866E-2</v>
      </c>
    </row>
    <row r="118" spans="2:59" x14ac:dyDescent="0.3">
      <c r="B118" s="101">
        <v>42223</v>
      </c>
      <c r="C118" s="54">
        <v>603.76</v>
      </c>
      <c r="D118" s="102">
        <f t="shared" ref="D118:G133" si="17">C118/C119-1</f>
        <v>-2.7855601713199896E-2</v>
      </c>
      <c r="E118" s="102"/>
      <c r="F118" s="54">
        <v>2077.5700000000002</v>
      </c>
      <c r="G118" s="102">
        <f t="shared" si="17"/>
        <v>-1.2486691003118056E-2</v>
      </c>
      <c r="O118" s="101">
        <v>42900</v>
      </c>
      <c r="P118" s="110">
        <v>31900</v>
      </c>
      <c r="Q118" s="110">
        <v>760.77</v>
      </c>
      <c r="R118" s="102">
        <f t="shared" si="15"/>
        <v>1.2618463959211464E-2</v>
      </c>
      <c r="S118" s="102">
        <f t="shared" si="15"/>
        <v>5.1131458341224416E-3</v>
      </c>
      <c r="Y118" s="101">
        <v>42405</v>
      </c>
      <c r="Z118" s="110">
        <v>29276.19</v>
      </c>
      <c r="AA118" s="110">
        <v>544.75</v>
      </c>
      <c r="AB118" s="102">
        <f t="shared" si="12"/>
        <v>4.8009168790123964E-2</v>
      </c>
      <c r="AC118" s="102">
        <f t="shared" si="12"/>
        <v>-9.1743125700922913E-4</v>
      </c>
      <c r="BC118" s="101">
        <v>42468</v>
      </c>
      <c r="BD118" s="110">
        <v>167858.07810000001</v>
      </c>
      <c r="BE118" s="110">
        <v>572.34</v>
      </c>
      <c r="BF118" s="272">
        <f t="shared" si="14"/>
        <v>4.7340529182991135E-2</v>
      </c>
      <c r="BG118" s="272">
        <f t="shared" si="14"/>
        <v>2.4603945451774578E-2</v>
      </c>
    </row>
    <row r="119" spans="2:59" x14ac:dyDescent="0.3">
      <c r="B119" s="101">
        <v>42216</v>
      </c>
      <c r="C119" s="54">
        <v>621.05999999999995</v>
      </c>
      <c r="D119" s="102">
        <f t="shared" si="17"/>
        <v>-1.6158159870734767E-2</v>
      </c>
      <c r="E119" s="102"/>
      <c r="F119" s="54">
        <v>2103.84</v>
      </c>
      <c r="G119" s="102">
        <f t="shared" si="17"/>
        <v>1.1631764960450042E-2</v>
      </c>
      <c r="O119" s="101">
        <v>42899</v>
      </c>
      <c r="P119" s="110">
        <v>31500</v>
      </c>
      <c r="Q119" s="110">
        <v>756.89</v>
      </c>
      <c r="R119" s="102">
        <f t="shared" si="15"/>
        <v>-1.2618463959211462E-2</v>
      </c>
      <c r="S119" s="102">
        <f t="shared" si="15"/>
        <v>7.6924476460137354E-3</v>
      </c>
      <c r="Y119" s="101">
        <v>42398</v>
      </c>
      <c r="Z119" s="110">
        <v>27903.87</v>
      </c>
      <c r="AA119" s="110">
        <v>545.25</v>
      </c>
      <c r="AB119" s="102">
        <f t="shared" si="12"/>
        <v>1.2658321545069179E-2</v>
      </c>
      <c r="AC119" s="102">
        <f t="shared" si="12"/>
        <v>4.3117152746050838E-2</v>
      </c>
      <c r="BC119" s="101">
        <v>42461</v>
      </c>
      <c r="BD119" s="110">
        <v>160096.75</v>
      </c>
      <c r="BE119" s="110">
        <v>558.42999999999995</v>
      </c>
      <c r="BF119" s="272">
        <f t="shared" si="14"/>
        <v>-5.4151831445626197E-4</v>
      </c>
      <c r="BG119" s="272">
        <f t="shared" si="14"/>
        <v>-2.4149566806743423E-2</v>
      </c>
    </row>
    <row r="120" spans="2:59" x14ac:dyDescent="0.3">
      <c r="B120" s="101">
        <v>42209</v>
      </c>
      <c r="C120" s="54">
        <v>631.26</v>
      </c>
      <c r="D120" s="102">
        <f t="shared" si="17"/>
        <v>4.1837010642189476E-3</v>
      </c>
      <c r="E120" s="102"/>
      <c r="F120" s="54">
        <v>2079.65</v>
      </c>
      <c r="G120" s="102">
        <f t="shared" si="17"/>
        <v>-2.2095888349697113E-2</v>
      </c>
      <c r="O120" s="101">
        <v>42898</v>
      </c>
      <c r="P120" s="110">
        <v>31900</v>
      </c>
      <c r="Q120" s="110">
        <v>751.09</v>
      </c>
      <c r="R120" s="102">
        <f t="shared" si="15"/>
        <v>0</v>
      </c>
      <c r="S120" s="102">
        <f t="shared" si="15"/>
        <v>1.8256813061350763E-3</v>
      </c>
      <c r="Y120" s="101">
        <v>42391</v>
      </c>
      <c r="Z120" s="110">
        <v>27552.880000000001</v>
      </c>
      <c r="AA120" s="110">
        <v>522.24</v>
      </c>
      <c r="AB120" s="102">
        <f t="shared" si="12"/>
        <v>2.9081499651656677E-2</v>
      </c>
      <c r="AC120" s="102">
        <f t="shared" si="12"/>
        <v>-3.9055729710173924E-2</v>
      </c>
      <c r="BC120" s="101">
        <v>42454</v>
      </c>
      <c r="BD120" s="110">
        <v>160183.4688</v>
      </c>
      <c r="BE120" s="110">
        <v>572.08000000000004</v>
      </c>
      <c r="BF120" s="272">
        <f t="shared" si="14"/>
        <v>2.5739333944961841E-2</v>
      </c>
      <c r="BG120" s="272">
        <f t="shared" si="14"/>
        <v>-6.516270117450808E-3</v>
      </c>
    </row>
    <row r="121" spans="2:59" x14ac:dyDescent="0.3">
      <c r="B121" s="101">
        <v>42202</v>
      </c>
      <c r="C121" s="54">
        <v>628.63</v>
      </c>
      <c r="D121" s="102">
        <f t="shared" si="17"/>
        <v>2.1521489605917932E-3</v>
      </c>
      <c r="E121" s="102"/>
      <c r="F121" s="54">
        <v>2126.64</v>
      </c>
      <c r="G121" s="102">
        <f t="shared" si="17"/>
        <v>2.4087218653388698E-2</v>
      </c>
      <c r="O121" s="101">
        <v>42895</v>
      </c>
      <c r="P121" s="110">
        <v>31900</v>
      </c>
      <c r="Q121" s="110">
        <v>749.72</v>
      </c>
      <c r="R121" s="102">
        <f t="shared" si="15"/>
        <v>-3.1298930089277044E-3</v>
      </c>
      <c r="S121" s="102">
        <f t="shared" si="15"/>
        <v>-5.4672135241858695E-4</v>
      </c>
      <c r="Y121" s="101">
        <v>42384</v>
      </c>
      <c r="Z121" s="110">
        <v>26763.14</v>
      </c>
      <c r="AA121" s="110">
        <v>543.04</v>
      </c>
      <c r="AB121" s="102">
        <f t="shared" si="12"/>
        <v>-1.6260520871780405E-2</v>
      </c>
      <c r="AC121" s="102">
        <f t="shared" si="12"/>
        <v>-3.0843083411886928E-2</v>
      </c>
      <c r="BC121" s="101">
        <v>42447</v>
      </c>
      <c r="BD121" s="110">
        <v>156113.0625</v>
      </c>
      <c r="BE121" s="110">
        <v>575.82000000000005</v>
      </c>
      <c r="BF121" s="272">
        <f t="shared" si="14"/>
        <v>1.338868483725905E-3</v>
      </c>
      <c r="BG121" s="272">
        <f t="shared" si="14"/>
        <v>-2.497659743636766E-3</v>
      </c>
    </row>
    <row r="122" spans="2:59" x14ac:dyDescent="0.3">
      <c r="B122" s="101">
        <v>42195</v>
      </c>
      <c r="C122" s="54">
        <v>627.28</v>
      </c>
      <c r="D122" s="102">
        <f t="shared" si="17"/>
        <v>1.7601349707184966E-2</v>
      </c>
      <c r="E122" s="102"/>
      <c r="F122" s="54">
        <v>2076.62</v>
      </c>
      <c r="G122" s="102">
        <f t="shared" si="17"/>
        <v>-7.7042344398647877E-5</v>
      </c>
      <c r="O122" s="101">
        <v>42894</v>
      </c>
      <c r="P122" s="110">
        <v>32000</v>
      </c>
      <c r="Q122" s="110">
        <v>750.13</v>
      </c>
      <c r="R122" s="102">
        <f t="shared" si="15"/>
        <v>-6.2305497506360864E-3</v>
      </c>
      <c r="S122" s="102">
        <f t="shared" si="15"/>
        <v>-4.4294062137261213E-3</v>
      </c>
      <c r="Y122" s="101">
        <v>42377</v>
      </c>
      <c r="Z122" s="110">
        <v>27201.88</v>
      </c>
      <c r="AA122" s="110">
        <v>560.04999999999995</v>
      </c>
      <c r="AB122" s="102">
        <f t="shared" si="12"/>
        <v>-1.2820978779876318E-2</v>
      </c>
      <c r="AC122" s="102">
        <f t="shared" si="12"/>
        <v>-3.3328224244477837E-2</v>
      </c>
      <c r="BC122" s="101">
        <v>42440</v>
      </c>
      <c r="BD122" s="110">
        <v>155904.1875</v>
      </c>
      <c r="BE122" s="110">
        <v>577.26</v>
      </c>
      <c r="BF122" s="272">
        <f t="shared" si="14"/>
        <v>2.3095078503621289E-2</v>
      </c>
      <c r="BG122" s="272">
        <f t="shared" si="14"/>
        <v>6.2733173560762263E-3</v>
      </c>
    </row>
    <row r="123" spans="2:59" x14ac:dyDescent="0.3">
      <c r="B123" s="101">
        <v>42188</v>
      </c>
      <c r="C123" s="54">
        <v>616.42999999999995</v>
      </c>
      <c r="D123" s="102">
        <f t="shared" si="17"/>
        <v>5.9613235926085029E-2</v>
      </c>
      <c r="E123" s="102"/>
      <c r="F123" s="54">
        <v>2076.7800000000002</v>
      </c>
      <c r="G123" s="102">
        <f t="shared" si="17"/>
        <v>-1.1758323855930564E-2</v>
      </c>
      <c r="O123" s="101">
        <v>42893</v>
      </c>
      <c r="P123" s="110">
        <v>32200</v>
      </c>
      <c r="Q123" s="110">
        <v>753.46</v>
      </c>
      <c r="R123" s="102">
        <f t="shared" si="15"/>
        <v>-3.1007776782482708E-3</v>
      </c>
      <c r="S123" s="102">
        <f t="shared" si="15"/>
        <v>2.8575815081827429E-3</v>
      </c>
      <c r="Y123" s="101">
        <v>42370</v>
      </c>
      <c r="Z123" s="110">
        <v>27552.880000000001</v>
      </c>
      <c r="AA123" s="110">
        <v>579.03</v>
      </c>
      <c r="AB123" s="102">
        <f t="shared" si="12"/>
        <v>4.2441208809513783E-2</v>
      </c>
      <c r="AC123" s="102">
        <f t="shared" si="12"/>
        <v>1.981402573428289E-2</v>
      </c>
      <c r="BC123" s="101">
        <v>42433</v>
      </c>
      <c r="BD123" s="110">
        <v>152344.82810000001</v>
      </c>
      <c r="BE123" s="110">
        <v>573.65</v>
      </c>
      <c r="BF123" s="272">
        <f t="shared" si="14"/>
        <v>2.9719748079593957E-2</v>
      </c>
      <c r="BG123" s="272">
        <f t="shared" si="14"/>
        <v>1.323104863501004E-2</v>
      </c>
    </row>
    <row r="124" spans="2:59" x14ac:dyDescent="0.3">
      <c r="B124" s="101">
        <v>42181</v>
      </c>
      <c r="C124" s="54">
        <v>581.75</v>
      </c>
      <c r="D124" s="102">
        <f t="shared" si="17"/>
        <v>-5.0453223875492892E-3</v>
      </c>
      <c r="E124" s="102"/>
      <c r="F124" s="54">
        <v>2101.4899999999998</v>
      </c>
      <c r="G124" s="102">
        <f t="shared" si="17"/>
        <v>-4.0284551111616773E-3</v>
      </c>
      <c r="O124" s="101">
        <v>42892</v>
      </c>
      <c r="P124" s="110">
        <v>32300</v>
      </c>
      <c r="Q124" s="110">
        <v>751.31</v>
      </c>
      <c r="R124" s="102">
        <f t="shared" si="15"/>
        <v>9.3313274288842219E-3</v>
      </c>
      <c r="S124" s="102">
        <f t="shared" si="15"/>
        <v>1.0463033638112877E-2</v>
      </c>
      <c r="Y124" s="101">
        <v>42363</v>
      </c>
      <c r="Z124" s="110">
        <v>26407.97</v>
      </c>
      <c r="AA124" s="110">
        <v>567.66999999999996</v>
      </c>
      <c r="AB124" s="102">
        <f t="shared" si="12"/>
        <v>-2.1910232733952741E-2</v>
      </c>
      <c r="AC124" s="102">
        <f t="shared" si="12"/>
        <v>-8.9800595901330768E-4</v>
      </c>
      <c r="BC124" s="101">
        <v>42426</v>
      </c>
      <c r="BD124" s="110">
        <v>147883.79689999999</v>
      </c>
      <c r="BE124" s="110">
        <v>566.11</v>
      </c>
      <c r="BF124" s="272">
        <f t="shared" si="14"/>
        <v>1.405693216862506E-2</v>
      </c>
      <c r="BG124" s="272">
        <f t="shared" si="14"/>
        <v>2.1569568704455654E-2</v>
      </c>
    </row>
    <row r="125" spans="2:59" x14ac:dyDescent="0.3">
      <c r="B125" s="101">
        <v>42174</v>
      </c>
      <c r="C125" s="54">
        <v>584.70000000000005</v>
      </c>
      <c r="D125" s="102">
        <f t="shared" si="17"/>
        <v>3.3806394041837606E-3</v>
      </c>
      <c r="E125" s="102"/>
      <c r="F125" s="54">
        <v>2109.9899999999998</v>
      </c>
      <c r="G125" s="102">
        <f t="shared" si="17"/>
        <v>7.5831737587803705E-3</v>
      </c>
      <c r="O125" s="101">
        <v>42891</v>
      </c>
      <c r="P125" s="110">
        <v>32000</v>
      </c>
      <c r="Q125" s="110">
        <v>743.49</v>
      </c>
      <c r="R125" s="102">
        <f t="shared" si="15"/>
        <v>1.0997754209541284E-2</v>
      </c>
      <c r="S125" s="102">
        <f t="shared" si="15"/>
        <v>6.3145322142391129E-3</v>
      </c>
      <c r="Y125" s="101">
        <v>42356</v>
      </c>
      <c r="Z125" s="110">
        <v>26992.959999999999</v>
      </c>
      <c r="AA125" s="110">
        <v>568.17999999999995</v>
      </c>
      <c r="AB125" s="102">
        <f t="shared" si="12"/>
        <v>9.3313795258027753E-3</v>
      </c>
      <c r="AC125" s="102">
        <f t="shared" si="12"/>
        <v>8.395167766000947E-3</v>
      </c>
      <c r="BC125" s="101">
        <v>42419</v>
      </c>
      <c r="BD125" s="110">
        <v>145819.54689999999</v>
      </c>
      <c r="BE125" s="110">
        <v>554.03</v>
      </c>
      <c r="BF125" s="272">
        <f t="shared" si="14"/>
        <v>2.9472061192904266E-2</v>
      </c>
      <c r="BG125" s="272">
        <f t="shared" si="14"/>
        <v>1.6891863080956866E-2</v>
      </c>
    </row>
    <row r="126" spans="2:59" x14ac:dyDescent="0.3">
      <c r="B126" s="101">
        <v>42167</v>
      </c>
      <c r="C126" s="54">
        <v>582.73</v>
      </c>
      <c r="D126" s="102">
        <f t="shared" si="17"/>
        <v>8.0613074541144858E-3</v>
      </c>
      <c r="E126" s="102"/>
      <c r="F126" s="54">
        <v>2094.11</v>
      </c>
      <c r="G126" s="102">
        <f t="shared" si="17"/>
        <v>6.1161202773285517E-4</v>
      </c>
      <c r="O126" s="101">
        <v>42888</v>
      </c>
      <c r="P126" s="110">
        <v>31650</v>
      </c>
      <c r="Q126" s="110">
        <v>738.81</v>
      </c>
      <c r="R126" s="102">
        <f t="shared" si="15"/>
        <v>-2.3420274208098498E-2</v>
      </c>
      <c r="S126" s="102">
        <f t="shared" si="15"/>
        <v>-4.0388813590962972E-3</v>
      </c>
      <c r="Y126" s="101">
        <v>42349</v>
      </c>
      <c r="Z126" s="110">
        <v>26742.25</v>
      </c>
      <c r="AA126" s="110">
        <v>563.42999999999995</v>
      </c>
      <c r="AB126" s="102">
        <f t="shared" si="12"/>
        <v>-4.5809787185070235E-2</v>
      </c>
      <c r="AC126" s="102">
        <f t="shared" si="12"/>
        <v>-1.4431332785787374E-2</v>
      </c>
      <c r="BC126" s="101">
        <v>42412</v>
      </c>
      <c r="BD126" s="110">
        <v>141584.6563</v>
      </c>
      <c r="BE126" s="110">
        <f>BE127</f>
        <v>544.75</v>
      </c>
      <c r="BF126" s="272">
        <f t="shared" si="14"/>
        <v>0</v>
      </c>
      <c r="BG126" s="272">
        <f t="shared" si="14"/>
        <v>0</v>
      </c>
    </row>
    <row r="127" spans="2:59" x14ac:dyDescent="0.3">
      <c r="B127" s="101">
        <v>42160</v>
      </c>
      <c r="C127" s="54">
        <v>578.07000000000005</v>
      </c>
      <c r="D127" s="102">
        <f t="shared" si="17"/>
        <v>1.4941358241449709E-2</v>
      </c>
      <c r="E127" s="102"/>
      <c r="F127" s="54">
        <v>2092.83</v>
      </c>
      <c r="G127" s="102">
        <f t="shared" si="17"/>
        <v>-6.90902016238093E-3</v>
      </c>
      <c r="O127" s="101">
        <v>42887</v>
      </c>
      <c r="P127" s="110">
        <v>32400</v>
      </c>
      <c r="Q127" s="110">
        <v>741.8</v>
      </c>
      <c r="R127" s="102">
        <f t="shared" si="15"/>
        <v>-3.0816665374081122E-3</v>
      </c>
      <c r="S127" s="102">
        <f t="shared" si="15"/>
        <v>5.3797726430794479E-3</v>
      </c>
      <c r="Y127" s="101">
        <v>42342</v>
      </c>
      <c r="Z127" s="110">
        <v>27995.8</v>
      </c>
      <c r="AA127" s="110">
        <v>571.62</v>
      </c>
      <c r="AB127" s="102">
        <f t="shared" si="12"/>
        <v>1.5037958545552052E-2</v>
      </c>
      <c r="AC127" s="102">
        <f t="shared" si="12"/>
        <v>-1.947258534492087E-2</v>
      </c>
      <c r="BC127" s="101">
        <v>42405</v>
      </c>
      <c r="BD127" s="110">
        <v>141584.6563</v>
      </c>
      <c r="BE127" s="110">
        <v>544.75</v>
      </c>
      <c r="BF127" s="272">
        <f t="shared" si="14"/>
        <v>-7.9110898068956905E-3</v>
      </c>
      <c r="BG127" s="272">
        <f t="shared" si="14"/>
        <v>-9.1743125700922913E-4</v>
      </c>
    </row>
    <row r="128" spans="2:59" x14ac:dyDescent="0.3">
      <c r="B128" s="101">
        <v>42153</v>
      </c>
      <c r="C128" s="54">
        <v>569.55999999999995</v>
      </c>
      <c r="D128" s="102">
        <f t="shared" si="17"/>
        <v>1.3776654444483727E-2</v>
      </c>
      <c r="E128" s="102"/>
      <c r="F128" s="54">
        <v>2107.39</v>
      </c>
      <c r="G128" s="102">
        <f t="shared" si="17"/>
        <v>-8.7815019331534128E-3</v>
      </c>
      <c r="O128" s="101">
        <v>42886</v>
      </c>
      <c r="P128" s="110">
        <v>32500</v>
      </c>
      <c r="Q128" s="110">
        <v>737.82</v>
      </c>
      <c r="R128" s="102">
        <f t="shared" si="15"/>
        <v>0</v>
      </c>
      <c r="S128" s="102">
        <f t="shared" si="15"/>
        <v>-5.2844455610758E-4</v>
      </c>
      <c r="Y128" s="101">
        <v>42335</v>
      </c>
      <c r="Z128" s="110">
        <v>27577.95</v>
      </c>
      <c r="AA128" s="110">
        <v>582.86</v>
      </c>
      <c r="AB128" s="102">
        <f t="shared" si="12"/>
        <v>1.5267555809684329E-2</v>
      </c>
      <c r="AC128" s="102">
        <f t="shared" si="12"/>
        <v>-3.638847718507577E-2</v>
      </c>
      <c r="BC128" s="101">
        <v>42398</v>
      </c>
      <c r="BD128" s="110">
        <v>142709.1875</v>
      </c>
      <c r="BE128" s="110">
        <v>545.25</v>
      </c>
      <c r="BF128" s="272">
        <f t="shared" si="14"/>
        <v>8.3525734234787513E-2</v>
      </c>
      <c r="BG128" s="272">
        <f t="shared" si="14"/>
        <v>4.3117152746050838E-2</v>
      </c>
    </row>
    <row r="129" spans="2:59" x14ac:dyDescent="0.3">
      <c r="B129" s="101">
        <v>42146</v>
      </c>
      <c r="C129" s="54">
        <v>561.82000000000005</v>
      </c>
      <c r="D129" s="102">
        <f t="shared" si="17"/>
        <v>4.5363203334325641E-2</v>
      </c>
      <c r="E129" s="102"/>
      <c r="F129" s="54">
        <v>2126.06</v>
      </c>
      <c r="G129" s="102">
        <f t="shared" si="17"/>
        <v>1.5687346011974412E-3</v>
      </c>
      <c r="O129" s="101">
        <v>42885</v>
      </c>
      <c r="P129" s="110">
        <v>32500</v>
      </c>
      <c r="Q129" s="110">
        <v>738.21</v>
      </c>
      <c r="R129" s="102">
        <f t="shared" si="15"/>
        <v>-3.0721990369701403E-3</v>
      </c>
      <c r="S129" s="102">
        <f t="shared" si="15"/>
        <v>-1.0832327738293332E-2</v>
      </c>
      <c r="Y129" s="101">
        <v>42328</v>
      </c>
      <c r="Z129" s="110">
        <v>27160.1</v>
      </c>
      <c r="AA129" s="110">
        <v>604.46</v>
      </c>
      <c r="AB129" s="102">
        <f t="shared" si="12"/>
        <v>1.5504272829833927E-2</v>
      </c>
      <c r="AC129" s="102">
        <f t="shared" si="12"/>
        <v>-1.1203262613460729E-2</v>
      </c>
      <c r="BC129" s="101">
        <v>42391</v>
      </c>
      <c r="BD129" s="110">
        <v>131273.5313</v>
      </c>
      <c r="BE129" s="110">
        <v>522.24</v>
      </c>
      <c r="BF129" s="272">
        <f t="shared" si="14"/>
        <v>-1.8271136616314083E-2</v>
      </c>
      <c r="BG129" s="272">
        <f t="shared" si="14"/>
        <v>-3.9055729710173924E-2</v>
      </c>
    </row>
    <row r="130" spans="2:59" x14ac:dyDescent="0.3">
      <c r="B130" s="101">
        <v>42139</v>
      </c>
      <c r="C130" s="54">
        <v>537.44000000000005</v>
      </c>
      <c r="D130" s="102">
        <f t="shared" si="17"/>
        <v>-3.0783935366359372E-2</v>
      </c>
      <c r="E130" s="102"/>
      <c r="F130" s="54">
        <v>2122.73</v>
      </c>
      <c r="G130" s="102">
        <f t="shared" si="17"/>
        <v>3.1331222532016145E-3</v>
      </c>
      <c r="O130" s="101">
        <v>42884</v>
      </c>
      <c r="P130" s="110">
        <v>32600</v>
      </c>
      <c r="Q130" s="110">
        <v>746.25</v>
      </c>
      <c r="R130" s="102">
        <f t="shared" si="15"/>
        <v>1.8576385572935457E-2</v>
      </c>
      <c r="S130" s="102">
        <f t="shared" si="15"/>
        <v>3.8129552257665476E-3</v>
      </c>
      <c r="Y130" s="101">
        <v>42321</v>
      </c>
      <c r="Z130" s="110">
        <v>26742.25</v>
      </c>
      <c r="AA130" s="110">
        <v>611.27</v>
      </c>
      <c r="AB130" s="102">
        <f t="shared" si="12"/>
        <v>0</v>
      </c>
      <c r="AC130" s="102">
        <f t="shared" si="12"/>
        <v>-1.7815847736800594E-3</v>
      </c>
      <c r="BC130" s="101">
        <v>42384</v>
      </c>
      <c r="BD130" s="110">
        <v>133694.0938</v>
      </c>
      <c r="BE130" s="110">
        <v>543.04</v>
      </c>
      <c r="BF130" s="272">
        <f t="shared" si="14"/>
        <v>-1.4988053696732959E-2</v>
      </c>
      <c r="BG130" s="272">
        <f t="shared" si="14"/>
        <v>-3.0843083411886928E-2</v>
      </c>
    </row>
    <row r="131" spans="2:59" x14ac:dyDescent="0.3">
      <c r="B131" s="101">
        <v>42132</v>
      </c>
      <c r="C131" s="54">
        <v>554.51</v>
      </c>
      <c r="D131" s="102">
        <f t="shared" si="17"/>
        <v>-1.4029160739687074E-2</v>
      </c>
      <c r="E131" s="102"/>
      <c r="F131" s="54">
        <v>2116.1</v>
      </c>
      <c r="G131" s="102">
        <f t="shared" si="17"/>
        <v>3.7044239644450361E-3</v>
      </c>
      <c r="O131" s="101">
        <v>42881</v>
      </c>
      <c r="P131" s="110">
        <v>32000</v>
      </c>
      <c r="Q131" s="110">
        <v>743.41</v>
      </c>
      <c r="R131" s="102">
        <f t="shared" si="15"/>
        <v>0</v>
      </c>
      <c r="S131" s="102">
        <f t="shared" si="15"/>
        <v>2.0197674708919591E-3</v>
      </c>
      <c r="Y131" s="101">
        <v>42314</v>
      </c>
      <c r="Z131" s="110">
        <v>26742.25</v>
      </c>
      <c r="AA131" s="110">
        <v>612.36</v>
      </c>
      <c r="AB131" s="102">
        <f t="shared" si="12"/>
        <v>-9.3313795258027962E-3</v>
      </c>
      <c r="AC131" s="102">
        <f t="shared" si="12"/>
        <v>8.1821843182298681E-3</v>
      </c>
      <c r="BC131" s="101">
        <v>42377</v>
      </c>
      <c r="BD131" s="110">
        <v>135713</v>
      </c>
      <c r="BE131" s="110">
        <v>560.04999999999995</v>
      </c>
      <c r="BF131" s="272">
        <f t="shared" si="14"/>
        <v>-2.6731828951253776E-2</v>
      </c>
      <c r="BG131" s="272">
        <f t="shared" si="14"/>
        <v>-3.3328224244477837E-2</v>
      </c>
    </row>
    <row r="132" spans="2:59" x14ac:dyDescent="0.3">
      <c r="B132" s="101">
        <v>42125</v>
      </c>
      <c r="C132" s="54">
        <v>562.4</v>
      </c>
      <c r="D132" s="102">
        <f t="shared" si="17"/>
        <v>-5.9564840836382471E-3</v>
      </c>
      <c r="E132" s="102"/>
      <c r="F132" s="54">
        <v>2108.29</v>
      </c>
      <c r="G132" s="102">
        <f t="shared" si="17"/>
        <v>-4.4387988799116096E-3</v>
      </c>
      <c r="O132" s="101">
        <v>42880</v>
      </c>
      <c r="P132" s="110">
        <v>32000</v>
      </c>
      <c r="Q132" s="110">
        <v>741.91</v>
      </c>
      <c r="R132" s="102">
        <f t="shared" si="15"/>
        <v>0</v>
      </c>
      <c r="S132" s="102">
        <f t="shared" si="15"/>
        <v>-1.1181087616205067E-3</v>
      </c>
      <c r="Y132" s="101">
        <v>42307</v>
      </c>
      <c r="Z132" s="110">
        <v>26992.959999999999</v>
      </c>
      <c r="AA132" s="110">
        <v>607.37</v>
      </c>
      <c r="AB132" s="102">
        <f t="shared" si="12"/>
        <v>3.1007949360263415E-3</v>
      </c>
      <c r="AC132" s="102">
        <f t="shared" si="12"/>
        <v>9.3127022174785377E-3</v>
      </c>
      <c r="BC132" s="101">
        <v>42370</v>
      </c>
      <c r="BD132" s="110">
        <v>139389.7813</v>
      </c>
      <c r="BE132" s="110">
        <v>579.03</v>
      </c>
      <c r="BF132" s="272">
        <f t="shared" si="14"/>
        <v>1.3814604974648502E-2</v>
      </c>
      <c r="BG132" s="272">
        <f t="shared" si="14"/>
        <v>1.981402573428289E-2</v>
      </c>
    </row>
    <row r="133" spans="2:59" x14ac:dyDescent="0.3">
      <c r="B133" s="101">
        <v>42118</v>
      </c>
      <c r="C133" s="54">
        <v>565.77</v>
      </c>
      <c r="D133" s="102">
        <f t="shared" si="17"/>
        <v>-4.4869087837838828E-3</v>
      </c>
      <c r="E133" s="102"/>
      <c r="F133" s="54">
        <v>2117.69</v>
      </c>
      <c r="G133" s="102">
        <f t="shared" si="17"/>
        <v>1.7542932374902787E-2</v>
      </c>
      <c r="O133" s="101">
        <v>42879</v>
      </c>
      <c r="P133" s="110">
        <v>32000</v>
      </c>
      <c r="Q133" s="110">
        <v>742.74</v>
      </c>
      <c r="R133" s="102">
        <f t="shared" si="15"/>
        <v>-1.5504186535965199E-2</v>
      </c>
      <c r="S133" s="102">
        <f t="shared" si="15"/>
        <v>2.4398968745412601E-3</v>
      </c>
      <c r="Y133" s="101">
        <v>42300</v>
      </c>
      <c r="Z133" s="110">
        <v>26909.39</v>
      </c>
      <c r="AA133" s="110">
        <v>601.74</v>
      </c>
      <c r="AB133" s="102">
        <f t="shared" si="12"/>
        <v>2.5158320570154092E-2</v>
      </c>
      <c r="AC133" s="102">
        <f t="shared" si="12"/>
        <v>1.4597333086366467E-2</v>
      </c>
      <c r="BC133" s="101">
        <v>42363</v>
      </c>
      <c r="BD133" s="110">
        <v>137477.4063</v>
      </c>
      <c r="BE133" s="110">
        <v>567.66999999999996</v>
      </c>
      <c r="BF133" s="272">
        <f t="shared" si="14"/>
        <v>-1.04979147349566E-2</v>
      </c>
      <c r="BG133" s="272">
        <f t="shared" si="14"/>
        <v>-8.9800595901330768E-4</v>
      </c>
    </row>
    <row r="134" spans="2:59" x14ac:dyDescent="0.3">
      <c r="B134" s="101">
        <v>42111</v>
      </c>
      <c r="C134" s="54">
        <v>568.32000000000005</v>
      </c>
      <c r="D134" s="102">
        <f t="shared" ref="D134:G149" si="18">C134/C135-1</f>
        <v>2.5792827103225502E-2</v>
      </c>
      <c r="E134" s="102"/>
      <c r="F134" s="54">
        <v>2081.1799999999998</v>
      </c>
      <c r="G134" s="102">
        <f t="shared" si="18"/>
        <v>-9.9331132317822535E-3</v>
      </c>
      <c r="O134" s="101">
        <v>42878</v>
      </c>
      <c r="P134" s="110">
        <v>32500</v>
      </c>
      <c r="Q134" s="110">
        <v>740.93</v>
      </c>
      <c r="R134" s="102">
        <f t="shared" si="15"/>
        <v>0</v>
      </c>
      <c r="S134" s="102">
        <f t="shared" si="15"/>
        <v>-4.2692805059829928E-3</v>
      </c>
      <c r="Y134" s="101">
        <v>42293</v>
      </c>
      <c r="Z134" s="110">
        <v>26240.84</v>
      </c>
      <c r="AA134" s="110">
        <v>593.02</v>
      </c>
      <c r="AB134" s="102">
        <f t="shared" si="12"/>
        <v>1.6051795340528727E-2</v>
      </c>
      <c r="AC134" s="102">
        <f t="shared" si="12"/>
        <v>8.4671643161859187E-3</v>
      </c>
      <c r="BC134" s="101">
        <v>42356</v>
      </c>
      <c r="BD134" s="110">
        <v>138928.23439999999</v>
      </c>
      <c r="BE134" s="110">
        <v>568.17999999999995</v>
      </c>
      <c r="BF134" s="272">
        <f t="shared" si="14"/>
        <v>3.112609802995156E-2</v>
      </c>
      <c r="BG134" s="272">
        <f t="shared" si="14"/>
        <v>8.395167766000947E-3</v>
      </c>
    </row>
    <row r="135" spans="2:59" x14ac:dyDescent="0.3">
      <c r="B135" s="101">
        <v>42104</v>
      </c>
      <c r="C135" s="54">
        <v>554.03</v>
      </c>
      <c r="D135" s="102">
        <f t="shared" si="18"/>
        <v>1.1280459979921442E-2</v>
      </c>
      <c r="E135" s="102"/>
      <c r="F135" s="54">
        <v>2102.06</v>
      </c>
      <c r="G135" s="102">
        <f t="shared" si="18"/>
        <v>1.6981460695901118E-2</v>
      </c>
      <c r="O135" s="101">
        <v>42877</v>
      </c>
      <c r="P135" s="110">
        <v>32500</v>
      </c>
      <c r="Q135" s="110">
        <v>744.1</v>
      </c>
      <c r="R135" s="102">
        <f t="shared" si="15"/>
        <v>3.0816665374081144E-3</v>
      </c>
      <c r="S135" s="102">
        <f t="shared" si="15"/>
        <v>1.391166747051693E-2</v>
      </c>
      <c r="Y135" s="101">
        <v>42286</v>
      </c>
      <c r="Z135" s="110">
        <v>25822.99</v>
      </c>
      <c r="AA135" s="110">
        <v>588.02</v>
      </c>
      <c r="AB135" s="102">
        <f t="shared" si="12"/>
        <v>-2.8709883029941246E-2</v>
      </c>
      <c r="AC135" s="102">
        <f t="shared" si="12"/>
        <v>4.4707661684585065E-2</v>
      </c>
      <c r="BC135" s="101">
        <v>42349</v>
      </c>
      <c r="BD135" s="110">
        <v>134670.54689999999</v>
      </c>
      <c r="BE135" s="110">
        <v>563.42999999999995</v>
      </c>
      <c r="BF135" s="272">
        <f t="shared" si="14"/>
        <v>-4.3700831195655522E-2</v>
      </c>
      <c r="BG135" s="272">
        <f t="shared" si="14"/>
        <v>-1.4431332785787374E-2</v>
      </c>
    </row>
    <row r="136" spans="2:59" x14ac:dyDescent="0.3">
      <c r="B136" s="101">
        <v>42097</v>
      </c>
      <c r="C136" s="54">
        <v>547.85</v>
      </c>
      <c r="D136" s="102">
        <f t="shared" si="18"/>
        <v>-6.4741938993869708E-3</v>
      </c>
      <c r="E136" s="102"/>
      <c r="F136" s="54">
        <v>2066.96</v>
      </c>
      <c r="G136" s="102">
        <f t="shared" si="18"/>
        <v>2.882068102201929E-3</v>
      </c>
      <c r="O136" s="101">
        <v>42874</v>
      </c>
      <c r="P136" s="110">
        <v>32400</v>
      </c>
      <c r="Q136" s="110">
        <v>733.82</v>
      </c>
      <c r="R136" s="102">
        <f t="shared" si="15"/>
        <v>-6.1538655743782235E-3</v>
      </c>
      <c r="S136" s="102">
        <f t="shared" si="15"/>
        <v>9.3510446519667247E-3</v>
      </c>
      <c r="Y136" s="101">
        <v>42279</v>
      </c>
      <c r="Z136" s="110">
        <v>26575.11</v>
      </c>
      <c r="AA136" s="110">
        <v>562.30999999999995</v>
      </c>
      <c r="AB136" s="102">
        <f t="shared" si="12"/>
        <v>8.1878438567946132E-2</v>
      </c>
      <c r="AC136" s="102">
        <f t="shared" si="12"/>
        <v>-1.4249506130721987E-2</v>
      </c>
      <c r="BC136" s="101">
        <v>42342</v>
      </c>
      <c r="BD136" s="110">
        <v>140686.25</v>
      </c>
      <c r="BE136" s="110">
        <v>571.62</v>
      </c>
      <c r="BF136" s="272">
        <f t="shared" si="14"/>
        <v>-2.567013686778339E-2</v>
      </c>
      <c r="BG136" s="272">
        <f t="shared" si="14"/>
        <v>-1.947258534492087E-2</v>
      </c>
    </row>
    <row r="137" spans="2:59" x14ac:dyDescent="0.3">
      <c r="B137" s="101">
        <v>42090</v>
      </c>
      <c r="C137" s="54">
        <v>551.41999999999996</v>
      </c>
      <c r="D137" s="102">
        <f t="shared" si="18"/>
        <v>-4.1741971361045627E-2</v>
      </c>
      <c r="E137" s="102"/>
      <c r="F137" s="54">
        <v>2061.02</v>
      </c>
      <c r="G137" s="102">
        <f t="shared" si="18"/>
        <v>-2.2332906408614406E-2</v>
      </c>
      <c r="O137" s="101">
        <v>42873</v>
      </c>
      <c r="P137" s="110">
        <v>32600</v>
      </c>
      <c r="Q137" s="110">
        <v>726.99</v>
      </c>
      <c r="R137" s="102">
        <f t="shared" si="15"/>
        <v>-1.5325673497781163E-3</v>
      </c>
      <c r="S137" s="102">
        <f t="shared" si="15"/>
        <v>-2.8882058253710576E-4</v>
      </c>
      <c r="Y137" s="101">
        <v>42272</v>
      </c>
      <c r="Z137" s="110">
        <v>24485.88</v>
      </c>
      <c r="AA137" s="110">
        <v>570.38</v>
      </c>
      <c r="AB137" s="102">
        <f t="shared" si="12"/>
        <v>0</v>
      </c>
      <c r="AC137" s="102">
        <f t="shared" si="12"/>
        <v>7.2671285745126626E-3</v>
      </c>
      <c r="BC137" s="101">
        <v>42335</v>
      </c>
      <c r="BD137" s="110">
        <v>144344.4375</v>
      </c>
      <c r="BE137" s="110">
        <v>582.86</v>
      </c>
      <c r="BF137" s="272">
        <f t="shared" si="14"/>
        <v>1.561404926759123E-2</v>
      </c>
      <c r="BG137" s="272">
        <f t="shared" si="14"/>
        <v>-3.638847718507577E-2</v>
      </c>
    </row>
    <row r="138" spans="2:59" x14ac:dyDescent="0.3">
      <c r="B138" s="101">
        <v>42083</v>
      </c>
      <c r="C138" s="54">
        <v>575.44000000000005</v>
      </c>
      <c r="D138" s="102">
        <f t="shared" si="18"/>
        <v>-1.8188022521753888E-2</v>
      </c>
      <c r="E138" s="102"/>
      <c r="F138" s="54">
        <v>2108.1</v>
      </c>
      <c r="G138" s="102">
        <f t="shared" si="18"/>
        <v>2.6638745495276117E-2</v>
      </c>
      <c r="O138" s="101">
        <v>42872</v>
      </c>
      <c r="P138" s="110">
        <v>32650</v>
      </c>
      <c r="Q138" s="110">
        <v>727.2</v>
      </c>
      <c r="R138" s="102">
        <f t="shared" si="15"/>
        <v>1.5325673497782106E-3</v>
      </c>
      <c r="S138" s="102">
        <f t="shared" si="15"/>
        <v>2.9885095543495202E-3</v>
      </c>
      <c r="Y138" s="101">
        <v>42265</v>
      </c>
      <c r="Z138" s="110">
        <v>24485.88</v>
      </c>
      <c r="AA138" s="110">
        <v>566.25</v>
      </c>
      <c r="AB138" s="102">
        <f t="shared" si="12"/>
        <v>0</v>
      </c>
      <c r="AC138" s="102">
        <f t="shared" si="12"/>
        <v>-8.6496797067986918E-4</v>
      </c>
      <c r="BC138" s="101">
        <v>42328</v>
      </c>
      <c r="BD138" s="110">
        <v>142108.14060000001</v>
      </c>
      <c r="BE138" s="110">
        <v>604.46</v>
      </c>
      <c r="BF138" s="272">
        <f t="shared" si="14"/>
        <v>-3.4165071226259216E-3</v>
      </c>
      <c r="BG138" s="272">
        <f t="shared" si="14"/>
        <v>-1.1203262613460729E-2</v>
      </c>
    </row>
    <row r="139" spans="2:59" x14ac:dyDescent="0.3">
      <c r="B139" s="101">
        <v>42076</v>
      </c>
      <c r="C139" s="54">
        <v>586.1</v>
      </c>
      <c r="D139" s="102">
        <f t="shared" si="18"/>
        <v>-1.3249827432361916E-2</v>
      </c>
      <c r="E139" s="102"/>
      <c r="F139" s="54">
        <v>2053.4</v>
      </c>
      <c r="G139" s="102">
        <f t="shared" si="18"/>
        <v>-8.6227706806485394E-3</v>
      </c>
      <c r="O139" s="101">
        <v>42871</v>
      </c>
      <c r="P139" s="110">
        <v>32600</v>
      </c>
      <c r="Q139" s="110">
        <v>725.03</v>
      </c>
      <c r="R139" s="102">
        <f t="shared" si="15"/>
        <v>-3.0627895305457668E-3</v>
      </c>
      <c r="S139" s="102">
        <f t="shared" si="15"/>
        <v>-4.4126367599167069E-4</v>
      </c>
      <c r="Y139" s="101">
        <v>42258</v>
      </c>
      <c r="Z139" s="110">
        <v>24485.88</v>
      </c>
      <c r="AA139" s="110">
        <v>566.74</v>
      </c>
      <c r="AB139" s="102">
        <f t="shared" si="12"/>
        <v>0</v>
      </c>
      <c r="AC139" s="102">
        <f t="shared" si="12"/>
        <v>1.7676576138873652E-2</v>
      </c>
      <c r="BC139" s="101">
        <v>42321</v>
      </c>
      <c r="BD139" s="110">
        <v>142594.48439999999</v>
      </c>
      <c r="BE139" s="110">
        <v>611.27</v>
      </c>
      <c r="BF139" s="272">
        <f t="shared" si="14"/>
        <v>-2.317704557127314E-2</v>
      </c>
      <c r="BG139" s="272">
        <f t="shared" si="14"/>
        <v>-1.7815847736800594E-3</v>
      </c>
    </row>
    <row r="140" spans="2:59" x14ac:dyDescent="0.3">
      <c r="B140" s="101">
        <v>42069</v>
      </c>
      <c r="C140" s="54">
        <v>593.97</v>
      </c>
      <c r="D140" s="102">
        <f t="shared" si="18"/>
        <v>2.3625900737465066E-3</v>
      </c>
      <c r="E140" s="102"/>
      <c r="F140" s="54">
        <v>2071.2600000000002</v>
      </c>
      <c r="G140" s="102">
        <f t="shared" si="18"/>
        <v>-1.5794725588025527E-2</v>
      </c>
      <c r="O140" s="101">
        <v>42870</v>
      </c>
      <c r="P140" s="110">
        <v>32700</v>
      </c>
      <c r="Q140" s="110">
        <v>725.35</v>
      </c>
      <c r="R140" s="102">
        <f t="shared" si="15"/>
        <v>-9.1324835632724741E-3</v>
      </c>
      <c r="S140" s="102">
        <f t="shared" si="15"/>
        <v>-2.7572515718102784E-5</v>
      </c>
      <c r="Y140" s="101">
        <v>42251</v>
      </c>
      <c r="Z140" s="110">
        <v>24485.88</v>
      </c>
      <c r="AA140" s="110">
        <v>556.80999999999995</v>
      </c>
      <c r="AB140" s="102">
        <f t="shared" si="12"/>
        <v>1.0291740959124503E-2</v>
      </c>
      <c r="AC140" s="102">
        <f t="shared" si="12"/>
        <v>-2.4937444352975114E-2</v>
      </c>
      <c r="BC140" s="101">
        <v>42314</v>
      </c>
      <c r="BD140" s="110">
        <v>145938</v>
      </c>
      <c r="BE140" s="110">
        <v>612.36</v>
      </c>
      <c r="BF140" s="272">
        <f t="shared" si="14"/>
        <v>-1.5023044785301129E-2</v>
      </c>
      <c r="BG140" s="272">
        <f t="shared" si="14"/>
        <v>8.1821843182298681E-3</v>
      </c>
    </row>
    <row r="141" spans="2:59" x14ac:dyDescent="0.3">
      <c r="B141" s="101">
        <v>42062</v>
      </c>
      <c r="C141" s="54">
        <v>592.57000000000005</v>
      </c>
      <c r="D141" s="102">
        <f t="shared" si="18"/>
        <v>-7.3372979311500108E-3</v>
      </c>
      <c r="E141" s="102"/>
      <c r="F141" s="54">
        <v>2104.5</v>
      </c>
      <c r="G141" s="102">
        <f t="shared" si="18"/>
        <v>-2.7484243946359621E-3</v>
      </c>
      <c r="O141" s="101">
        <v>42867</v>
      </c>
      <c r="P141" s="110">
        <v>33000</v>
      </c>
      <c r="Q141" s="110">
        <v>725.37</v>
      </c>
      <c r="R141" s="102">
        <f t="shared" si="15"/>
        <v>6.0790460763821925E-3</v>
      </c>
      <c r="S141" s="102">
        <f t="shared" si="15"/>
        <v>5.240078445284044E-4</v>
      </c>
      <c r="Y141" s="101">
        <v>42244</v>
      </c>
      <c r="Z141" s="110">
        <v>24235.17</v>
      </c>
      <c r="AA141" s="110">
        <v>570.87</v>
      </c>
      <c r="AB141" s="102">
        <f t="shared" si="12"/>
        <v>-6.8729160282077172E-3</v>
      </c>
      <c r="AC141" s="102">
        <f t="shared" si="12"/>
        <v>2.5853795900777715E-2</v>
      </c>
      <c r="BC141" s="101">
        <v>42307</v>
      </c>
      <c r="BD141" s="110">
        <v>148146.98439999999</v>
      </c>
      <c r="BE141" s="110">
        <v>607.37</v>
      </c>
      <c r="BF141" s="272">
        <f t="shared" si="14"/>
        <v>2.3957562084408104E-2</v>
      </c>
      <c r="BG141" s="272">
        <f t="shared" si="14"/>
        <v>9.3127022174785377E-3</v>
      </c>
    </row>
    <row r="142" spans="2:59" x14ac:dyDescent="0.3">
      <c r="B142" s="101">
        <v>42055</v>
      </c>
      <c r="C142" s="54">
        <v>596.95000000000005</v>
      </c>
      <c r="D142" s="102">
        <f t="shared" si="18"/>
        <v>1.6534977181390964E-2</v>
      </c>
      <c r="E142" s="102"/>
      <c r="F142" s="54">
        <v>2110.3000000000002</v>
      </c>
      <c r="G142" s="102">
        <f t="shared" si="18"/>
        <v>6.3471928812250944E-3</v>
      </c>
      <c r="O142" s="101">
        <v>42866</v>
      </c>
      <c r="P142" s="110">
        <v>32800</v>
      </c>
      <c r="Q142" s="110">
        <v>724.99</v>
      </c>
      <c r="R142" s="102">
        <f t="shared" si="15"/>
        <v>6.1162270174360536E-3</v>
      </c>
      <c r="S142" s="102">
        <f t="shared" si="15"/>
        <v>9.3838411633024004E-4</v>
      </c>
      <c r="Y142" s="101">
        <v>42237</v>
      </c>
      <c r="Z142" s="110">
        <v>24402.31</v>
      </c>
      <c r="AA142" s="110">
        <v>556.29999999999995</v>
      </c>
      <c r="AB142" s="102">
        <f t="shared" si="12"/>
        <v>-1.3605319787667299E-2</v>
      </c>
      <c r="AC142" s="102">
        <f t="shared" si="12"/>
        <v>-5.7169399059336108E-2</v>
      </c>
      <c r="BC142" s="101">
        <v>42300</v>
      </c>
      <c r="BD142" s="110">
        <v>144639.92189999999</v>
      </c>
      <c r="BE142" s="110">
        <v>601.74</v>
      </c>
      <c r="BF142" s="272">
        <f t="shared" si="14"/>
        <v>-4.0648806386047783E-3</v>
      </c>
      <c r="BG142" s="272">
        <f t="shared" si="14"/>
        <v>1.4597333086366467E-2</v>
      </c>
    </row>
    <row r="143" spans="2:59" x14ac:dyDescent="0.3">
      <c r="B143" s="101">
        <v>42048</v>
      </c>
      <c r="C143" s="54">
        <v>587.24</v>
      </c>
      <c r="D143" s="102">
        <f t="shared" si="18"/>
        <v>2.2834549666451931E-2</v>
      </c>
      <c r="E143" s="102"/>
      <c r="F143" s="54">
        <v>2096.9899999999998</v>
      </c>
      <c r="G143" s="102">
        <f t="shared" si="18"/>
        <v>2.0199759665672667E-2</v>
      </c>
      <c r="O143" s="101">
        <v>42865</v>
      </c>
      <c r="P143" s="110">
        <v>32600</v>
      </c>
      <c r="Q143" s="110">
        <v>724.31</v>
      </c>
      <c r="R143" s="102">
        <f t="shared" si="15"/>
        <v>0</v>
      </c>
      <c r="S143" s="102">
        <f t="shared" si="15"/>
        <v>3.041995681085968E-3</v>
      </c>
      <c r="Y143" s="101">
        <v>42230</v>
      </c>
      <c r="Z143" s="110">
        <v>24736.58</v>
      </c>
      <c r="AA143" s="110">
        <v>589.03</v>
      </c>
      <c r="AB143" s="102">
        <f t="shared" si="12"/>
        <v>-1.3423095793930327E-2</v>
      </c>
      <c r="AC143" s="102">
        <f t="shared" si="12"/>
        <v>-2.469965183602945E-2</v>
      </c>
      <c r="BC143" s="101">
        <v>42293</v>
      </c>
      <c r="BD143" s="110">
        <v>145229.0625</v>
      </c>
      <c r="BE143" s="110">
        <v>593.02</v>
      </c>
      <c r="BF143" s="272">
        <f t="shared" si="14"/>
        <v>4.1247221060326745E-4</v>
      </c>
      <c r="BG143" s="272">
        <f t="shared" si="14"/>
        <v>8.4671643161859187E-3</v>
      </c>
    </row>
    <row r="144" spans="2:59" x14ac:dyDescent="0.3">
      <c r="B144" s="101">
        <v>42041</v>
      </c>
      <c r="C144" s="54">
        <v>574.13</v>
      </c>
      <c r="D144" s="102">
        <f t="shared" si="18"/>
        <v>-3.3676462929853601E-3</v>
      </c>
      <c r="E144" s="102"/>
      <c r="F144" s="54">
        <v>2055.4699999999998</v>
      </c>
      <c r="G144" s="102">
        <f t="shared" si="18"/>
        <v>3.0315941433290305E-2</v>
      </c>
      <c r="O144" s="101">
        <v>42864</v>
      </c>
      <c r="P144" s="110">
        <v>32600</v>
      </c>
      <c r="Q144" s="110">
        <v>722.11</v>
      </c>
      <c r="R144" s="102">
        <f t="shared" si="15"/>
        <v>0</v>
      </c>
      <c r="S144" s="102">
        <f t="shared" si="15"/>
        <v>4.5108579788217997E-3</v>
      </c>
      <c r="Y144" s="101">
        <v>42223</v>
      </c>
      <c r="Z144" s="110">
        <v>25070.86</v>
      </c>
      <c r="AA144" s="110">
        <v>603.76</v>
      </c>
      <c r="AB144" s="102">
        <f t="shared" si="12"/>
        <v>6.6890256284631413E-3</v>
      </c>
      <c r="AC144" s="102">
        <f t="shared" si="12"/>
        <v>-2.8250927647100722E-2</v>
      </c>
      <c r="BC144" s="101">
        <v>42286</v>
      </c>
      <c r="BD144" s="110">
        <v>145169.17189999999</v>
      </c>
      <c r="BE144" s="110">
        <v>588.02</v>
      </c>
      <c r="BF144" s="272">
        <f t="shared" si="14"/>
        <v>2.9775160880953392E-2</v>
      </c>
      <c r="BG144" s="272">
        <f t="shared" si="14"/>
        <v>4.4707661684585065E-2</v>
      </c>
    </row>
    <row r="145" spans="2:59" x14ac:dyDescent="0.3">
      <c r="B145" s="101">
        <v>42034</v>
      </c>
      <c r="C145" s="54">
        <v>576.07000000000005</v>
      </c>
      <c r="D145" s="102">
        <f t="shared" si="18"/>
        <v>-1.0834850097874105E-2</v>
      </c>
      <c r="E145" s="102"/>
      <c r="F145" s="54">
        <v>1994.99</v>
      </c>
      <c r="G145" s="102">
        <f t="shared" si="18"/>
        <v>-2.7697361366981532E-2</v>
      </c>
      <c r="O145" s="101">
        <v>42863</v>
      </c>
      <c r="P145" s="110">
        <v>32600</v>
      </c>
      <c r="Q145" s="110">
        <v>718.86</v>
      </c>
      <c r="R145" s="102">
        <f t="shared" si="15"/>
        <v>3.0721990369700588E-3</v>
      </c>
      <c r="S145" s="102">
        <f t="shared" si="15"/>
        <v>-1.5845881302382454E-3</v>
      </c>
      <c r="Y145" s="101">
        <v>42216</v>
      </c>
      <c r="Z145" s="110">
        <v>24903.72</v>
      </c>
      <c r="AA145" s="110">
        <v>621.05999999999995</v>
      </c>
      <c r="AB145" s="102">
        <f t="shared" si="12"/>
        <v>-6.6890256284631794E-3</v>
      </c>
      <c r="AC145" s="102">
        <f t="shared" si="12"/>
        <v>-1.6290126424537664E-2</v>
      </c>
      <c r="BC145" s="101">
        <v>42279</v>
      </c>
      <c r="BD145" s="110">
        <v>140910.45310000001</v>
      </c>
      <c r="BE145" s="110">
        <v>562.30999999999995</v>
      </c>
      <c r="BF145" s="272">
        <f t="shared" si="14"/>
        <v>1.7152749460321099E-2</v>
      </c>
      <c r="BG145" s="272">
        <f t="shared" si="14"/>
        <v>-1.4249506130721987E-2</v>
      </c>
    </row>
    <row r="146" spans="2:59" x14ac:dyDescent="0.3">
      <c r="B146" s="101">
        <v>42027</v>
      </c>
      <c r="C146" s="54">
        <v>582.38</v>
      </c>
      <c r="D146" s="102">
        <f t="shared" si="18"/>
        <v>1.3169569074998888E-2</v>
      </c>
      <c r="E146" s="102"/>
      <c r="F146" s="54">
        <v>2051.8200000000002</v>
      </c>
      <c r="G146" s="102">
        <f t="shared" si="18"/>
        <v>1.6044210713967333E-2</v>
      </c>
      <c r="O146" s="101">
        <v>42860</v>
      </c>
      <c r="P146" s="110">
        <v>32500</v>
      </c>
      <c r="Q146" s="110">
        <v>720</v>
      </c>
      <c r="R146" s="102">
        <f t="shared" si="15"/>
        <v>0</v>
      </c>
      <c r="S146" s="102">
        <f t="shared" si="15"/>
        <v>-2.8016273300891978E-3</v>
      </c>
      <c r="Y146" s="101">
        <v>42209</v>
      </c>
      <c r="Z146" s="110">
        <v>25070.86</v>
      </c>
      <c r="AA146" s="110">
        <v>631.26</v>
      </c>
      <c r="AB146" s="102">
        <f t="shared" si="12"/>
        <v>3.3389199416761404E-3</v>
      </c>
      <c r="AC146" s="102">
        <f t="shared" si="12"/>
        <v>4.1749737201862598E-3</v>
      </c>
      <c r="BC146" s="101">
        <v>42272</v>
      </c>
      <c r="BD146" s="110">
        <v>138514.0625</v>
      </c>
      <c r="BE146" s="110">
        <v>570.38</v>
      </c>
      <c r="BF146" s="272">
        <f t="shared" si="14"/>
        <v>4.6477225269281582E-3</v>
      </c>
      <c r="BG146" s="272">
        <f t="shared" si="14"/>
        <v>7.2671285745126626E-3</v>
      </c>
    </row>
    <row r="147" spans="2:59" x14ac:dyDescent="0.3">
      <c r="B147" s="101">
        <v>42020</v>
      </c>
      <c r="C147" s="54">
        <v>574.80999999999995</v>
      </c>
      <c r="D147" s="102">
        <f t="shared" si="18"/>
        <v>8.9165043090586593E-3</v>
      </c>
      <c r="E147" s="102"/>
      <c r="F147" s="54">
        <v>2019.42</v>
      </c>
      <c r="G147" s="102">
        <f t="shared" si="18"/>
        <v>-1.2416801561025204E-2</v>
      </c>
      <c r="O147" s="101">
        <v>42859</v>
      </c>
      <c r="P147" s="110">
        <v>32500</v>
      </c>
      <c r="Q147" s="110">
        <v>722.02</v>
      </c>
      <c r="R147" s="102">
        <f t="shared" si="15"/>
        <v>9.273636785329253E-3</v>
      </c>
      <c r="S147" s="102">
        <f t="shared" si="15"/>
        <v>3.4407203954530063E-3</v>
      </c>
      <c r="Y147" s="101">
        <v>42202</v>
      </c>
      <c r="Z147" s="110">
        <v>24987.29</v>
      </c>
      <c r="AA147" s="110">
        <v>628.63</v>
      </c>
      <c r="AB147" s="102">
        <f t="shared" si="12"/>
        <v>0</v>
      </c>
      <c r="AC147" s="102">
        <f t="shared" si="12"/>
        <v>2.1498364053986257E-3</v>
      </c>
      <c r="BC147" s="101">
        <v>42265</v>
      </c>
      <c r="BD147" s="110">
        <v>137871.7813</v>
      </c>
      <c r="BE147" s="110">
        <v>566.25</v>
      </c>
      <c r="BF147" s="272">
        <f t="shared" si="14"/>
        <v>2.3091831575482953E-2</v>
      </c>
      <c r="BG147" s="272">
        <f t="shared" si="14"/>
        <v>-8.6496797067986918E-4</v>
      </c>
    </row>
    <row r="148" spans="2:59" x14ac:dyDescent="0.3">
      <c r="B148" s="101">
        <v>42013</v>
      </c>
      <c r="C148" s="54">
        <v>569.73</v>
      </c>
      <c r="D148" s="102">
        <f t="shared" si="18"/>
        <v>4.4169125597932624E-2</v>
      </c>
      <c r="E148" s="102"/>
      <c r="F148" s="54">
        <v>2044.81</v>
      </c>
      <c r="G148" s="102">
        <f t="shared" si="18"/>
        <v>-6.5056845787581086E-3</v>
      </c>
      <c r="O148" s="101">
        <v>42858</v>
      </c>
      <c r="P148" s="110">
        <v>32200</v>
      </c>
      <c r="Q148" s="110">
        <v>719.54</v>
      </c>
      <c r="R148" s="102">
        <f t="shared" si="15"/>
        <v>3.1104224143923302E-3</v>
      </c>
      <c r="S148" s="102">
        <f t="shared" si="15"/>
        <v>2.5186651872471468E-3</v>
      </c>
      <c r="Y148" s="101">
        <v>42195</v>
      </c>
      <c r="Z148" s="110">
        <v>24987.29</v>
      </c>
      <c r="AA148" s="110">
        <v>627.28</v>
      </c>
      <c r="AB148" s="102">
        <f t="shared" si="12"/>
        <v>3.0562411668129102E-2</v>
      </c>
      <c r="AC148" s="102">
        <f t="shared" si="12"/>
        <v>1.7448239966033799E-2</v>
      </c>
      <c r="BC148" s="101">
        <v>42258</v>
      </c>
      <c r="BD148" s="110">
        <v>134724.54689999999</v>
      </c>
      <c r="BE148" s="110">
        <v>566.74</v>
      </c>
      <c r="BF148" s="272">
        <f t="shared" si="14"/>
        <v>5.1780878830208843E-3</v>
      </c>
      <c r="BG148" s="272">
        <f t="shared" si="14"/>
        <v>1.7676576138873652E-2</v>
      </c>
    </row>
    <row r="149" spans="2:59" x14ac:dyDescent="0.3">
      <c r="B149" s="101">
        <v>42006</v>
      </c>
      <c r="C149" s="54">
        <v>545.63</v>
      </c>
      <c r="D149" s="102">
        <f t="shared" si="18"/>
        <v>2.2985919718019332E-2</v>
      </c>
      <c r="E149" s="102"/>
      <c r="F149" s="54">
        <v>2058.1999999999998</v>
      </c>
      <c r="G149" s="102">
        <f t="shared" si="18"/>
        <v>-1.4635407440742765E-2</v>
      </c>
      <c r="O149" s="101">
        <v>42853</v>
      </c>
      <c r="P149" s="110">
        <v>32100</v>
      </c>
      <c r="Q149" s="110">
        <v>717.73</v>
      </c>
      <c r="R149" s="102">
        <f t="shared" si="15"/>
        <v>-1.2384059199721666E-2</v>
      </c>
      <c r="S149" s="102">
        <f t="shared" si="15"/>
        <v>1.6733371634233051E-3</v>
      </c>
      <c r="Y149" s="101">
        <v>42188</v>
      </c>
      <c r="Z149" s="110">
        <v>24235.17</v>
      </c>
      <c r="AA149" s="110">
        <v>616.42999999999995</v>
      </c>
      <c r="AB149" s="102">
        <f t="shared" si="12"/>
        <v>-6.8729160282077172E-3</v>
      </c>
      <c r="AC149" s="102">
        <f t="shared" si="12"/>
        <v>5.7903969774231581E-2</v>
      </c>
      <c r="BC149" s="101">
        <v>42251</v>
      </c>
      <c r="BD149" s="110">
        <v>134028.73439999999</v>
      </c>
      <c r="BE149" s="110">
        <v>556.80999999999995</v>
      </c>
      <c r="BF149" s="272">
        <f t="shared" si="14"/>
        <v>-1.7007241753019861E-2</v>
      </c>
      <c r="BG149" s="272">
        <f t="shared" si="14"/>
        <v>-2.4937444352975114E-2</v>
      </c>
    </row>
    <row r="150" spans="2:59" x14ac:dyDescent="0.3">
      <c r="B150" s="101">
        <v>41999</v>
      </c>
      <c r="C150" s="54">
        <v>533.37</v>
      </c>
      <c r="D150" s="102">
        <f t="shared" ref="D150:G165" si="19">C150/C151-1</f>
        <v>1.9652449865223964E-2</v>
      </c>
      <c r="E150" s="102"/>
      <c r="F150" s="54">
        <v>2088.77</v>
      </c>
      <c r="G150" s="102">
        <f t="shared" si="19"/>
        <v>8.7508753290028718E-3</v>
      </c>
      <c r="O150" s="101">
        <v>42852</v>
      </c>
      <c r="P150" s="110">
        <v>32500</v>
      </c>
      <c r="Q150" s="110">
        <v>716.53</v>
      </c>
      <c r="R150" s="102">
        <f t="shared" si="15"/>
        <v>-9.1884260544062551E-3</v>
      </c>
      <c r="S150" s="102">
        <f t="shared" si="15"/>
        <v>9.0988101174636592E-3</v>
      </c>
      <c r="Y150" s="101">
        <v>42181</v>
      </c>
      <c r="Z150" s="110">
        <v>24402.31</v>
      </c>
      <c r="AA150" s="110">
        <v>581.75</v>
      </c>
      <c r="AB150" s="102">
        <f t="shared" si="12"/>
        <v>-3.4188249309168241E-3</v>
      </c>
      <c r="AC150" s="102">
        <f t="shared" si="12"/>
        <v>-5.0580929992238245E-3</v>
      </c>
      <c r="BC150" s="101">
        <v>42244</v>
      </c>
      <c r="BD150" s="110">
        <v>136327.6875</v>
      </c>
      <c r="BE150" s="110">
        <v>570.87</v>
      </c>
      <c r="BF150" s="272">
        <f t="shared" si="14"/>
        <v>4.3866104895883391E-2</v>
      </c>
      <c r="BG150" s="272">
        <f t="shared" si="14"/>
        <v>2.5853795900777715E-2</v>
      </c>
    </row>
    <row r="151" spans="2:59" x14ac:dyDescent="0.3">
      <c r="B151" s="101">
        <v>41992</v>
      </c>
      <c r="C151" s="54">
        <v>523.09</v>
      </c>
      <c r="D151" s="102">
        <f t="shared" si="19"/>
        <v>-5.5674904771360834E-2</v>
      </c>
      <c r="E151" s="102"/>
      <c r="F151" s="54">
        <v>2070.65</v>
      </c>
      <c r="G151" s="102">
        <f t="shared" si="19"/>
        <v>3.4120249908856204E-2</v>
      </c>
      <c r="O151" s="101">
        <v>42851</v>
      </c>
      <c r="P151" s="110">
        <v>32800</v>
      </c>
      <c r="Q151" s="110">
        <v>710.04</v>
      </c>
      <c r="R151" s="102">
        <f t="shared" si="15"/>
        <v>9.1884260544061701E-3</v>
      </c>
      <c r="S151" s="102">
        <f t="shared" si="15"/>
        <v>3.4706091466691637E-3</v>
      </c>
      <c r="Y151" s="101">
        <v>42174</v>
      </c>
      <c r="Z151" s="110">
        <v>24485.88</v>
      </c>
      <c r="AA151" s="110">
        <v>584.70000000000005</v>
      </c>
      <c r="AB151" s="102">
        <f t="shared" si="12"/>
        <v>2.2989632196417586E-2</v>
      </c>
      <c r="AC151" s="102">
        <f t="shared" si="12"/>
        <v>3.3749378890241973E-3</v>
      </c>
      <c r="BC151" s="101">
        <v>42237</v>
      </c>
      <c r="BD151" s="110">
        <v>130476.78909999999</v>
      </c>
      <c r="BE151" s="110">
        <v>556.29999999999995</v>
      </c>
      <c r="BF151" s="272">
        <f t="shared" si="14"/>
        <v>-9.2065277996213918E-2</v>
      </c>
      <c r="BG151" s="272">
        <f t="shared" si="14"/>
        <v>-5.7169399059336108E-2</v>
      </c>
    </row>
    <row r="152" spans="2:59" x14ac:dyDescent="0.3">
      <c r="B152" s="101">
        <v>41985</v>
      </c>
      <c r="C152" s="54">
        <v>553.92999999999995</v>
      </c>
      <c r="D152" s="102">
        <f t="shared" si="19"/>
        <v>-4.2902066486972257E-2</v>
      </c>
      <c r="E152" s="102"/>
      <c r="F152" s="54">
        <v>2002.33</v>
      </c>
      <c r="G152" s="102">
        <f t="shared" si="19"/>
        <v>-3.5193724492500134E-2</v>
      </c>
      <c r="O152" s="101">
        <v>42850</v>
      </c>
      <c r="P152" s="110">
        <v>32500</v>
      </c>
      <c r="Q152" s="110">
        <v>707.58</v>
      </c>
      <c r="R152" s="102">
        <f t="shared" si="15"/>
        <v>0</v>
      </c>
      <c r="S152" s="102">
        <f t="shared" si="15"/>
        <v>-2.554748490722803E-3</v>
      </c>
      <c r="Y152" s="101">
        <v>42167</v>
      </c>
      <c r="Z152" s="110">
        <v>23929.38</v>
      </c>
      <c r="AA152" s="110">
        <v>582.73</v>
      </c>
      <c r="AB152" s="102">
        <f t="shared" si="12"/>
        <v>3.3278068085278926E-3</v>
      </c>
      <c r="AC152" s="102">
        <f t="shared" si="12"/>
        <v>8.0289886866800556E-3</v>
      </c>
      <c r="BC152" s="101">
        <v>42230</v>
      </c>
      <c r="BD152" s="110">
        <v>143059.5</v>
      </c>
      <c r="BE152" s="110">
        <v>589.03</v>
      </c>
      <c r="BF152" s="272">
        <f t="shared" si="14"/>
        <v>-4.1092160112983146E-2</v>
      </c>
      <c r="BG152" s="272">
        <f t="shared" si="14"/>
        <v>-2.469965183602945E-2</v>
      </c>
    </row>
    <row r="153" spans="2:59" x14ac:dyDescent="0.3">
      <c r="B153" s="101">
        <v>41978</v>
      </c>
      <c r="C153" s="54">
        <v>578.76</v>
      </c>
      <c r="D153" s="102">
        <f t="shared" si="19"/>
        <v>2.1497405485544796E-2</v>
      </c>
      <c r="E153" s="102"/>
      <c r="F153" s="54">
        <v>2075.37</v>
      </c>
      <c r="G153" s="102">
        <f t="shared" si="19"/>
        <v>3.7773994466907546E-3</v>
      </c>
      <c r="O153" s="101">
        <v>42849</v>
      </c>
      <c r="P153" s="110">
        <v>32500</v>
      </c>
      <c r="Q153" s="110">
        <v>709.39</v>
      </c>
      <c r="R153" s="102">
        <f t="shared" si="15"/>
        <v>-1.5267472130788421E-2</v>
      </c>
      <c r="S153" s="102">
        <f t="shared" si="15"/>
        <v>-4.2481425541640609E-3</v>
      </c>
      <c r="Y153" s="101">
        <v>42160</v>
      </c>
      <c r="Z153" s="110">
        <v>23849.88</v>
      </c>
      <c r="AA153" s="110">
        <v>578.07000000000005</v>
      </c>
      <c r="AB153" s="102">
        <f t="shared" si="12"/>
        <v>-6.6445760396736551E-3</v>
      </c>
      <c r="AC153" s="102">
        <f t="shared" si="12"/>
        <v>1.4830835693126813E-2</v>
      </c>
      <c r="BC153" s="101">
        <v>42223</v>
      </c>
      <c r="BD153" s="110">
        <v>149060.57810000001</v>
      </c>
      <c r="BE153" s="110">
        <v>603.76</v>
      </c>
      <c r="BF153" s="272">
        <f t="shared" si="14"/>
        <v>-1.5776049719523625E-2</v>
      </c>
      <c r="BG153" s="272">
        <f t="shared" si="14"/>
        <v>-2.8250927647100722E-2</v>
      </c>
    </row>
    <row r="154" spans="2:59" x14ac:dyDescent="0.3">
      <c r="B154" s="101">
        <v>41971</v>
      </c>
      <c r="C154" s="54">
        <v>566.58000000000004</v>
      </c>
      <c r="D154" s="102">
        <f t="shared" si="19"/>
        <v>-3.647773072802396E-2</v>
      </c>
      <c r="E154" s="102"/>
      <c r="F154" s="54">
        <v>2067.56</v>
      </c>
      <c r="G154" s="102">
        <f t="shared" si="19"/>
        <v>1.9675308941118352E-3</v>
      </c>
      <c r="O154" s="101">
        <v>42846</v>
      </c>
      <c r="P154" s="110">
        <v>33000</v>
      </c>
      <c r="Q154" s="110">
        <v>712.41</v>
      </c>
      <c r="R154" s="102">
        <f t="shared" si="15"/>
        <v>0</v>
      </c>
      <c r="S154" s="102">
        <f t="shared" si="15"/>
        <v>-3.5085996135577696E-4</v>
      </c>
      <c r="Y154" s="101">
        <v>42153</v>
      </c>
      <c r="Z154" s="110">
        <v>24008.880000000001</v>
      </c>
      <c r="AA154" s="110">
        <v>569.55999999999995</v>
      </c>
      <c r="AB154" s="102">
        <f t="shared" si="12"/>
        <v>0</v>
      </c>
      <c r="AC154" s="102">
        <f t="shared" si="12"/>
        <v>1.3682619018709617E-2</v>
      </c>
      <c r="BC154" s="101">
        <v>42216</v>
      </c>
      <c r="BD154" s="110">
        <v>151430.8125</v>
      </c>
      <c r="BE154" s="110">
        <v>621.05999999999995</v>
      </c>
      <c r="BF154" s="272">
        <f t="shared" si="14"/>
        <v>1.8318234528566415E-3</v>
      </c>
      <c r="BG154" s="272">
        <f t="shared" si="14"/>
        <v>-1.6290126424537664E-2</v>
      </c>
    </row>
    <row r="155" spans="2:59" x14ac:dyDescent="0.3">
      <c r="B155" s="101">
        <v>41964</v>
      </c>
      <c r="C155" s="54">
        <v>588.03</v>
      </c>
      <c r="D155" s="102">
        <f t="shared" si="19"/>
        <v>-2.0537677393563936E-2</v>
      </c>
      <c r="E155" s="102"/>
      <c r="F155" s="54">
        <v>2063.5</v>
      </c>
      <c r="G155" s="102">
        <f t="shared" si="19"/>
        <v>1.1608867449088622E-2</v>
      </c>
      <c r="O155" s="101">
        <v>42845</v>
      </c>
      <c r="P155" s="110">
        <v>33000</v>
      </c>
      <c r="Q155" s="110">
        <v>712.66</v>
      </c>
      <c r="R155" s="102">
        <f t="shared" si="15"/>
        <v>-3.0257209165369561E-3</v>
      </c>
      <c r="S155" s="102">
        <f t="shared" si="15"/>
        <v>-5.7505597701250017E-3</v>
      </c>
      <c r="Y155" s="101">
        <v>42146</v>
      </c>
      <c r="Z155" s="110">
        <v>24008.880000000001</v>
      </c>
      <c r="AA155" s="110">
        <v>561.82000000000005</v>
      </c>
      <c r="AB155" s="102">
        <f t="shared" si="12"/>
        <v>6.644576039673734E-3</v>
      </c>
      <c r="AC155" s="102">
        <f t="shared" si="12"/>
        <v>4.4364388030101308E-2</v>
      </c>
      <c r="BC155" s="101">
        <v>42209</v>
      </c>
      <c r="BD155" s="110">
        <v>151153.67189999999</v>
      </c>
      <c r="BE155" s="110">
        <v>631.26</v>
      </c>
      <c r="BF155" s="272">
        <f t="shared" si="14"/>
        <v>-3.8821221371999276E-3</v>
      </c>
      <c r="BG155" s="272">
        <f t="shared" si="14"/>
        <v>4.1749737201862598E-3</v>
      </c>
    </row>
    <row r="156" spans="2:59" x14ac:dyDescent="0.3">
      <c r="B156" s="101">
        <v>41957</v>
      </c>
      <c r="C156" s="54">
        <v>600.36</v>
      </c>
      <c r="D156" s="102">
        <f t="shared" si="19"/>
        <v>-3.700692012811424E-3</v>
      </c>
      <c r="E156" s="102"/>
      <c r="F156" s="54">
        <v>2039.82</v>
      </c>
      <c r="G156" s="102">
        <f t="shared" si="19"/>
        <v>3.8879483444229646E-3</v>
      </c>
      <c r="O156" s="101">
        <v>42844</v>
      </c>
      <c r="P156" s="110">
        <v>33100</v>
      </c>
      <c r="Q156" s="110">
        <v>716.77</v>
      </c>
      <c r="R156" s="102">
        <f t="shared" si="15"/>
        <v>-3.0165935394256792E-3</v>
      </c>
      <c r="S156" s="102">
        <f t="shared" si="15"/>
        <v>2.5703723029192114E-3</v>
      </c>
      <c r="Y156" s="101">
        <v>42139</v>
      </c>
      <c r="Z156" s="110">
        <v>23849.88</v>
      </c>
      <c r="AA156" s="110">
        <v>537.44000000000005</v>
      </c>
      <c r="AB156" s="102">
        <f t="shared" si="12"/>
        <v>-5.5119172243863722E-2</v>
      </c>
      <c r="AC156" s="102">
        <f t="shared" si="12"/>
        <v>-3.1267715028927286E-2</v>
      </c>
      <c r="BC156" s="101">
        <v>42202</v>
      </c>
      <c r="BD156" s="110">
        <v>151741.60939999999</v>
      </c>
      <c r="BE156" s="110">
        <v>628.63</v>
      </c>
      <c r="BF156" s="272">
        <f t="shared" si="14"/>
        <v>-1.1049617958444106E-2</v>
      </c>
      <c r="BG156" s="272">
        <f t="shared" si="14"/>
        <v>2.1498364053986257E-3</v>
      </c>
    </row>
    <row r="157" spans="2:59" x14ac:dyDescent="0.3">
      <c r="B157" s="101">
        <v>41950</v>
      </c>
      <c r="C157" s="54">
        <v>602.59</v>
      </c>
      <c r="D157" s="102">
        <f t="shared" si="19"/>
        <v>2.9125890420078626E-3</v>
      </c>
      <c r="E157" s="102"/>
      <c r="F157" s="54">
        <v>2031.92</v>
      </c>
      <c r="G157" s="102">
        <f t="shared" si="19"/>
        <v>6.8729714328188418E-3</v>
      </c>
      <c r="O157" s="101">
        <v>42843</v>
      </c>
      <c r="P157" s="110">
        <v>33200</v>
      </c>
      <c r="Q157" s="110">
        <v>714.93</v>
      </c>
      <c r="R157" s="102">
        <f t="shared" si="15"/>
        <v>1.364691384118189E-2</v>
      </c>
      <c r="S157" s="102">
        <f t="shared" si="15"/>
        <v>5.7513344484229015E-3</v>
      </c>
      <c r="Y157" s="101">
        <v>42132</v>
      </c>
      <c r="Z157" s="110">
        <v>25201.37</v>
      </c>
      <c r="AA157" s="110">
        <v>554.51</v>
      </c>
      <c r="AB157" s="102">
        <f t="shared" si="12"/>
        <v>-6.2893612489409818E-3</v>
      </c>
      <c r="AC157" s="102">
        <f t="shared" si="12"/>
        <v>-1.4128499603545149E-2</v>
      </c>
      <c r="BC157" s="101">
        <v>42195</v>
      </c>
      <c r="BD157" s="110">
        <v>153427.5938</v>
      </c>
      <c r="BE157" s="110">
        <v>627.28</v>
      </c>
      <c r="BF157" s="272">
        <f t="shared" si="14"/>
        <v>-1.8963879538535032E-3</v>
      </c>
      <c r="BG157" s="272">
        <f t="shared" si="14"/>
        <v>1.7448239966033799E-2</v>
      </c>
    </row>
    <row r="158" spans="2:59" x14ac:dyDescent="0.3">
      <c r="B158" s="101">
        <v>41943</v>
      </c>
      <c r="C158" s="54">
        <v>600.84</v>
      </c>
      <c r="D158" s="102">
        <f t="shared" si="19"/>
        <v>1.5773190647664581E-2</v>
      </c>
      <c r="E158" s="102"/>
      <c r="F158" s="54">
        <v>2018.05</v>
      </c>
      <c r="G158" s="102">
        <f t="shared" si="19"/>
        <v>2.7217013305642856E-2</v>
      </c>
      <c r="O158" s="101">
        <v>42842</v>
      </c>
      <c r="P158" s="110">
        <v>32750</v>
      </c>
      <c r="Q158" s="110">
        <v>710.83</v>
      </c>
      <c r="R158" s="102">
        <f t="shared" si="15"/>
        <v>3.0581063588208724E-3</v>
      </c>
      <c r="S158" s="102">
        <f t="shared" si="15"/>
        <v>-1.066281232025632E-2</v>
      </c>
      <c r="Y158" s="101">
        <v>42125</v>
      </c>
      <c r="Z158" s="110">
        <v>25360.37</v>
      </c>
      <c r="AA158" s="110">
        <v>562.4</v>
      </c>
      <c r="AB158" s="102">
        <f t="shared" si="12"/>
        <v>3.1397361245048762E-3</v>
      </c>
      <c r="AC158" s="102">
        <f t="shared" si="12"/>
        <v>-5.9742946959283399E-3</v>
      </c>
      <c r="BC158" s="101">
        <v>42188</v>
      </c>
      <c r="BD158" s="110">
        <v>153718.82810000001</v>
      </c>
      <c r="BE158" s="110">
        <v>616.42999999999995</v>
      </c>
      <c r="BF158" s="272">
        <f t="shared" si="14"/>
        <v>2.1081392692285251E-2</v>
      </c>
      <c r="BG158" s="272">
        <f t="shared" si="14"/>
        <v>5.7903969774231581E-2</v>
      </c>
    </row>
    <row r="159" spans="2:59" x14ac:dyDescent="0.3">
      <c r="B159" s="101">
        <v>41936</v>
      </c>
      <c r="C159" s="54">
        <v>591.51</v>
      </c>
      <c r="D159" s="102">
        <f t="shared" si="19"/>
        <v>1.0644477856752266E-2</v>
      </c>
      <c r="E159" s="102"/>
      <c r="F159" s="54">
        <v>1964.58</v>
      </c>
      <c r="G159" s="102">
        <f t="shared" si="19"/>
        <v>4.1245309419321918E-2</v>
      </c>
      <c r="O159" s="101">
        <v>42839</v>
      </c>
      <c r="P159" s="110">
        <v>32650</v>
      </c>
      <c r="Q159" s="110">
        <v>718.45</v>
      </c>
      <c r="R159" s="102">
        <f t="shared" si="15"/>
        <v>4.6047663867483388E-3</v>
      </c>
      <c r="S159" s="102">
        <f t="shared" si="15"/>
        <v>-8.1785873124449286E-3</v>
      </c>
      <c r="Y159" s="101">
        <v>42118</v>
      </c>
      <c r="Z159" s="110">
        <v>25280.87</v>
      </c>
      <c r="AA159" s="110">
        <v>565.77</v>
      </c>
      <c r="AB159" s="102">
        <f t="shared" si="12"/>
        <v>-3.1397361245049521E-3</v>
      </c>
      <c r="AC159" s="102">
        <f t="shared" si="12"/>
        <v>-4.4970051713671827E-3</v>
      </c>
      <c r="BC159" s="101">
        <v>42181</v>
      </c>
      <c r="BD159" s="110">
        <v>150512.14060000001</v>
      </c>
      <c r="BE159" s="110">
        <v>581.75</v>
      </c>
      <c r="BF159" s="272">
        <f t="shared" si="14"/>
        <v>-1.4303446143427668E-2</v>
      </c>
      <c r="BG159" s="272">
        <f t="shared" si="14"/>
        <v>-5.0580929992238245E-3</v>
      </c>
    </row>
    <row r="160" spans="2:59" x14ac:dyDescent="0.3">
      <c r="B160" s="101">
        <v>41929</v>
      </c>
      <c r="C160" s="54">
        <v>585.28</v>
      </c>
      <c r="D160" s="102">
        <f t="shared" si="19"/>
        <v>-5.2515702907466211E-2</v>
      </c>
      <c r="E160" s="102"/>
      <c r="F160" s="54">
        <v>1886.76</v>
      </c>
      <c r="G160" s="102">
        <f t="shared" si="19"/>
        <v>-1.0161951178566109E-2</v>
      </c>
      <c r="O160" s="101">
        <v>42838</v>
      </c>
      <c r="P160" s="110">
        <v>32500</v>
      </c>
      <c r="Q160" s="110">
        <v>724.35</v>
      </c>
      <c r="R160" s="102">
        <f t="shared" si="15"/>
        <v>-7.6628727455691371E-3</v>
      </c>
      <c r="S160" s="102">
        <f t="shared" si="15"/>
        <v>-1.6966340375785597E-3</v>
      </c>
      <c r="Y160" s="101">
        <v>42111</v>
      </c>
      <c r="Z160" s="110">
        <v>25360.37</v>
      </c>
      <c r="AA160" s="110">
        <v>568.32000000000005</v>
      </c>
      <c r="AB160" s="102">
        <f t="shared" ref="AB160:AC223" si="20">LN(Z160/Z161)</f>
        <v>-3.1299090280155818E-3</v>
      </c>
      <c r="AC160" s="102">
        <f t="shared" si="20"/>
        <v>2.5465803458064342E-2</v>
      </c>
      <c r="BC160" s="101">
        <v>42174</v>
      </c>
      <c r="BD160" s="110">
        <v>152680.45310000001</v>
      </c>
      <c r="BE160" s="110">
        <v>584.70000000000005</v>
      </c>
      <c r="BF160" s="272">
        <f t="shared" ref="BF160:BG223" si="21">LN(BD160/BD161)</f>
        <v>-1.926079388368376E-2</v>
      </c>
      <c r="BG160" s="272">
        <f t="shared" si="21"/>
        <v>3.3749378890241973E-3</v>
      </c>
    </row>
    <row r="161" spans="2:59" x14ac:dyDescent="0.3">
      <c r="B161" s="101">
        <v>41922</v>
      </c>
      <c r="C161" s="54">
        <v>617.72</v>
      </c>
      <c r="D161" s="102">
        <f t="shared" si="19"/>
        <v>1.0089117815387239E-2</v>
      </c>
      <c r="E161" s="102"/>
      <c r="F161" s="54">
        <v>1906.13</v>
      </c>
      <c r="G161" s="102">
        <f t="shared" si="19"/>
        <v>-3.1388790080796758E-2</v>
      </c>
      <c r="O161" s="101">
        <v>42837</v>
      </c>
      <c r="P161" s="110">
        <v>32750</v>
      </c>
      <c r="Q161" s="110">
        <v>725.58</v>
      </c>
      <c r="R161" s="102">
        <f t="shared" ref="R161:S224" si="22">LN(P161/P162)</f>
        <v>4.5906737085990501E-3</v>
      </c>
      <c r="S161" s="102">
        <f t="shared" si="22"/>
        <v>-7.893459246298291E-3</v>
      </c>
      <c r="Y161" s="101">
        <v>42104</v>
      </c>
      <c r="Z161" s="110">
        <v>25439.87</v>
      </c>
      <c r="AA161" s="110">
        <v>554.03</v>
      </c>
      <c r="AB161" s="102">
        <f t="shared" si="20"/>
        <v>0</v>
      </c>
      <c r="AC161" s="102">
        <f t="shared" si="20"/>
        <v>1.1217310054283888E-2</v>
      </c>
      <c r="BC161" s="101">
        <v>42167</v>
      </c>
      <c r="BD161" s="110">
        <v>155649.70310000001</v>
      </c>
      <c r="BE161" s="110">
        <v>582.73</v>
      </c>
      <c r="BF161" s="272">
        <f t="shared" si="21"/>
        <v>2.0564506917049998E-2</v>
      </c>
      <c r="BG161" s="272">
        <f t="shared" si="21"/>
        <v>8.0289886866800556E-3</v>
      </c>
    </row>
    <row r="162" spans="2:59" x14ac:dyDescent="0.3">
      <c r="B162" s="101">
        <v>41915</v>
      </c>
      <c r="C162" s="54">
        <v>611.54999999999995</v>
      </c>
      <c r="D162" s="102">
        <f t="shared" si="19"/>
        <v>1.0859863135971315E-2</v>
      </c>
      <c r="E162" s="102"/>
      <c r="F162" s="54">
        <v>1967.9</v>
      </c>
      <c r="G162" s="102">
        <f t="shared" si="19"/>
        <v>-7.539652520362039E-3</v>
      </c>
      <c r="O162" s="101">
        <v>42836</v>
      </c>
      <c r="P162" s="110">
        <v>32600</v>
      </c>
      <c r="Q162" s="110">
        <v>731.33</v>
      </c>
      <c r="R162" s="102">
        <f t="shared" si="22"/>
        <v>1.0794245130880394E-2</v>
      </c>
      <c r="S162" s="102">
        <f t="shared" si="22"/>
        <v>1.9983581793977488E-3</v>
      </c>
      <c r="Y162" s="101">
        <v>42097</v>
      </c>
      <c r="Z162" s="110">
        <v>25439.87</v>
      </c>
      <c r="AA162" s="110">
        <v>547.85</v>
      </c>
      <c r="AB162" s="102">
        <f t="shared" si="20"/>
        <v>3.1299090280156355E-3</v>
      </c>
      <c r="AC162" s="102">
        <f t="shared" si="20"/>
        <v>-6.4952423899002337E-3</v>
      </c>
      <c r="BC162" s="101">
        <v>42160</v>
      </c>
      <c r="BD162" s="110">
        <v>152481.5313</v>
      </c>
      <c r="BE162" s="110">
        <v>578.07000000000005</v>
      </c>
      <c r="BF162" s="272">
        <f t="shared" si="21"/>
        <v>3.319284932918222E-2</v>
      </c>
      <c r="BG162" s="272">
        <f t="shared" si="21"/>
        <v>1.4830835693126813E-2</v>
      </c>
    </row>
    <row r="163" spans="2:59" x14ac:dyDescent="0.3">
      <c r="B163" s="101">
        <v>41908</v>
      </c>
      <c r="C163" s="54">
        <v>604.98</v>
      </c>
      <c r="D163" s="102">
        <f t="shared" si="19"/>
        <v>-1.3549870371276196E-2</v>
      </c>
      <c r="E163" s="102"/>
      <c r="F163" s="54">
        <v>1982.85</v>
      </c>
      <c r="G163" s="102">
        <f t="shared" si="19"/>
        <v>-1.3703740549144583E-2</v>
      </c>
      <c r="O163" s="101">
        <v>42835</v>
      </c>
      <c r="P163" s="110">
        <v>32250</v>
      </c>
      <c r="Q163" s="110">
        <v>729.87</v>
      </c>
      <c r="R163" s="102">
        <f t="shared" si="22"/>
        <v>4.6620131058113714E-3</v>
      </c>
      <c r="S163" s="102">
        <f t="shared" si="22"/>
        <v>2.6340715728048257E-3</v>
      </c>
      <c r="Y163" s="101">
        <v>42090</v>
      </c>
      <c r="Z163" s="110">
        <v>25360.37</v>
      </c>
      <c r="AA163" s="110">
        <v>551.41999999999996</v>
      </c>
      <c r="AB163" s="102">
        <f t="shared" si="20"/>
        <v>-3.1299090280155818E-3</v>
      </c>
      <c r="AC163" s="102">
        <f t="shared" si="20"/>
        <v>-4.2638196317798353E-2</v>
      </c>
      <c r="BC163" s="101">
        <v>42153</v>
      </c>
      <c r="BD163" s="110">
        <v>147503.3125</v>
      </c>
      <c r="BE163" s="110">
        <v>569.55999999999995</v>
      </c>
      <c r="BF163" s="272">
        <f t="shared" si="21"/>
        <v>1.218424865432949E-2</v>
      </c>
      <c r="BG163" s="272">
        <f t="shared" si="21"/>
        <v>1.3682619018709617E-2</v>
      </c>
    </row>
    <row r="164" spans="2:59" x14ac:dyDescent="0.3">
      <c r="B164" s="101">
        <v>41901</v>
      </c>
      <c r="C164" s="54">
        <v>613.29</v>
      </c>
      <c r="D164" s="102">
        <f t="shared" si="19"/>
        <v>-3.0371541501976296E-2</v>
      </c>
      <c r="E164" s="102"/>
      <c r="F164" s="54">
        <v>2010.4</v>
      </c>
      <c r="G164" s="102">
        <f t="shared" si="19"/>
        <v>1.252052338406684E-2</v>
      </c>
      <c r="O164" s="101">
        <v>42832</v>
      </c>
      <c r="P164" s="110">
        <v>32100</v>
      </c>
      <c r="Q164" s="110">
        <v>727.95</v>
      </c>
      <c r="R164" s="102">
        <f t="shared" si="22"/>
        <v>-9.3023926623135612E-3</v>
      </c>
      <c r="S164" s="102">
        <f t="shared" si="22"/>
        <v>6.5189009565003097E-3</v>
      </c>
      <c r="Y164" s="101">
        <v>42083</v>
      </c>
      <c r="Z164" s="110">
        <v>25439.87</v>
      </c>
      <c r="AA164" s="110">
        <v>575.44000000000005</v>
      </c>
      <c r="AB164" s="102">
        <f t="shared" si="20"/>
        <v>-6.2305814903188296E-3</v>
      </c>
      <c r="AC164" s="102">
        <f t="shared" si="20"/>
        <v>-1.8355457923282685E-2</v>
      </c>
      <c r="BC164" s="101">
        <v>42146</v>
      </c>
      <c r="BD164" s="110">
        <v>145717</v>
      </c>
      <c r="BE164" s="110">
        <v>561.82000000000005</v>
      </c>
      <c r="BF164" s="272">
        <f t="shared" si="21"/>
        <v>2.5567576502774619E-2</v>
      </c>
      <c r="BG164" s="272">
        <f t="shared" si="21"/>
        <v>4.4364388030101308E-2</v>
      </c>
    </row>
    <row r="165" spans="2:59" x14ac:dyDescent="0.3">
      <c r="B165" s="101">
        <v>41894</v>
      </c>
      <c r="C165" s="54">
        <v>632.5</v>
      </c>
      <c r="D165" s="102">
        <f t="shared" si="19"/>
        <v>-9.6296876223282979E-3</v>
      </c>
      <c r="E165" s="102"/>
      <c r="F165" s="54">
        <v>1985.54</v>
      </c>
      <c r="G165" s="102">
        <f t="shared" si="19"/>
        <v>-1.1042431426849575E-2</v>
      </c>
      <c r="O165" s="101">
        <v>42830</v>
      </c>
      <c r="P165" s="110">
        <v>32400</v>
      </c>
      <c r="Q165" s="110">
        <v>723.22</v>
      </c>
      <c r="R165" s="102">
        <f t="shared" si="22"/>
        <v>-3.0816665374081122E-3</v>
      </c>
      <c r="S165" s="102">
        <f t="shared" si="22"/>
        <v>-1.2712802950269335E-3</v>
      </c>
      <c r="Y165" s="101">
        <v>42076</v>
      </c>
      <c r="Z165" s="110">
        <v>25598.87</v>
      </c>
      <c r="AA165" s="110">
        <v>586.1</v>
      </c>
      <c r="AB165" s="102">
        <f t="shared" si="20"/>
        <v>6.2305814903188383E-3</v>
      </c>
      <c r="AC165" s="102">
        <f t="shared" si="20"/>
        <v>-1.3338389554333339E-2</v>
      </c>
      <c r="BC165" s="101">
        <v>42139</v>
      </c>
      <c r="BD165" s="110">
        <v>142038.5938</v>
      </c>
      <c r="BE165" s="110">
        <v>537.44000000000005</v>
      </c>
      <c r="BF165" s="272">
        <f t="shared" si="21"/>
        <v>-3.6937741308243413E-2</v>
      </c>
      <c r="BG165" s="272">
        <f t="shared" si="21"/>
        <v>-3.1267715028927286E-2</v>
      </c>
    </row>
    <row r="166" spans="2:59" x14ac:dyDescent="0.3">
      <c r="B166" s="101">
        <v>41887</v>
      </c>
      <c r="C166" s="54">
        <v>638.65</v>
      </c>
      <c r="D166" s="102">
        <f t="shared" ref="D166:G181" si="23">C166/C167-1</f>
        <v>3.1414434932852675E-3</v>
      </c>
      <c r="E166" s="102"/>
      <c r="F166" s="54">
        <v>2007.71</v>
      </c>
      <c r="G166" s="102">
        <f t="shared" si="23"/>
        <v>2.1663497007542443E-3</v>
      </c>
      <c r="O166" s="101">
        <v>42829</v>
      </c>
      <c r="P166" s="110">
        <v>32500</v>
      </c>
      <c r="Q166" s="110">
        <v>724.14</v>
      </c>
      <c r="R166" s="102">
        <f t="shared" si="22"/>
        <v>9.273636785329253E-3</v>
      </c>
      <c r="S166" s="102">
        <f t="shared" si="22"/>
        <v>2.4334276311379749E-3</v>
      </c>
      <c r="Y166" s="101">
        <v>42069</v>
      </c>
      <c r="Z166" s="110">
        <v>25439.87</v>
      </c>
      <c r="AA166" s="110">
        <v>593.97</v>
      </c>
      <c r="AB166" s="102">
        <f t="shared" si="20"/>
        <v>1.2578846891533164E-2</v>
      </c>
      <c r="AC166" s="102">
        <f t="shared" si="20"/>
        <v>2.3598035459038848E-3</v>
      </c>
      <c r="BC166" s="101">
        <v>42132</v>
      </c>
      <c r="BD166" s="110">
        <v>147383.2813</v>
      </c>
      <c r="BE166" s="110">
        <v>554.51</v>
      </c>
      <c r="BF166" s="272">
        <f t="shared" si="21"/>
        <v>-2.1344948332526929E-2</v>
      </c>
      <c r="BG166" s="272">
        <f t="shared" si="21"/>
        <v>-1.4128499603545149E-2</v>
      </c>
    </row>
    <row r="167" spans="2:59" x14ac:dyDescent="0.3">
      <c r="B167" s="101">
        <v>41880</v>
      </c>
      <c r="C167" s="54">
        <v>636.65</v>
      </c>
      <c r="D167" s="102">
        <f t="shared" si="23"/>
        <v>2.6623020608249837E-2</v>
      </c>
      <c r="E167" s="102"/>
      <c r="F167" s="54">
        <v>2003.37</v>
      </c>
      <c r="G167" s="102">
        <f t="shared" si="23"/>
        <v>7.5286662643330171E-3</v>
      </c>
      <c r="O167" s="101">
        <v>42828</v>
      </c>
      <c r="P167" s="110">
        <v>32200</v>
      </c>
      <c r="Q167" s="110">
        <v>722.38</v>
      </c>
      <c r="R167" s="102">
        <f t="shared" si="22"/>
        <v>6.2305497506361628E-3</v>
      </c>
      <c r="S167" s="102">
        <f t="shared" si="22"/>
        <v>9.6906602876483988E-5</v>
      </c>
      <c r="Y167" s="101">
        <v>42062</v>
      </c>
      <c r="Z167" s="110">
        <v>25121.87</v>
      </c>
      <c r="AA167" s="110">
        <v>592.57000000000005</v>
      </c>
      <c r="AB167" s="102">
        <f t="shared" si="20"/>
        <v>3.1695911891332345E-3</v>
      </c>
      <c r="AC167" s="102">
        <f t="shared" si="20"/>
        <v>9.0354146195534158E-3</v>
      </c>
      <c r="BC167" s="101">
        <v>42125</v>
      </c>
      <c r="BD167" s="110">
        <v>150562.98439999999</v>
      </c>
      <c r="BE167" s="110">
        <v>562.4</v>
      </c>
      <c r="BF167" s="272">
        <f t="shared" si="21"/>
        <v>1.2416339301523631E-3</v>
      </c>
      <c r="BG167" s="272">
        <f t="shared" si="21"/>
        <v>-5.9742946959283399E-3</v>
      </c>
    </row>
    <row r="168" spans="2:59" x14ac:dyDescent="0.3">
      <c r="B168" s="101">
        <v>41873</v>
      </c>
      <c r="C168" s="54">
        <v>620.14</v>
      </c>
      <c r="D168" s="102">
        <f t="shared" si="23"/>
        <v>2.6314047398384721E-2</v>
      </c>
      <c r="E168" s="102"/>
      <c r="F168" s="54">
        <v>1988.4</v>
      </c>
      <c r="G168" s="102">
        <f t="shared" si="23"/>
        <v>1.7053185068488963E-2</v>
      </c>
      <c r="O168" s="101">
        <v>42825</v>
      </c>
      <c r="P168" s="110">
        <v>32000</v>
      </c>
      <c r="Q168" s="110">
        <v>722.31</v>
      </c>
      <c r="R168" s="102">
        <f t="shared" si="22"/>
        <v>-2.1639175103481182E-2</v>
      </c>
      <c r="S168" s="102">
        <f t="shared" si="22"/>
        <v>-2.1435938977024862E-3</v>
      </c>
      <c r="Y168" s="101">
        <v>42048</v>
      </c>
      <c r="Z168" s="110">
        <v>25042.37</v>
      </c>
      <c r="AA168" s="110">
        <v>587.24</v>
      </c>
      <c r="AB168" s="102">
        <f t="shared" si="20"/>
        <v>2.247256543520823E-2</v>
      </c>
      <c r="AC168" s="102">
        <f t="shared" si="20"/>
        <v>2.2577743358369224E-2</v>
      </c>
      <c r="BC168" s="101">
        <v>42118</v>
      </c>
      <c r="BD168" s="110">
        <v>150376.1563</v>
      </c>
      <c r="BE168" s="110">
        <v>565.77</v>
      </c>
      <c r="BF168" s="272">
        <f t="shared" si="21"/>
        <v>8.6660123756616015E-3</v>
      </c>
      <c r="BG168" s="272">
        <f t="shared" si="21"/>
        <v>-4.4970051713671827E-3</v>
      </c>
    </row>
    <row r="169" spans="2:59" x14ac:dyDescent="0.3">
      <c r="B169" s="101">
        <v>41866</v>
      </c>
      <c r="C169" s="54">
        <v>604.24</v>
      </c>
      <c r="D169" s="102">
        <f t="shared" si="23"/>
        <v>-1.9655451497282428E-3</v>
      </c>
      <c r="E169" s="102"/>
      <c r="F169" s="54">
        <v>1955.06</v>
      </c>
      <c r="G169" s="102">
        <f t="shared" si="23"/>
        <v>1.2150611672249401E-2</v>
      </c>
      <c r="O169" s="101">
        <v>42824</v>
      </c>
      <c r="P169" s="110">
        <v>32700</v>
      </c>
      <c r="Q169" s="110">
        <v>723.86</v>
      </c>
      <c r="R169" s="102">
        <f t="shared" si="22"/>
        <v>-6.0975798681184449E-3</v>
      </c>
      <c r="S169" s="102">
        <f t="shared" si="22"/>
        <v>4.6942267004092429E-3</v>
      </c>
      <c r="Y169" s="101">
        <v>42041</v>
      </c>
      <c r="Z169" s="110">
        <v>24485.88</v>
      </c>
      <c r="AA169" s="110">
        <v>574.13</v>
      </c>
      <c r="AB169" s="102">
        <f t="shared" si="20"/>
        <v>9.7880545705932281E-3</v>
      </c>
      <c r="AC169" s="102">
        <f t="shared" si="20"/>
        <v>-3.3733295768765509E-3</v>
      </c>
      <c r="BC169" s="101">
        <v>42111</v>
      </c>
      <c r="BD169" s="110">
        <v>149078.625</v>
      </c>
      <c r="BE169" s="110">
        <v>568.32000000000005</v>
      </c>
      <c r="BF169" s="272">
        <f t="shared" si="21"/>
        <v>2.7356992655336299E-2</v>
      </c>
      <c r="BG169" s="272">
        <f t="shared" si="21"/>
        <v>2.5465803458064342E-2</v>
      </c>
    </row>
    <row r="170" spans="2:59" x14ac:dyDescent="0.3">
      <c r="B170" s="101">
        <v>41859</v>
      </c>
      <c r="C170" s="54">
        <v>605.42999999999995</v>
      </c>
      <c r="D170" s="102">
        <f t="shared" si="23"/>
        <v>1.9414042768142847E-2</v>
      </c>
      <c r="E170" s="102"/>
      <c r="F170" s="54">
        <v>1931.59</v>
      </c>
      <c r="G170" s="102">
        <f t="shared" si="23"/>
        <v>3.3451938809963E-3</v>
      </c>
      <c r="O170" s="101">
        <v>42823</v>
      </c>
      <c r="P170" s="110">
        <v>32900</v>
      </c>
      <c r="Q170" s="110">
        <v>720.47</v>
      </c>
      <c r="R170" s="102">
        <f t="shared" si="22"/>
        <v>4.3485111939738891E-2</v>
      </c>
      <c r="S170" s="102">
        <f t="shared" si="22"/>
        <v>1.6808711145663176E-3</v>
      </c>
      <c r="Y170" s="101">
        <v>42034</v>
      </c>
      <c r="Z170" s="110">
        <v>24247.38</v>
      </c>
      <c r="AA170" s="110">
        <v>576.07000000000005</v>
      </c>
      <c r="AB170" s="102">
        <f t="shared" si="20"/>
        <v>3.2840914807568703E-3</v>
      </c>
      <c r="AC170" s="102">
        <f t="shared" si="20"/>
        <v>-1.0893974543714617E-2</v>
      </c>
      <c r="BC170" s="101">
        <v>42104</v>
      </c>
      <c r="BD170" s="110">
        <v>145055.5625</v>
      </c>
      <c r="BE170" s="110">
        <v>554.03</v>
      </c>
      <c r="BF170" s="272">
        <f t="shared" si="21"/>
        <v>2.3501357787321167E-3</v>
      </c>
      <c r="BG170" s="272">
        <f t="shared" si="21"/>
        <v>1.1217310054283888E-2</v>
      </c>
    </row>
    <row r="171" spans="2:59" x14ac:dyDescent="0.3">
      <c r="B171" s="101">
        <v>41852</v>
      </c>
      <c r="C171" s="54">
        <v>593.9</v>
      </c>
      <c r="D171" s="102">
        <f t="shared" si="23"/>
        <v>-1.0397573899423529E-2</v>
      </c>
      <c r="E171" s="102"/>
      <c r="F171" s="54">
        <v>1925.15</v>
      </c>
      <c r="G171" s="102">
        <f t="shared" si="23"/>
        <v>-2.688617730016063E-2</v>
      </c>
      <c r="O171" s="101">
        <v>42822</v>
      </c>
      <c r="P171" s="110">
        <v>31500</v>
      </c>
      <c r="Q171" s="110">
        <v>719.26</v>
      </c>
      <c r="R171" s="102">
        <f t="shared" si="22"/>
        <v>-1.8868484304382805E-2</v>
      </c>
      <c r="S171" s="102">
        <f t="shared" si="22"/>
        <v>-5.9052833830310972E-3</v>
      </c>
      <c r="Y171" s="101">
        <v>42027</v>
      </c>
      <c r="Z171" s="110">
        <v>24167.88</v>
      </c>
      <c r="AA171" s="110">
        <v>582.38</v>
      </c>
      <c r="AB171" s="102">
        <f t="shared" si="20"/>
        <v>-3.0397387987936748E-2</v>
      </c>
      <c r="AC171" s="102">
        <f t="shared" si="20"/>
        <v>1.3083604224342229E-2</v>
      </c>
      <c r="BC171" s="101">
        <v>42097</v>
      </c>
      <c r="BD171" s="110">
        <v>144715.0625</v>
      </c>
      <c r="BE171" s="110">
        <v>547.85</v>
      </c>
      <c r="BF171" s="272">
        <f t="shared" si="21"/>
        <v>-1.90490589061558E-2</v>
      </c>
      <c r="BG171" s="272">
        <f t="shared" si="21"/>
        <v>-6.4952423899002337E-3</v>
      </c>
    </row>
    <row r="172" spans="2:59" x14ac:dyDescent="0.3">
      <c r="B172" s="101">
        <v>41845</v>
      </c>
      <c r="C172" s="54">
        <v>600.14</v>
      </c>
      <c r="D172" s="102">
        <f t="shared" si="23"/>
        <v>6.507228390299602E-3</v>
      </c>
      <c r="E172" s="102"/>
      <c r="F172" s="54">
        <v>1978.34</v>
      </c>
      <c r="G172" s="102">
        <f t="shared" si="23"/>
        <v>6.0660593867112311E-5</v>
      </c>
      <c r="O172" s="101">
        <v>42821</v>
      </c>
      <c r="P172" s="110">
        <v>32100</v>
      </c>
      <c r="Q172" s="110">
        <v>723.52</v>
      </c>
      <c r="R172" s="102">
        <f t="shared" si="22"/>
        <v>-1.0844413014128853E-2</v>
      </c>
      <c r="S172" s="102">
        <f t="shared" si="22"/>
        <v>1.9091631769073767E-3</v>
      </c>
      <c r="Y172" s="101">
        <v>42020</v>
      </c>
      <c r="Z172" s="110">
        <v>24913.8</v>
      </c>
      <c r="AA172" s="110">
        <v>574.80999999999995</v>
      </c>
      <c r="AB172" s="102">
        <f t="shared" si="20"/>
        <v>4.9089802053031754E-2</v>
      </c>
      <c r="AC172" s="102">
        <f t="shared" si="20"/>
        <v>8.8769870148761847E-3</v>
      </c>
      <c r="BC172" s="101">
        <v>42090</v>
      </c>
      <c r="BD172" s="110">
        <v>147498.17189999999</v>
      </c>
      <c r="BE172" s="110">
        <v>551.41999999999996</v>
      </c>
      <c r="BF172" s="272">
        <f t="shared" si="21"/>
        <v>-7.380300342594813E-2</v>
      </c>
      <c r="BG172" s="272">
        <f t="shared" si="21"/>
        <v>-4.2638196317798353E-2</v>
      </c>
    </row>
    <row r="173" spans="2:59" x14ac:dyDescent="0.3">
      <c r="B173" s="101">
        <v>41838</v>
      </c>
      <c r="C173" s="54">
        <v>596.26</v>
      </c>
      <c r="D173" s="102">
        <f t="shared" si="23"/>
        <v>2.3148068706350777E-2</v>
      </c>
      <c r="E173" s="102"/>
      <c r="F173" s="54">
        <v>1978.22</v>
      </c>
      <c r="G173" s="102">
        <f t="shared" si="23"/>
        <v>5.4127680336659711E-3</v>
      </c>
      <c r="O173" s="101">
        <v>42818</v>
      </c>
      <c r="P173" s="110">
        <v>32450</v>
      </c>
      <c r="Q173" s="110">
        <v>722.14</v>
      </c>
      <c r="R173" s="102">
        <f t="shared" si="22"/>
        <v>-2.8855456832555762E-2</v>
      </c>
      <c r="S173" s="102">
        <f t="shared" si="22"/>
        <v>3.579111818212397E-3</v>
      </c>
      <c r="Y173" s="101">
        <v>42013</v>
      </c>
      <c r="Z173" s="110">
        <v>23720.32</v>
      </c>
      <c r="AA173" s="110">
        <v>569.73</v>
      </c>
      <c r="AB173" s="102">
        <f t="shared" si="20"/>
        <v>-1.8692414065095003E-2</v>
      </c>
      <c r="AC173" s="102">
        <f t="shared" si="20"/>
        <v>4.3221474039405829E-2</v>
      </c>
      <c r="BC173" s="101">
        <v>42083</v>
      </c>
      <c r="BD173" s="110">
        <v>158795.75</v>
      </c>
      <c r="BE173" s="110">
        <v>575.44000000000005</v>
      </c>
      <c r="BF173" s="272">
        <f t="shared" si="21"/>
        <v>-1.0007586276767613E-2</v>
      </c>
      <c r="BG173" s="272">
        <f t="shared" si="21"/>
        <v>-1.8355457923282685E-2</v>
      </c>
    </row>
    <row r="174" spans="2:59" x14ac:dyDescent="0.3">
      <c r="B174" s="101">
        <v>41831</v>
      </c>
      <c r="C174" s="54">
        <v>582.77</v>
      </c>
      <c r="D174" s="102">
        <f t="shared" si="23"/>
        <v>-1.1164842623229032E-2</v>
      </c>
      <c r="E174" s="102"/>
      <c r="F174" s="54">
        <v>1967.57</v>
      </c>
      <c r="G174" s="102">
        <f t="shared" si="23"/>
        <v>-9.0005238133613608E-3</v>
      </c>
      <c r="O174" s="101">
        <v>42817</v>
      </c>
      <c r="P174" s="110">
        <v>33400</v>
      </c>
      <c r="Q174" s="110">
        <v>719.56</v>
      </c>
      <c r="R174" s="102">
        <f t="shared" si="22"/>
        <v>-1.4859114403749828E-2</v>
      </c>
      <c r="S174" s="102">
        <f t="shared" si="22"/>
        <v>9.2426486937739923E-3</v>
      </c>
      <c r="Y174" s="101">
        <v>42006</v>
      </c>
      <c r="Z174" s="110">
        <v>24167.88</v>
      </c>
      <c r="AA174" s="110">
        <v>545.63</v>
      </c>
      <c r="AB174" s="102">
        <f t="shared" si="20"/>
        <v>1.2422566547945334E-2</v>
      </c>
      <c r="AC174" s="102">
        <f t="shared" si="20"/>
        <v>2.2725723158267472E-2</v>
      </c>
      <c r="BC174" s="101">
        <v>42076</v>
      </c>
      <c r="BD174" s="110">
        <v>160392.89060000001</v>
      </c>
      <c r="BE174" s="110">
        <v>586.1</v>
      </c>
      <c r="BF174" s="272">
        <f t="shared" si="21"/>
        <v>-2.3563208613290233E-2</v>
      </c>
      <c r="BG174" s="272">
        <f t="shared" si="21"/>
        <v>-1.3338389554333339E-2</v>
      </c>
    </row>
    <row r="175" spans="2:59" x14ac:dyDescent="0.3">
      <c r="B175" s="101">
        <v>41824</v>
      </c>
      <c r="C175" s="54">
        <v>589.35</v>
      </c>
      <c r="D175" s="102">
        <f t="shared" si="23"/>
        <v>1.8192184098683395E-2</v>
      </c>
      <c r="E175" s="102"/>
      <c r="F175" s="54">
        <v>1985.44</v>
      </c>
      <c r="G175" s="102">
        <f t="shared" si="23"/>
        <v>1.2483681462140961E-2</v>
      </c>
      <c r="O175" s="101">
        <v>42816</v>
      </c>
      <c r="P175" s="110">
        <v>33900</v>
      </c>
      <c r="Q175" s="110">
        <v>712.94</v>
      </c>
      <c r="R175" s="102">
        <f t="shared" si="22"/>
        <v>-4.4150182091168312E-3</v>
      </c>
      <c r="S175" s="102">
        <f t="shared" si="22"/>
        <v>-4.5342666131366408E-3</v>
      </c>
      <c r="Y175" s="101">
        <v>41999</v>
      </c>
      <c r="Z175" s="110">
        <v>23869.51</v>
      </c>
      <c r="AA175" s="110">
        <v>533.37</v>
      </c>
      <c r="AB175" s="102">
        <f t="shared" si="20"/>
        <v>6.2698475171496099E-3</v>
      </c>
      <c r="AC175" s="102">
        <f t="shared" si="20"/>
        <v>1.9461833806423443E-2</v>
      </c>
      <c r="BC175" s="101">
        <v>42069</v>
      </c>
      <c r="BD175" s="110">
        <v>164217.14060000001</v>
      </c>
      <c r="BE175" s="110">
        <v>593.97</v>
      </c>
      <c r="BF175" s="272">
        <f t="shared" si="21"/>
        <v>7.3119911092114796E-3</v>
      </c>
      <c r="BG175" s="272">
        <f t="shared" si="21"/>
        <v>2.3598035459038848E-3</v>
      </c>
    </row>
    <row r="176" spans="2:59" x14ac:dyDescent="0.3">
      <c r="B176" s="101">
        <v>41817</v>
      </c>
      <c r="C176" s="54">
        <v>578.82000000000005</v>
      </c>
      <c r="D176" s="102">
        <f t="shared" si="23"/>
        <v>3.2169478226755643E-2</v>
      </c>
      <c r="E176" s="102"/>
      <c r="F176" s="54">
        <v>1960.96</v>
      </c>
      <c r="G176" s="102">
        <f t="shared" si="23"/>
        <v>-9.7306495081173061E-4</v>
      </c>
      <c r="O176" s="101">
        <v>42815</v>
      </c>
      <c r="P176" s="110">
        <v>34050</v>
      </c>
      <c r="Q176" s="110">
        <v>716.18</v>
      </c>
      <c r="R176" s="102">
        <f t="shared" si="22"/>
        <v>-1.4673516939497316E-3</v>
      </c>
      <c r="S176" s="102">
        <f t="shared" si="22"/>
        <v>1.5510920140357817E-3</v>
      </c>
      <c r="Y176" s="101">
        <v>41992</v>
      </c>
      <c r="Z176" s="110">
        <v>23720.32</v>
      </c>
      <c r="AA176" s="110">
        <v>523.09</v>
      </c>
      <c r="AB176" s="102">
        <f t="shared" si="20"/>
        <v>-5.5059792239437015E-2</v>
      </c>
      <c r="AC176" s="102">
        <f t="shared" si="20"/>
        <v>-5.7284791583190685E-2</v>
      </c>
      <c r="BC176" s="101">
        <v>42062</v>
      </c>
      <c r="BD176" s="110">
        <v>163020.76560000001</v>
      </c>
      <c r="BE176" s="110">
        <v>592.57000000000005</v>
      </c>
      <c r="BF176" s="272">
        <f t="shared" si="21"/>
        <v>6.4783219612655199E-3</v>
      </c>
      <c r="BG176" s="272">
        <f t="shared" si="21"/>
        <v>9.0354146195534158E-3</v>
      </c>
    </row>
    <row r="177" spans="2:59" x14ac:dyDescent="0.3">
      <c r="B177" s="101">
        <v>41810</v>
      </c>
      <c r="C177" s="54">
        <v>560.78</v>
      </c>
      <c r="D177" s="102">
        <f t="shared" si="23"/>
        <v>-2.384765353014906E-2</v>
      </c>
      <c r="E177" s="102"/>
      <c r="F177" s="54">
        <v>1962.87</v>
      </c>
      <c r="G177" s="102">
        <f t="shared" si="23"/>
        <v>1.3795347491942778E-2</v>
      </c>
      <c r="O177" s="101">
        <v>42814</v>
      </c>
      <c r="P177" s="110">
        <v>34100</v>
      </c>
      <c r="Q177" s="110">
        <v>715.07</v>
      </c>
      <c r="R177" s="102">
        <f t="shared" si="22"/>
        <v>-1.1661939747842975E-2</v>
      </c>
      <c r="S177" s="102">
        <f t="shared" si="22"/>
        <v>6.3551956659298999E-3</v>
      </c>
      <c r="Y177" s="101">
        <v>41985</v>
      </c>
      <c r="Z177" s="110">
        <v>25062.98</v>
      </c>
      <c r="AA177" s="110">
        <v>553.92999999999995</v>
      </c>
      <c r="AB177" s="102">
        <f t="shared" si="20"/>
        <v>-3.5091457395692416E-2</v>
      </c>
      <c r="AC177" s="102">
        <f t="shared" si="20"/>
        <v>-4.3849558895523527E-2</v>
      </c>
      <c r="BC177" s="101">
        <v>42055</v>
      </c>
      <c r="BD177" s="110">
        <v>161968.07810000001</v>
      </c>
      <c r="BE177" s="110">
        <f>BE178</f>
        <v>587.24</v>
      </c>
      <c r="BF177" s="272">
        <f t="shared" si="21"/>
        <v>0</v>
      </c>
      <c r="BG177" s="272">
        <f t="shared" si="21"/>
        <v>0</v>
      </c>
    </row>
    <row r="178" spans="2:59" x14ac:dyDescent="0.3">
      <c r="B178" s="101">
        <v>41803</v>
      </c>
      <c r="C178" s="54">
        <v>574.48</v>
      </c>
      <c r="D178" s="102">
        <f t="shared" si="23"/>
        <v>2.7618775042930865E-2</v>
      </c>
      <c r="E178" s="102"/>
      <c r="F178" s="54">
        <v>1936.16</v>
      </c>
      <c r="G178" s="102">
        <f t="shared" si="23"/>
        <v>-6.8122127380170205E-3</v>
      </c>
      <c r="O178" s="101">
        <v>42811</v>
      </c>
      <c r="P178" s="110">
        <v>34500</v>
      </c>
      <c r="Q178" s="110">
        <v>710.54</v>
      </c>
      <c r="R178" s="102">
        <f t="shared" si="22"/>
        <v>-2.8573372444056E-2</v>
      </c>
      <c r="S178" s="102">
        <f t="shared" si="22"/>
        <v>-6.1454039882953273E-3</v>
      </c>
      <c r="Y178" s="101">
        <v>41978</v>
      </c>
      <c r="Z178" s="110">
        <v>25958.09</v>
      </c>
      <c r="AA178" s="110">
        <v>578.76</v>
      </c>
      <c r="AB178" s="102">
        <f t="shared" si="20"/>
        <v>-1.4265536779940122E-2</v>
      </c>
      <c r="AC178" s="102">
        <f t="shared" si="20"/>
        <v>2.1269595365847948E-2</v>
      </c>
      <c r="BC178" s="101">
        <v>42048</v>
      </c>
      <c r="BD178" s="110">
        <v>161968.07810000001</v>
      </c>
      <c r="BE178" s="110">
        <v>587.24</v>
      </c>
      <c r="BF178" s="272">
        <f t="shared" si="21"/>
        <v>3.5559142200070858E-3</v>
      </c>
      <c r="BG178" s="272">
        <f t="shared" si="21"/>
        <v>2.2577743358369224E-2</v>
      </c>
    </row>
    <row r="179" spans="2:59" x14ac:dyDescent="0.3">
      <c r="B179" s="101">
        <v>41796</v>
      </c>
      <c r="C179" s="54">
        <v>559.04</v>
      </c>
      <c r="D179" s="102">
        <f t="shared" si="23"/>
        <v>-5.3023024091669591E-3</v>
      </c>
      <c r="E179" s="102"/>
      <c r="F179" s="54">
        <v>1949.44</v>
      </c>
      <c r="G179" s="102">
        <f t="shared" si="23"/>
        <v>1.3448951688787014E-2</v>
      </c>
      <c r="O179" s="101">
        <v>42810</v>
      </c>
      <c r="P179" s="110">
        <v>35500</v>
      </c>
      <c r="Q179" s="110">
        <v>714.92</v>
      </c>
      <c r="R179" s="102">
        <f t="shared" si="22"/>
        <v>1.9915309700941516E-2</v>
      </c>
      <c r="S179" s="102">
        <f t="shared" si="22"/>
        <v>2.4928937465095169E-3</v>
      </c>
      <c r="Y179" s="101">
        <v>41971</v>
      </c>
      <c r="Z179" s="110">
        <v>26331.05</v>
      </c>
      <c r="AA179" s="110">
        <v>566.58000000000004</v>
      </c>
      <c r="AB179" s="102">
        <f t="shared" si="20"/>
        <v>-6.3121057165072769E-2</v>
      </c>
      <c r="AC179" s="102">
        <f t="shared" si="20"/>
        <v>-3.7159678502260485E-2</v>
      </c>
      <c r="BC179" s="101">
        <v>42041</v>
      </c>
      <c r="BD179" s="110">
        <v>161393.1563</v>
      </c>
      <c r="BE179" s="110">
        <v>574.13</v>
      </c>
      <c r="BF179" s="272">
        <f t="shared" si="21"/>
        <v>1.5208841061305704E-2</v>
      </c>
      <c r="BG179" s="272">
        <f t="shared" si="21"/>
        <v>-3.3733295768765509E-3</v>
      </c>
    </row>
    <row r="180" spans="2:59" x14ac:dyDescent="0.3">
      <c r="B180" s="101">
        <v>41789</v>
      </c>
      <c r="C180" s="54">
        <v>562.02</v>
      </c>
      <c r="D180" s="102">
        <f t="shared" si="23"/>
        <v>3.7913904227224737E-2</v>
      </c>
      <c r="E180" s="102"/>
      <c r="F180" s="54">
        <v>1923.57</v>
      </c>
      <c r="G180" s="102">
        <f t="shared" si="23"/>
        <v>1.2122934128900864E-2</v>
      </c>
      <c r="O180" s="101">
        <v>42809</v>
      </c>
      <c r="P180" s="110">
        <v>34800</v>
      </c>
      <c r="Q180" s="110">
        <v>713.14</v>
      </c>
      <c r="R180" s="102">
        <f t="shared" si="22"/>
        <v>-7.9051659312239994E-3</v>
      </c>
      <c r="S180" s="102">
        <f t="shared" si="22"/>
        <v>-2.1991114370864041E-3</v>
      </c>
      <c r="Y180" s="101">
        <v>41964</v>
      </c>
      <c r="Z180" s="110">
        <v>28046.67</v>
      </c>
      <c r="AA180" s="110">
        <v>588.03</v>
      </c>
      <c r="AB180" s="102">
        <f t="shared" si="20"/>
        <v>2.6630385034038268E-3</v>
      </c>
      <c r="AC180" s="102">
        <f t="shared" si="20"/>
        <v>-2.075150828282063E-2</v>
      </c>
      <c r="BC180" s="101">
        <v>42034</v>
      </c>
      <c r="BD180" s="110">
        <v>158957.125</v>
      </c>
      <c r="BE180" s="110">
        <v>576.07000000000005</v>
      </c>
      <c r="BF180" s="272">
        <f t="shared" si="21"/>
        <v>-3.6515854602217526E-2</v>
      </c>
      <c r="BG180" s="272">
        <f t="shared" si="21"/>
        <v>-1.0893974543714617E-2</v>
      </c>
    </row>
    <row r="181" spans="2:59" x14ac:dyDescent="0.3">
      <c r="B181" s="101">
        <v>41782</v>
      </c>
      <c r="C181" s="54">
        <v>541.49</v>
      </c>
      <c r="D181" s="102">
        <f t="shared" si="23"/>
        <v>2.2663317531964822E-2</v>
      </c>
      <c r="E181" s="102"/>
      <c r="F181" s="54">
        <v>1900.53</v>
      </c>
      <c r="G181" s="102">
        <f t="shared" si="23"/>
        <v>1.2072252457584698E-2</v>
      </c>
      <c r="O181" s="101">
        <v>42808</v>
      </c>
      <c r="P181" s="110">
        <v>35076.19</v>
      </c>
      <c r="Q181" s="110">
        <v>714.71</v>
      </c>
      <c r="R181" s="102">
        <f t="shared" si="22"/>
        <v>-1.0444129476772071E-2</v>
      </c>
      <c r="S181" s="102">
        <f t="shared" si="22"/>
        <v>6.3724880180478722E-3</v>
      </c>
      <c r="Y181" s="101">
        <v>41957</v>
      </c>
      <c r="Z181" s="110">
        <v>27972.080000000002</v>
      </c>
      <c r="AA181" s="110">
        <v>600.36</v>
      </c>
      <c r="AB181" s="102">
        <f t="shared" si="20"/>
        <v>-1.061021967262522E-2</v>
      </c>
      <c r="AC181" s="102">
        <f t="shared" si="20"/>
        <v>-3.7075565143353624E-3</v>
      </c>
      <c r="BC181" s="101">
        <v>42027</v>
      </c>
      <c r="BD181" s="110">
        <v>164868.85939999999</v>
      </c>
      <c r="BE181" s="110">
        <v>582.38</v>
      </c>
      <c r="BF181" s="272">
        <f t="shared" si="21"/>
        <v>5.0514009518155528E-3</v>
      </c>
      <c r="BG181" s="272">
        <f t="shared" si="21"/>
        <v>1.3083604224342229E-2</v>
      </c>
    </row>
    <row r="182" spans="2:59" x14ac:dyDescent="0.3">
      <c r="B182" s="101">
        <v>41775</v>
      </c>
      <c r="C182" s="54">
        <v>529.49</v>
      </c>
      <c r="D182" s="102">
        <f t="shared" ref="D182:G197" si="24">C182/C183-1</f>
        <v>-2.3909597020978501E-2</v>
      </c>
      <c r="E182" s="102"/>
      <c r="F182" s="54">
        <v>1877.86</v>
      </c>
      <c r="G182" s="102">
        <f t="shared" si="24"/>
        <v>-3.3005408628261623E-4</v>
      </c>
      <c r="O182" s="101">
        <v>42807</v>
      </c>
      <c r="P182" s="110">
        <v>35444.449999999997</v>
      </c>
      <c r="Q182" s="110">
        <v>710.17</v>
      </c>
      <c r="R182" s="102">
        <f t="shared" si="22"/>
        <v>0</v>
      </c>
      <c r="S182" s="102">
        <f t="shared" si="22"/>
        <v>-2.8684337501159369E-3</v>
      </c>
      <c r="Y182" s="101">
        <v>41950</v>
      </c>
      <c r="Z182" s="110">
        <v>28270.45</v>
      </c>
      <c r="AA182" s="110">
        <v>602.59</v>
      </c>
      <c r="AB182" s="102">
        <f t="shared" si="20"/>
        <v>1.0610219672625145E-2</v>
      </c>
      <c r="AC182" s="102">
        <f t="shared" si="20"/>
        <v>2.9083556725955839E-3</v>
      </c>
      <c r="BC182" s="101">
        <v>42020</v>
      </c>
      <c r="BD182" s="110">
        <v>164038.14060000001</v>
      </c>
      <c r="BE182" s="110">
        <v>574.80999999999995</v>
      </c>
      <c r="BF182" s="272">
        <f t="shared" si="21"/>
        <v>3.4702874842280219E-2</v>
      </c>
      <c r="BG182" s="272">
        <f t="shared" si="21"/>
        <v>8.8769870148761847E-3</v>
      </c>
    </row>
    <row r="183" spans="2:59" x14ac:dyDescent="0.3">
      <c r="B183" s="101">
        <v>41768</v>
      </c>
      <c r="C183" s="54">
        <v>542.46</v>
      </c>
      <c r="D183" s="102">
        <f t="shared" si="24"/>
        <v>-6.1487889273356355E-2</v>
      </c>
      <c r="E183" s="102"/>
      <c r="F183" s="54">
        <v>1878.48</v>
      </c>
      <c r="G183" s="102">
        <f t="shared" si="24"/>
        <v>-1.4140361695568204E-3</v>
      </c>
      <c r="O183" s="101">
        <v>42804</v>
      </c>
      <c r="P183" s="110">
        <v>35444.449999999997</v>
      </c>
      <c r="Q183" s="110">
        <v>712.21</v>
      </c>
      <c r="R183" s="102">
        <f t="shared" si="22"/>
        <v>-1.2903195045709076E-2</v>
      </c>
      <c r="S183" s="102">
        <f t="shared" si="22"/>
        <v>-5.0279865871027014E-3</v>
      </c>
      <c r="Y183" s="101">
        <v>41943</v>
      </c>
      <c r="Z183" s="110">
        <v>27972.080000000002</v>
      </c>
      <c r="AA183" s="110">
        <v>600.84</v>
      </c>
      <c r="AB183" s="102">
        <f t="shared" si="20"/>
        <v>8.0322927857561909E-3</v>
      </c>
      <c r="AC183" s="102">
        <f t="shared" si="20"/>
        <v>1.5650086683567738E-2</v>
      </c>
      <c r="BC183" s="101">
        <v>42013</v>
      </c>
      <c r="BD183" s="110">
        <v>158443.1875</v>
      </c>
      <c r="BE183" s="110">
        <v>569.73</v>
      </c>
      <c r="BF183" s="272">
        <f t="shared" si="21"/>
        <v>2.0705645491032588E-2</v>
      </c>
      <c r="BG183" s="272">
        <f t="shared" si="21"/>
        <v>4.3221474039405829E-2</v>
      </c>
    </row>
    <row r="184" spans="2:59" x14ac:dyDescent="0.3">
      <c r="B184" s="101">
        <v>41761</v>
      </c>
      <c r="C184" s="54">
        <v>578</v>
      </c>
      <c r="D184" s="102">
        <f t="shared" si="24"/>
        <v>-1.5891660333032798E-3</v>
      </c>
      <c r="E184" s="102"/>
      <c r="F184" s="54">
        <v>1881.14</v>
      </c>
      <c r="G184" s="102">
        <f t="shared" si="24"/>
        <v>9.5202318342815229E-3</v>
      </c>
      <c r="O184" s="101">
        <v>42803</v>
      </c>
      <c r="P184" s="110">
        <v>35904.76</v>
      </c>
      <c r="Q184" s="110">
        <v>715.8</v>
      </c>
      <c r="R184" s="102">
        <f t="shared" si="22"/>
        <v>-1.2739096287453554E-2</v>
      </c>
      <c r="S184" s="102">
        <f t="shared" si="22"/>
        <v>-1.1170065389281365E-3</v>
      </c>
      <c r="Y184" s="101">
        <v>41936</v>
      </c>
      <c r="Z184" s="110">
        <v>27748.3</v>
      </c>
      <c r="AA184" s="110">
        <v>591.51</v>
      </c>
      <c r="AB184" s="102">
        <f t="shared" si="20"/>
        <v>1.0810959193421139E-2</v>
      </c>
      <c r="AC184" s="102">
        <f t="shared" si="20"/>
        <v>1.0588224243785166E-2</v>
      </c>
      <c r="BC184" s="101">
        <v>42006</v>
      </c>
      <c r="BD184" s="110">
        <v>155196.25</v>
      </c>
      <c r="BE184" s="110">
        <v>545.63</v>
      </c>
      <c r="BF184" s="272">
        <f t="shared" si="21"/>
        <v>-1.3373303643177223E-3</v>
      </c>
      <c r="BG184" s="272">
        <f t="shared" si="21"/>
        <v>2.2725723158267472E-2</v>
      </c>
    </row>
    <row r="185" spans="2:59" x14ac:dyDescent="0.3">
      <c r="B185" s="101">
        <v>41754</v>
      </c>
      <c r="C185" s="54">
        <v>578.91999999999996</v>
      </c>
      <c r="D185" s="102">
        <f t="shared" si="24"/>
        <v>2.4039056834061379E-2</v>
      </c>
      <c r="E185" s="102"/>
      <c r="F185" s="54">
        <v>1863.4</v>
      </c>
      <c r="G185" s="102">
        <f t="shared" si="24"/>
        <v>-7.7754242968597342E-4</v>
      </c>
      <c r="O185" s="101">
        <v>42802</v>
      </c>
      <c r="P185" s="110">
        <v>36365.08</v>
      </c>
      <c r="Q185" s="110">
        <v>716.6</v>
      </c>
      <c r="R185" s="102">
        <f t="shared" si="22"/>
        <v>-2.5283505238251217E-3</v>
      </c>
      <c r="S185" s="102">
        <f t="shared" si="22"/>
        <v>8.373222439551537E-5</v>
      </c>
      <c r="Y185" s="101">
        <v>41929</v>
      </c>
      <c r="Z185" s="110">
        <v>27449.93</v>
      </c>
      <c r="AA185" s="110">
        <v>585.28</v>
      </c>
      <c r="AB185" s="102">
        <f t="shared" si="20"/>
        <v>-4.7754444508840616E-2</v>
      </c>
      <c r="AC185" s="102">
        <f t="shared" si="20"/>
        <v>-5.3944915152299391E-2</v>
      </c>
      <c r="BC185" s="101">
        <v>41999</v>
      </c>
      <c r="BD185" s="110">
        <v>155403.9375</v>
      </c>
      <c r="BE185" s="110">
        <v>533.37</v>
      </c>
      <c r="BF185" s="272">
        <f t="shared" si="21"/>
        <v>6.8648539563641257E-3</v>
      </c>
      <c r="BG185" s="272">
        <f t="shared" si="21"/>
        <v>1.9461833806423443E-2</v>
      </c>
    </row>
    <row r="186" spans="2:59" x14ac:dyDescent="0.3">
      <c r="B186" s="101">
        <v>41747</v>
      </c>
      <c r="C186" s="54">
        <v>565.33000000000004</v>
      </c>
      <c r="D186" s="102">
        <f t="shared" si="24"/>
        <v>-5.8677589623191362E-2</v>
      </c>
      <c r="E186" s="102"/>
      <c r="F186" s="54">
        <v>1864.85</v>
      </c>
      <c r="G186" s="102">
        <f t="shared" si="24"/>
        <v>2.7075106433366747E-2</v>
      </c>
      <c r="O186" s="101">
        <v>42801</v>
      </c>
      <c r="P186" s="110">
        <v>36457.14</v>
      </c>
      <c r="Q186" s="110">
        <v>716.54</v>
      </c>
      <c r="R186" s="102">
        <f t="shared" si="22"/>
        <v>7.6045868221038312E-3</v>
      </c>
      <c r="S186" s="102">
        <f t="shared" si="22"/>
        <v>3.4895975452357359E-4</v>
      </c>
      <c r="Y186" s="101">
        <v>41922</v>
      </c>
      <c r="Z186" s="110">
        <v>28792.59</v>
      </c>
      <c r="AA186" s="110">
        <v>617.72</v>
      </c>
      <c r="AB186" s="102">
        <f t="shared" si="20"/>
        <v>1.0416802681117167E-2</v>
      </c>
      <c r="AC186" s="102">
        <f t="shared" si="20"/>
        <v>1.0038562421428228E-2</v>
      </c>
      <c r="BC186" s="101">
        <v>41992</v>
      </c>
      <c r="BD186" s="110">
        <v>154340.76560000001</v>
      </c>
      <c r="BE186" s="110">
        <v>523.09</v>
      </c>
      <c r="BF186" s="272">
        <f t="shared" si="21"/>
        <v>-3.5214678719735777E-2</v>
      </c>
      <c r="BG186" s="272">
        <f t="shared" si="21"/>
        <v>-5.7284791583190685E-2</v>
      </c>
    </row>
    <row r="187" spans="2:59" x14ac:dyDescent="0.3">
      <c r="B187" s="101">
        <v>41740</v>
      </c>
      <c r="C187" s="54">
        <v>600.57000000000005</v>
      </c>
      <c r="D187" s="102">
        <f t="shared" si="24"/>
        <v>1.2697288547147023E-2</v>
      </c>
      <c r="E187" s="102"/>
      <c r="F187" s="54">
        <v>1815.69</v>
      </c>
      <c r="G187" s="102">
        <f t="shared" si="24"/>
        <v>-2.6486657480335962E-2</v>
      </c>
      <c r="O187" s="101">
        <v>42800</v>
      </c>
      <c r="P187" s="110">
        <v>36180.949999999997</v>
      </c>
      <c r="Q187" s="110">
        <v>716.29</v>
      </c>
      <c r="R187" s="102">
        <f t="shared" si="22"/>
        <v>-5.0762362982786809E-3</v>
      </c>
      <c r="S187" s="102">
        <f t="shared" si="22"/>
        <v>5.136793877730461E-3</v>
      </c>
      <c r="Y187" s="101">
        <v>41915</v>
      </c>
      <c r="Z187" s="110">
        <v>28494.22</v>
      </c>
      <c r="AA187" s="110">
        <v>611.54999999999995</v>
      </c>
      <c r="AB187" s="102">
        <f t="shared" si="20"/>
        <v>-2.6146536356878259E-3</v>
      </c>
      <c r="AC187" s="102">
        <f t="shared" si="20"/>
        <v>1.0801318300192993E-2</v>
      </c>
      <c r="BC187" s="101">
        <v>41985</v>
      </c>
      <c r="BD187" s="110">
        <v>159872.6563</v>
      </c>
      <c r="BE187" s="110">
        <v>553.92999999999995</v>
      </c>
      <c r="BF187" s="272">
        <f t="shared" si="21"/>
        <v>-0.12151962852539044</v>
      </c>
      <c r="BG187" s="272">
        <f t="shared" si="21"/>
        <v>-4.3849558895523527E-2</v>
      </c>
    </row>
    <row r="188" spans="2:59" x14ac:dyDescent="0.3">
      <c r="B188" s="101">
        <v>41733</v>
      </c>
      <c r="C188" s="54">
        <v>593.04</v>
      </c>
      <c r="D188" s="102">
        <f t="shared" si="24"/>
        <v>-2.1033502162244311E-3</v>
      </c>
      <c r="E188" s="102"/>
      <c r="F188" s="54">
        <v>1865.09</v>
      </c>
      <c r="G188" s="102">
        <f t="shared" si="24"/>
        <v>4.0212745340812983E-3</v>
      </c>
      <c r="O188" s="101">
        <v>42797</v>
      </c>
      <c r="P188" s="110">
        <v>36365.08</v>
      </c>
      <c r="Q188" s="110">
        <v>712.62</v>
      </c>
      <c r="R188" s="102">
        <f t="shared" si="22"/>
        <v>7.6239117821070585E-3</v>
      </c>
      <c r="S188" s="102">
        <f t="shared" si="22"/>
        <v>7.1965553210808567E-3</v>
      </c>
      <c r="Y188" s="101">
        <v>41908</v>
      </c>
      <c r="Z188" s="110">
        <v>28568.82</v>
      </c>
      <c r="AA188" s="110">
        <v>604.98</v>
      </c>
      <c r="AB188" s="102">
        <f t="shared" si="20"/>
        <v>1.8446004980830107E-2</v>
      </c>
      <c r="AC188" s="102">
        <f t="shared" si="20"/>
        <v>-1.364250763184714E-2</v>
      </c>
      <c r="BC188" s="101">
        <v>41978</v>
      </c>
      <c r="BD188" s="110">
        <v>180530.04689999999</v>
      </c>
      <c r="BE188" s="110">
        <v>578.76</v>
      </c>
      <c r="BF188" s="272">
        <f t="shared" si="21"/>
        <v>9.9926170904677657E-3</v>
      </c>
      <c r="BG188" s="272">
        <f t="shared" si="21"/>
        <v>2.1269595365847948E-2</v>
      </c>
    </row>
    <row r="189" spans="2:59" x14ac:dyDescent="0.3">
      <c r="B189" s="101">
        <v>41726</v>
      </c>
      <c r="C189" s="54">
        <v>594.29</v>
      </c>
      <c r="D189" s="102">
        <f t="shared" si="24"/>
        <v>-1.2397174906522701E-2</v>
      </c>
      <c r="E189" s="102"/>
      <c r="F189" s="54">
        <v>1857.62</v>
      </c>
      <c r="G189" s="102">
        <f t="shared" si="24"/>
        <v>-4.7682317896406978E-3</v>
      </c>
      <c r="O189" s="101">
        <v>42796</v>
      </c>
      <c r="P189" s="110">
        <v>36088.89</v>
      </c>
      <c r="Q189" s="110">
        <v>707.51</v>
      </c>
      <c r="R189" s="102">
        <f t="shared" si="22"/>
        <v>-5.0891524948873277E-3</v>
      </c>
      <c r="S189" s="102">
        <f t="shared" si="22"/>
        <v>-2.8369213750737469E-3</v>
      </c>
      <c r="Y189" s="101">
        <v>41901</v>
      </c>
      <c r="Z189" s="110">
        <v>28046.67</v>
      </c>
      <c r="AA189" s="110">
        <v>613.29</v>
      </c>
      <c r="AB189" s="102">
        <f t="shared" si="20"/>
        <v>-3.6557564650075862E-2</v>
      </c>
      <c r="AC189" s="102">
        <f t="shared" si="20"/>
        <v>-3.0842313336649149E-2</v>
      </c>
      <c r="BC189" s="101">
        <v>41971</v>
      </c>
      <c r="BD189" s="110">
        <v>178735.0625</v>
      </c>
      <c r="BE189" s="110">
        <v>566.58000000000004</v>
      </c>
      <c r="BF189" s="272">
        <f t="shared" si="21"/>
        <v>-8.7796463871418984E-2</v>
      </c>
      <c r="BG189" s="272">
        <f t="shared" si="21"/>
        <v>-3.7159678502260485E-2</v>
      </c>
    </row>
    <row r="190" spans="2:59" x14ac:dyDescent="0.3">
      <c r="B190" s="101">
        <v>41719</v>
      </c>
      <c r="C190" s="54">
        <v>601.75</v>
      </c>
      <c r="D190" s="102">
        <f t="shared" si="24"/>
        <v>8.2435534406781752E-3</v>
      </c>
      <c r="E190" s="102"/>
      <c r="F190" s="54">
        <v>1866.52</v>
      </c>
      <c r="G190" s="102">
        <f t="shared" si="24"/>
        <v>1.3790443912162553E-2</v>
      </c>
      <c r="O190" s="101">
        <v>42795</v>
      </c>
      <c r="P190" s="110">
        <v>36273.019999999997</v>
      </c>
      <c r="Q190" s="110">
        <v>709.52</v>
      </c>
      <c r="R190" s="102">
        <f t="shared" si="22"/>
        <v>1.5345821203551156E-2</v>
      </c>
      <c r="S190" s="102">
        <f t="shared" si="22"/>
        <v>-1.7883424582982544E-3</v>
      </c>
      <c r="Y190" s="101">
        <v>41894</v>
      </c>
      <c r="Z190" s="110">
        <v>29090.959999999999</v>
      </c>
      <c r="AA190" s="110">
        <v>632.5</v>
      </c>
      <c r="AB190" s="102">
        <f t="shared" si="20"/>
        <v>-2.5317739234407843E-2</v>
      </c>
      <c r="AC190" s="102">
        <f t="shared" si="20"/>
        <v>-9.6763528871104849E-3</v>
      </c>
      <c r="BC190" s="101">
        <v>41964</v>
      </c>
      <c r="BD190" s="110">
        <v>195136.8438</v>
      </c>
      <c r="BE190" s="110">
        <v>588.03</v>
      </c>
      <c r="BF190" s="272">
        <f t="shared" si="21"/>
        <v>-2.5184801395288565E-2</v>
      </c>
      <c r="BG190" s="272">
        <f t="shared" si="21"/>
        <v>-2.075150828282063E-2</v>
      </c>
    </row>
    <row r="191" spans="2:59" x14ac:dyDescent="0.3">
      <c r="B191" s="101">
        <v>41712</v>
      </c>
      <c r="C191" s="54">
        <v>596.83000000000004</v>
      </c>
      <c r="D191" s="102">
        <f t="shared" si="24"/>
        <v>2.9460974557999231E-2</v>
      </c>
      <c r="E191" s="102"/>
      <c r="F191" s="54">
        <v>1841.13</v>
      </c>
      <c r="G191" s="102">
        <f t="shared" si="24"/>
        <v>-1.9653468509722827E-2</v>
      </c>
      <c r="O191" s="101">
        <v>42794</v>
      </c>
      <c r="P191" s="110">
        <v>35720.629999999997</v>
      </c>
      <c r="Q191" s="110">
        <v>710.79</v>
      </c>
      <c r="R191" s="102">
        <f t="shared" si="22"/>
        <v>-5.1414842033173326E-3</v>
      </c>
      <c r="S191" s="102">
        <f t="shared" si="22"/>
        <v>-9.3122929172452934E-3</v>
      </c>
      <c r="Y191" s="101">
        <v>41887</v>
      </c>
      <c r="Z191" s="110">
        <v>29836.880000000001</v>
      </c>
      <c r="AA191" s="110">
        <v>638.65</v>
      </c>
      <c r="AB191" s="102">
        <f t="shared" si="20"/>
        <v>-2.9558919383330922E-2</v>
      </c>
      <c r="AC191" s="102">
        <f t="shared" si="20"/>
        <v>3.1365194693413734E-3</v>
      </c>
      <c r="BC191" s="101">
        <v>41957</v>
      </c>
      <c r="BD191" s="110">
        <v>200113.73439999999</v>
      </c>
      <c r="BE191" s="110">
        <v>600.36</v>
      </c>
      <c r="BF191" s="272">
        <f t="shared" si="21"/>
        <v>-9.2421914312019859E-3</v>
      </c>
      <c r="BG191" s="272">
        <f t="shared" si="21"/>
        <v>-3.7075565143353624E-3</v>
      </c>
    </row>
    <row r="192" spans="2:59" x14ac:dyDescent="0.3">
      <c r="B192" s="101">
        <v>41705</v>
      </c>
      <c r="C192" s="54">
        <v>579.75</v>
      </c>
      <c r="D192" s="102">
        <f t="shared" si="24"/>
        <v>-1.1475242122493512E-2</v>
      </c>
      <c r="E192" s="102"/>
      <c r="F192" s="54">
        <v>1878.04</v>
      </c>
      <c r="G192" s="102">
        <f t="shared" si="24"/>
        <v>9.997579929549083E-3</v>
      </c>
      <c r="O192" s="101">
        <v>42793</v>
      </c>
      <c r="P192" s="110">
        <v>35904.76</v>
      </c>
      <c r="Q192" s="110">
        <v>717.44</v>
      </c>
      <c r="R192" s="102">
        <f t="shared" si="22"/>
        <v>0</v>
      </c>
      <c r="S192" s="102">
        <f t="shared" si="22"/>
        <v>4.1483113590929602E-3</v>
      </c>
      <c r="Y192" s="101">
        <v>41880</v>
      </c>
      <c r="Z192" s="110">
        <v>30731.99</v>
      </c>
      <c r="AA192" s="110">
        <v>636.65</v>
      </c>
      <c r="AB192" s="102">
        <f t="shared" si="20"/>
        <v>5.4876658617738855E-2</v>
      </c>
      <c r="AC192" s="102">
        <f t="shared" si="20"/>
        <v>2.6274795019134104E-2</v>
      </c>
      <c r="BC192" s="101">
        <v>41950</v>
      </c>
      <c r="BD192" s="110">
        <v>201971.79689999999</v>
      </c>
      <c r="BE192" s="110">
        <v>602.59</v>
      </c>
      <c r="BF192" s="272">
        <f t="shared" si="21"/>
        <v>5.8643583650622184E-3</v>
      </c>
      <c r="BG192" s="272">
        <f t="shared" si="21"/>
        <v>2.9083556725955839E-3</v>
      </c>
    </row>
    <row r="193" spans="2:59" x14ac:dyDescent="0.3">
      <c r="B193" s="101">
        <v>41698</v>
      </c>
      <c r="C193" s="54">
        <v>586.48</v>
      </c>
      <c r="D193" s="102">
        <f t="shared" si="24"/>
        <v>2.7884396305448922E-2</v>
      </c>
      <c r="E193" s="102"/>
      <c r="F193" s="54">
        <v>1859.45</v>
      </c>
      <c r="G193" s="102">
        <f t="shared" si="24"/>
        <v>1.2634445200816913E-2</v>
      </c>
      <c r="O193" s="101">
        <v>42790</v>
      </c>
      <c r="P193" s="110">
        <v>35904.76</v>
      </c>
      <c r="Q193" s="110">
        <v>714.47</v>
      </c>
      <c r="R193" s="102">
        <f t="shared" si="22"/>
        <v>-7.6628599891748837E-3</v>
      </c>
      <c r="S193" s="102">
        <f t="shared" si="22"/>
        <v>-3.3535040580119613E-3</v>
      </c>
      <c r="Y193" s="101">
        <v>41873</v>
      </c>
      <c r="Z193" s="110">
        <v>29090.959999999999</v>
      </c>
      <c r="AA193" s="110">
        <v>620.14</v>
      </c>
      <c r="AB193" s="102">
        <f t="shared" si="20"/>
        <v>6.8992601398174924E-2</v>
      </c>
      <c r="AC193" s="102">
        <f t="shared" si="20"/>
        <v>2.5973788995117996E-2</v>
      </c>
      <c r="BC193" s="101">
        <v>41943</v>
      </c>
      <c r="BD193" s="110">
        <v>200790.82810000001</v>
      </c>
      <c r="BE193" s="110">
        <v>600.84</v>
      </c>
      <c r="BF193" s="272">
        <f t="shared" si="21"/>
        <v>1.1997967940928944E-2</v>
      </c>
      <c r="BG193" s="272">
        <f t="shared" si="21"/>
        <v>1.5650086683567738E-2</v>
      </c>
    </row>
    <row r="194" spans="2:59" x14ac:dyDescent="0.3">
      <c r="B194" s="101">
        <v>41691</v>
      </c>
      <c r="C194" s="54">
        <v>570.57000000000005</v>
      </c>
      <c r="D194" s="102">
        <f t="shared" si="24"/>
        <v>-2.8835063437139263E-3</v>
      </c>
      <c r="E194" s="102"/>
      <c r="F194" s="54">
        <v>1836.25</v>
      </c>
      <c r="G194" s="102">
        <f t="shared" si="24"/>
        <v>-1.2944420574014792E-3</v>
      </c>
      <c r="O194" s="101">
        <v>42789</v>
      </c>
      <c r="P194" s="110">
        <v>36180.949999999997</v>
      </c>
      <c r="Q194" s="110">
        <v>716.87</v>
      </c>
      <c r="R194" s="102">
        <f t="shared" si="22"/>
        <v>0</v>
      </c>
      <c r="S194" s="102">
        <f t="shared" si="22"/>
        <v>-5.1599948150358121E-4</v>
      </c>
      <c r="Y194" s="101">
        <v>41866</v>
      </c>
      <c r="Z194" s="110">
        <v>27151.57</v>
      </c>
      <c r="AA194" s="110">
        <v>604.24</v>
      </c>
      <c r="AB194" s="102">
        <f t="shared" si="20"/>
        <v>-2.1739705458938961E-2</v>
      </c>
      <c r="AC194" s="102">
        <f t="shared" si="20"/>
        <v>-1.9674793685412373E-3</v>
      </c>
      <c r="BC194" s="101">
        <v>41936</v>
      </c>
      <c r="BD194" s="110">
        <v>198396.14060000001</v>
      </c>
      <c r="BE194" s="110">
        <v>591.51</v>
      </c>
      <c r="BF194" s="272">
        <f t="shared" si="21"/>
        <v>1.5033261380892301E-2</v>
      </c>
      <c r="BG194" s="272">
        <f t="shared" si="21"/>
        <v>1.0588224243785166E-2</v>
      </c>
    </row>
    <row r="195" spans="2:59" x14ac:dyDescent="0.3">
      <c r="B195" s="101">
        <v>41684</v>
      </c>
      <c r="C195" s="54">
        <v>572.22</v>
      </c>
      <c r="D195" s="102">
        <f t="shared" si="24"/>
        <v>4.0854190919674016E-2</v>
      </c>
      <c r="E195" s="102"/>
      <c r="F195" s="54">
        <v>1838.63</v>
      </c>
      <c r="G195" s="102">
        <f t="shared" si="24"/>
        <v>2.3155001057306057E-2</v>
      </c>
      <c r="O195" s="101">
        <v>42788</v>
      </c>
      <c r="P195" s="110">
        <v>36180.949999999997</v>
      </c>
      <c r="Q195" s="110">
        <v>717.24</v>
      </c>
      <c r="R195" s="102">
        <f t="shared" si="22"/>
        <v>0</v>
      </c>
      <c r="S195" s="102">
        <f t="shared" si="22"/>
        <v>9.6248412008255165E-4</v>
      </c>
      <c r="Y195" s="101">
        <v>41859</v>
      </c>
      <c r="Z195" s="110">
        <v>27748.3</v>
      </c>
      <c r="AA195" s="110">
        <v>605.42999999999995</v>
      </c>
      <c r="AB195" s="102">
        <f t="shared" si="20"/>
        <v>2.4491025965030343E-2</v>
      </c>
      <c r="AC195" s="102">
        <f t="shared" si="20"/>
        <v>1.9227994351919353E-2</v>
      </c>
      <c r="BC195" s="101">
        <v>41929</v>
      </c>
      <c r="BD195" s="110">
        <v>195435.9063</v>
      </c>
      <c r="BE195" s="110">
        <v>585.28</v>
      </c>
      <c r="BF195" s="272">
        <f t="shared" si="21"/>
        <v>-8.165327746454519E-2</v>
      </c>
      <c r="BG195" s="272">
        <f t="shared" si="21"/>
        <v>-5.3944915152299391E-2</v>
      </c>
    </row>
    <row r="196" spans="2:59" x14ac:dyDescent="0.3">
      <c r="B196" s="101">
        <v>41677</v>
      </c>
      <c r="C196" s="54">
        <v>549.76</v>
      </c>
      <c r="D196" s="102">
        <f t="shared" si="24"/>
        <v>-1.2146912959102973E-2</v>
      </c>
      <c r="E196" s="102"/>
      <c r="F196" s="54">
        <v>1797.02</v>
      </c>
      <c r="G196" s="102">
        <f t="shared" si="24"/>
        <v>8.0949629471724904E-3</v>
      </c>
      <c r="O196" s="101">
        <v>42787</v>
      </c>
      <c r="P196" s="110">
        <v>36180.949999999997</v>
      </c>
      <c r="Q196" s="110">
        <v>716.55</v>
      </c>
      <c r="R196" s="102">
        <f t="shared" si="22"/>
        <v>0</v>
      </c>
      <c r="S196" s="102">
        <f t="shared" si="22"/>
        <v>8.352417630865621E-3</v>
      </c>
      <c r="Y196" s="101">
        <v>41852</v>
      </c>
      <c r="Z196" s="110">
        <v>27076.97</v>
      </c>
      <c r="AA196" s="110">
        <v>593.9</v>
      </c>
      <c r="AB196" s="102">
        <f t="shared" si="20"/>
        <v>-2.4491025965030257E-2</v>
      </c>
      <c r="AC196" s="102">
        <f t="shared" si="20"/>
        <v>-1.045200630967685E-2</v>
      </c>
      <c r="BC196" s="101">
        <v>41922</v>
      </c>
      <c r="BD196" s="110">
        <v>212063.5</v>
      </c>
      <c r="BE196" s="110">
        <v>617.72</v>
      </c>
      <c r="BF196" s="272">
        <f t="shared" si="21"/>
        <v>2.8524952421182592E-2</v>
      </c>
      <c r="BG196" s="272">
        <f t="shared" si="21"/>
        <v>1.0038562421428228E-2</v>
      </c>
    </row>
    <row r="197" spans="2:59" x14ac:dyDescent="0.3">
      <c r="B197" s="101">
        <v>41670</v>
      </c>
      <c r="C197" s="54">
        <v>556.52</v>
      </c>
      <c r="D197" s="102">
        <f t="shared" si="24"/>
        <v>-6.5513486495654139E-3</v>
      </c>
      <c r="E197" s="102"/>
      <c r="F197" s="54">
        <v>1782.59</v>
      </c>
      <c r="G197" s="102">
        <f t="shared" si="24"/>
        <v>-4.3009791709722744E-3</v>
      </c>
      <c r="O197" s="101">
        <v>42786</v>
      </c>
      <c r="P197" s="110">
        <v>36180.949999999997</v>
      </c>
      <c r="Q197" s="110">
        <v>710.59</v>
      </c>
      <c r="R197" s="102">
        <f t="shared" si="22"/>
        <v>-5.0762362982786809E-3</v>
      </c>
      <c r="S197" s="102">
        <f t="shared" si="22"/>
        <v>3.8916590055855962E-3</v>
      </c>
      <c r="Y197" s="101">
        <v>41845</v>
      </c>
      <c r="Z197" s="110">
        <v>27748.3</v>
      </c>
      <c r="AA197" s="110">
        <v>600.14</v>
      </c>
      <c r="AB197" s="102">
        <f t="shared" si="20"/>
        <v>-1.0695331289159919E-2</v>
      </c>
      <c r="AC197" s="102">
        <f t="shared" si="20"/>
        <v>6.4861477811106408E-3</v>
      </c>
      <c r="BC197" s="101">
        <v>41915</v>
      </c>
      <c r="BD197" s="110">
        <v>206099.85939999999</v>
      </c>
      <c r="BE197" s="110">
        <v>611.54999999999995</v>
      </c>
      <c r="BF197" s="272">
        <f t="shared" si="21"/>
        <v>1.9622268362948605E-4</v>
      </c>
      <c r="BG197" s="272">
        <f t="shared" si="21"/>
        <v>1.0801318300192993E-2</v>
      </c>
    </row>
    <row r="198" spans="2:59" x14ac:dyDescent="0.3">
      <c r="B198" s="101">
        <v>41663</v>
      </c>
      <c r="C198" s="54">
        <v>560.19000000000005</v>
      </c>
      <c r="D198" s="102">
        <f t="shared" ref="D198:G213" si="25">C198/C199-1</f>
        <v>3.0537721444471089E-2</v>
      </c>
      <c r="E198" s="102"/>
      <c r="F198" s="54">
        <v>1790.29</v>
      </c>
      <c r="G198" s="102">
        <f t="shared" si="25"/>
        <v>-2.6328384184478248E-2</v>
      </c>
      <c r="O198" s="101">
        <v>42783</v>
      </c>
      <c r="P198" s="110">
        <v>36365.08</v>
      </c>
      <c r="Q198" s="110">
        <v>707.83</v>
      </c>
      <c r="R198" s="102">
        <f t="shared" si="22"/>
        <v>-5.050598213523219E-3</v>
      </c>
      <c r="S198" s="102">
        <f t="shared" si="22"/>
        <v>-2.1451058903652889E-3</v>
      </c>
      <c r="Y198" s="101">
        <v>41838</v>
      </c>
      <c r="Z198" s="110">
        <v>28046.67</v>
      </c>
      <c r="AA198" s="110">
        <v>596.26</v>
      </c>
      <c r="AB198" s="102">
        <f t="shared" si="20"/>
        <v>-1.0582150615107068E-2</v>
      </c>
      <c r="AC198" s="102">
        <f t="shared" si="20"/>
        <v>2.2884216189113162E-2</v>
      </c>
      <c r="BC198" s="101">
        <v>41908</v>
      </c>
      <c r="BD198" s="110">
        <v>206059.42189999999</v>
      </c>
      <c r="BE198" s="110">
        <v>604.98</v>
      </c>
      <c r="BF198" s="272">
        <f t="shared" si="21"/>
        <v>-3.8215044932275913E-2</v>
      </c>
      <c r="BG198" s="272">
        <f t="shared" si="21"/>
        <v>-1.364250763184714E-2</v>
      </c>
    </row>
    <row r="199" spans="2:59" x14ac:dyDescent="0.3">
      <c r="B199" s="101">
        <v>41656</v>
      </c>
      <c r="C199" s="54">
        <v>543.59</v>
      </c>
      <c r="D199" s="102">
        <f t="shared" si="25"/>
        <v>4.7500674451766978E-2</v>
      </c>
      <c r="E199" s="102"/>
      <c r="F199" s="54">
        <v>1838.7</v>
      </c>
      <c r="G199" s="102">
        <f t="shared" si="25"/>
        <v>-1.9919994355096504E-3</v>
      </c>
      <c r="O199" s="101">
        <v>42782</v>
      </c>
      <c r="P199" s="110">
        <v>36549.21</v>
      </c>
      <c r="Q199" s="110">
        <v>709.35</v>
      </c>
      <c r="R199" s="102">
        <f t="shared" si="22"/>
        <v>5.0505982135230785E-3</v>
      </c>
      <c r="S199" s="102">
        <f t="shared" si="22"/>
        <v>-3.124738628970235E-3</v>
      </c>
      <c r="Y199" s="101">
        <v>41831</v>
      </c>
      <c r="Z199" s="110">
        <v>28345.040000000001</v>
      </c>
      <c r="AA199" s="110">
        <v>582.77</v>
      </c>
      <c r="AB199" s="102">
        <f t="shared" si="20"/>
        <v>2.6668170802075761E-2</v>
      </c>
      <c r="AC199" s="102">
        <f t="shared" si="20"/>
        <v>-1.122763731131087E-2</v>
      </c>
      <c r="BC199" s="101">
        <v>41901</v>
      </c>
      <c r="BD199" s="110">
        <v>214086.39060000001</v>
      </c>
      <c r="BE199" s="110">
        <v>613.29</v>
      </c>
      <c r="BF199" s="272">
        <f t="shared" si="21"/>
        <v>-2.2315532798035862E-2</v>
      </c>
      <c r="BG199" s="272">
        <f t="shared" si="21"/>
        <v>-3.0842313336649149E-2</v>
      </c>
    </row>
    <row r="200" spans="2:59" x14ac:dyDescent="0.3">
      <c r="B200" s="101">
        <v>41649</v>
      </c>
      <c r="C200" s="54">
        <v>518.94000000000005</v>
      </c>
      <c r="D200" s="102">
        <f t="shared" si="25"/>
        <v>2.6851613669192975E-2</v>
      </c>
      <c r="E200" s="102"/>
      <c r="F200" s="54">
        <v>1842.37</v>
      </c>
      <c r="G200" s="102">
        <f t="shared" si="25"/>
        <v>6.0064323430000233E-3</v>
      </c>
      <c r="O200" s="101">
        <v>42781</v>
      </c>
      <c r="P200" s="110">
        <v>36365.08</v>
      </c>
      <c r="Q200" s="110">
        <v>711.57</v>
      </c>
      <c r="R200" s="102">
        <f t="shared" si="22"/>
        <v>-7.5662272556960685E-3</v>
      </c>
      <c r="S200" s="102">
        <f t="shared" si="22"/>
        <v>7.4903547345204317E-3</v>
      </c>
      <c r="Y200" s="101">
        <v>41824</v>
      </c>
      <c r="Z200" s="110">
        <v>27599.119999999999</v>
      </c>
      <c r="AA200" s="110">
        <v>589.35</v>
      </c>
      <c r="AB200" s="102">
        <f t="shared" si="20"/>
        <v>-8.0751750423084957E-3</v>
      </c>
      <c r="AC200" s="102">
        <f t="shared" si="20"/>
        <v>1.8028686262061114E-2</v>
      </c>
      <c r="BC200" s="101">
        <v>41894</v>
      </c>
      <c r="BD200" s="110">
        <v>218917.54689999999</v>
      </c>
      <c r="BE200" s="110">
        <v>632.5</v>
      </c>
      <c r="BF200" s="272">
        <f t="shared" si="21"/>
        <v>-7.5754097351172578E-3</v>
      </c>
      <c r="BG200" s="272">
        <f t="shared" si="21"/>
        <v>-9.6763528871104849E-3</v>
      </c>
    </row>
    <row r="201" spans="2:59" x14ac:dyDescent="0.3">
      <c r="B201" s="101">
        <v>41642</v>
      </c>
      <c r="C201" s="54">
        <v>505.37</v>
      </c>
      <c r="D201" s="102">
        <f t="shared" si="25"/>
        <v>-2.0536719259098835E-3</v>
      </c>
      <c r="E201" s="102"/>
      <c r="F201" s="54">
        <v>1831.37</v>
      </c>
      <c r="G201" s="102">
        <f t="shared" si="25"/>
        <v>-5.446942543716804E-3</v>
      </c>
      <c r="O201" s="101">
        <v>42780</v>
      </c>
      <c r="P201" s="110">
        <v>36641.269999999997</v>
      </c>
      <c r="Q201" s="110">
        <v>706.26</v>
      </c>
      <c r="R201" s="102">
        <f t="shared" si="22"/>
        <v>7.5662272556959948E-3</v>
      </c>
      <c r="S201" s="102">
        <f t="shared" si="22"/>
        <v>5.0985725101773541E-4</v>
      </c>
      <c r="Y201" s="101">
        <v>41817</v>
      </c>
      <c r="Z201" s="110">
        <v>27822.89</v>
      </c>
      <c r="AA201" s="110">
        <v>578.82000000000005</v>
      </c>
      <c r="AB201" s="102">
        <f t="shared" si="20"/>
        <v>-2.6776574234619105E-3</v>
      </c>
      <c r="AC201" s="102">
        <f t="shared" si="20"/>
        <v>3.1662876664177338E-2</v>
      </c>
      <c r="BC201" s="101">
        <v>41887</v>
      </c>
      <c r="BD201" s="110">
        <v>220582.23439999999</v>
      </c>
      <c r="BE201" s="110">
        <v>638.65</v>
      </c>
      <c r="BF201" s="272">
        <f t="shared" si="21"/>
        <v>6.6233275128723516E-5</v>
      </c>
      <c r="BG201" s="272">
        <f t="shared" si="21"/>
        <v>3.1365194693413734E-3</v>
      </c>
    </row>
    <row r="202" spans="2:59" x14ac:dyDescent="0.3">
      <c r="B202" s="101">
        <v>41635</v>
      </c>
      <c r="C202" s="54">
        <v>506.41</v>
      </c>
      <c r="D202" s="102">
        <f t="shared" si="25"/>
        <v>3.885419764099618E-3</v>
      </c>
      <c r="E202" s="102"/>
      <c r="F202" s="54">
        <v>1841.4</v>
      </c>
      <c r="G202" s="102">
        <f t="shared" si="25"/>
        <v>1.2693035329315094E-2</v>
      </c>
      <c r="O202" s="101">
        <v>42779</v>
      </c>
      <c r="P202" s="110">
        <v>36365.08</v>
      </c>
      <c r="Q202" s="110">
        <v>705.9</v>
      </c>
      <c r="R202" s="102">
        <f t="shared" si="22"/>
        <v>1.0178372300429301E-2</v>
      </c>
      <c r="S202" s="102">
        <f t="shared" si="22"/>
        <v>3.0077770816839696E-3</v>
      </c>
      <c r="Y202" s="101">
        <v>41810</v>
      </c>
      <c r="Z202" s="110">
        <v>27897.49</v>
      </c>
      <c r="AA202" s="110">
        <v>560.78</v>
      </c>
      <c r="AB202" s="102">
        <f t="shared" si="20"/>
        <v>-2.6701492177942754E-3</v>
      </c>
      <c r="AC202" s="102">
        <f t="shared" si="20"/>
        <v>-2.413661205572222E-2</v>
      </c>
      <c r="BC202" s="101">
        <v>41880</v>
      </c>
      <c r="BD202" s="110">
        <v>220567.625</v>
      </c>
      <c r="BE202" s="110">
        <v>636.65</v>
      </c>
      <c r="BF202" s="272">
        <f t="shared" si="21"/>
        <v>2.4294008102660605E-2</v>
      </c>
      <c r="BG202" s="272">
        <f t="shared" si="21"/>
        <v>2.6274795019134104E-2</v>
      </c>
    </row>
    <row r="203" spans="2:59" x14ac:dyDescent="0.3">
      <c r="B203" s="101">
        <v>41628</v>
      </c>
      <c r="C203" s="54">
        <v>504.45</v>
      </c>
      <c r="D203" s="102">
        <f t="shared" si="25"/>
        <v>-3.1814409358574824E-3</v>
      </c>
      <c r="E203" s="102"/>
      <c r="F203" s="54">
        <v>1818.32</v>
      </c>
      <c r="G203" s="102">
        <f t="shared" si="25"/>
        <v>2.4220985512471094E-2</v>
      </c>
      <c r="O203" s="101">
        <v>42776</v>
      </c>
      <c r="P203" s="110">
        <v>35996.82</v>
      </c>
      <c r="Q203" s="110">
        <v>703.78</v>
      </c>
      <c r="R203" s="102">
        <f t="shared" si="22"/>
        <v>7.7022081903413784E-3</v>
      </c>
      <c r="S203" s="102">
        <f t="shared" si="22"/>
        <v>4.4573317035156903E-3</v>
      </c>
      <c r="Y203" s="101">
        <v>41803</v>
      </c>
      <c r="Z203" s="110">
        <v>27972.080000000002</v>
      </c>
      <c r="AA203" s="110">
        <v>574.48</v>
      </c>
      <c r="AB203" s="102">
        <f t="shared" si="20"/>
        <v>-2.3716529410279574E-2</v>
      </c>
      <c r="AC203" s="102">
        <f t="shared" si="20"/>
        <v>2.7244256856370469E-2</v>
      </c>
      <c r="BC203" s="101">
        <v>41873</v>
      </c>
      <c r="BD203" s="110">
        <v>215273.7188</v>
      </c>
      <c r="BE203" s="110">
        <v>620.14</v>
      </c>
      <c r="BF203" s="272">
        <f t="shared" si="21"/>
        <v>5.7159976721491368E-2</v>
      </c>
      <c r="BG203" s="272">
        <f t="shared" si="21"/>
        <v>2.5973788995117996E-2</v>
      </c>
    </row>
    <row r="204" spans="2:59" x14ac:dyDescent="0.3">
      <c r="B204" s="101">
        <v>41621</v>
      </c>
      <c r="C204" s="54">
        <v>506.06</v>
      </c>
      <c r="D204" s="102">
        <f t="shared" si="25"/>
        <v>-7.9589116286363781E-3</v>
      </c>
      <c r="E204" s="102"/>
      <c r="F204" s="54">
        <v>1775.32</v>
      </c>
      <c r="G204" s="102">
        <f t="shared" si="25"/>
        <v>-1.6492252463866097E-2</v>
      </c>
      <c r="O204" s="101">
        <v>42775</v>
      </c>
      <c r="P204" s="110">
        <v>35720.629999999997</v>
      </c>
      <c r="Q204" s="110">
        <v>700.65</v>
      </c>
      <c r="R204" s="102">
        <f t="shared" si="22"/>
        <v>0</v>
      </c>
      <c r="S204" s="102">
        <f t="shared" si="22"/>
        <v>-1.9819068432626367E-3</v>
      </c>
      <c r="Y204" s="101">
        <v>41796</v>
      </c>
      <c r="Z204" s="110">
        <v>28643.41</v>
      </c>
      <c r="AA204" s="110">
        <v>559.04</v>
      </c>
      <c r="AB204" s="102">
        <f t="shared" si="20"/>
        <v>5.0042737117366218E-2</v>
      </c>
      <c r="AC204" s="102">
        <f t="shared" si="20"/>
        <v>-5.3164095034024823E-3</v>
      </c>
      <c r="BC204" s="101">
        <v>41866</v>
      </c>
      <c r="BD204" s="110">
        <v>203313.75</v>
      </c>
      <c r="BE204" s="110">
        <v>604.24</v>
      </c>
      <c r="BF204" s="272">
        <f t="shared" si="21"/>
        <v>-6.7271267328304421E-3</v>
      </c>
      <c r="BG204" s="272">
        <f t="shared" si="21"/>
        <v>-1.9674793685412373E-3</v>
      </c>
    </row>
    <row r="205" spans="2:59" x14ac:dyDescent="0.3">
      <c r="B205" s="101">
        <v>41614</v>
      </c>
      <c r="C205" s="54">
        <v>510.12</v>
      </c>
      <c r="D205" s="102">
        <f t="shared" si="25"/>
        <v>4.6082949308756671E-3</v>
      </c>
      <c r="E205" s="102"/>
      <c r="F205" s="54">
        <v>1805.09</v>
      </c>
      <c r="G205" s="102">
        <f t="shared" si="25"/>
        <v>-3.9871304290040044E-4</v>
      </c>
      <c r="O205" s="101">
        <v>42774</v>
      </c>
      <c r="P205" s="110">
        <v>35720.629999999997</v>
      </c>
      <c r="Q205" s="110">
        <v>702.04</v>
      </c>
      <c r="R205" s="102">
        <f t="shared" si="22"/>
        <v>1.0362676221904312E-2</v>
      </c>
      <c r="S205" s="102">
        <f t="shared" si="22"/>
        <v>1.8519178086323431E-4</v>
      </c>
      <c r="Y205" s="101">
        <v>41789</v>
      </c>
      <c r="Z205" s="110">
        <v>27245.29</v>
      </c>
      <c r="AA205" s="110">
        <v>562.02</v>
      </c>
      <c r="AB205" s="102">
        <f t="shared" si="20"/>
        <v>0</v>
      </c>
      <c r="AC205" s="102">
        <f t="shared" si="20"/>
        <v>3.7212837399253268E-2</v>
      </c>
      <c r="BC205" s="101">
        <v>41859</v>
      </c>
      <c r="BD205" s="110">
        <v>204686.07810000001</v>
      </c>
      <c r="BE205" s="110">
        <v>605.42999999999995</v>
      </c>
      <c r="BF205" s="272">
        <f t="shared" si="21"/>
        <v>2.8478291548465817E-2</v>
      </c>
      <c r="BG205" s="272">
        <f t="shared" si="21"/>
        <v>1.9227994351919353E-2</v>
      </c>
    </row>
    <row r="206" spans="2:59" x14ac:dyDescent="0.3">
      <c r="B206" s="101">
        <v>41607</v>
      </c>
      <c r="C206" s="54">
        <v>507.78</v>
      </c>
      <c r="D206" s="102">
        <f t="shared" si="25"/>
        <v>4.2322601060043041E-3</v>
      </c>
      <c r="E206" s="102"/>
      <c r="F206" s="54">
        <v>1805.81</v>
      </c>
      <c r="G206" s="102">
        <f t="shared" si="25"/>
        <v>5.8179480928211014E-4</v>
      </c>
      <c r="O206" s="101">
        <v>42773</v>
      </c>
      <c r="P206" s="110">
        <v>35352.379999999997</v>
      </c>
      <c r="Q206" s="110">
        <v>701.91</v>
      </c>
      <c r="R206" s="102">
        <f t="shared" si="22"/>
        <v>-5.1949018835795264E-3</v>
      </c>
      <c r="S206" s="102">
        <f t="shared" si="22"/>
        <v>2.6677144106694479E-3</v>
      </c>
      <c r="Y206" s="101">
        <v>41782</v>
      </c>
      <c r="Z206" s="110">
        <v>27245.29</v>
      </c>
      <c r="AA206" s="110">
        <v>541.49</v>
      </c>
      <c r="AB206" s="102">
        <f t="shared" si="20"/>
        <v>2.6317313211185758E-2</v>
      </c>
      <c r="AC206" s="102">
        <f t="shared" si="20"/>
        <v>2.2410319927982945E-2</v>
      </c>
      <c r="BC206" s="101">
        <v>41852</v>
      </c>
      <c r="BD206" s="110">
        <v>198939.1875</v>
      </c>
      <c r="BE206" s="110">
        <v>593.9</v>
      </c>
      <c r="BF206" s="272">
        <f t="shared" si="21"/>
        <v>-1.3625917951197211E-2</v>
      </c>
      <c r="BG206" s="272">
        <f t="shared" si="21"/>
        <v>-1.045200630967685E-2</v>
      </c>
    </row>
    <row r="207" spans="2:59" x14ac:dyDescent="0.3">
      <c r="B207" s="101">
        <v>41600</v>
      </c>
      <c r="C207" s="54">
        <v>505.64</v>
      </c>
      <c r="D207" s="102">
        <f t="shared" si="25"/>
        <v>8.5770136035425715E-3</v>
      </c>
      <c r="E207" s="102"/>
      <c r="F207" s="54">
        <v>1804.76</v>
      </c>
      <c r="G207" s="102">
        <f t="shared" si="25"/>
        <v>3.6592554694190316E-3</v>
      </c>
      <c r="O207" s="101">
        <v>42772</v>
      </c>
      <c r="P207" s="110">
        <v>35536.51</v>
      </c>
      <c r="Q207" s="110">
        <v>700.04</v>
      </c>
      <c r="R207" s="102">
        <f t="shared" si="22"/>
        <v>5.1949018835794926E-3</v>
      </c>
      <c r="S207" s="102">
        <f t="shared" si="22"/>
        <v>-4.4273381709913602E-4</v>
      </c>
      <c r="Y207" s="101">
        <v>41775</v>
      </c>
      <c r="Z207" s="110">
        <v>26537.62</v>
      </c>
      <c r="AA207" s="110">
        <v>529.49</v>
      </c>
      <c r="AB207" s="102">
        <f t="shared" si="20"/>
        <v>-3.6653033819465088E-2</v>
      </c>
      <c r="AC207" s="102">
        <f t="shared" si="20"/>
        <v>-2.4200070855472114E-2</v>
      </c>
      <c r="BC207" s="101">
        <v>41845</v>
      </c>
      <c r="BD207" s="110">
        <v>201668.4688</v>
      </c>
      <c r="BE207" s="110">
        <v>600.14</v>
      </c>
      <c r="BF207" s="272">
        <f t="shared" si="21"/>
        <v>-1.8429124086159728E-3</v>
      </c>
      <c r="BG207" s="272">
        <f t="shared" si="21"/>
        <v>6.4861477811106408E-3</v>
      </c>
    </row>
    <row r="208" spans="2:59" x14ac:dyDescent="0.3">
      <c r="B208" s="101">
        <v>41593</v>
      </c>
      <c r="C208" s="54">
        <v>501.34</v>
      </c>
      <c r="D208" s="102">
        <f t="shared" si="25"/>
        <v>5.4752211146988916E-3</v>
      </c>
      <c r="E208" s="102"/>
      <c r="F208" s="54">
        <v>1798.18</v>
      </c>
      <c r="G208" s="102">
        <f t="shared" si="25"/>
        <v>1.5570904942364683E-2</v>
      </c>
      <c r="O208" s="101">
        <v>42769</v>
      </c>
      <c r="P208" s="110">
        <v>35352.379999999997</v>
      </c>
      <c r="Q208" s="110">
        <v>700.35</v>
      </c>
      <c r="R208" s="102">
        <f t="shared" si="22"/>
        <v>6.5317381946783572E-3</v>
      </c>
      <c r="S208" s="102">
        <f t="shared" si="22"/>
        <v>-4.0326944707528428E-3</v>
      </c>
      <c r="Y208" s="101">
        <v>41768</v>
      </c>
      <c r="Z208" s="110">
        <v>27528.35</v>
      </c>
      <c r="AA208" s="110">
        <v>542.46</v>
      </c>
      <c r="AB208" s="102">
        <f t="shared" si="20"/>
        <v>-0.10715849764120333</v>
      </c>
      <c r="AC208" s="102">
        <f t="shared" si="20"/>
        <v>-6.3459518695047359E-2</v>
      </c>
      <c r="BC208" s="101">
        <v>41838</v>
      </c>
      <c r="BD208" s="110">
        <v>202040.4688</v>
      </c>
      <c r="BE208" s="110">
        <v>596.26</v>
      </c>
      <c r="BF208" s="272">
        <f t="shared" si="21"/>
        <v>1.2994691833465801E-2</v>
      </c>
      <c r="BG208" s="272">
        <f t="shared" si="21"/>
        <v>2.2884216189113162E-2</v>
      </c>
    </row>
    <row r="209" spans="2:59" x14ac:dyDescent="0.3">
      <c r="B209" s="101">
        <v>41586</v>
      </c>
      <c r="C209" s="54">
        <v>498.61</v>
      </c>
      <c r="D209" s="102">
        <f t="shared" si="25"/>
        <v>3.0779753761971396E-3</v>
      </c>
      <c r="E209" s="102"/>
      <c r="F209" s="54">
        <v>1770.61</v>
      </c>
      <c r="G209" s="102">
        <f t="shared" si="25"/>
        <v>5.0918462341906778E-3</v>
      </c>
      <c r="O209" s="101">
        <v>42768</v>
      </c>
      <c r="P209" s="110">
        <v>35122.22</v>
      </c>
      <c r="Q209" s="110">
        <v>703.18</v>
      </c>
      <c r="R209" s="102">
        <f t="shared" si="22"/>
        <v>-1.1726640078257732E-2</v>
      </c>
      <c r="S209" s="102">
        <f t="shared" si="22"/>
        <v>8.4258527995536604E-3</v>
      </c>
      <c r="Y209" s="101">
        <v>41761</v>
      </c>
      <c r="Z209" s="110">
        <v>30642.1</v>
      </c>
      <c r="AA209" s="110">
        <v>578</v>
      </c>
      <c r="AB209" s="102">
        <f t="shared" si="20"/>
        <v>1.8648698831981586E-2</v>
      </c>
      <c r="AC209" s="102">
        <f t="shared" si="20"/>
        <v>-1.5904300970262391E-3</v>
      </c>
      <c r="BC209" s="101">
        <v>41831</v>
      </c>
      <c r="BD209" s="110">
        <v>199432</v>
      </c>
      <c r="BE209" s="110">
        <v>582.77</v>
      </c>
      <c r="BF209" s="272">
        <f t="shared" si="21"/>
        <v>-5.2092102312500032E-3</v>
      </c>
      <c r="BG209" s="272">
        <f t="shared" si="21"/>
        <v>-1.122763731131087E-2</v>
      </c>
    </row>
    <row r="210" spans="2:59" x14ac:dyDescent="0.3">
      <c r="B210" s="101">
        <v>41579</v>
      </c>
      <c r="C210" s="54">
        <v>497.08</v>
      </c>
      <c r="D210" s="102">
        <f t="shared" si="25"/>
        <v>-7.329006490264689E-3</v>
      </c>
      <c r="E210" s="102"/>
      <c r="F210" s="54">
        <v>1761.64</v>
      </c>
      <c r="G210" s="102">
        <f t="shared" si="25"/>
        <v>1.0626388675794018E-3</v>
      </c>
      <c r="O210" s="101">
        <v>42760</v>
      </c>
      <c r="P210" s="110">
        <v>35536.51</v>
      </c>
      <c r="Q210" s="110">
        <v>697.28</v>
      </c>
      <c r="R210" s="102">
        <f t="shared" si="22"/>
        <v>-7.741960409106385E-3</v>
      </c>
      <c r="S210" s="102">
        <f t="shared" si="22"/>
        <v>8.5263795726319095E-3</v>
      </c>
      <c r="Y210" s="101">
        <v>41754</v>
      </c>
      <c r="Z210" s="110">
        <v>30075.96</v>
      </c>
      <c r="AA210" s="110">
        <v>578.91999999999996</v>
      </c>
      <c r="AB210" s="102">
        <f t="shared" si="20"/>
        <v>-1.8648698831981472E-2</v>
      </c>
      <c r="AC210" s="102">
        <f t="shared" si="20"/>
        <v>2.3754667329462898E-2</v>
      </c>
      <c r="BC210" s="101">
        <v>41824</v>
      </c>
      <c r="BD210" s="110">
        <v>200473.5938</v>
      </c>
      <c r="BE210" s="110">
        <v>589.35</v>
      </c>
      <c r="BF210" s="272">
        <f t="shared" si="21"/>
        <v>5.9161545699398079E-3</v>
      </c>
      <c r="BG210" s="272">
        <f t="shared" si="21"/>
        <v>1.8028686262061114E-2</v>
      </c>
    </row>
    <row r="211" spans="2:59" x14ac:dyDescent="0.3">
      <c r="B211" s="101">
        <v>41572</v>
      </c>
      <c r="C211" s="54">
        <v>500.75</v>
      </c>
      <c r="D211" s="102">
        <f t="shared" si="25"/>
        <v>-1.5973484016529316E-4</v>
      </c>
      <c r="E211" s="102"/>
      <c r="F211" s="54">
        <v>1759.77</v>
      </c>
      <c r="G211" s="102">
        <f t="shared" si="25"/>
        <v>8.7532244196044662E-3</v>
      </c>
      <c r="O211" s="101">
        <v>42759</v>
      </c>
      <c r="P211" s="110">
        <v>35812.699999999997</v>
      </c>
      <c r="Q211" s="110">
        <v>691.36</v>
      </c>
      <c r="R211" s="102">
        <f t="shared" si="22"/>
        <v>9.0380875980521115E-3</v>
      </c>
      <c r="S211" s="102">
        <f t="shared" si="22"/>
        <v>6.1080631827622233E-3</v>
      </c>
      <c r="Y211" s="101">
        <v>41747</v>
      </c>
      <c r="Z211" s="110">
        <v>30642.1</v>
      </c>
      <c r="AA211" s="110">
        <v>565.33000000000004</v>
      </c>
      <c r="AB211" s="102">
        <f t="shared" si="20"/>
        <v>-2.9581202797611433E-2</v>
      </c>
      <c r="AC211" s="102">
        <f t="shared" si="20"/>
        <v>-6.0469572811793847E-2</v>
      </c>
      <c r="BC211" s="101">
        <v>41817</v>
      </c>
      <c r="BD211" s="110">
        <v>199291.0625</v>
      </c>
      <c r="BE211" s="110">
        <v>578.82000000000005</v>
      </c>
      <c r="BF211" s="272">
        <f t="shared" si="21"/>
        <v>4.7203638916757003E-2</v>
      </c>
      <c r="BG211" s="272">
        <f t="shared" si="21"/>
        <v>3.1662876664177338E-2</v>
      </c>
    </row>
    <row r="212" spans="2:59" x14ac:dyDescent="0.3">
      <c r="B212" s="101">
        <v>41565</v>
      </c>
      <c r="C212" s="54">
        <v>500.83</v>
      </c>
      <c r="D212" s="102">
        <f t="shared" si="25"/>
        <v>1.2739368693506892E-2</v>
      </c>
      <c r="E212" s="102"/>
      <c r="F212" s="54">
        <v>1744.5</v>
      </c>
      <c r="G212" s="102">
        <f t="shared" si="25"/>
        <v>2.4248473461718989E-2</v>
      </c>
      <c r="O212" s="101">
        <v>42758</v>
      </c>
      <c r="P212" s="110">
        <v>35490.480000000003</v>
      </c>
      <c r="Q212" s="110">
        <v>687.15</v>
      </c>
      <c r="R212" s="102">
        <f t="shared" si="22"/>
        <v>-9.038087598052089E-3</v>
      </c>
      <c r="S212" s="102">
        <f t="shared" si="22"/>
        <v>1.2960443342920531E-3</v>
      </c>
      <c r="Y212" s="101">
        <v>41740</v>
      </c>
      <c r="Z212" s="110">
        <v>31562.07</v>
      </c>
      <c r="AA212" s="110">
        <v>600.57000000000005</v>
      </c>
      <c r="AB212" s="102">
        <f t="shared" si="20"/>
        <v>1.5819577196164496E-2</v>
      </c>
      <c r="AC212" s="102">
        <f t="shared" si="20"/>
        <v>1.2617353903270357E-2</v>
      </c>
      <c r="BC212" s="101">
        <v>41810</v>
      </c>
      <c r="BD212" s="110">
        <v>190102.375</v>
      </c>
      <c r="BE212" s="110">
        <v>560.78</v>
      </c>
      <c r="BF212" s="272">
        <f t="shared" si="21"/>
        <v>-7.778863059380082E-3</v>
      </c>
      <c r="BG212" s="272">
        <f t="shared" si="21"/>
        <v>-2.413661205572222E-2</v>
      </c>
    </row>
    <row r="213" spans="2:59" x14ac:dyDescent="0.3">
      <c r="B213" s="101">
        <v>41558</v>
      </c>
      <c r="C213" s="54">
        <v>494.53</v>
      </c>
      <c r="D213" s="102">
        <f t="shared" si="25"/>
        <v>-5.9698492462312291E-3</v>
      </c>
      <c r="E213" s="102"/>
      <c r="F213" s="54">
        <v>1703.2</v>
      </c>
      <c r="G213" s="102">
        <f t="shared" si="25"/>
        <v>7.5125702454894583E-3</v>
      </c>
      <c r="O213" s="101">
        <v>42755</v>
      </c>
      <c r="P213" s="110">
        <v>35812.699999999997</v>
      </c>
      <c r="Q213" s="110">
        <v>686.26</v>
      </c>
      <c r="R213" s="102">
        <f t="shared" si="22"/>
        <v>0</v>
      </c>
      <c r="S213" s="102">
        <f t="shared" si="22"/>
        <v>5.7724646430523767E-3</v>
      </c>
      <c r="Y213" s="101">
        <v>41733</v>
      </c>
      <c r="Z213" s="110">
        <v>31066.7</v>
      </c>
      <c r="AA213" s="110">
        <v>593.04</v>
      </c>
      <c r="AB213" s="102">
        <f t="shared" si="20"/>
        <v>9.1534508039384302E-3</v>
      </c>
      <c r="AC213" s="102">
        <f t="shared" si="20"/>
        <v>-2.1055653639898866E-3</v>
      </c>
      <c r="BC213" s="101">
        <v>41803</v>
      </c>
      <c r="BD213" s="110">
        <v>191586.92189999999</v>
      </c>
      <c r="BE213" s="110">
        <v>574.48</v>
      </c>
      <c r="BF213" s="272">
        <f t="shared" si="21"/>
        <v>3.1922824573467561E-2</v>
      </c>
      <c r="BG213" s="272">
        <f t="shared" si="21"/>
        <v>2.7244256856370469E-2</v>
      </c>
    </row>
    <row r="214" spans="2:59" x14ac:dyDescent="0.3">
      <c r="B214" s="101">
        <v>41551</v>
      </c>
      <c r="C214" s="54">
        <v>497.5</v>
      </c>
      <c r="D214" s="102">
        <f t="shared" ref="D214:G229" si="26">C214/C215-1</f>
        <v>2.2379318139783333E-2</v>
      </c>
      <c r="E214" s="102"/>
      <c r="F214" s="54">
        <v>1690.5</v>
      </c>
      <c r="G214" s="102">
        <f t="shared" si="26"/>
        <v>-7.388798581350331E-4</v>
      </c>
      <c r="O214" s="101">
        <v>42754</v>
      </c>
      <c r="P214" s="110">
        <v>35812.699999999997</v>
      </c>
      <c r="Q214" s="110">
        <v>682.31</v>
      </c>
      <c r="R214" s="102">
        <f t="shared" si="22"/>
        <v>-1.2771635132769658E-2</v>
      </c>
      <c r="S214" s="102">
        <f t="shared" si="22"/>
        <v>-1.420631614375255E-3</v>
      </c>
      <c r="Y214" s="101">
        <v>41726</v>
      </c>
      <c r="Z214" s="110">
        <v>30783.63</v>
      </c>
      <c r="AA214" s="110">
        <v>594.29</v>
      </c>
      <c r="AB214" s="102">
        <f t="shared" si="20"/>
        <v>-4.4951409280814161E-2</v>
      </c>
      <c r="AC214" s="102">
        <f t="shared" si="20"/>
        <v>-1.2474660950727209E-2</v>
      </c>
      <c r="BC214" s="101">
        <v>41796</v>
      </c>
      <c r="BD214" s="110">
        <v>185567.51560000001</v>
      </c>
      <c r="BE214" s="110">
        <v>559.04</v>
      </c>
      <c r="BF214" s="272">
        <f t="shared" si="21"/>
        <v>1.8810884353524751E-2</v>
      </c>
      <c r="BG214" s="272">
        <f t="shared" si="21"/>
        <v>-5.3164095034024823E-3</v>
      </c>
    </row>
    <row r="215" spans="2:59" x14ac:dyDescent="0.3">
      <c r="B215" s="101">
        <v>41544</v>
      </c>
      <c r="C215" s="54">
        <v>486.61</v>
      </c>
      <c r="D215" s="102">
        <f t="shared" si="26"/>
        <v>1.9740564554999063E-2</v>
      </c>
      <c r="E215" s="102"/>
      <c r="F215" s="54">
        <v>1691.75</v>
      </c>
      <c r="G215" s="102">
        <f t="shared" si="26"/>
        <v>-1.0620442011567865E-2</v>
      </c>
      <c r="O215" s="101">
        <v>42753</v>
      </c>
      <c r="P215" s="110">
        <v>36273.019999999997</v>
      </c>
      <c r="Q215" s="110">
        <v>683.28</v>
      </c>
      <c r="R215" s="102">
        <f t="shared" si="22"/>
        <v>6.3654283719625313E-3</v>
      </c>
      <c r="S215" s="102">
        <f t="shared" si="22"/>
        <v>-2.0906593189430056E-3</v>
      </c>
      <c r="Y215" s="101">
        <v>41719</v>
      </c>
      <c r="Z215" s="110">
        <v>32198.97</v>
      </c>
      <c r="AA215" s="110">
        <v>601.75</v>
      </c>
      <c r="AB215" s="102">
        <f t="shared" si="20"/>
        <v>3.8078236294922289E-2</v>
      </c>
      <c r="AC215" s="102">
        <f t="shared" si="20"/>
        <v>8.2097609405138421E-3</v>
      </c>
      <c r="BC215" s="101">
        <v>41789</v>
      </c>
      <c r="BD215" s="110">
        <v>182109.45310000001</v>
      </c>
      <c r="BE215" s="110">
        <v>562.02</v>
      </c>
      <c r="BF215" s="272">
        <f t="shared" si="21"/>
        <v>3.9634975953997308E-2</v>
      </c>
      <c r="BG215" s="272">
        <f t="shared" si="21"/>
        <v>3.7212837399253268E-2</v>
      </c>
    </row>
    <row r="216" spans="2:59" x14ac:dyDescent="0.3">
      <c r="B216" s="101">
        <v>41537</v>
      </c>
      <c r="C216" s="54">
        <v>477.19</v>
      </c>
      <c r="D216" s="102">
        <f t="shared" si="26"/>
        <v>1.6162209814869488E-3</v>
      </c>
      <c r="E216" s="102"/>
      <c r="F216" s="54">
        <v>1709.91</v>
      </c>
      <c r="G216" s="102">
        <f t="shared" si="26"/>
        <v>1.2985858920965265E-2</v>
      </c>
      <c r="O216" s="101">
        <v>42752</v>
      </c>
      <c r="P216" s="110">
        <v>36042.86</v>
      </c>
      <c r="Q216" s="110">
        <v>684.71</v>
      </c>
      <c r="R216" s="102">
        <f t="shared" si="22"/>
        <v>8.9803928315885552E-3</v>
      </c>
      <c r="S216" s="102">
        <f t="shared" si="22"/>
        <v>9.9366025076247887E-3</v>
      </c>
      <c r="Y216" s="101">
        <v>41712</v>
      </c>
      <c r="Z216" s="110">
        <v>30995.94</v>
      </c>
      <c r="AA216" s="110">
        <v>596.83000000000004</v>
      </c>
      <c r="AB216" s="102">
        <f t="shared" si="20"/>
        <v>3.2485528191185005E-2</v>
      </c>
      <c r="AC216" s="102">
        <f t="shared" si="20"/>
        <v>2.9035339587026473E-2</v>
      </c>
      <c r="BC216" s="101">
        <v>41782</v>
      </c>
      <c r="BD216" s="110">
        <v>175032.7188</v>
      </c>
      <c r="BE216" s="110">
        <v>541.49</v>
      </c>
      <c r="BF216" s="272">
        <f t="shared" si="21"/>
        <v>4.5585992613000025E-2</v>
      </c>
      <c r="BG216" s="272">
        <f t="shared" si="21"/>
        <v>2.2410319927982945E-2</v>
      </c>
    </row>
    <row r="217" spans="2:59" x14ac:dyDescent="0.3">
      <c r="B217" s="101">
        <v>41530</v>
      </c>
      <c r="C217" s="54">
        <v>476.42</v>
      </c>
      <c r="D217" s="102">
        <f t="shared" si="26"/>
        <v>-7.5203633106263323E-3</v>
      </c>
      <c r="E217" s="102"/>
      <c r="F217" s="54">
        <v>1687.99</v>
      </c>
      <c r="G217" s="102">
        <f t="shared" si="26"/>
        <v>1.9828778916969325E-2</v>
      </c>
      <c r="O217" s="101">
        <v>42751</v>
      </c>
      <c r="P217" s="110">
        <v>35720.629999999997</v>
      </c>
      <c r="Q217" s="110">
        <v>677.94</v>
      </c>
      <c r="R217" s="102">
        <f t="shared" si="22"/>
        <v>-2.5741860707815586E-3</v>
      </c>
      <c r="S217" s="102">
        <f t="shared" si="22"/>
        <v>-1.0447637218002384E-2</v>
      </c>
      <c r="Y217" s="101">
        <v>41705</v>
      </c>
      <c r="Z217" s="110">
        <v>30005.200000000001</v>
      </c>
      <c r="AA217" s="110">
        <v>579.75</v>
      </c>
      <c r="AB217" s="102">
        <f t="shared" si="20"/>
        <v>-3.7041217144345981E-2</v>
      </c>
      <c r="AC217" s="102">
        <f t="shared" si="20"/>
        <v>-1.1541590779690098E-2</v>
      </c>
      <c r="BC217" s="101">
        <v>41775</v>
      </c>
      <c r="BD217" s="110">
        <v>167232.8125</v>
      </c>
      <c r="BE217" s="110">
        <v>529.49</v>
      </c>
      <c r="BF217" s="272">
        <f t="shared" si="21"/>
        <v>-4.5789683494032632E-2</v>
      </c>
      <c r="BG217" s="272">
        <f t="shared" si="21"/>
        <v>-2.4200070855472114E-2</v>
      </c>
    </row>
    <row r="218" spans="2:59" x14ac:dyDescent="0.3">
      <c r="B218" s="101">
        <v>41523</v>
      </c>
      <c r="C218" s="54">
        <v>480.03</v>
      </c>
      <c r="D218" s="102">
        <f t="shared" si="26"/>
        <v>1.5506663845991087E-2</v>
      </c>
      <c r="E218" s="102"/>
      <c r="F218" s="54">
        <v>1655.17</v>
      </c>
      <c r="G218" s="102">
        <f t="shared" si="26"/>
        <v>1.359486089762818E-2</v>
      </c>
      <c r="O218" s="101">
        <v>42748</v>
      </c>
      <c r="P218" s="110">
        <v>35812.699999999997</v>
      </c>
      <c r="Q218" s="110">
        <v>685.06</v>
      </c>
      <c r="R218" s="102">
        <f t="shared" si="22"/>
        <v>-1.2771635132769658E-2</v>
      </c>
      <c r="S218" s="102">
        <f t="shared" si="22"/>
        <v>-2.7696406970170125E-3</v>
      </c>
      <c r="Y218" s="101">
        <v>41698</v>
      </c>
      <c r="Z218" s="110">
        <v>31137.47</v>
      </c>
      <c r="AA218" s="110">
        <v>586.48</v>
      </c>
      <c r="AB218" s="102">
        <f t="shared" si="20"/>
        <v>1.1428861939052862E-2</v>
      </c>
      <c r="AC218" s="102">
        <f t="shared" si="20"/>
        <v>2.7502705753651758E-2</v>
      </c>
      <c r="BC218" s="101">
        <v>41768</v>
      </c>
      <c r="BD218" s="110">
        <v>175068.375</v>
      </c>
      <c r="BE218" s="110">
        <v>542.46</v>
      </c>
      <c r="BF218" s="272">
        <f t="shared" si="21"/>
        <v>-6.5529016278647836E-2</v>
      </c>
      <c r="BG218" s="272">
        <f t="shared" si="21"/>
        <v>-6.3459518695047359E-2</v>
      </c>
    </row>
    <row r="219" spans="2:59" x14ac:dyDescent="0.3">
      <c r="B219" s="101">
        <v>41516</v>
      </c>
      <c r="C219" s="54">
        <v>472.7</v>
      </c>
      <c r="D219" s="102">
        <f t="shared" si="26"/>
        <v>-2.9004560207058105E-2</v>
      </c>
      <c r="E219" s="102"/>
      <c r="F219" s="54">
        <v>1632.97</v>
      </c>
      <c r="G219" s="102">
        <f t="shared" si="26"/>
        <v>-1.8352870453862358E-2</v>
      </c>
      <c r="O219" s="101">
        <v>42747</v>
      </c>
      <c r="P219" s="110">
        <v>36273.019999999997</v>
      </c>
      <c r="Q219" s="110">
        <v>686.96</v>
      </c>
      <c r="R219" s="102">
        <f t="shared" si="22"/>
        <v>1.0204337000233894E-2</v>
      </c>
      <c r="S219" s="102">
        <f t="shared" si="22"/>
        <v>-2.9109539401542614E-4</v>
      </c>
      <c r="Y219" s="101">
        <v>41691</v>
      </c>
      <c r="Z219" s="110">
        <v>30783.63</v>
      </c>
      <c r="AA219" s="110">
        <v>570.57000000000005</v>
      </c>
      <c r="AB219" s="102">
        <f t="shared" si="20"/>
        <v>-2.7212766282327678E-2</v>
      </c>
      <c r="AC219" s="102">
        <f t="shared" si="20"/>
        <v>-2.8876716571966301E-3</v>
      </c>
      <c r="BC219" s="101">
        <v>41761</v>
      </c>
      <c r="BD219" s="110">
        <v>186924.6563</v>
      </c>
      <c r="BE219" s="110">
        <v>578</v>
      </c>
      <c r="BF219" s="272">
        <f t="shared" si="21"/>
        <v>9.0013040855828966E-3</v>
      </c>
      <c r="BG219" s="272">
        <f t="shared" si="21"/>
        <v>-1.5904300970262391E-3</v>
      </c>
    </row>
    <row r="220" spans="2:59" x14ac:dyDescent="0.3">
      <c r="B220" s="101">
        <v>41509</v>
      </c>
      <c r="C220" s="54">
        <v>486.82</v>
      </c>
      <c r="D220" s="102">
        <f t="shared" si="26"/>
        <v>-4.1296598987770605E-2</v>
      </c>
      <c r="E220" s="102"/>
      <c r="F220" s="54">
        <v>1663.5</v>
      </c>
      <c r="G220" s="102">
        <f t="shared" si="26"/>
        <v>4.6321180314403687E-3</v>
      </c>
      <c r="O220" s="101">
        <v>42746</v>
      </c>
      <c r="P220" s="110">
        <v>35904.76</v>
      </c>
      <c r="Q220" s="110">
        <v>687.16</v>
      </c>
      <c r="R220" s="102">
        <f t="shared" si="22"/>
        <v>1.8111624865999706E-2</v>
      </c>
      <c r="S220" s="102">
        <f t="shared" si="22"/>
        <v>8.9020708765796715E-3</v>
      </c>
      <c r="Y220" s="101">
        <v>41684</v>
      </c>
      <c r="Z220" s="110">
        <v>31632.84</v>
      </c>
      <c r="AA220" s="110">
        <v>572.22</v>
      </c>
      <c r="AB220" s="102">
        <f t="shared" si="20"/>
        <v>0.18635651411214355</v>
      </c>
      <c r="AC220" s="102">
        <f t="shared" si="20"/>
        <v>4.0041713463040148E-2</v>
      </c>
      <c r="BC220" s="101">
        <v>41754</v>
      </c>
      <c r="BD220" s="110">
        <v>185249.64060000001</v>
      </c>
      <c r="BE220" s="110">
        <v>578.91999999999996</v>
      </c>
      <c r="BF220" s="272">
        <f t="shared" si="21"/>
        <v>2.0689573783495487E-2</v>
      </c>
      <c r="BG220" s="272">
        <f t="shared" si="21"/>
        <v>2.3754667329462898E-2</v>
      </c>
    </row>
    <row r="221" spans="2:59" x14ac:dyDescent="0.3">
      <c r="B221" s="101">
        <v>41502</v>
      </c>
      <c r="C221" s="54">
        <v>507.79</v>
      </c>
      <c r="D221" s="102">
        <f t="shared" si="26"/>
        <v>1.4322240421876797E-2</v>
      </c>
      <c r="E221" s="102"/>
      <c r="F221" s="54">
        <v>1655.83</v>
      </c>
      <c r="G221" s="102">
        <f t="shared" si="26"/>
        <v>-2.1041491764316467E-2</v>
      </c>
      <c r="O221" s="101">
        <v>42745</v>
      </c>
      <c r="P221" s="110">
        <v>35260.32</v>
      </c>
      <c r="Q221" s="110">
        <v>681.07</v>
      </c>
      <c r="R221" s="102">
        <f t="shared" si="22"/>
        <v>-3.0850721153453088E-2</v>
      </c>
      <c r="S221" s="102">
        <f t="shared" si="22"/>
        <v>-2.1999950206758089E-3</v>
      </c>
      <c r="Y221" s="101">
        <v>41677</v>
      </c>
      <c r="Z221" s="110">
        <v>26254.55</v>
      </c>
      <c r="AA221" s="110">
        <v>549.76</v>
      </c>
      <c r="AB221" s="102">
        <f t="shared" si="20"/>
        <v>2.6991722645024205E-3</v>
      </c>
      <c r="AC221" s="102">
        <f t="shared" si="20"/>
        <v>-1.2221289617840136E-2</v>
      </c>
      <c r="BC221" s="101">
        <v>41747</v>
      </c>
      <c r="BD221" s="110">
        <v>181456.2813</v>
      </c>
      <c r="BE221" s="110">
        <v>565.33000000000004</v>
      </c>
      <c r="BF221" s="272">
        <f t="shared" si="21"/>
        <v>-6.3538097069676919E-2</v>
      </c>
      <c r="BG221" s="272">
        <f t="shared" si="21"/>
        <v>-6.0469572811793847E-2</v>
      </c>
    </row>
    <row r="222" spans="2:59" x14ac:dyDescent="0.3">
      <c r="B222" s="101">
        <v>41495</v>
      </c>
      <c r="C222" s="54">
        <v>500.62</v>
      </c>
      <c r="D222" s="102">
        <f t="shared" si="26"/>
        <v>1.2048679901346393E-2</v>
      </c>
      <c r="E222" s="102"/>
      <c r="F222" s="54">
        <v>1691.42</v>
      </c>
      <c r="G222" s="102">
        <f t="shared" si="26"/>
        <v>-1.0674574625512578E-2</v>
      </c>
      <c r="O222" s="101">
        <v>42744</v>
      </c>
      <c r="P222" s="110">
        <v>36365.08</v>
      </c>
      <c r="Q222" s="110">
        <v>682.57</v>
      </c>
      <c r="R222" s="102">
        <f t="shared" si="22"/>
        <v>3.8048284234631566E-3</v>
      </c>
      <c r="S222" s="102">
        <f t="shared" si="22"/>
        <v>4.0664486403254015E-3</v>
      </c>
      <c r="Y222" s="101">
        <v>41670</v>
      </c>
      <c r="Z222" s="110">
        <v>26183.78</v>
      </c>
      <c r="AA222" s="110">
        <v>556.52</v>
      </c>
      <c r="AB222" s="102">
        <f t="shared" si="20"/>
        <v>5.5569872978572563E-2</v>
      </c>
      <c r="AC222" s="102">
        <f t="shared" si="20"/>
        <v>-6.572902925422364E-3</v>
      </c>
      <c r="BC222" s="101">
        <v>41740</v>
      </c>
      <c r="BD222" s="110">
        <v>193359.82810000001</v>
      </c>
      <c r="BE222" s="110">
        <v>600.57000000000005</v>
      </c>
      <c r="BF222" s="272">
        <f t="shared" si="21"/>
        <v>4.5898891822106366E-2</v>
      </c>
      <c r="BG222" s="272">
        <f t="shared" si="21"/>
        <v>1.2617353903270357E-2</v>
      </c>
    </row>
    <row r="223" spans="2:59" x14ac:dyDescent="0.3">
      <c r="B223" s="101">
        <v>41488</v>
      </c>
      <c r="C223" s="54">
        <v>494.66</v>
      </c>
      <c r="D223" s="102">
        <f t="shared" si="26"/>
        <v>1.4779422185329238E-3</v>
      </c>
      <c r="E223" s="102"/>
      <c r="F223" s="54">
        <v>1709.67</v>
      </c>
      <c r="G223" s="102">
        <f t="shared" si="26"/>
        <v>1.0652321697750766E-2</v>
      </c>
      <c r="O223" s="101">
        <v>42741</v>
      </c>
      <c r="P223" s="110">
        <v>36226.980000000003</v>
      </c>
      <c r="Q223" s="110">
        <v>679.8</v>
      </c>
      <c r="R223" s="102">
        <f t="shared" si="22"/>
        <v>-1.6383407825853964E-2</v>
      </c>
      <c r="S223" s="102">
        <f t="shared" si="22"/>
        <v>5.8866658140036277E-3</v>
      </c>
      <c r="Y223" s="101">
        <v>41663</v>
      </c>
      <c r="Z223" s="110">
        <v>24768.44</v>
      </c>
      <c r="AA223" s="110">
        <v>560.19000000000005</v>
      </c>
      <c r="AB223" s="102">
        <f t="shared" si="20"/>
        <v>1.4388538507969695E-2</v>
      </c>
      <c r="AC223" s="102">
        <f t="shared" si="20"/>
        <v>3.0080725670639016E-2</v>
      </c>
      <c r="BC223" s="101">
        <v>41733</v>
      </c>
      <c r="BD223" s="110">
        <v>184685.42189999999</v>
      </c>
      <c r="BE223" s="110">
        <v>593.04</v>
      </c>
      <c r="BF223" s="272">
        <f t="shared" si="21"/>
        <v>3.4773981386858992E-3</v>
      </c>
      <c r="BG223" s="272">
        <f t="shared" si="21"/>
        <v>-2.1055653639898866E-3</v>
      </c>
    </row>
    <row r="224" spans="2:59" x14ac:dyDescent="0.3">
      <c r="B224" s="101">
        <v>41481</v>
      </c>
      <c r="C224" s="54">
        <v>493.93</v>
      </c>
      <c r="D224" s="102">
        <f t="shared" si="26"/>
        <v>-1.9513260282674305E-2</v>
      </c>
      <c r="E224" s="102"/>
      <c r="F224" s="54">
        <v>1691.65</v>
      </c>
      <c r="G224" s="102">
        <f t="shared" si="26"/>
        <v>-2.6003344975733533E-4</v>
      </c>
      <c r="O224" s="101">
        <v>42740</v>
      </c>
      <c r="P224" s="110">
        <v>36825.39</v>
      </c>
      <c r="Q224" s="110">
        <v>675.81</v>
      </c>
      <c r="R224" s="102">
        <f t="shared" si="22"/>
        <v>-1.2422590400866546E-2</v>
      </c>
      <c r="S224" s="102">
        <f t="shared" si="22"/>
        <v>1.6438238146321718E-3</v>
      </c>
      <c r="Y224" s="101">
        <v>41656</v>
      </c>
      <c r="Z224" s="110">
        <v>24414.61</v>
      </c>
      <c r="AA224" s="110">
        <v>543.59</v>
      </c>
      <c r="AB224" s="102">
        <f t="shared" ref="AB224:AC287" si="27">LN(Z224/Z225)</f>
        <v>4.4451985984030599E-2</v>
      </c>
      <c r="AC224" s="102">
        <f t="shared" si="27"/>
        <v>4.6407016681983763E-2</v>
      </c>
      <c r="BC224" s="101">
        <v>41726</v>
      </c>
      <c r="BD224" s="110">
        <v>184044.3125</v>
      </c>
      <c r="BE224" s="110">
        <v>594.29</v>
      </c>
      <c r="BF224" s="272">
        <f t="shared" ref="BF224:BG287" si="28">LN(BD224/BD225)</f>
        <v>-1.9882052210727998E-2</v>
      </c>
      <c r="BG224" s="272">
        <f t="shared" si="28"/>
        <v>-1.2474660950727209E-2</v>
      </c>
    </row>
    <row r="225" spans="2:59" x14ac:dyDescent="0.3">
      <c r="B225" s="101">
        <v>41474</v>
      </c>
      <c r="C225" s="54">
        <v>503.76</v>
      </c>
      <c r="D225" s="102">
        <f t="shared" si="26"/>
        <v>1.9777728294094965E-2</v>
      </c>
      <c r="E225" s="102"/>
      <c r="F225" s="54">
        <v>1692.09</v>
      </c>
      <c r="G225" s="102">
        <f t="shared" si="26"/>
        <v>7.08253233265288E-3</v>
      </c>
      <c r="O225" s="101">
        <v>42739</v>
      </c>
      <c r="P225" s="110">
        <v>37285.71</v>
      </c>
      <c r="Q225" s="110">
        <v>674.7</v>
      </c>
      <c r="R225" s="102">
        <f t="shared" ref="R225:S286" si="29">LN(P225/P226)</f>
        <v>0</v>
      </c>
      <c r="S225" s="102">
        <f t="shared" si="29"/>
        <v>3.9949262685696173E-3</v>
      </c>
      <c r="Y225" s="101">
        <v>41649</v>
      </c>
      <c r="Z225" s="110">
        <v>23353.1</v>
      </c>
      <c r="AA225" s="110">
        <v>518.94000000000005</v>
      </c>
      <c r="AB225" s="102">
        <f t="shared" si="27"/>
        <v>5.2889532324316611E-2</v>
      </c>
      <c r="AC225" s="102">
        <f t="shared" si="27"/>
        <v>2.6497435277817238E-2</v>
      </c>
      <c r="BC225" s="101">
        <v>41719</v>
      </c>
      <c r="BD225" s="110">
        <v>187740.10939999999</v>
      </c>
      <c r="BE225" s="110">
        <v>601.75</v>
      </c>
      <c r="BF225" s="272">
        <f t="shared" si="28"/>
        <v>8.2186998456697351E-3</v>
      </c>
      <c r="BG225" s="272">
        <f t="shared" si="28"/>
        <v>8.2097609405138421E-3</v>
      </c>
    </row>
    <row r="226" spans="2:59" x14ac:dyDescent="0.3">
      <c r="B226" s="101">
        <v>41467</v>
      </c>
      <c r="C226" s="54">
        <v>493.99</v>
      </c>
      <c r="D226" s="102">
        <f t="shared" si="26"/>
        <v>1.7151916978956461E-2</v>
      </c>
      <c r="E226" s="102"/>
      <c r="F226" s="54">
        <v>1680.19</v>
      </c>
      <c r="G226" s="102">
        <f t="shared" si="26"/>
        <v>2.9597583170434261E-2</v>
      </c>
      <c r="O226" s="101">
        <v>42738</v>
      </c>
      <c r="P226" s="110">
        <v>37285.71</v>
      </c>
      <c r="Q226" s="110">
        <v>672.01</v>
      </c>
      <c r="R226" s="102">
        <f t="shared" si="29"/>
        <v>-7.3800954653020839E-3</v>
      </c>
      <c r="S226" s="102">
        <f t="shared" si="29"/>
        <v>1.0681688541171299E-2</v>
      </c>
      <c r="Y226" s="101">
        <v>41642</v>
      </c>
      <c r="Z226" s="110">
        <v>22150.06</v>
      </c>
      <c r="AA226" s="110">
        <v>505.37</v>
      </c>
      <c r="AB226" s="102">
        <f t="shared" si="27"/>
        <v>0</v>
      </c>
      <c r="AC226" s="102">
        <f t="shared" si="27"/>
        <v>-2.0557836017210669E-3</v>
      </c>
      <c r="BC226" s="101">
        <v>41712</v>
      </c>
      <c r="BD226" s="110">
        <v>186203.45310000001</v>
      </c>
      <c r="BE226" s="110">
        <v>596.83000000000004</v>
      </c>
      <c r="BF226" s="272">
        <f t="shared" si="28"/>
        <v>8.5368658954816119E-3</v>
      </c>
      <c r="BG226" s="272">
        <f t="shared" si="28"/>
        <v>2.9035339587026473E-2</v>
      </c>
    </row>
    <row r="227" spans="2:59" x14ac:dyDescent="0.3">
      <c r="B227" s="101">
        <v>41460</v>
      </c>
      <c r="C227" s="54">
        <v>485.66</v>
      </c>
      <c r="D227" s="102">
        <f t="shared" si="26"/>
        <v>9.4153347328165271E-3</v>
      </c>
      <c r="E227" s="102"/>
      <c r="F227" s="54">
        <v>1631.89</v>
      </c>
      <c r="G227" s="102">
        <f t="shared" si="26"/>
        <v>1.5943671090967948E-2</v>
      </c>
      <c r="O227" s="101">
        <v>42734</v>
      </c>
      <c r="P227" s="110">
        <v>37561.9</v>
      </c>
      <c r="Q227" s="110">
        <v>664.87</v>
      </c>
      <c r="R227" s="102">
        <f t="shared" si="29"/>
        <v>-1.2249595251770426E-3</v>
      </c>
      <c r="S227" s="102">
        <f t="shared" si="29"/>
        <v>2.2563346691280441E-4</v>
      </c>
      <c r="Y227" s="101">
        <v>41635</v>
      </c>
      <c r="Z227" s="110">
        <v>22150.06</v>
      </c>
      <c r="AA227" s="110">
        <v>506.41</v>
      </c>
      <c r="AB227" s="102">
        <f t="shared" si="27"/>
        <v>-8.662573501449276E-3</v>
      </c>
      <c r="AC227" s="102">
        <f t="shared" si="27"/>
        <v>3.8778910159911945E-3</v>
      </c>
      <c r="BC227" s="101">
        <v>41705</v>
      </c>
      <c r="BD227" s="110">
        <v>184620.625</v>
      </c>
      <c r="BE227" s="110">
        <v>579.75</v>
      </c>
      <c r="BF227" s="272">
        <f t="shared" si="28"/>
        <v>-1.0661481391428116E-2</v>
      </c>
      <c r="BG227" s="272">
        <f t="shared" si="28"/>
        <v>-1.1541590779690098E-2</v>
      </c>
    </row>
    <row r="228" spans="2:59" x14ac:dyDescent="0.3">
      <c r="B228" s="101">
        <v>41453</v>
      </c>
      <c r="C228" s="54">
        <v>481.13</v>
      </c>
      <c r="D228" s="102">
        <f t="shared" si="26"/>
        <v>-3.5502365487931953E-2</v>
      </c>
      <c r="E228" s="102"/>
      <c r="F228" s="54">
        <v>1606.28</v>
      </c>
      <c r="G228" s="102">
        <f t="shared" si="26"/>
        <v>8.697399571723663E-3</v>
      </c>
      <c r="O228" s="101">
        <v>42733</v>
      </c>
      <c r="P228" s="110">
        <v>37607.94</v>
      </c>
      <c r="Q228" s="110">
        <v>664.72</v>
      </c>
      <c r="R228" s="102">
        <f t="shared" si="29"/>
        <v>2.1027645391345596E-2</v>
      </c>
      <c r="S228" s="102">
        <f t="shared" si="29"/>
        <v>1.83704558446377E-3</v>
      </c>
      <c r="Y228" s="101">
        <v>41628</v>
      </c>
      <c r="Z228" s="110">
        <v>22342.77</v>
      </c>
      <c r="AA228" s="110">
        <v>504.45</v>
      </c>
      <c r="AB228" s="102">
        <f t="shared" si="27"/>
        <v>2.4466211506706987E-2</v>
      </c>
      <c r="AC228" s="102">
        <f t="shared" si="27"/>
        <v>-3.1865124784704658E-3</v>
      </c>
      <c r="BC228" s="101">
        <v>41698</v>
      </c>
      <c r="BD228" s="110">
        <v>186599.48439999999</v>
      </c>
      <c r="BE228" s="110">
        <v>586.48</v>
      </c>
      <c r="BF228" s="272">
        <f t="shared" si="28"/>
        <v>2.3565607256912757E-2</v>
      </c>
      <c r="BG228" s="272">
        <f t="shared" si="28"/>
        <v>2.7502705753651758E-2</v>
      </c>
    </row>
    <row r="229" spans="2:59" x14ac:dyDescent="0.3">
      <c r="B229" s="101">
        <v>41446</v>
      </c>
      <c r="C229" s="54">
        <v>498.84</v>
      </c>
      <c r="D229" s="102">
        <f t="shared" si="26"/>
        <v>-2.001846649509853E-2</v>
      </c>
      <c r="E229" s="102"/>
      <c r="F229" s="54">
        <v>1592.43</v>
      </c>
      <c r="G229" s="102">
        <f t="shared" si="26"/>
        <v>-2.1085244631868783E-2</v>
      </c>
      <c r="O229" s="101">
        <v>42732</v>
      </c>
      <c r="P229" s="110">
        <v>36825.39</v>
      </c>
      <c r="Q229" s="110">
        <v>663.5</v>
      </c>
      <c r="R229" s="102">
        <f t="shared" si="29"/>
        <v>2.5030356173794278E-3</v>
      </c>
      <c r="S229" s="102">
        <f t="shared" si="29"/>
        <v>-5.4243010008873753E-4</v>
      </c>
      <c r="Y229" s="101">
        <v>41621</v>
      </c>
      <c r="Z229" s="110">
        <v>21802.76</v>
      </c>
      <c r="AA229" s="110">
        <v>506.06</v>
      </c>
      <c r="AB229" s="102">
        <f t="shared" si="27"/>
        <v>0</v>
      </c>
      <c r="AC229" s="102">
        <f t="shared" si="27"/>
        <v>-7.9907528258403564E-3</v>
      </c>
      <c r="BC229" s="101">
        <v>41691</v>
      </c>
      <c r="BD229" s="110">
        <v>182253.5625</v>
      </c>
      <c r="BE229" s="110">
        <v>570.57000000000005</v>
      </c>
      <c r="BF229" s="272">
        <f t="shared" si="28"/>
        <v>-4.5125203281774018E-3</v>
      </c>
      <c r="BG229" s="272">
        <f t="shared" si="28"/>
        <v>-2.8876716571966301E-3</v>
      </c>
    </row>
    <row r="230" spans="2:59" x14ac:dyDescent="0.3">
      <c r="B230" s="101">
        <v>41439</v>
      </c>
      <c r="C230" s="54">
        <v>509.03</v>
      </c>
      <c r="D230" s="102">
        <f t="shared" ref="D230:G245" si="30">C230/C231-1</f>
        <v>-3.5873250374074406E-2</v>
      </c>
      <c r="E230" s="102"/>
      <c r="F230" s="54">
        <v>1626.73</v>
      </c>
      <c r="G230" s="102">
        <f t="shared" si="30"/>
        <v>-1.0131558130195173E-2</v>
      </c>
      <c r="O230" s="101">
        <v>42731</v>
      </c>
      <c r="P230" s="110">
        <v>36733.33</v>
      </c>
      <c r="Q230" s="110">
        <v>663.86</v>
      </c>
      <c r="R230" s="102">
        <f t="shared" si="29"/>
        <v>-2.5030356173794499E-3</v>
      </c>
      <c r="S230" s="102">
        <f t="shared" si="29"/>
        <v>2.1262005582187971E-3</v>
      </c>
      <c r="Y230" s="101">
        <v>41614</v>
      </c>
      <c r="Z230" s="110">
        <v>21802.76</v>
      </c>
      <c r="AA230" s="110">
        <v>510.12</v>
      </c>
      <c r="AB230" s="102">
        <f t="shared" si="27"/>
        <v>2.5079381537495452E-2</v>
      </c>
      <c r="AC230" s="102">
        <f t="shared" si="27"/>
        <v>4.5977092486295494E-3</v>
      </c>
      <c r="BC230" s="101">
        <v>41684</v>
      </c>
      <c r="BD230" s="110">
        <v>183077.8438</v>
      </c>
      <c r="BE230" s="110">
        <v>572.22</v>
      </c>
      <c r="BF230" s="272">
        <f t="shared" si="28"/>
        <v>7.3934708372338884E-2</v>
      </c>
      <c r="BG230" s="272">
        <f t="shared" si="28"/>
        <v>4.0041713463040148E-2</v>
      </c>
    </row>
    <row r="231" spans="2:59" x14ac:dyDescent="0.3">
      <c r="B231" s="101">
        <v>41432</v>
      </c>
      <c r="C231" s="54">
        <v>527.97</v>
      </c>
      <c r="D231" s="102">
        <f t="shared" si="30"/>
        <v>1.8480294758772331E-2</v>
      </c>
      <c r="E231" s="102"/>
      <c r="F231" s="54">
        <v>1643.38</v>
      </c>
      <c r="G231" s="102">
        <f t="shared" si="30"/>
        <v>7.7510823307211929E-3</v>
      </c>
      <c r="O231" s="101">
        <v>42730</v>
      </c>
      <c r="P231" s="110">
        <v>36825.39</v>
      </c>
      <c r="Q231" s="110">
        <v>662.45</v>
      </c>
      <c r="R231" s="102">
        <f t="shared" si="29"/>
        <v>-3.5608679365182201E-2</v>
      </c>
      <c r="S231" s="102">
        <f t="shared" si="29"/>
        <v>-2.5629442643800549E-3</v>
      </c>
      <c r="Y231" s="101">
        <v>41607</v>
      </c>
      <c r="Z231" s="110">
        <v>21262.76</v>
      </c>
      <c r="AA231" s="110">
        <v>507.78</v>
      </c>
      <c r="AB231" s="102">
        <f t="shared" si="27"/>
        <v>1.2780045728540489E-2</v>
      </c>
      <c r="AC231" s="102">
        <f t="shared" si="27"/>
        <v>4.2233292827127842E-3</v>
      </c>
      <c r="BC231" s="101">
        <v>41677</v>
      </c>
      <c r="BD231" s="110">
        <v>170030.3125</v>
      </c>
      <c r="BE231" s="110">
        <v>549.76</v>
      </c>
      <c r="BF231" s="272">
        <f t="shared" si="28"/>
        <v>-2.8965707116597565E-3</v>
      </c>
      <c r="BG231" s="272">
        <f t="shared" si="28"/>
        <v>-1.2221289617840136E-2</v>
      </c>
    </row>
    <row r="232" spans="2:59" x14ac:dyDescent="0.3">
      <c r="B232" s="101">
        <v>41425</v>
      </c>
      <c r="C232" s="54">
        <v>518.39</v>
      </c>
      <c r="D232" s="102">
        <f t="shared" si="30"/>
        <v>3.6282584359507375E-2</v>
      </c>
      <c r="E232" s="102"/>
      <c r="F232" s="54">
        <v>1630.74</v>
      </c>
      <c r="G232" s="102">
        <f t="shared" si="30"/>
        <v>-1.143307468477206E-2</v>
      </c>
      <c r="O232" s="101">
        <v>42726</v>
      </c>
      <c r="P232" s="110">
        <v>38160.32</v>
      </c>
      <c r="Q232" s="110">
        <v>664.15</v>
      </c>
      <c r="R232" s="102">
        <f t="shared" si="29"/>
        <v>3.0621055442911597E-2</v>
      </c>
      <c r="S232" s="102">
        <f t="shared" si="29"/>
        <v>-4.1920592684270572E-3</v>
      </c>
      <c r="Y232" s="101">
        <v>41600</v>
      </c>
      <c r="Z232" s="110">
        <v>20992.75</v>
      </c>
      <c r="AA232" s="110">
        <v>505.64</v>
      </c>
      <c r="AB232" s="102">
        <f t="shared" si="27"/>
        <v>3.6010494685626532E-2</v>
      </c>
      <c r="AC232" s="102">
        <f t="shared" si="27"/>
        <v>8.5404400017569763E-3</v>
      </c>
      <c r="BC232" s="101">
        <v>41670</v>
      </c>
      <c r="BD232" s="110">
        <v>170523.5313</v>
      </c>
      <c r="BE232" s="110">
        <v>556.52</v>
      </c>
      <c r="BF232" s="272">
        <f t="shared" si="28"/>
        <v>1.0791786764877033E-2</v>
      </c>
      <c r="BG232" s="272">
        <f t="shared" si="28"/>
        <v>-6.572902925422364E-3</v>
      </c>
    </row>
    <row r="233" spans="2:59" x14ac:dyDescent="0.3">
      <c r="B233" s="101">
        <v>41418</v>
      </c>
      <c r="C233" s="54">
        <v>500.24</v>
      </c>
      <c r="D233" s="102">
        <f t="shared" si="30"/>
        <v>2.5922887612797263E-2</v>
      </c>
      <c r="E233" s="102"/>
      <c r="F233" s="54">
        <v>1649.6</v>
      </c>
      <c r="G233" s="102">
        <f t="shared" si="30"/>
        <v>-1.0716834485777871E-2</v>
      </c>
      <c r="O233" s="101">
        <v>42725</v>
      </c>
      <c r="P233" s="110">
        <v>37009.519999999997</v>
      </c>
      <c r="Q233" s="110">
        <v>666.94</v>
      </c>
      <c r="R233" s="102">
        <f t="shared" si="29"/>
        <v>-3.1826555318036305E-2</v>
      </c>
      <c r="S233" s="102">
        <f t="shared" si="29"/>
        <v>6.4380487113086353E-3</v>
      </c>
      <c r="Y233" s="101">
        <v>41593</v>
      </c>
      <c r="Z233" s="110">
        <v>20250.240000000002</v>
      </c>
      <c r="AA233" s="110">
        <v>501.34</v>
      </c>
      <c r="AB233" s="102">
        <f t="shared" si="27"/>
        <v>-2.9558936484220873E-2</v>
      </c>
      <c r="AC233" s="102">
        <f t="shared" si="27"/>
        <v>5.4602865800242274E-3</v>
      </c>
      <c r="BC233" s="101">
        <v>41663</v>
      </c>
      <c r="BD233" s="110">
        <v>168693.17189999999</v>
      </c>
      <c r="BE233" s="110">
        <v>560.19000000000005</v>
      </c>
      <c r="BF233" s="272">
        <f t="shared" si="28"/>
        <v>2.5395798177218584E-2</v>
      </c>
      <c r="BG233" s="272">
        <f t="shared" si="28"/>
        <v>3.0080725670639016E-2</v>
      </c>
    </row>
    <row r="234" spans="2:59" x14ac:dyDescent="0.3">
      <c r="B234" s="101">
        <v>41411</v>
      </c>
      <c r="C234" s="54">
        <v>487.6</v>
      </c>
      <c r="D234" s="102">
        <f t="shared" si="30"/>
        <v>3.0857848179386416E-3</v>
      </c>
      <c r="E234" s="102"/>
      <c r="F234" s="54">
        <v>1667.47</v>
      </c>
      <c r="G234" s="102">
        <f t="shared" si="30"/>
        <v>2.0670869804737757E-2</v>
      </c>
      <c r="O234" s="101">
        <v>42724</v>
      </c>
      <c r="P234" s="110">
        <v>38206.35</v>
      </c>
      <c r="Q234" s="110">
        <v>662.66</v>
      </c>
      <c r="R234" s="102">
        <f t="shared" si="29"/>
        <v>-1.0784857494330885E-2</v>
      </c>
      <c r="S234" s="102">
        <f t="shared" si="29"/>
        <v>-1.7457567198055524E-2</v>
      </c>
      <c r="Y234" s="101">
        <v>41586</v>
      </c>
      <c r="Z234" s="110">
        <v>20857.75</v>
      </c>
      <c r="AA234" s="110">
        <v>498.61</v>
      </c>
      <c r="AB234" s="102">
        <f t="shared" si="27"/>
        <v>-1.9231603929946071E-2</v>
      </c>
      <c r="AC234" s="102">
        <f t="shared" si="27"/>
        <v>3.0732481077820621E-3</v>
      </c>
      <c r="BC234" s="101">
        <v>41656</v>
      </c>
      <c r="BD234" s="110">
        <v>164463.01560000001</v>
      </c>
      <c r="BE234" s="110">
        <v>543.59</v>
      </c>
      <c r="BF234" s="272">
        <f t="shared" si="28"/>
        <v>7.3065632615918447E-2</v>
      </c>
      <c r="BG234" s="272">
        <f t="shared" si="28"/>
        <v>4.6407016681983763E-2</v>
      </c>
    </row>
    <row r="235" spans="2:59" x14ac:dyDescent="0.3">
      <c r="B235" s="101">
        <v>41404</v>
      </c>
      <c r="C235" s="54">
        <v>486.1</v>
      </c>
      <c r="D235" s="102">
        <f t="shared" si="30"/>
        <v>2.285161181718709E-2</v>
      </c>
      <c r="E235" s="102"/>
      <c r="F235" s="54">
        <v>1633.7</v>
      </c>
      <c r="G235" s="102">
        <f t="shared" si="30"/>
        <v>1.1942369395820052E-2</v>
      </c>
      <c r="O235" s="101">
        <v>42723</v>
      </c>
      <c r="P235" s="110">
        <v>38620.629999999997</v>
      </c>
      <c r="Q235" s="110">
        <v>674.33</v>
      </c>
      <c r="R235" s="102">
        <f t="shared" si="29"/>
        <v>2.2906285056781713E-2</v>
      </c>
      <c r="S235" s="102">
        <f t="shared" si="29"/>
        <v>-1.2300944870406567E-3</v>
      </c>
      <c r="Y235" s="101">
        <v>41579</v>
      </c>
      <c r="Z235" s="110">
        <v>21262.76</v>
      </c>
      <c r="AA235" s="110">
        <v>497.08</v>
      </c>
      <c r="AB235" s="102">
        <f t="shared" si="27"/>
        <v>6.3698434626614734E-3</v>
      </c>
      <c r="AC235" s="102">
        <f t="shared" si="27"/>
        <v>-7.3559956081338859E-3</v>
      </c>
      <c r="BC235" s="101">
        <v>41649</v>
      </c>
      <c r="BD235" s="110">
        <v>152874.92189999999</v>
      </c>
      <c r="BE235" s="110">
        <v>518.94000000000005</v>
      </c>
      <c r="BF235" s="272">
        <f t="shared" si="28"/>
        <v>5.7619832234134957E-2</v>
      </c>
      <c r="BG235" s="272">
        <f t="shared" si="28"/>
        <v>2.6497435277817238E-2</v>
      </c>
    </row>
    <row r="236" spans="2:59" x14ac:dyDescent="0.3">
      <c r="B236" s="101">
        <v>41397</v>
      </c>
      <c r="C236" s="54">
        <v>475.24</v>
      </c>
      <c r="D236" s="102">
        <f t="shared" si="30"/>
        <v>1.5384291163516028E-3</v>
      </c>
      <c r="E236" s="102"/>
      <c r="F236" s="54">
        <v>1614.42</v>
      </c>
      <c r="G236" s="102">
        <f t="shared" si="30"/>
        <v>2.0338254626352636E-2</v>
      </c>
      <c r="O236" s="101">
        <v>42720</v>
      </c>
      <c r="P236" s="110">
        <v>37746.03</v>
      </c>
      <c r="Q236" s="110">
        <v>675.16</v>
      </c>
      <c r="R236" s="102">
        <f t="shared" si="29"/>
        <v>0</v>
      </c>
      <c r="S236" s="102">
        <f t="shared" si="29"/>
        <v>1.3780156615457541E-2</v>
      </c>
      <c r="Y236" s="101">
        <v>41572</v>
      </c>
      <c r="Z236" s="110">
        <v>21127.75</v>
      </c>
      <c r="AA236" s="110">
        <v>500.75</v>
      </c>
      <c r="AB236" s="102">
        <f t="shared" si="27"/>
        <v>9.6307785502018385E-3</v>
      </c>
      <c r="AC236" s="102">
        <f t="shared" si="27"/>
        <v>-1.5974759913359374E-4</v>
      </c>
      <c r="BC236" s="101">
        <v>41642</v>
      </c>
      <c r="BD236" s="110">
        <v>144315.26560000001</v>
      </c>
      <c r="BE236" s="110">
        <v>505.37</v>
      </c>
      <c r="BF236" s="272">
        <f t="shared" si="28"/>
        <v>-1.1162886184022499E-2</v>
      </c>
      <c r="BG236" s="272">
        <f t="shared" si="28"/>
        <v>-2.0557836017210669E-3</v>
      </c>
    </row>
    <row r="237" spans="2:59" x14ac:dyDescent="0.3">
      <c r="B237" s="101">
        <v>41390</v>
      </c>
      <c r="C237" s="54">
        <v>474.51</v>
      </c>
      <c r="D237" s="102">
        <f t="shared" si="30"/>
        <v>2.7471946915746948E-3</v>
      </c>
      <c r="E237" s="102"/>
      <c r="F237" s="54">
        <v>1582.24</v>
      </c>
      <c r="G237" s="102">
        <f t="shared" si="30"/>
        <v>1.7354123131329446E-2</v>
      </c>
      <c r="O237" s="101">
        <v>42719</v>
      </c>
      <c r="P237" s="110">
        <v>37746.03</v>
      </c>
      <c r="Q237" s="110">
        <v>665.92</v>
      </c>
      <c r="R237" s="102">
        <f t="shared" si="29"/>
        <v>-6.0790797945574192E-3</v>
      </c>
      <c r="S237" s="102">
        <f t="shared" si="29"/>
        <v>1.1719983911809E-3</v>
      </c>
      <c r="Y237" s="101">
        <v>41565</v>
      </c>
      <c r="Z237" s="110">
        <v>20925.25</v>
      </c>
      <c r="AA237" s="110">
        <v>500.83</v>
      </c>
      <c r="AB237" s="102">
        <f t="shared" si="27"/>
        <v>-9.6307785502017622E-3</v>
      </c>
      <c r="AC237" s="102">
        <f t="shared" si="27"/>
        <v>1.2658905581734842E-2</v>
      </c>
      <c r="BC237" s="101">
        <v>41635</v>
      </c>
      <c r="BD237" s="110">
        <v>145935.26560000001</v>
      </c>
      <c r="BE237" s="110">
        <v>506.41</v>
      </c>
      <c r="BF237" s="272">
        <f t="shared" si="28"/>
        <v>-4.8258843079861937E-3</v>
      </c>
      <c r="BG237" s="272">
        <f t="shared" si="28"/>
        <v>3.8778910159911945E-3</v>
      </c>
    </row>
    <row r="238" spans="2:59" x14ac:dyDescent="0.3">
      <c r="B238" s="101">
        <v>41383</v>
      </c>
      <c r="C238" s="54">
        <v>473.21</v>
      </c>
      <c r="D238" s="102">
        <f t="shared" si="30"/>
        <v>-4.2608291015032274E-2</v>
      </c>
      <c r="E238" s="102"/>
      <c r="F238" s="54">
        <v>1555.25</v>
      </c>
      <c r="G238" s="102">
        <f t="shared" si="30"/>
        <v>-2.1147370739843185E-2</v>
      </c>
      <c r="O238" s="101">
        <v>42718</v>
      </c>
      <c r="P238" s="110">
        <v>37976.19</v>
      </c>
      <c r="Q238" s="110">
        <v>665.14</v>
      </c>
      <c r="R238" s="102">
        <f t="shared" si="29"/>
        <v>1.8349241071546913E-2</v>
      </c>
      <c r="S238" s="102">
        <f t="shared" si="29"/>
        <v>1.5881527919026299E-2</v>
      </c>
      <c r="Y238" s="101">
        <v>41558</v>
      </c>
      <c r="Z238" s="110">
        <v>21127.75</v>
      </c>
      <c r="AA238" s="110">
        <v>494.53</v>
      </c>
      <c r="AB238" s="102">
        <f t="shared" si="27"/>
        <v>4.7367173125780801E-2</v>
      </c>
      <c r="AC238" s="102">
        <f t="shared" si="27"/>
        <v>-5.9877400353211896E-3</v>
      </c>
      <c r="BC238" s="101">
        <v>41628</v>
      </c>
      <c r="BD238" s="110">
        <v>146641.23439999999</v>
      </c>
      <c r="BE238" s="110">
        <v>504.45</v>
      </c>
      <c r="BF238" s="272">
        <f t="shared" si="28"/>
        <v>3.0322327380626204E-2</v>
      </c>
      <c r="BG238" s="272">
        <f t="shared" si="28"/>
        <v>-3.1865124784704658E-3</v>
      </c>
    </row>
    <row r="239" spans="2:59" x14ac:dyDescent="0.3">
      <c r="B239" s="101">
        <v>41376</v>
      </c>
      <c r="C239" s="54">
        <v>494.27</v>
      </c>
      <c r="D239" s="102">
        <f t="shared" si="30"/>
        <v>-1.653468104580369E-2</v>
      </c>
      <c r="E239" s="102"/>
      <c r="F239" s="54">
        <v>1588.85</v>
      </c>
      <c r="G239" s="102">
        <f t="shared" si="30"/>
        <v>2.2899927894519889E-2</v>
      </c>
      <c r="O239" s="101">
        <v>42717</v>
      </c>
      <c r="P239" s="110">
        <v>37285.71</v>
      </c>
      <c r="Q239" s="110">
        <v>654.66</v>
      </c>
      <c r="R239" s="102">
        <f t="shared" si="29"/>
        <v>-1.9560582351673652E-2</v>
      </c>
      <c r="S239" s="102">
        <f t="shared" si="29"/>
        <v>-7.6691693337629496E-3</v>
      </c>
      <c r="Y239" s="101">
        <v>41551</v>
      </c>
      <c r="Z239" s="110">
        <v>20150.32</v>
      </c>
      <c r="AA239" s="110">
        <v>497.5</v>
      </c>
      <c r="AB239" s="102">
        <f t="shared" si="27"/>
        <v>1.1080340716625916E-2</v>
      </c>
      <c r="AC239" s="102">
        <f t="shared" si="27"/>
        <v>2.2132575700011006E-2</v>
      </c>
      <c r="BC239" s="101">
        <v>41621</v>
      </c>
      <c r="BD239" s="110">
        <v>142261.4688</v>
      </c>
      <c r="BE239" s="110">
        <v>506.06</v>
      </c>
      <c r="BF239" s="272">
        <f t="shared" si="28"/>
        <v>1.2304466499483263E-3</v>
      </c>
      <c r="BG239" s="272">
        <f t="shared" si="28"/>
        <v>-7.9907528258403564E-3</v>
      </c>
    </row>
    <row r="240" spans="2:59" x14ac:dyDescent="0.3">
      <c r="B240" s="101">
        <v>41369</v>
      </c>
      <c r="C240" s="54">
        <v>502.58</v>
      </c>
      <c r="D240" s="102">
        <f t="shared" si="30"/>
        <v>2.3501140436624324E-2</v>
      </c>
      <c r="E240" s="102"/>
      <c r="F240" s="54">
        <v>1553.28</v>
      </c>
      <c r="G240" s="102">
        <f t="shared" si="30"/>
        <v>-1.0138988905104007E-2</v>
      </c>
      <c r="O240" s="101">
        <v>42716</v>
      </c>
      <c r="P240" s="110">
        <v>38022.22</v>
      </c>
      <c r="Q240" s="110">
        <v>659.7</v>
      </c>
      <c r="R240" s="102">
        <f t="shared" si="29"/>
        <v>7.290421074684153E-3</v>
      </c>
      <c r="S240" s="102">
        <f t="shared" si="29"/>
        <v>-5.0953790776041763E-3</v>
      </c>
      <c r="Y240" s="101">
        <v>41544</v>
      </c>
      <c r="Z240" s="110">
        <v>19928.28</v>
      </c>
      <c r="AA240" s="110">
        <v>486.61</v>
      </c>
      <c r="AB240" s="102">
        <f t="shared" si="27"/>
        <v>3.1119607345787805E-2</v>
      </c>
      <c r="AC240" s="102">
        <f t="shared" si="27"/>
        <v>1.9548246468629193E-2</v>
      </c>
      <c r="BC240" s="101">
        <v>41614</v>
      </c>
      <c r="BD240" s="110">
        <v>142086.5313</v>
      </c>
      <c r="BE240" s="110">
        <v>510.12</v>
      </c>
      <c r="BF240" s="272">
        <f t="shared" si="28"/>
        <v>3.8108946409940954E-2</v>
      </c>
      <c r="BG240" s="272">
        <f t="shared" si="28"/>
        <v>4.5977092486295494E-3</v>
      </c>
    </row>
    <row r="241" spans="2:59" x14ac:dyDescent="0.3">
      <c r="B241" s="101">
        <v>41362</v>
      </c>
      <c r="C241" s="54">
        <v>491.04</v>
      </c>
      <c r="D241" s="102">
        <f t="shared" si="30"/>
        <v>2.1429008755280421E-3</v>
      </c>
      <c r="E241" s="102"/>
      <c r="F241" s="54">
        <v>1569.19</v>
      </c>
      <c r="G241" s="102">
        <f t="shared" si="30"/>
        <v>7.9003654721914174E-3</v>
      </c>
      <c r="O241" s="101">
        <v>42713</v>
      </c>
      <c r="P241" s="110">
        <v>37746.03</v>
      </c>
      <c r="Q241" s="110">
        <v>663.07</v>
      </c>
      <c r="R241" s="102">
        <f t="shared" si="29"/>
        <v>-1.6929207588763383E-2</v>
      </c>
      <c r="S241" s="102">
        <f t="shared" si="29"/>
        <v>1.4492126639365848E-2</v>
      </c>
      <c r="Y241" s="101">
        <v>41537</v>
      </c>
      <c r="Z241" s="110">
        <v>19317.669999999998</v>
      </c>
      <c r="AA241" s="110">
        <v>477.19</v>
      </c>
      <c r="AB241" s="102">
        <f t="shared" si="27"/>
        <v>-2.8694142458473991E-3</v>
      </c>
      <c r="AC241" s="102">
        <f t="shared" si="27"/>
        <v>1.6149163019342548E-3</v>
      </c>
      <c r="BC241" s="101">
        <v>41607</v>
      </c>
      <c r="BD241" s="110">
        <v>136773.64060000001</v>
      </c>
      <c r="BE241" s="110">
        <v>507.78</v>
      </c>
      <c r="BF241" s="272">
        <f t="shared" si="28"/>
        <v>2.1610098786377489E-2</v>
      </c>
      <c r="BG241" s="272">
        <f t="shared" si="28"/>
        <v>4.2233292827127842E-3</v>
      </c>
    </row>
    <row r="242" spans="2:59" x14ac:dyDescent="0.3">
      <c r="B242" s="101">
        <v>41355</v>
      </c>
      <c r="C242" s="54">
        <v>489.99</v>
      </c>
      <c r="D242" s="102">
        <f t="shared" si="30"/>
        <v>1.7949516983484015E-2</v>
      </c>
      <c r="E242" s="102"/>
      <c r="F242" s="54">
        <v>1556.89</v>
      </c>
      <c r="G242" s="102">
        <f t="shared" si="30"/>
        <v>-2.4412122765425925E-3</v>
      </c>
      <c r="O242" s="101">
        <v>42711</v>
      </c>
      <c r="P242" s="110">
        <v>38390.480000000003</v>
      </c>
      <c r="Q242" s="110">
        <v>653.53</v>
      </c>
      <c r="R242" s="102">
        <f t="shared" si="29"/>
        <v>2.9199368865752945E-2</v>
      </c>
      <c r="S242" s="102">
        <f t="shared" si="29"/>
        <v>3.126391414131006E-3</v>
      </c>
      <c r="Y242" s="101">
        <v>41530</v>
      </c>
      <c r="Z242" s="110">
        <v>19373.18</v>
      </c>
      <c r="AA242" s="110">
        <v>476.42</v>
      </c>
      <c r="AB242" s="102">
        <f t="shared" si="27"/>
        <v>-5.0289935697490767E-2</v>
      </c>
      <c r="AC242" s="102">
        <f t="shared" si="27"/>
        <v>-7.5487838208199284E-3</v>
      </c>
      <c r="BC242" s="101">
        <v>41600</v>
      </c>
      <c r="BD242" s="110">
        <v>133849.6563</v>
      </c>
      <c r="BE242" s="110">
        <v>505.64</v>
      </c>
      <c r="BF242" s="272">
        <f t="shared" si="28"/>
        <v>2.3492242640514808E-2</v>
      </c>
      <c r="BG242" s="272">
        <f t="shared" si="28"/>
        <v>8.5404400017569763E-3</v>
      </c>
    </row>
    <row r="243" spans="2:59" x14ac:dyDescent="0.3">
      <c r="B243" s="101">
        <v>41348</v>
      </c>
      <c r="C243" s="54">
        <v>481.35</v>
      </c>
      <c r="D243" s="102">
        <f t="shared" si="30"/>
        <v>2.2669329480751177E-2</v>
      </c>
      <c r="E243" s="102"/>
      <c r="F243" s="54">
        <v>1560.7</v>
      </c>
      <c r="G243" s="102">
        <f t="shared" si="30"/>
        <v>6.1372632447556086E-3</v>
      </c>
      <c r="O243" s="101">
        <v>42710</v>
      </c>
      <c r="P243" s="110">
        <v>37285.71</v>
      </c>
      <c r="Q243" s="110">
        <v>651.49</v>
      </c>
      <c r="R243" s="102">
        <f t="shared" si="29"/>
        <v>-1.2270161276989466E-2</v>
      </c>
      <c r="S243" s="102">
        <f t="shared" si="29"/>
        <v>-1.3295918976620911E-2</v>
      </c>
      <c r="Y243" s="101">
        <v>41523</v>
      </c>
      <c r="Z243" s="110">
        <v>20372.37</v>
      </c>
      <c r="AA243" s="110">
        <v>480.03</v>
      </c>
      <c r="AB243" s="102">
        <f t="shared" si="27"/>
        <v>1.3717998272682202E-2</v>
      </c>
      <c r="AC243" s="102">
        <f t="shared" si="27"/>
        <v>1.5387664149702284E-2</v>
      </c>
      <c r="BC243" s="101">
        <v>41593</v>
      </c>
      <c r="BD243" s="110">
        <v>130741.875</v>
      </c>
      <c r="BE243" s="110">
        <v>501.34</v>
      </c>
      <c r="BF243" s="272">
        <f t="shared" si="28"/>
        <v>4.3920731692779292E-3</v>
      </c>
      <c r="BG243" s="272">
        <f t="shared" si="28"/>
        <v>5.4602865800242274E-3</v>
      </c>
    </row>
    <row r="244" spans="2:59" x14ac:dyDescent="0.3">
      <c r="B244" s="101">
        <v>41341</v>
      </c>
      <c r="C244" s="54">
        <v>470.68</v>
      </c>
      <c r="D244" s="102">
        <f t="shared" si="30"/>
        <v>-1.3559677250340463E-2</v>
      </c>
      <c r="E244" s="102"/>
      <c r="F244" s="54">
        <v>1551.18</v>
      </c>
      <c r="G244" s="102">
        <f t="shared" si="30"/>
        <v>2.1723093136609251E-2</v>
      </c>
      <c r="O244" s="101">
        <v>42709</v>
      </c>
      <c r="P244" s="110">
        <v>37746.03</v>
      </c>
      <c r="Q244" s="110">
        <v>660.21</v>
      </c>
      <c r="R244" s="102">
        <f t="shared" si="29"/>
        <v>-2.1713724183387795E-2</v>
      </c>
      <c r="S244" s="102">
        <f t="shared" si="29"/>
        <v>-7.4395785845351396E-3</v>
      </c>
      <c r="Y244" s="101">
        <v>41516</v>
      </c>
      <c r="Z244" s="110">
        <v>20094.810000000001</v>
      </c>
      <c r="AA244" s="110">
        <v>472.7</v>
      </c>
      <c r="AB244" s="102">
        <f t="shared" si="27"/>
        <v>-2.9934411944197294E-2</v>
      </c>
      <c r="AC244" s="102">
        <f t="shared" si="27"/>
        <v>-2.9433507104577768E-2</v>
      </c>
      <c r="BC244" s="101">
        <v>41586</v>
      </c>
      <c r="BD244" s="110">
        <v>130168.9063</v>
      </c>
      <c r="BE244" s="110">
        <v>498.61</v>
      </c>
      <c r="BF244" s="272">
        <f t="shared" si="28"/>
        <v>6.6431016740788329E-3</v>
      </c>
      <c r="BG244" s="272">
        <f t="shared" si="28"/>
        <v>3.0732481077820621E-3</v>
      </c>
    </row>
    <row r="245" spans="2:59" x14ac:dyDescent="0.3">
      <c r="B245" s="101">
        <v>41334</v>
      </c>
      <c r="C245" s="54">
        <v>477.15</v>
      </c>
      <c r="D245" s="102">
        <f t="shared" si="30"/>
        <v>-1.1304402436727035E-3</v>
      </c>
      <c r="E245" s="102"/>
      <c r="F245" s="54">
        <v>1518.2</v>
      </c>
      <c r="G245" s="102">
        <f t="shared" si="30"/>
        <v>1.7154922143045592E-3</v>
      </c>
      <c r="O245" s="101">
        <v>42706</v>
      </c>
      <c r="P245" s="110">
        <v>38574.6</v>
      </c>
      <c r="Q245" s="110">
        <v>665.14</v>
      </c>
      <c r="R245" s="102">
        <f t="shared" si="29"/>
        <v>-1.1925608733940076E-3</v>
      </c>
      <c r="S245" s="102">
        <f t="shared" si="29"/>
        <v>-2.1026080075974103E-3</v>
      </c>
      <c r="Y245" s="101">
        <v>41509</v>
      </c>
      <c r="Z245" s="110">
        <v>20705.43</v>
      </c>
      <c r="AA245" s="110">
        <v>486.82</v>
      </c>
      <c r="AB245" s="102">
        <f t="shared" si="27"/>
        <v>7.8034262993672124E-2</v>
      </c>
      <c r="AC245" s="102">
        <f t="shared" si="27"/>
        <v>-4.2173531380466193E-2</v>
      </c>
      <c r="BC245" s="101">
        <v>41579</v>
      </c>
      <c r="BD245" s="110">
        <v>129307.0469</v>
      </c>
      <c r="BE245" s="110">
        <v>497.08</v>
      </c>
      <c r="BF245" s="272">
        <f t="shared" si="28"/>
        <v>2.7808043179242377E-3</v>
      </c>
      <c r="BG245" s="272">
        <f t="shared" si="28"/>
        <v>-7.3559956081338859E-3</v>
      </c>
    </row>
    <row r="246" spans="2:59" x14ac:dyDescent="0.3">
      <c r="B246" s="101">
        <v>41327</v>
      </c>
      <c r="C246" s="54">
        <v>477.69</v>
      </c>
      <c r="D246" s="102">
        <f t="shared" ref="D246:G261" si="31">C246/C247-1</f>
        <v>-3.2918311569996916E-2</v>
      </c>
      <c r="E246" s="102"/>
      <c r="F246" s="54">
        <v>1515.6</v>
      </c>
      <c r="G246" s="102">
        <f t="shared" si="31"/>
        <v>-2.7569598431362863E-3</v>
      </c>
      <c r="O246" s="101">
        <v>42705</v>
      </c>
      <c r="P246" s="110">
        <v>38620.629999999997</v>
      </c>
      <c r="Q246" s="110">
        <v>666.54</v>
      </c>
      <c r="R246" s="102">
        <f t="shared" si="29"/>
        <v>5.9770774680183106E-3</v>
      </c>
      <c r="S246" s="102">
        <f t="shared" si="29"/>
        <v>2.2078545477144341E-3</v>
      </c>
      <c r="Y246" s="101">
        <v>41502</v>
      </c>
      <c r="Z246" s="110">
        <v>19151.13</v>
      </c>
      <c r="AA246" s="110">
        <v>507.79</v>
      </c>
      <c r="AB246" s="102">
        <f t="shared" si="27"/>
        <v>5.813915061204422E-3</v>
      </c>
      <c r="AC246" s="102">
        <f t="shared" si="27"/>
        <v>1.4220646027091827E-2</v>
      </c>
      <c r="BC246" s="101">
        <v>41572</v>
      </c>
      <c r="BD246" s="110">
        <v>128947.9688</v>
      </c>
      <c r="BE246" s="110">
        <v>500.75</v>
      </c>
      <c r="BF246" s="272">
        <f t="shared" si="28"/>
        <v>1.5497294496303895E-3</v>
      </c>
      <c r="BG246" s="272">
        <f t="shared" si="28"/>
        <v>-1.5974759913359374E-4</v>
      </c>
    </row>
    <row r="247" spans="2:59" x14ac:dyDescent="0.3">
      <c r="B247" s="101">
        <v>41320</v>
      </c>
      <c r="C247" s="54">
        <v>493.95</v>
      </c>
      <c r="D247" s="102">
        <f t="shared" si="31"/>
        <v>-1.6193348582071998E-4</v>
      </c>
      <c r="E247" s="102"/>
      <c r="F247" s="54">
        <v>1519.79</v>
      </c>
      <c r="G247" s="102">
        <f t="shared" si="31"/>
        <v>1.2253529477643799E-3</v>
      </c>
      <c r="O247" s="101">
        <v>42704</v>
      </c>
      <c r="P247" s="110">
        <v>38390.480000000003</v>
      </c>
      <c r="Q247" s="110">
        <v>665.07</v>
      </c>
      <c r="R247" s="102">
        <f t="shared" si="29"/>
        <v>4.1621959266619386E-2</v>
      </c>
      <c r="S247" s="102">
        <f t="shared" si="29"/>
        <v>1.029230821651695E-2</v>
      </c>
      <c r="Y247" s="101">
        <v>41495</v>
      </c>
      <c r="Z247" s="110">
        <v>19040.11</v>
      </c>
      <c r="AA247" s="110">
        <v>500.62</v>
      </c>
      <c r="AB247" s="102">
        <f t="shared" si="27"/>
        <v>2.9587673289833982E-2</v>
      </c>
      <c r="AC247" s="102">
        <f t="shared" si="27"/>
        <v>1.1976672377692121E-2</v>
      </c>
      <c r="BC247" s="101">
        <v>41565</v>
      </c>
      <c r="BD247" s="110">
        <v>128748.28909999999</v>
      </c>
      <c r="BE247" s="110">
        <v>500.83</v>
      </c>
      <c r="BF247" s="272">
        <f t="shared" si="28"/>
        <v>1.1900604671103992E-2</v>
      </c>
      <c r="BG247" s="272">
        <f t="shared" si="28"/>
        <v>1.2658905581734842E-2</v>
      </c>
    </row>
    <row r="248" spans="2:59" x14ac:dyDescent="0.3">
      <c r="B248" s="101">
        <v>41313</v>
      </c>
      <c r="C248" s="54">
        <v>494.03</v>
      </c>
      <c r="D248" s="102">
        <f t="shared" si="31"/>
        <v>2.194778867237579E-2</v>
      </c>
      <c r="E248" s="102"/>
      <c r="F248" s="54">
        <v>1517.93</v>
      </c>
      <c r="G248" s="102">
        <f t="shared" si="31"/>
        <v>3.1457139647230736E-3</v>
      </c>
      <c r="O248" s="101">
        <v>42703</v>
      </c>
      <c r="P248" s="110">
        <v>36825.39</v>
      </c>
      <c r="Q248" s="110">
        <v>658.26</v>
      </c>
      <c r="R248" s="102">
        <f t="shared" si="29"/>
        <v>-2.4970569442402169E-3</v>
      </c>
      <c r="S248" s="102">
        <f t="shared" si="29"/>
        <v>-1.0623045764256435E-2</v>
      </c>
      <c r="Y248" s="101">
        <v>41488</v>
      </c>
      <c r="Z248" s="110">
        <v>18485.009999999998</v>
      </c>
      <c r="AA248" s="110">
        <v>494.66</v>
      </c>
      <c r="AB248" s="102">
        <f t="shared" si="27"/>
        <v>5.2400322616411574E-2</v>
      </c>
      <c r="AC248" s="102">
        <f t="shared" si="27"/>
        <v>1.4768511368370982E-3</v>
      </c>
      <c r="BC248" s="101">
        <v>41558</v>
      </c>
      <c r="BD248" s="110">
        <v>127225.1875</v>
      </c>
      <c r="BE248" s="110">
        <v>494.53</v>
      </c>
      <c r="BF248" s="272">
        <f t="shared" si="28"/>
        <v>-1.8424751010957318E-2</v>
      </c>
      <c r="BG248" s="272">
        <f t="shared" si="28"/>
        <v>-5.9877400353211896E-3</v>
      </c>
    </row>
    <row r="249" spans="2:59" x14ac:dyDescent="0.3">
      <c r="B249" s="101">
        <v>41306</v>
      </c>
      <c r="C249" s="54">
        <v>483.42</v>
      </c>
      <c r="D249" s="102">
        <f t="shared" si="31"/>
        <v>3.2750112157918343E-2</v>
      </c>
      <c r="E249" s="102"/>
      <c r="F249" s="54">
        <v>1513.17</v>
      </c>
      <c r="G249" s="102">
        <f t="shared" si="31"/>
        <v>6.7932612977059659E-3</v>
      </c>
      <c r="O249" s="101">
        <v>42702</v>
      </c>
      <c r="P249" s="110">
        <v>36917.46</v>
      </c>
      <c r="Q249" s="110">
        <v>665.29</v>
      </c>
      <c r="R249" s="102">
        <f t="shared" si="29"/>
        <v>-3.6723771096323778E-2</v>
      </c>
      <c r="S249" s="102">
        <f t="shared" si="29"/>
        <v>-1.5777714035450124E-2</v>
      </c>
      <c r="Y249" s="101">
        <v>41481</v>
      </c>
      <c r="Z249" s="110">
        <v>17541.330000000002</v>
      </c>
      <c r="AA249" s="110">
        <v>493.93</v>
      </c>
      <c r="AB249" s="102">
        <f t="shared" si="27"/>
        <v>-4.0315701791847444E-2</v>
      </c>
      <c r="AC249" s="102">
        <f t="shared" si="27"/>
        <v>-1.970615743787392E-2</v>
      </c>
      <c r="BC249" s="101">
        <v>41551</v>
      </c>
      <c r="BD249" s="110">
        <v>129591.00780000001</v>
      </c>
      <c r="BE249" s="110">
        <v>497.5</v>
      </c>
      <c r="BF249" s="272">
        <f t="shared" si="28"/>
        <v>2.1351320867615063E-2</v>
      </c>
      <c r="BG249" s="272">
        <f t="shared" si="28"/>
        <v>2.2132575700011006E-2</v>
      </c>
    </row>
    <row r="250" spans="2:59" x14ac:dyDescent="0.3">
      <c r="B250" s="101">
        <v>41299</v>
      </c>
      <c r="C250" s="54">
        <v>468.09</v>
      </c>
      <c r="D250" s="102">
        <f t="shared" si="31"/>
        <v>3.0672009864364913E-2</v>
      </c>
      <c r="E250" s="102"/>
      <c r="F250" s="54">
        <v>1502.96</v>
      </c>
      <c r="G250" s="102">
        <f t="shared" si="31"/>
        <v>1.1426802514165724E-2</v>
      </c>
      <c r="O250" s="101">
        <v>42699</v>
      </c>
      <c r="P250" s="110">
        <v>38298.410000000003</v>
      </c>
      <c r="Q250" s="110">
        <v>675.87</v>
      </c>
      <c r="R250" s="102">
        <f t="shared" si="29"/>
        <v>-4.7962509705189171E-3</v>
      </c>
      <c r="S250" s="102">
        <f t="shared" si="29"/>
        <v>-3.4119895735334796E-3</v>
      </c>
      <c r="Y250" s="101">
        <v>41474</v>
      </c>
      <c r="Z250" s="110">
        <v>18262.97</v>
      </c>
      <c r="AA250" s="110">
        <v>503.76</v>
      </c>
      <c r="AB250" s="102">
        <f t="shared" si="27"/>
        <v>7.5746379888111004E-2</v>
      </c>
      <c r="AC250" s="102">
        <f t="shared" si="27"/>
        <v>1.9584690112435004E-2</v>
      </c>
      <c r="BC250" s="101">
        <v>41544</v>
      </c>
      <c r="BD250" s="110">
        <v>126853.39840000001</v>
      </c>
      <c r="BE250" s="110">
        <v>486.61</v>
      </c>
      <c r="BF250" s="272">
        <f t="shared" si="28"/>
        <v>4.855282404098641E-2</v>
      </c>
      <c r="BG250" s="272">
        <f t="shared" si="28"/>
        <v>1.9548246468629193E-2</v>
      </c>
    </row>
    <row r="251" spans="2:59" x14ac:dyDescent="0.3">
      <c r="B251" s="101">
        <v>41292</v>
      </c>
      <c r="C251" s="54">
        <v>454.16</v>
      </c>
      <c r="D251" s="102">
        <f t="shared" si="31"/>
        <v>-1.8435669670837873E-2</v>
      </c>
      <c r="E251" s="102"/>
      <c r="F251" s="54">
        <v>1485.98</v>
      </c>
      <c r="G251" s="102">
        <f t="shared" si="31"/>
        <v>9.4629937841785861E-3</v>
      </c>
      <c r="O251" s="101">
        <v>42698</v>
      </c>
      <c r="P251" s="110">
        <v>38482.54</v>
      </c>
      <c r="Q251" s="110">
        <v>678.18</v>
      </c>
      <c r="R251" s="102">
        <f t="shared" si="29"/>
        <v>0</v>
      </c>
      <c r="S251" s="102">
        <f t="shared" si="29"/>
        <v>-7.3163533202961206E-3</v>
      </c>
      <c r="Y251" s="101">
        <v>41467</v>
      </c>
      <c r="Z251" s="110">
        <v>16930.71</v>
      </c>
      <c r="AA251" s="110">
        <v>493.99</v>
      </c>
      <c r="AB251" s="102">
        <f t="shared" si="27"/>
        <v>-1.6260949563959338E-2</v>
      </c>
      <c r="AC251" s="102">
        <f t="shared" si="27"/>
        <v>1.7006483471135213E-2</v>
      </c>
      <c r="BC251" s="101">
        <v>41537</v>
      </c>
      <c r="BD251" s="110">
        <v>120841.4375</v>
      </c>
      <c r="BE251" s="110">
        <v>477.19</v>
      </c>
      <c r="BF251" s="272">
        <f t="shared" si="28"/>
        <v>-5.9428551250945661E-3</v>
      </c>
      <c r="BG251" s="272">
        <f t="shared" si="28"/>
        <v>1.6149163019342548E-3</v>
      </c>
    </row>
    <row r="252" spans="2:59" x14ac:dyDescent="0.3">
      <c r="B252" s="101">
        <v>41285</v>
      </c>
      <c r="C252" s="54">
        <v>462.69</v>
      </c>
      <c r="D252" s="102">
        <f t="shared" si="31"/>
        <v>8.597380650612596E-2</v>
      </c>
      <c r="E252" s="102"/>
      <c r="F252" s="54">
        <v>1472.05</v>
      </c>
      <c r="G252" s="102">
        <f t="shared" si="31"/>
        <v>3.8050556779203326E-3</v>
      </c>
      <c r="O252" s="101">
        <v>42697</v>
      </c>
      <c r="P252" s="110">
        <v>38482.54</v>
      </c>
      <c r="Q252" s="110">
        <v>683.16</v>
      </c>
      <c r="R252" s="102">
        <f t="shared" si="29"/>
        <v>-2.3893968501609336E-3</v>
      </c>
      <c r="S252" s="102">
        <f t="shared" si="29"/>
        <v>1.8314084250344454E-3</v>
      </c>
      <c r="Y252" s="101">
        <v>41460</v>
      </c>
      <c r="Z252" s="110">
        <v>17208.27</v>
      </c>
      <c r="AA252" s="110">
        <v>485.66</v>
      </c>
      <c r="AB252" s="102">
        <f t="shared" si="27"/>
        <v>6.6691935576289232E-2</v>
      </c>
      <c r="AC252" s="102">
        <f t="shared" si="27"/>
        <v>9.3712867373156455E-3</v>
      </c>
      <c r="BC252" s="101">
        <v>41530</v>
      </c>
      <c r="BD252" s="110">
        <v>121561.7188</v>
      </c>
      <c r="BE252" s="110">
        <v>476.42</v>
      </c>
      <c r="BF252" s="272">
        <f t="shared" si="28"/>
        <v>-2.1179403560943364E-2</v>
      </c>
      <c r="BG252" s="272">
        <f t="shared" si="28"/>
        <v>-7.5487838208199284E-3</v>
      </c>
    </row>
    <row r="253" spans="2:59" x14ac:dyDescent="0.3">
      <c r="B253" s="101">
        <v>41278</v>
      </c>
      <c r="C253" s="54">
        <v>426.06</v>
      </c>
      <c r="D253" s="102">
        <f t="shared" si="31"/>
        <v>2.9802044811833683E-2</v>
      </c>
      <c r="E253" s="102"/>
      <c r="F253" s="54">
        <v>1466.47</v>
      </c>
      <c r="G253" s="102">
        <f t="shared" si="31"/>
        <v>4.5663598183153464E-2</v>
      </c>
      <c r="O253" s="101">
        <v>42696</v>
      </c>
      <c r="P253" s="110">
        <v>38574.6</v>
      </c>
      <c r="Q253" s="110">
        <v>681.91</v>
      </c>
      <c r="R253" s="102">
        <f t="shared" si="29"/>
        <v>0</v>
      </c>
      <c r="S253" s="102">
        <f t="shared" si="29"/>
        <v>1.1237398889664038E-2</v>
      </c>
      <c r="Y253" s="101">
        <v>41453</v>
      </c>
      <c r="Z253" s="110">
        <v>16098.05</v>
      </c>
      <c r="AA253" s="110">
        <v>481.13</v>
      </c>
      <c r="AB253" s="102">
        <f t="shared" si="27"/>
        <v>6.9203781369454815E-3</v>
      </c>
      <c r="AC253" s="102">
        <f t="shared" si="27"/>
        <v>-3.6147899192944991E-2</v>
      </c>
      <c r="BC253" s="101">
        <v>41523</v>
      </c>
      <c r="BD253" s="110">
        <v>124163.7813</v>
      </c>
      <c r="BE253" s="110">
        <v>480.03</v>
      </c>
      <c r="BF253" s="272">
        <f t="shared" si="28"/>
        <v>1.4434166175151678E-2</v>
      </c>
      <c r="BG253" s="272">
        <f t="shared" si="28"/>
        <v>1.5387664149702284E-2</v>
      </c>
    </row>
    <row r="254" spans="2:59" x14ac:dyDescent="0.3">
      <c r="B254" s="101">
        <v>41271</v>
      </c>
      <c r="C254" s="54">
        <v>413.73</v>
      </c>
      <c r="D254" s="102">
        <f t="shared" si="31"/>
        <v>4.2718887040677611E-2</v>
      </c>
      <c r="E254" s="102"/>
      <c r="F254" s="54">
        <v>1402.43</v>
      </c>
      <c r="G254" s="102">
        <f t="shared" si="31"/>
        <v>-1.9382582246617486E-2</v>
      </c>
      <c r="O254" s="101">
        <v>42695</v>
      </c>
      <c r="P254" s="110">
        <v>38574.6</v>
      </c>
      <c r="Q254" s="110">
        <v>674.29</v>
      </c>
      <c r="R254" s="102">
        <f t="shared" si="29"/>
        <v>-2.3837012392250246E-3</v>
      </c>
      <c r="S254" s="102">
        <f t="shared" si="29"/>
        <v>1.5435537445840286E-3</v>
      </c>
      <c r="Y254" s="101">
        <v>41446</v>
      </c>
      <c r="Z254" s="110">
        <v>15987.03</v>
      </c>
      <c r="AA254" s="110">
        <v>498.84</v>
      </c>
      <c r="AB254" s="102">
        <f t="shared" si="27"/>
        <v>-6.920378136945589E-3</v>
      </c>
      <c r="AC254" s="102">
        <f t="shared" si="27"/>
        <v>-2.0221550857403271E-2</v>
      </c>
      <c r="BC254" s="101">
        <v>41516</v>
      </c>
      <c r="BD254" s="110">
        <v>122384.4531</v>
      </c>
      <c r="BE254" s="110">
        <v>472.7</v>
      </c>
      <c r="BF254" s="272">
        <f t="shared" si="28"/>
        <v>-3.6566206489622187E-2</v>
      </c>
      <c r="BG254" s="272">
        <f t="shared" si="28"/>
        <v>-2.9433507104577768E-2</v>
      </c>
    </row>
    <row r="255" spans="2:59" x14ac:dyDescent="0.3">
      <c r="B255" s="101">
        <v>41264</v>
      </c>
      <c r="C255" s="54">
        <v>396.78</v>
      </c>
      <c r="D255" s="102">
        <f t="shared" si="31"/>
        <v>1.1651921164682166E-2</v>
      </c>
      <c r="E255" s="102"/>
      <c r="F255" s="54">
        <v>1430.15</v>
      </c>
      <c r="G255" s="102">
        <f t="shared" si="31"/>
        <v>1.1722010781137326E-2</v>
      </c>
      <c r="O255" s="101">
        <v>42692</v>
      </c>
      <c r="P255" s="110">
        <v>38666.660000000003</v>
      </c>
      <c r="Q255" s="110">
        <v>673.25</v>
      </c>
      <c r="R255" s="102">
        <f t="shared" si="29"/>
        <v>0</v>
      </c>
      <c r="S255" s="102">
        <f t="shared" si="29"/>
        <v>-1.9587191494768006E-3</v>
      </c>
      <c r="Y255" s="101">
        <v>41439</v>
      </c>
      <c r="Z255" s="110">
        <v>16098.05</v>
      </c>
      <c r="AA255" s="110">
        <v>509.03</v>
      </c>
      <c r="AB255" s="102">
        <f t="shared" si="27"/>
        <v>0</v>
      </c>
      <c r="AC255" s="102">
        <f t="shared" si="27"/>
        <v>-3.6532510000279739E-2</v>
      </c>
      <c r="BC255" s="101">
        <v>41509</v>
      </c>
      <c r="BD255" s="110">
        <v>126942.41409999999</v>
      </c>
      <c r="BE255" s="110">
        <v>486.82</v>
      </c>
      <c r="BF255" s="272">
        <f t="shared" si="28"/>
        <v>-4.6771942342507446E-3</v>
      </c>
      <c r="BG255" s="272">
        <f t="shared" si="28"/>
        <v>-4.2173531380466193E-2</v>
      </c>
    </row>
    <row r="256" spans="2:59" x14ac:dyDescent="0.3">
      <c r="B256" s="101">
        <v>41257</v>
      </c>
      <c r="C256" s="54">
        <v>392.21</v>
      </c>
      <c r="D256" s="102">
        <f t="shared" si="31"/>
        <v>2.1912454403334891E-2</v>
      </c>
      <c r="E256" s="102"/>
      <c r="F256" s="54">
        <v>1413.58</v>
      </c>
      <c r="G256" s="102">
        <f t="shared" si="31"/>
        <v>-3.1662752896542967E-3</v>
      </c>
      <c r="O256" s="101">
        <v>42691</v>
      </c>
      <c r="P256" s="110">
        <v>38666.660000000003</v>
      </c>
      <c r="Q256" s="110">
        <v>674.57</v>
      </c>
      <c r="R256" s="102">
        <f t="shared" si="29"/>
        <v>0</v>
      </c>
      <c r="S256" s="102">
        <f t="shared" si="29"/>
        <v>-4.447178636480952E-5</v>
      </c>
      <c r="Y256" s="101">
        <v>41432</v>
      </c>
      <c r="Z256" s="110">
        <v>16098.05</v>
      </c>
      <c r="AA256" s="110">
        <v>527.97</v>
      </c>
      <c r="AB256" s="102">
        <f t="shared" si="27"/>
        <v>-1.7094886093261315E-2</v>
      </c>
      <c r="AC256" s="102">
        <f t="shared" si="27"/>
        <v>1.8311609181677908E-2</v>
      </c>
      <c r="BC256" s="101">
        <v>41502</v>
      </c>
      <c r="BD256" s="110">
        <v>127537.53909999999</v>
      </c>
      <c r="BE256" s="110">
        <v>507.79</v>
      </c>
      <c r="BF256" s="272">
        <f t="shared" si="28"/>
        <v>2.8875867545598091E-2</v>
      </c>
      <c r="BG256" s="272">
        <f t="shared" si="28"/>
        <v>1.4220646027091827E-2</v>
      </c>
    </row>
    <row r="257" spans="2:59" x14ac:dyDescent="0.3">
      <c r="B257" s="101">
        <v>41250</v>
      </c>
      <c r="C257" s="54">
        <v>383.8</v>
      </c>
      <c r="D257" s="102">
        <f t="shared" si="31"/>
        <v>1.5827642792864305E-2</v>
      </c>
      <c r="E257" s="102"/>
      <c r="F257" s="54">
        <v>1418.07</v>
      </c>
      <c r="G257" s="102">
        <f t="shared" si="31"/>
        <v>1.3345761132057543E-3</v>
      </c>
      <c r="O257" s="101">
        <v>42690</v>
      </c>
      <c r="P257" s="110">
        <v>38666.660000000003</v>
      </c>
      <c r="Q257" s="110">
        <v>674.6</v>
      </c>
      <c r="R257" s="102">
        <f t="shared" si="29"/>
        <v>4.7730980893860887E-3</v>
      </c>
      <c r="S257" s="102">
        <f t="shared" si="29"/>
        <v>5.041294236627612E-4</v>
      </c>
      <c r="Y257" s="101">
        <v>41425</v>
      </c>
      <c r="Z257" s="110">
        <v>16375.61</v>
      </c>
      <c r="AA257" s="110">
        <v>518.39</v>
      </c>
      <c r="AB257" s="102">
        <f t="shared" si="27"/>
        <v>1.6489294820774784E-4</v>
      </c>
      <c r="AC257" s="102">
        <f t="shared" si="27"/>
        <v>3.563987146950879E-2</v>
      </c>
      <c r="BC257" s="101">
        <v>41495</v>
      </c>
      <c r="BD257" s="110">
        <v>123907.44530000001</v>
      </c>
      <c r="BE257" s="110">
        <v>500.62</v>
      </c>
      <c r="BF257" s="272">
        <f t="shared" si="28"/>
        <v>3.9307149435066614E-2</v>
      </c>
      <c r="BG257" s="272">
        <f t="shared" si="28"/>
        <v>1.1976672377692121E-2</v>
      </c>
    </row>
    <row r="258" spans="2:59" x14ac:dyDescent="0.3">
      <c r="B258" s="101">
        <v>41243</v>
      </c>
      <c r="C258" s="54">
        <v>377.82</v>
      </c>
      <c r="D258" s="102">
        <f t="shared" si="31"/>
        <v>-1.0190982683188743E-2</v>
      </c>
      <c r="E258" s="102"/>
      <c r="F258" s="54">
        <v>1416.18</v>
      </c>
      <c r="G258" s="102">
        <f t="shared" si="31"/>
        <v>4.9888230493559949E-3</v>
      </c>
      <c r="O258" s="101">
        <v>42689</v>
      </c>
      <c r="P258" s="110">
        <v>38482.54</v>
      </c>
      <c r="Q258" s="110">
        <v>674.26</v>
      </c>
      <c r="R258" s="102">
        <f t="shared" si="29"/>
        <v>-4.7730980893859968E-3</v>
      </c>
      <c r="S258" s="102">
        <f t="shared" si="29"/>
        <v>1.7961721137852906E-3</v>
      </c>
      <c r="Y258" s="101">
        <v>41418</v>
      </c>
      <c r="Z258" s="110">
        <v>16372.91</v>
      </c>
      <c r="AA258" s="110">
        <v>500.24</v>
      </c>
      <c r="AB258" s="102">
        <f t="shared" si="27"/>
        <v>4.2839782346627803E-2</v>
      </c>
      <c r="AC258" s="102">
        <f t="shared" si="27"/>
        <v>2.5592585651925907E-2</v>
      </c>
      <c r="BC258" s="101">
        <v>41488</v>
      </c>
      <c r="BD258" s="110">
        <v>119131.47659999999</v>
      </c>
      <c r="BE258" s="110">
        <v>494.66</v>
      </c>
      <c r="BF258" s="272">
        <f t="shared" si="28"/>
        <v>2.0447816159883808E-2</v>
      </c>
      <c r="BG258" s="272">
        <f t="shared" si="28"/>
        <v>1.4768511368370982E-3</v>
      </c>
    </row>
    <row r="259" spans="2:59" x14ac:dyDescent="0.3">
      <c r="B259" s="101">
        <v>41236</v>
      </c>
      <c r="C259" s="54">
        <v>381.71</v>
      </c>
      <c r="D259" s="102">
        <f t="shared" si="31"/>
        <v>-1.0370485597988144E-2</v>
      </c>
      <c r="E259" s="102"/>
      <c r="F259" s="54">
        <v>1409.15</v>
      </c>
      <c r="G259" s="102">
        <f t="shared" si="31"/>
        <v>3.6231138041591837E-2</v>
      </c>
      <c r="O259" s="101">
        <v>42688</v>
      </c>
      <c r="P259" s="110">
        <v>38666.660000000003</v>
      </c>
      <c r="Q259" s="110">
        <v>673.05</v>
      </c>
      <c r="R259" s="102">
        <f t="shared" si="29"/>
        <v>1.9231156035673748E-2</v>
      </c>
      <c r="S259" s="102">
        <f t="shared" si="29"/>
        <v>-9.0960139070356948E-3</v>
      </c>
      <c r="Y259" s="101">
        <v>41411</v>
      </c>
      <c r="Z259" s="110">
        <v>15686.31</v>
      </c>
      <c r="AA259" s="110">
        <v>487.6</v>
      </c>
      <c r="AB259" s="102">
        <f t="shared" si="27"/>
        <v>-2.3295499692478301E-2</v>
      </c>
      <c r="AC259" s="102">
        <f t="shared" si="27"/>
        <v>3.0810335557065983E-3</v>
      </c>
      <c r="BC259" s="101">
        <v>41481</v>
      </c>
      <c r="BD259" s="110">
        <v>116720.2344</v>
      </c>
      <c r="BE259" s="110">
        <v>493.93</v>
      </c>
      <c r="BF259" s="272">
        <f t="shared" si="28"/>
        <v>-3.1698405052281026E-2</v>
      </c>
      <c r="BG259" s="272">
        <f t="shared" si="28"/>
        <v>-1.970615743787392E-2</v>
      </c>
    </row>
    <row r="260" spans="2:59" x14ac:dyDescent="0.3">
      <c r="B260" s="101">
        <v>41229</v>
      </c>
      <c r="C260" s="54">
        <v>385.71</v>
      </c>
      <c r="D260" s="102">
        <f t="shared" si="31"/>
        <v>-2.585917095497936E-3</v>
      </c>
      <c r="E260" s="102"/>
      <c r="F260" s="54">
        <v>1359.88</v>
      </c>
      <c r="G260" s="102">
        <f t="shared" si="31"/>
        <v>-1.4472587600101283E-2</v>
      </c>
      <c r="O260" s="101">
        <v>42685</v>
      </c>
      <c r="P260" s="110">
        <v>37930.160000000003</v>
      </c>
      <c r="Q260" s="110">
        <v>679.2</v>
      </c>
      <c r="R260" s="102">
        <f t="shared" si="29"/>
        <v>-2.4241516877451606E-3</v>
      </c>
      <c r="S260" s="102">
        <f t="shared" si="29"/>
        <v>1.517641022999433E-3</v>
      </c>
      <c r="Y260" s="101">
        <v>41404</v>
      </c>
      <c r="Z260" s="110">
        <v>16056.02</v>
      </c>
      <c r="AA260" s="110">
        <v>486.1</v>
      </c>
      <c r="AB260" s="102">
        <f t="shared" si="27"/>
        <v>4.714664956653359E-2</v>
      </c>
      <c r="AC260" s="102">
        <f t="shared" si="27"/>
        <v>2.2594424461323141E-2</v>
      </c>
      <c r="BC260" s="101">
        <v>41474</v>
      </c>
      <c r="BD260" s="110">
        <v>120479.3438</v>
      </c>
      <c r="BE260" s="110">
        <v>503.76</v>
      </c>
      <c r="BF260" s="272">
        <f t="shared" si="28"/>
        <v>4.3869475592084393E-2</v>
      </c>
      <c r="BG260" s="272">
        <f t="shared" si="28"/>
        <v>1.9584690112435004E-2</v>
      </c>
    </row>
    <row r="261" spans="2:59" x14ac:dyDescent="0.3">
      <c r="B261" s="101">
        <v>41222</v>
      </c>
      <c r="C261" s="54">
        <v>386.71</v>
      </c>
      <c r="D261" s="102">
        <f t="shared" si="31"/>
        <v>3.0512178223098596E-2</v>
      </c>
      <c r="E261" s="102"/>
      <c r="F261" s="54">
        <v>1379.85</v>
      </c>
      <c r="G261" s="102">
        <f t="shared" si="31"/>
        <v>-2.4289350869749815E-2</v>
      </c>
      <c r="O261" s="101">
        <v>42684</v>
      </c>
      <c r="P261" s="110">
        <v>38022.22</v>
      </c>
      <c r="Q261" s="110">
        <v>678.17</v>
      </c>
      <c r="R261" s="102">
        <f t="shared" si="29"/>
        <v>1.8326554663178975E-2</v>
      </c>
      <c r="S261" s="102">
        <f t="shared" si="29"/>
        <v>1.173229716332622E-2</v>
      </c>
      <c r="Y261" s="101">
        <v>41397</v>
      </c>
      <c r="Z261" s="110">
        <v>15316.6</v>
      </c>
      <c r="AA261" s="110">
        <v>475.24</v>
      </c>
      <c r="AB261" s="102">
        <f t="shared" si="27"/>
        <v>-3.4419627795947219E-3</v>
      </c>
      <c r="AC261" s="102">
        <f t="shared" si="27"/>
        <v>1.5372469465795365E-3</v>
      </c>
      <c r="BC261" s="101">
        <v>41467</v>
      </c>
      <c r="BD261" s="110">
        <v>115308.2344</v>
      </c>
      <c r="BE261" s="110">
        <v>493.99</v>
      </c>
      <c r="BF261" s="272">
        <f t="shared" si="28"/>
        <v>3.2067604378071601E-2</v>
      </c>
      <c r="BG261" s="272">
        <f t="shared" si="28"/>
        <v>1.7006483471135213E-2</v>
      </c>
    </row>
    <row r="262" spans="2:59" x14ac:dyDescent="0.3">
      <c r="B262" s="101">
        <v>41215</v>
      </c>
      <c r="C262" s="54">
        <v>375.26</v>
      </c>
      <c r="D262" s="102">
        <f t="shared" ref="D262:G277" si="32">C262/C263-1</f>
        <v>-4.1970896093949439E-2</v>
      </c>
      <c r="E262" s="102"/>
      <c r="F262" s="54">
        <v>1414.2</v>
      </c>
      <c r="G262" s="102">
        <f t="shared" si="32"/>
        <v>1.600634587872074E-3</v>
      </c>
      <c r="O262" s="101">
        <v>42683</v>
      </c>
      <c r="P262" s="110">
        <v>37331.75</v>
      </c>
      <c r="Q262" s="110">
        <v>670.26</v>
      </c>
      <c r="R262" s="102">
        <f t="shared" si="29"/>
        <v>-2.0745106416587819E-2</v>
      </c>
      <c r="S262" s="102">
        <f t="shared" si="29"/>
        <v>-9.2076211879038722E-3</v>
      </c>
      <c r="Y262" s="101">
        <v>41390</v>
      </c>
      <c r="Z262" s="110">
        <v>15369.41</v>
      </c>
      <c r="AA262" s="110">
        <v>474.51</v>
      </c>
      <c r="AB262" s="102">
        <f t="shared" si="27"/>
        <v>3.8533375860356454E-2</v>
      </c>
      <c r="AC262" s="102">
        <f t="shared" si="27"/>
        <v>2.7434280491277674E-3</v>
      </c>
      <c r="BC262" s="101">
        <v>41460</v>
      </c>
      <c r="BD262" s="110">
        <v>111669.2344</v>
      </c>
      <c r="BE262" s="110">
        <v>485.66</v>
      </c>
      <c r="BF262" s="272">
        <f t="shared" si="28"/>
        <v>1.883510154394245E-2</v>
      </c>
      <c r="BG262" s="272">
        <f t="shared" si="28"/>
        <v>9.3712867373156455E-3</v>
      </c>
    </row>
    <row r="263" spans="2:59" x14ac:dyDescent="0.3">
      <c r="B263" s="101">
        <v>41208</v>
      </c>
      <c r="C263" s="54">
        <v>391.7</v>
      </c>
      <c r="D263" s="102">
        <f t="shared" si="32"/>
        <v>-1.6397559199457623E-2</v>
      </c>
      <c r="E263" s="102"/>
      <c r="F263" s="54">
        <v>1411.94</v>
      </c>
      <c r="G263" s="102">
        <f t="shared" si="32"/>
        <v>-1.4827064101759047E-2</v>
      </c>
      <c r="O263" s="101">
        <v>42682</v>
      </c>
      <c r="P263" s="110">
        <v>38114.29</v>
      </c>
      <c r="Q263" s="110">
        <v>676.46</v>
      </c>
      <c r="R263" s="102">
        <f t="shared" si="29"/>
        <v>1.7052934716180981E-2</v>
      </c>
      <c r="S263" s="102">
        <f t="shared" si="29"/>
        <v>3.4355135226792257E-3</v>
      </c>
      <c r="Y263" s="101">
        <v>41383</v>
      </c>
      <c r="Z263" s="110">
        <v>14788.44</v>
      </c>
      <c r="AA263" s="110">
        <v>473.21</v>
      </c>
      <c r="AB263" s="102">
        <f t="shared" si="27"/>
        <v>-1.7699624552301202E-2</v>
      </c>
      <c r="AC263" s="102">
        <f t="shared" si="27"/>
        <v>-4.354266198918931E-2</v>
      </c>
      <c r="BC263" s="101">
        <v>41453</v>
      </c>
      <c r="BD263" s="110">
        <v>109585.61719999999</v>
      </c>
      <c r="BE263" s="110">
        <v>481.13</v>
      </c>
      <c r="BF263" s="272">
        <f t="shared" si="28"/>
        <v>-1.7058051515914607E-2</v>
      </c>
      <c r="BG263" s="272">
        <f t="shared" si="28"/>
        <v>-3.6147899192944991E-2</v>
      </c>
    </row>
    <row r="264" spans="2:59" x14ac:dyDescent="0.3">
      <c r="B264" s="101">
        <v>41201</v>
      </c>
      <c r="C264" s="54">
        <v>398.23</v>
      </c>
      <c r="D264" s="102">
        <f t="shared" si="32"/>
        <v>1.4495338054720586E-2</v>
      </c>
      <c r="E264" s="102"/>
      <c r="F264" s="54">
        <v>1433.19</v>
      </c>
      <c r="G264" s="102">
        <f t="shared" si="32"/>
        <v>3.2199581405443212E-3</v>
      </c>
      <c r="O264" s="101">
        <v>42681</v>
      </c>
      <c r="P264" s="110">
        <v>37469.839999999997</v>
      </c>
      <c r="Q264" s="110">
        <v>674.14</v>
      </c>
      <c r="R264" s="102">
        <f t="shared" si="29"/>
        <v>2.4599324981423379E-3</v>
      </c>
      <c r="S264" s="102">
        <f t="shared" si="29"/>
        <v>1.1052638114278123E-2</v>
      </c>
      <c r="Y264" s="101">
        <v>41376</v>
      </c>
      <c r="Z264" s="110">
        <v>15052.52</v>
      </c>
      <c r="AA264" s="110">
        <v>494.27</v>
      </c>
      <c r="AB264" s="102">
        <f t="shared" si="27"/>
        <v>-2.4264556020597943E-2</v>
      </c>
      <c r="AC264" s="102">
        <f t="shared" si="27"/>
        <v>-1.667290465815283E-2</v>
      </c>
      <c r="BC264" s="101">
        <v>41446</v>
      </c>
      <c r="BD264" s="110">
        <v>111470.9688</v>
      </c>
      <c r="BE264" s="110">
        <v>498.84</v>
      </c>
      <c r="BF264" s="272">
        <f t="shared" si="28"/>
        <v>-3.7955316176652598E-2</v>
      </c>
      <c r="BG264" s="272">
        <f t="shared" si="28"/>
        <v>-2.0221550857403271E-2</v>
      </c>
    </row>
    <row r="265" spans="2:59" x14ac:dyDescent="0.3">
      <c r="B265" s="101">
        <v>41194</v>
      </c>
      <c r="C265" s="54">
        <v>392.54</v>
      </c>
      <c r="D265" s="102">
        <f t="shared" si="32"/>
        <v>1.1284006595218443E-2</v>
      </c>
      <c r="E265" s="102"/>
      <c r="F265" s="54">
        <v>1428.59</v>
      </c>
      <c r="G265" s="102">
        <f t="shared" si="32"/>
        <v>-2.2136584230592948E-2</v>
      </c>
      <c r="O265" s="101">
        <v>42678</v>
      </c>
      <c r="P265" s="110">
        <v>37377.78</v>
      </c>
      <c r="Q265" s="110">
        <v>666.73</v>
      </c>
      <c r="R265" s="102">
        <f t="shared" si="29"/>
        <v>2.4662668907591933E-3</v>
      </c>
      <c r="S265" s="102">
        <f t="shared" si="29"/>
        <v>-1.3489615043575571E-3</v>
      </c>
      <c r="Y265" s="101">
        <v>41369</v>
      </c>
      <c r="Z265" s="110">
        <v>15422.23</v>
      </c>
      <c r="AA265" s="110">
        <v>502.58</v>
      </c>
      <c r="AB265" s="102">
        <f t="shared" si="27"/>
        <v>4.9132553296897676E-2</v>
      </c>
      <c r="AC265" s="102">
        <f t="shared" si="27"/>
        <v>2.3229240370295549E-2</v>
      </c>
      <c r="BC265" s="101">
        <v>41439</v>
      </c>
      <c r="BD265" s="110">
        <v>115783.2031</v>
      </c>
      <c r="BE265" s="110">
        <v>509.03</v>
      </c>
      <c r="BF265" s="272">
        <f t="shared" si="28"/>
        <v>-1.8592435257265612E-2</v>
      </c>
      <c r="BG265" s="272">
        <f t="shared" si="28"/>
        <v>-3.6532510000279739E-2</v>
      </c>
    </row>
    <row r="266" spans="2:59" x14ac:dyDescent="0.3">
      <c r="B266" s="101">
        <v>41187</v>
      </c>
      <c r="C266" s="54">
        <v>388.16</v>
      </c>
      <c r="D266" s="102">
        <f t="shared" si="32"/>
        <v>-1.1233665333570952E-2</v>
      </c>
      <c r="E266" s="102"/>
      <c r="F266" s="54">
        <v>1460.93</v>
      </c>
      <c r="G266" s="102">
        <f t="shared" si="32"/>
        <v>1.4062901288983687E-2</v>
      </c>
      <c r="O266" s="101">
        <v>42677</v>
      </c>
      <c r="P266" s="110">
        <v>37285.71</v>
      </c>
      <c r="Q266" s="110">
        <v>667.63</v>
      </c>
      <c r="R266" s="102">
        <f t="shared" si="29"/>
        <v>-3.6367586699602376E-2</v>
      </c>
      <c r="S266" s="102">
        <f t="shared" si="29"/>
        <v>-5.6309566798185317E-3</v>
      </c>
      <c r="Y266" s="101">
        <v>41362</v>
      </c>
      <c r="Z266" s="110">
        <v>14682.81</v>
      </c>
      <c r="AA266" s="110">
        <v>491.04</v>
      </c>
      <c r="AB266" s="102">
        <f t="shared" si="27"/>
        <v>1.0850181957142406E-2</v>
      </c>
      <c r="AC266" s="102">
        <f t="shared" si="27"/>
        <v>2.1406081382684219E-3</v>
      </c>
      <c r="BC266" s="101">
        <v>41432</v>
      </c>
      <c r="BD266" s="110">
        <v>117956.0313</v>
      </c>
      <c r="BE266" s="110">
        <v>527.97</v>
      </c>
      <c r="BF266" s="272">
        <f t="shared" si="28"/>
        <v>2.7494953727183261E-2</v>
      </c>
      <c r="BG266" s="272">
        <f t="shared" si="28"/>
        <v>1.8311609181677908E-2</v>
      </c>
    </row>
    <row r="267" spans="2:59" x14ac:dyDescent="0.3">
      <c r="B267" s="101">
        <v>41180</v>
      </c>
      <c r="C267" s="54">
        <v>392.57</v>
      </c>
      <c r="D267" s="102">
        <f t="shared" si="32"/>
        <v>-7.3581470617983813E-3</v>
      </c>
      <c r="E267" s="102"/>
      <c r="F267" s="54">
        <v>1440.67</v>
      </c>
      <c r="G267" s="102">
        <f t="shared" si="32"/>
        <v>-1.3341095092969879E-2</v>
      </c>
      <c r="O267" s="101">
        <v>42676</v>
      </c>
      <c r="P267" s="110">
        <v>38666.660000000003</v>
      </c>
      <c r="Q267" s="110">
        <v>671.4</v>
      </c>
      <c r="R267" s="102">
        <f t="shared" si="29"/>
        <v>4.3802553178198346E-2</v>
      </c>
      <c r="S267" s="102">
        <f t="shared" si="29"/>
        <v>-7.7151718006735984E-3</v>
      </c>
      <c r="Y267" s="101">
        <v>41355</v>
      </c>
      <c r="Z267" s="110">
        <v>14524.36</v>
      </c>
      <c r="AA267" s="110">
        <v>489.99</v>
      </c>
      <c r="AB267" s="102">
        <f t="shared" si="27"/>
        <v>3.6432777341202779E-3</v>
      </c>
      <c r="AC267" s="102">
        <f t="shared" si="27"/>
        <v>1.7790326509182084E-2</v>
      </c>
      <c r="BC267" s="101">
        <v>41425</v>
      </c>
      <c r="BD267" s="110">
        <v>114757.0156</v>
      </c>
      <c r="BE267" s="110">
        <v>518.39</v>
      </c>
      <c r="BF267" s="272">
        <f t="shared" si="28"/>
        <v>4.0759099798893667E-2</v>
      </c>
      <c r="BG267" s="272">
        <f t="shared" si="28"/>
        <v>3.563987146950879E-2</v>
      </c>
    </row>
    <row r="268" spans="2:59" x14ac:dyDescent="0.3">
      <c r="B268" s="101">
        <v>41173</v>
      </c>
      <c r="C268" s="54">
        <v>395.48</v>
      </c>
      <c r="D268" s="102">
        <f t="shared" si="32"/>
        <v>-8.4990097024092437E-3</v>
      </c>
      <c r="E268" s="102"/>
      <c r="F268" s="54">
        <v>1460.15</v>
      </c>
      <c r="G268" s="102">
        <f t="shared" si="32"/>
        <v>-3.8341622491931959E-3</v>
      </c>
      <c r="O268" s="101">
        <v>42675</v>
      </c>
      <c r="P268" s="110">
        <v>37009.519999999997</v>
      </c>
      <c r="Q268" s="110">
        <v>676.6</v>
      </c>
      <c r="R268" s="102">
        <f t="shared" si="29"/>
        <v>0</v>
      </c>
      <c r="S268" s="102">
        <f t="shared" si="29"/>
        <v>1.1830820664187297E-3</v>
      </c>
      <c r="Y268" s="101">
        <v>41348</v>
      </c>
      <c r="Z268" s="110">
        <v>14471.54</v>
      </c>
      <c r="AA268" s="110">
        <v>481.35</v>
      </c>
      <c r="AB268" s="102">
        <f t="shared" si="27"/>
        <v>-1.4493459691262651E-2</v>
      </c>
      <c r="AC268" s="102">
        <f t="shared" si="27"/>
        <v>2.2416198628247331E-2</v>
      </c>
      <c r="BC268" s="101">
        <v>41418</v>
      </c>
      <c r="BD268" s="110">
        <v>110173.66409999999</v>
      </c>
      <c r="BE268" s="110">
        <v>500.24</v>
      </c>
      <c r="BF268" s="272">
        <f t="shared" si="28"/>
        <v>5.3978634099119092E-2</v>
      </c>
      <c r="BG268" s="272">
        <f t="shared" si="28"/>
        <v>2.5592585651925907E-2</v>
      </c>
    </row>
    <row r="269" spans="2:59" x14ac:dyDescent="0.3">
      <c r="B269" s="101">
        <v>41166</v>
      </c>
      <c r="C269" s="54">
        <v>398.87</v>
      </c>
      <c r="D269" s="102">
        <f t="shared" si="32"/>
        <v>3.4212975774194909E-3</v>
      </c>
      <c r="E269" s="102"/>
      <c r="F269" s="54">
        <v>1465.77</v>
      </c>
      <c r="G269" s="102">
        <f t="shared" si="32"/>
        <v>1.9368254144875863E-2</v>
      </c>
      <c r="O269" s="101">
        <v>42674</v>
      </c>
      <c r="P269" s="110">
        <v>37009.519999999997</v>
      </c>
      <c r="Q269" s="110">
        <v>675.8</v>
      </c>
      <c r="R269" s="102">
        <f t="shared" si="29"/>
        <v>-9.9012333693550489E-3</v>
      </c>
      <c r="S269" s="102">
        <f t="shared" si="29"/>
        <v>-9.4989853082583682E-3</v>
      </c>
      <c r="Y269" s="101">
        <v>41341</v>
      </c>
      <c r="Z269" s="110">
        <v>14682.81</v>
      </c>
      <c r="AA269" s="110">
        <v>470.68</v>
      </c>
      <c r="AB269" s="102">
        <f t="shared" si="27"/>
        <v>-3.5902702303901796E-3</v>
      </c>
      <c r="AC269" s="102">
        <f t="shared" si="27"/>
        <v>-1.365244926753454E-2</v>
      </c>
      <c r="BC269" s="101">
        <v>41411</v>
      </c>
      <c r="BD269" s="110">
        <v>104384.2969</v>
      </c>
      <c r="BE269" s="110">
        <v>487.6</v>
      </c>
      <c r="BF269" s="272">
        <f t="shared" si="28"/>
        <v>3.9654338115783679E-3</v>
      </c>
      <c r="BG269" s="272">
        <f t="shared" si="28"/>
        <v>3.0810335557065983E-3</v>
      </c>
    </row>
    <row r="270" spans="2:59" x14ac:dyDescent="0.3">
      <c r="B270" s="101">
        <v>41159</v>
      </c>
      <c r="C270" s="54">
        <v>397.51</v>
      </c>
      <c r="D270" s="102">
        <f t="shared" si="32"/>
        <v>3.7624362405939138E-3</v>
      </c>
      <c r="E270" s="102"/>
      <c r="F270" s="54">
        <v>1437.92</v>
      </c>
      <c r="G270" s="102">
        <f t="shared" si="32"/>
        <v>2.2280993615720446E-2</v>
      </c>
      <c r="O270" s="101">
        <v>42671</v>
      </c>
      <c r="P270" s="110">
        <v>37377.78</v>
      </c>
      <c r="Q270" s="110">
        <v>682.25</v>
      </c>
      <c r="R270" s="102">
        <f t="shared" si="29"/>
        <v>1.7391892909005197E-2</v>
      </c>
      <c r="S270" s="102">
        <f t="shared" si="29"/>
        <v>7.8726080738858849E-3</v>
      </c>
      <c r="Y270" s="101">
        <v>41334</v>
      </c>
      <c r="Z270" s="110">
        <v>14735.62</v>
      </c>
      <c r="AA270" s="110">
        <v>477.15</v>
      </c>
      <c r="AB270" s="102">
        <f t="shared" si="27"/>
        <v>3.5902702303901176E-3</v>
      </c>
      <c r="AC270" s="102">
        <f t="shared" si="27"/>
        <v>-1.1310796731816173E-3</v>
      </c>
      <c r="BC270" s="101">
        <v>41404</v>
      </c>
      <c r="BD270" s="110">
        <v>103971.1875</v>
      </c>
      <c r="BE270" s="110">
        <v>486.1</v>
      </c>
      <c r="BF270" s="272">
        <f t="shared" si="28"/>
        <v>1.9958893486526356E-2</v>
      </c>
      <c r="BG270" s="272">
        <f t="shared" si="28"/>
        <v>2.2594424461323141E-2</v>
      </c>
    </row>
    <row r="271" spans="2:59" x14ac:dyDescent="0.3">
      <c r="B271" s="101">
        <v>41152</v>
      </c>
      <c r="C271" s="54">
        <v>396.02</v>
      </c>
      <c r="D271" s="102">
        <f t="shared" si="32"/>
        <v>-9.2564795356750995E-3</v>
      </c>
      <c r="E271" s="102"/>
      <c r="F271" s="54">
        <v>1406.58</v>
      </c>
      <c r="G271" s="102">
        <f t="shared" si="32"/>
        <v>-3.2243662880104829E-3</v>
      </c>
      <c r="O271" s="101">
        <v>42670</v>
      </c>
      <c r="P271" s="110">
        <v>36733.33</v>
      </c>
      <c r="Q271" s="110">
        <v>676.9</v>
      </c>
      <c r="R271" s="102">
        <f t="shared" si="29"/>
        <v>-2.5030356173794499E-3</v>
      </c>
      <c r="S271" s="102">
        <f t="shared" si="29"/>
        <v>4.8722430909391686E-3</v>
      </c>
      <c r="Y271" s="101">
        <v>41327</v>
      </c>
      <c r="Z271" s="110">
        <v>14682.81</v>
      </c>
      <c r="AA271" s="110">
        <v>477.69</v>
      </c>
      <c r="AB271" s="102">
        <f t="shared" si="27"/>
        <v>-2.4867997276299805E-2</v>
      </c>
      <c r="AC271" s="102">
        <f t="shared" si="27"/>
        <v>-3.3634257552501781E-2</v>
      </c>
      <c r="BC271" s="101">
        <v>41397</v>
      </c>
      <c r="BD271" s="110">
        <v>101916.6094</v>
      </c>
      <c r="BE271" s="110">
        <v>475.24</v>
      </c>
      <c r="BF271" s="272">
        <f t="shared" si="28"/>
        <v>9.2851346298892697E-3</v>
      </c>
      <c r="BG271" s="272">
        <f t="shared" si="28"/>
        <v>1.5372469465795365E-3</v>
      </c>
    </row>
    <row r="272" spans="2:59" x14ac:dyDescent="0.3">
      <c r="B272" s="101">
        <v>41145</v>
      </c>
      <c r="C272" s="54">
        <v>399.72</v>
      </c>
      <c r="D272" s="102">
        <f t="shared" si="32"/>
        <v>-7.7817510670204038E-2</v>
      </c>
      <c r="E272" s="102"/>
      <c r="F272" s="54">
        <v>1411.13</v>
      </c>
      <c r="G272" s="102">
        <f t="shared" si="32"/>
        <v>-4.9571275455519981E-3</v>
      </c>
      <c r="O272" s="101">
        <v>42669</v>
      </c>
      <c r="P272" s="110">
        <v>36825.39</v>
      </c>
      <c r="Q272" s="110">
        <v>673.61</v>
      </c>
      <c r="R272" s="102">
        <f t="shared" si="29"/>
        <v>7.5279811888676025E-3</v>
      </c>
      <c r="S272" s="102">
        <f t="shared" si="29"/>
        <v>-3.8080043645426862E-3</v>
      </c>
      <c r="Y272" s="101">
        <v>41313</v>
      </c>
      <c r="Z272" s="110">
        <v>15052.52</v>
      </c>
      <c r="AA272" s="110">
        <v>494.03</v>
      </c>
      <c r="AB272" s="102">
        <f t="shared" si="27"/>
        <v>0.10731174097924899</v>
      </c>
      <c r="AC272" s="102">
        <f t="shared" si="27"/>
        <v>2.1710403071786424E-2</v>
      </c>
      <c r="BC272" s="101">
        <v>41390</v>
      </c>
      <c r="BD272" s="110">
        <v>100974.67969999999</v>
      </c>
      <c r="BE272" s="110">
        <v>474.51</v>
      </c>
      <c r="BF272" s="272">
        <f t="shared" si="28"/>
        <v>-1.7686807354822512E-3</v>
      </c>
      <c r="BG272" s="272">
        <f t="shared" si="28"/>
        <v>2.7434280491277674E-3</v>
      </c>
    </row>
    <row r="273" spans="2:59" x14ac:dyDescent="0.3">
      <c r="B273" s="101">
        <v>41138</v>
      </c>
      <c r="C273" s="54">
        <v>433.45</v>
      </c>
      <c r="D273" s="102">
        <f t="shared" si="32"/>
        <v>1.8540276341761475E-2</v>
      </c>
      <c r="E273" s="102"/>
      <c r="F273" s="54">
        <v>1418.16</v>
      </c>
      <c r="G273" s="102">
        <f t="shared" si="32"/>
        <v>8.7419178160144106E-3</v>
      </c>
      <c r="O273" s="101">
        <v>42668</v>
      </c>
      <c r="P273" s="110">
        <v>36549.21</v>
      </c>
      <c r="Q273" s="110">
        <v>676.18</v>
      </c>
      <c r="R273" s="102">
        <f t="shared" si="29"/>
        <v>-2.2416838480493351E-2</v>
      </c>
      <c r="S273" s="102">
        <f t="shared" si="29"/>
        <v>-2.7174732422308796E-3</v>
      </c>
      <c r="Y273" s="101">
        <v>41306</v>
      </c>
      <c r="Z273" s="110">
        <v>13520.86</v>
      </c>
      <c r="AA273" s="110">
        <v>483.42</v>
      </c>
      <c r="AB273" s="102">
        <f t="shared" si="27"/>
        <v>-1.9343013849883118E-2</v>
      </c>
      <c r="AC273" s="102">
        <f t="shared" si="27"/>
        <v>3.2225255895959093E-2</v>
      </c>
      <c r="BC273" s="101">
        <v>41383</v>
      </c>
      <c r="BD273" s="110">
        <v>101153.42969999999</v>
      </c>
      <c r="BE273" s="110">
        <v>473.21</v>
      </c>
      <c r="BF273" s="272">
        <f t="shared" si="28"/>
        <v>-4.0461736964535651E-2</v>
      </c>
      <c r="BG273" s="272">
        <f t="shared" si="28"/>
        <v>-4.354266198918931E-2</v>
      </c>
    </row>
    <row r="274" spans="2:59" x14ac:dyDescent="0.3">
      <c r="B274" s="101">
        <v>41131</v>
      </c>
      <c r="C274" s="54">
        <v>425.56</v>
      </c>
      <c r="D274" s="102">
        <f t="shared" si="32"/>
        <v>1.7574902560914429E-2</v>
      </c>
      <c r="E274" s="102"/>
      <c r="F274" s="54">
        <v>1405.87</v>
      </c>
      <c r="G274" s="102">
        <f t="shared" si="32"/>
        <v>1.069741694764148E-2</v>
      </c>
      <c r="O274" s="101">
        <v>42667</v>
      </c>
      <c r="P274" s="110">
        <v>37377.78</v>
      </c>
      <c r="Q274" s="110">
        <v>678.02</v>
      </c>
      <c r="R274" s="102">
        <f t="shared" si="29"/>
        <v>-1.2239857007029566E-2</v>
      </c>
      <c r="S274" s="102">
        <f t="shared" si="29"/>
        <v>-9.9938462487905409E-3</v>
      </c>
      <c r="Y274" s="101">
        <v>41299</v>
      </c>
      <c r="Z274" s="110">
        <v>13784.94</v>
      </c>
      <c r="AA274" s="110">
        <v>468.09</v>
      </c>
      <c r="AB274" s="102">
        <f t="shared" si="27"/>
        <v>-1.4179076757299949E-2</v>
      </c>
      <c r="AC274" s="102">
        <f t="shared" si="27"/>
        <v>3.0211026258729633E-2</v>
      </c>
      <c r="BC274" s="101">
        <v>41376</v>
      </c>
      <c r="BD274" s="110">
        <v>105330.2031</v>
      </c>
      <c r="BE274" s="110">
        <v>494.27</v>
      </c>
      <c r="BF274" s="272">
        <f t="shared" si="28"/>
        <v>-1.4016747010050378E-3</v>
      </c>
      <c r="BG274" s="272">
        <f t="shared" si="28"/>
        <v>-1.667290465815283E-2</v>
      </c>
    </row>
    <row r="275" spans="2:59" x14ac:dyDescent="0.3">
      <c r="B275" s="101">
        <v>41124</v>
      </c>
      <c r="C275" s="54">
        <v>418.21</v>
      </c>
      <c r="D275" s="102">
        <f t="shared" si="32"/>
        <v>1.222286765417735E-2</v>
      </c>
      <c r="E275" s="102"/>
      <c r="F275" s="54">
        <v>1390.99</v>
      </c>
      <c r="G275" s="102">
        <f t="shared" si="32"/>
        <v>3.6220120204621953E-3</v>
      </c>
      <c r="O275" s="101">
        <v>42664</v>
      </c>
      <c r="P275" s="110">
        <v>37838.089999999997</v>
      </c>
      <c r="Q275" s="110">
        <v>684.83</v>
      </c>
      <c r="R275" s="102">
        <f t="shared" si="29"/>
        <v>2.4359626207993259E-3</v>
      </c>
      <c r="S275" s="102">
        <f t="shared" si="29"/>
        <v>-2.2753470238712926E-3</v>
      </c>
      <c r="Y275" s="101">
        <v>41292</v>
      </c>
      <c r="Z275" s="110">
        <v>13981.79</v>
      </c>
      <c r="AA275" s="110">
        <v>454.16</v>
      </c>
      <c r="AB275" s="102">
        <f t="shared" si="27"/>
        <v>8.9611443473936972E-2</v>
      </c>
      <c r="AC275" s="102">
        <f t="shared" si="27"/>
        <v>-1.860772454116183E-2</v>
      </c>
      <c r="BC275" s="101">
        <v>41369</v>
      </c>
      <c r="BD275" s="110">
        <v>105477.94530000001</v>
      </c>
      <c r="BE275" s="110">
        <v>502.58</v>
      </c>
      <c r="BF275" s="272">
        <f t="shared" si="28"/>
        <v>3.3959078577048323E-2</v>
      </c>
      <c r="BG275" s="272">
        <f t="shared" si="28"/>
        <v>2.3229240370295549E-2</v>
      </c>
    </row>
    <row r="276" spans="2:59" x14ac:dyDescent="0.3">
      <c r="B276" s="101">
        <v>41117</v>
      </c>
      <c r="C276" s="54">
        <v>413.16</v>
      </c>
      <c r="D276" s="102">
        <f t="shared" si="32"/>
        <v>-2.6644992578980897E-2</v>
      </c>
      <c r="E276" s="102"/>
      <c r="F276" s="54">
        <v>1385.97</v>
      </c>
      <c r="G276" s="102">
        <f t="shared" si="32"/>
        <v>1.71062480736206E-2</v>
      </c>
      <c r="O276" s="101">
        <v>42663</v>
      </c>
      <c r="P276" s="110">
        <v>37746.03</v>
      </c>
      <c r="Q276" s="110">
        <v>686.39</v>
      </c>
      <c r="R276" s="102">
        <f t="shared" si="29"/>
        <v>-2.4097425422612895E-2</v>
      </c>
      <c r="S276" s="102">
        <f t="shared" si="29"/>
        <v>-3.63562729583034E-3</v>
      </c>
      <c r="Y276" s="101">
        <v>41285</v>
      </c>
      <c r="Z276" s="110">
        <v>12783.36</v>
      </c>
      <c r="AA276" s="110">
        <v>462.69</v>
      </c>
      <c r="AB276" s="102">
        <f t="shared" si="27"/>
        <v>7.8431774610258787E-3</v>
      </c>
      <c r="AC276" s="102">
        <f t="shared" si="27"/>
        <v>8.2477101981575471E-2</v>
      </c>
      <c r="BC276" s="101">
        <v>41362</v>
      </c>
      <c r="BD276" s="110">
        <v>101956.14840000001</v>
      </c>
      <c r="BE276" s="110">
        <v>491.04</v>
      </c>
      <c r="BF276" s="272">
        <f t="shared" si="28"/>
        <v>2.152845535807181E-2</v>
      </c>
      <c r="BG276" s="272">
        <f t="shared" si="28"/>
        <v>2.1406081382684219E-3</v>
      </c>
    </row>
    <row r="277" spans="2:59" x14ac:dyDescent="0.3">
      <c r="B277" s="101">
        <v>41110</v>
      </c>
      <c r="C277" s="54">
        <v>424.47</v>
      </c>
      <c r="D277" s="102">
        <f t="shared" si="32"/>
        <v>1.7962492205861214E-2</v>
      </c>
      <c r="E277" s="102"/>
      <c r="F277" s="54">
        <v>1362.66</v>
      </c>
      <c r="G277" s="102">
        <f t="shared" si="32"/>
        <v>4.3337902976166021E-3</v>
      </c>
      <c r="O277" s="101">
        <v>42662</v>
      </c>
      <c r="P277" s="110">
        <v>38666.660000000003</v>
      </c>
      <c r="Q277" s="110">
        <v>688.89</v>
      </c>
      <c r="R277" s="102">
        <f t="shared" si="29"/>
        <v>-4.7506812027984704E-3</v>
      </c>
      <c r="S277" s="102">
        <f t="shared" si="29"/>
        <v>1.0022623672214525E-2</v>
      </c>
      <c r="Y277" s="101">
        <v>41278</v>
      </c>
      <c r="Z277" s="110">
        <v>12683.49</v>
      </c>
      <c r="AA277" s="110">
        <v>426.06</v>
      </c>
      <c r="AB277" s="102">
        <f t="shared" si="27"/>
        <v>4.4273235736382539E-2</v>
      </c>
      <c r="AC277" s="102">
        <f t="shared" si="27"/>
        <v>2.9366594267701131E-2</v>
      </c>
      <c r="BC277" s="101">
        <v>41355</v>
      </c>
      <c r="BD277" s="110">
        <v>99784.648400000005</v>
      </c>
      <c r="BE277" s="110">
        <v>489.99</v>
      </c>
      <c r="BF277" s="272">
        <f t="shared" si="28"/>
        <v>4.4473595280287062E-2</v>
      </c>
      <c r="BG277" s="272">
        <f t="shared" si="28"/>
        <v>1.7790326509182084E-2</v>
      </c>
    </row>
    <row r="278" spans="2:59" x14ac:dyDescent="0.3">
      <c r="B278" s="101">
        <v>41103</v>
      </c>
      <c r="C278" s="54">
        <v>416.98</v>
      </c>
      <c r="D278" s="102">
        <f t="shared" ref="D278:G293" si="33">C278/C279-1</f>
        <v>3.7069131523204124E-3</v>
      </c>
      <c r="E278" s="102"/>
      <c r="F278" s="54">
        <v>1356.78</v>
      </c>
      <c r="G278" s="102">
        <f t="shared" si="33"/>
        <v>1.5501815927008167E-3</v>
      </c>
      <c r="O278" s="101">
        <v>42661</v>
      </c>
      <c r="P278" s="110">
        <v>38850.79</v>
      </c>
      <c r="Q278" s="110">
        <v>682.02</v>
      </c>
      <c r="R278" s="102">
        <f t="shared" si="29"/>
        <v>-4.1769593052795227E-2</v>
      </c>
      <c r="S278" s="102">
        <f t="shared" si="29"/>
        <v>1.5701009117076077E-3</v>
      </c>
      <c r="Y278" s="101">
        <v>41271</v>
      </c>
      <c r="Z278" s="110">
        <v>12134.2</v>
      </c>
      <c r="AA278" s="110">
        <v>413.73</v>
      </c>
      <c r="AB278" s="102">
        <f t="shared" si="27"/>
        <v>2.500131263727752E-2</v>
      </c>
      <c r="AC278" s="102">
        <f t="shared" si="27"/>
        <v>4.1831616239730154E-2</v>
      </c>
      <c r="BC278" s="101">
        <v>41348</v>
      </c>
      <c r="BD278" s="110">
        <v>95444.101599999995</v>
      </c>
      <c r="BE278" s="110">
        <v>481.35</v>
      </c>
      <c r="BF278" s="272">
        <f t="shared" si="28"/>
        <v>3.3063123171858163E-3</v>
      </c>
      <c r="BG278" s="272">
        <f t="shared" si="28"/>
        <v>2.2416198628247331E-2</v>
      </c>
    </row>
    <row r="279" spans="2:59" x14ac:dyDescent="0.3">
      <c r="B279" s="101">
        <v>41096</v>
      </c>
      <c r="C279" s="54">
        <v>415.44</v>
      </c>
      <c r="D279" s="102">
        <f t="shared" si="33"/>
        <v>-1.6407415299382055E-2</v>
      </c>
      <c r="E279" s="102"/>
      <c r="F279" s="54">
        <v>1354.68</v>
      </c>
      <c r="G279" s="102">
        <f t="shared" si="33"/>
        <v>-5.491278557585022E-3</v>
      </c>
      <c r="O279" s="101">
        <v>42660</v>
      </c>
      <c r="P279" s="110">
        <v>40507.94</v>
      </c>
      <c r="Q279" s="110">
        <v>680.95</v>
      </c>
      <c r="R279" s="102">
        <f t="shared" si="29"/>
        <v>4.555890933589787E-3</v>
      </c>
      <c r="S279" s="102">
        <f t="shared" si="29"/>
        <v>-8.845410207382963E-3</v>
      </c>
      <c r="Y279" s="101">
        <v>41264</v>
      </c>
      <c r="Z279" s="110">
        <v>11834.59</v>
      </c>
      <c r="AA279" s="110">
        <v>396.78</v>
      </c>
      <c r="AB279" s="102">
        <f t="shared" si="27"/>
        <v>-1.2579204697114819E-2</v>
      </c>
      <c r="AC279" s="102">
        <f t="shared" si="27"/>
        <v>1.1584560282119526E-2</v>
      </c>
      <c r="BC279" s="101">
        <v>41341</v>
      </c>
      <c r="BD279" s="110">
        <v>95129.054699999993</v>
      </c>
      <c r="BE279" s="110">
        <v>470.68</v>
      </c>
      <c r="BF279" s="272">
        <f t="shared" si="28"/>
        <v>-3.0715574970594663E-2</v>
      </c>
      <c r="BG279" s="272">
        <f t="shared" si="28"/>
        <v>-1.365244926753454E-2</v>
      </c>
    </row>
    <row r="280" spans="2:59" x14ac:dyDescent="0.3">
      <c r="B280" s="101">
        <v>41089</v>
      </c>
      <c r="C280" s="54">
        <v>422.37</v>
      </c>
      <c r="D280" s="102">
        <f t="shared" si="33"/>
        <v>-1.1236744153381606E-2</v>
      </c>
      <c r="E280" s="102"/>
      <c r="F280" s="54">
        <v>1362.16</v>
      </c>
      <c r="G280" s="102">
        <f t="shared" si="33"/>
        <v>2.0329283456427705E-2</v>
      </c>
      <c r="O280" s="101">
        <v>42657</v>
      </c>
      <c r="P280" s="110">
        <v>40323.81</v>
      </c>
      <c r="Q280" s="110">
        <v>687</v>
      </c>
      <c r="R280" s="102">
        <f t="shared" si="29"/>
        <v>0</v>
      </c>
      <c r="S280" s="102">
        <f t="shared" si="29"/>
        <v>2.5797438936970042E-3</v>
      </c>
      <c r="Y280" s="101">
        <v>41257</v>
      </c>
      <c r="Z280" s="110">
        <v>11984.4</v>
      </c>
      <c r="AA280" s="110">
        <v>392.21</v>
      </c>
      <c r="AB280" s="102">
        <f t="shared" si="27"/>
        <v>1.6807118316381191E-2</v>
      </c>
      <c r="AC280" s="102">
        <f t="shared" si="27"/>
        <v>2.1675827058906749E-2</v>
      </c>
      <c r="BC280" s="101">
        <v>41334</v>
      </c>
      <c r="BD280" s="110">
        <v>98096.335900000005</v>
      </c>
      <c r="BE280" s="110">
        <v>477.15</v>
      </c>
      <c r="BF280" s="272">
        <f t="shared" si="28"/>
        <v>7.782790640162845E-3</v>
      </c>
      <c r="BG280" s="272">
        <f t="shared" si="28"/>
        <v>-1.1310796731816173E-3</v>
      </c>
    </row>
    <row r="281" spans="2:59" x14ac:dyDescent="0.3">
      <c r="B281" s="101">
        <v>41082</v>
      </c>
      <c r="C281" s="54">
        <v>427.17</v>
      </c>
      <c r="D281" s="102">
        <f t="shared" si="33"/>
        <v>-1.3669214251079365E-2</v>
      </c>
      <c r="E281" s="102"/>
      <c r="F281" s="54">
        <v>1335.02</v>
      </c>
      <c r="G281" s="102">
        <f t="shared" si="33"/>
        <v>-5.8234785975990189E-3</v>
      </c>
      <c r="O281" s="101">
        <v>42656</v>
      </c>
      <c r="P281" s="110">
        <v>40323.81</v>
      </c>
      <c r="Q281" s="110">
        <v>685.23</v>
      </c>
      <c r="R281" s="102">
        <f t="shared" si="29"/>
        <v>4.5767421076943681E-3</v>
      </c>
      <c r="S281" s="102">
        <f t="shared" si="29"/>
        <v>4.0652840264476494E-3</v>
      </c>
      <c r="Y281" s="101">
        <v>41250</v>
      </c>
      <c r="Z281" s="110">
        <v>11784.66</v>
      </c>
      <c r="AA281" s="110">
        <v>383.8</v>
      </c>
      <c r="AB281" s="102">
        <f t="shared" si="27"/>
        <v>2.5752496102414764E-2</v>
      </c>
      <c r="AC281" s="102">
        <f t="shared" si="27"/>
        <v>1.5703691844893203E-2</v>
      </c>
      <c r="BC281" s="101">
        <v>41327</v>
      </c>
      <c r="BD281" s="110">
        <v>97335.835900000005</v>
      </c>
      <c r="BE281" s="110">
        <v>477.69</v>
      </c>
      <c r="BF281" s="272">
        <f t="shared" si="28"/>
        <v>-3.4870524815140747E-2</v>
      </c>
      <c r="BG281" s="272">
        <f t="shared" si="28"/>
        <v>-3.3634257552501781E-2</v>
      </c>
    </row>
    <row r="282" spans="2:59" x14ac:dyDescent="0.3">
      <c r="B282" s="101">
        <v>41075</v>
      </c>
      <c r="C282" s="54">
        <v>433.09</v>
      </c>
      <c r="D282" s="102">
        <f t="shared" si="33"/>
        <v>4.3890043890049135E-4</v>
      </c>
      <c r="E282" s="102"/>
      <c r="F282" s="54">
        <v>1342.84</v>
      </c>
      <c r="G282" s="102">
        <f t="shared" si="33"/>
        <v>1.2959582396692815E-2</v>
      </c>
      <c r="O282" s="101">
        <v>42655</v>
      </c>
      <c r="P282" s="110">
        <v>40139.68</v>
      </c>
      <c r="Q282" s="110">
        <v>682.45</v>
      </c>
      <c r="R282" s="102">
        <f t="shared" si="29"/>
        <v>-9.1326330412842046E-3</v>
      </c>
      <c r="S282" s="102">
        <f t="shared" si="29"/>
        <v>1.3188648988582681E-4</v>
      </c>
      <c r="Y282" s="101">
        <v>41243</v>
      </c>
      <c r="Z282" s="110">
        <v>11485.05</v>
      </c>
      <c r="AA282" s="110">
        <v>377.82</v>
      </c>
      <c r="AB282" s="102">
        <f t="shared" si="27"/>
        <v>0</v>
      </c>
      <c r="AC282" s="102">
        <f t="shared" si="27"/>
        <v>-1.0243266264577128E-2</v>
      </c>
      <c r="BC282" s="101">
        <v>41320</v>
      </c>
      <c r="BD282" s="110">
        <v>100789.8594</v>
      </c>
      <c r="BE282" s="110">
        <f>BE283</f>
        <v>494.03</v>
      </c>
      <c r="BF282" s="272">
        <f t="shared" si="28"/>
        <v>0</v>
      </c>
      <c r="BG282" s="272">
        <f t="shared" si="28"/>
        <v>0</v>
      </c>
    </row>
    <row r="283" spans="2:59" x14ac:dyDescent="0.3">
      <c r="B283" s="101">
        <v>41068</v>
      </c>
      <c r="C283" s="54">
        <v>432.9</v>
      </c>
      <c r="D283" s="102">
        <f t="shared" si="33"/>
        <v>9.5615671641791078E-3</v>
      </c>
      <c r="E283" s="102"/>
      <c r="F283" s="54">
        <v>1325.66</v>
      </c>
      <c r="G283" s="102">
        <f t="shared" si="33"/>
        <v>3.726017965008932E-2</v>
      </c>
      <c r="O283" s="101">
        <v>42654</v>
      </c>
      <c r="P283" s="110">
        <v>40507.94</v>
      </c>
      <c r="Q283" s="110">
        <v>682.36</v>
      </c>
      <c r="R283" s="102">
        <f t="shared" si="29"/>
        <v>2.0666851025700844E-2</v>
      </c>
      <c r="S283" s="102">
        <f t="shared" si="29"/>
        <v>1.204540751630772E-2</v>
      </c>
      <c r="Y283" s="101">
        <v>41236</v>
      </c>
      <c r="Z283" s="110">
        <v>11485.05</v>
      </c>
      <c r="AA283" s="110">
        <v>381.71</v>
      </c>
      <c r="AB283" s="102">
        <f t="shared" si="27"/>
        <v>1.7544309650909525E-2</v>
      </c>
      <c r="AC283" s="102">
        <f t="shared" si="27"/>
        <v>-1.0424633770983686E-2</v>
      </c>
      <c r="BC283" s="101">
        <v>41313</v>
      </c>
      <c r="BD283" s="110">
        <v>100789.8594</v>
      </c>
      <c r="BE283" s="110">
        <v>494.03</v>
      </c>
      <c r="BF283" s="272">
        <f t="shared" si="28"/>
        <v>4.1858046959100191E-2</v>
      </c>
      <c r="BG283" s="272">
        <f t="shared" si="28"/>
        <v>2.1710403071786424E-2</v>
      </c>
    </row>
    <row r="284" spans="2:59" x14ac:dyDescent="0.3">
      <c r="B284" s="101">
        <v>41061</v>
      </c>
      <c r="C284" s="54">
        <v>428.8</v>
      </c>
      <c r="D284" s="102">
        <f t="shared" si="33"/>
        <v>-1.961680918194697E-2</v>
      </c>
      <c r="E284" s="102"/>
      <c r="F284" s="54">
        <v>1278.04</v>
      </c>
      <c r="G284" s="102">
        <f t="shared" si="33"/>
        <v>-3.018621663049581E-2</v>
      </c>
      <c r="O284" s="101">
        <v>42653</v>
      </c>
      <c r="P284" s="110">
        <v>39679.360000000001</v>
      </c>
      <c r="Q284" s="110">
        <v>674.19</v>
      </c>
      <c r="R284" s="102">
        <f t="shared" si="29"/>
        <v>-4.3139586188107371E-2</v>
      </c>
      <c r="S284" s="102">
        <f t="shared" si="29"/>
        <v>-1.4372845239442362E-2</v>
      </c>
      <c r="Y284" s="101">
        <v>41229</v>
      </c>
      <c r="Z284" s="110">
        <v>11285.31</v>
      </c>
      <c r="AA284" s="110">
        <v>385.71</v>
      </c>
      <c r="AB284" s="102">
        <f t="shared" si="27"/>
        <v>4.4350420909390472E-3</v>
      </c>
      <c r="AC284" s="102">
        <f t="shared" si="27"/>
        <v>-2.5892663542933436E-3</v>
      </c>
      <c r="BC284" s="101">
        <v>41306</v>
      </c>
      <c r="BD284" s="110">
        <v>96658.070300000007</v>
      </c>
      <c r="BE284" s="110">
        <v>483.42</v>
      </c>
      <c r="BF284" s="272">
        <f t="shared" si="28"/>
        <v>1.1177220356525337E-3</v>
      </c>
      <c r="BG284" s="272">
        <f t="shared" si="28"/>
        <v>3.2225255895959093E-2</v>
      </c>
    </row>
    <row r="285" spans="2:59" x14ac:dyDescent="0.3">
      <c r="B285" s="101">
        <v>41054</v>
      </c>
      <c r="C285" s="54">
        <v>437.38</v>
      </c>
      <c r="D285" s="102">
        <f t="shared" si="33"/>
        <v>5.5868490631107992E-3</v>
      </c>
      <c r="E285" s="102"/>
      <c r="F285" s="54">
        <v>1317.82</v>
      </c>
      <c r="G285" s="102">
        <f t="shared" si="33"/>
        <v>1.7448773181389932E-2</v>
      </c>
      <c r="O285" s="101">
        <v>42650</v>
      </c>
      <c r="P285" s="110">
        <v>41428.57</v>
      </c>
      <c r="Q285" s="110">
        <v>683.95</v>
      </c>
      <c r="R285" s="102">
        <f t="shared" si="29"/>
        <v>1.1173362977052284E-2</v>
      </c>
      <c r="S285" s="102">
        <f t="shared" si="29"/>
        <v>-4.9151615430910317E-3</v>
      </c>
      <c r="Y285" s="101">
        <v>41222</v>
      </c>
      <c r="Z285" s="110">
        <v>11235.37</v>
      </c>
      <c r="AA285" s="110">
        <v>386.71</v>
      </c>
      <c r="AB285" s="102">
        <f t="shared" si="27"/>
        <v>1.7937708741385627E-2</v>
      </c>
      <c r="AC285" s="102">
        <f t="shared" si="27"/>
        <v>3.0055939059331911E-2</v>
      </c>
      <c r="BC285" s="101">
        <v>41299</v>
      </c>
      <c r="BD285" s="110">
        <v>96550.093800000002</v>
      </c>
      <c r="BE285" s="110">
        <v>468.09</v>
      </c>
      <c r="BF285" s="272">
        <f t="shared" si="28"/>
        <v>2.9947448697851358E-2</v>
      </c>
      <c r="BG285" s="272">
        <f t="shared" si="28"/>
        <v>3.0211026258729633E-2</v>
      </c>
    </row>
    <row r="286" spans="2:59" x14ac:dyDescent="0.3">
      <c r="B286" s="101">
        <v>41047</v>
      </c>
      <c r="C286" s="54">
        <v>434.95</v>
      </c>
      <c r="D286" s="102">
        <f t="shared" si="33"/>
        <v>-9.4042907727556857E-2</v>
      </c>
      <c r="E286" s="102"/>
      <c r="F286" s="54">
        <v>1295.22</v>
      </c>
      <c r="G286" s="102">
        <f t="shared" si="33"/>
        <v>-4.2980958925365242E-2</v>
      </c>
      <c r="O286" s="101">
        <v>42649</v>
      </c>
      <c r="P286" s="110">
        <v>40968.25</v>
      </c>
      <c r="Q286" s="110">
        <v>687.32</v>
      </c>
      <c r="R286" s="102">
        <f t="shared" si="29"/>
        <v>-6.7191818086979006E-3</v>
      </c>
      <c r="S286" s="102">
        <f t="shared" si="29"/>
        <v>4.0746238812834249E-4</v>
      </c>
      <c r="Y286" s="101">
        <v>41215</v>
      </c>
      <c r="Z286" s="110">
        <v>11035.63</v>
      </c>
      <c r="AA286" s="110">
        <v>375.26</v>
      </c>
      <c r="AB286" s="102">
        <f t="shared" si="27"/>
        <v>-7.8300884536778567E-2</v>
      </c>
      <c r="AC286" s="102">
        <f t="shared" si="27"/>
        <v>-4.2877121612557079E-2</v>
      </c>
      <c r="BC286" s="101">
        <v>41292</v>
      </c>
      <c r="BD286" s="110">
        <v>93701.531300000002</v>
      </c>
      <c r="BE286" s="110">
        <v>454.16</v>
      </c>
      <c r="BF286" s="272">
        <f t="shared" si="28"/>
        <v>2.2704838848905687E-2</v>
      </c>
      <c r="BG286" s="272">
        <f t="shared" si="28"/>
        <v>-1.860772454116183E-2</v>
      </c>
    </row>
    <row r="287" spans="2:59" x14ac:dyDescent="0.3">
      <c r="B287" s="101">
        <v>41040</v>
      </c>
      <c r="C287" s="54">
        <v>480.1</v>
      </c>
      <c r="D287" s="102">
        <f t="shared" si="33"/>
        <v>7.9358414511252473E-3</v>
      </c>
      <c r="E287" s="102"/>
      <c r="F287" s="54">
        <v>1353.39</v>
      </c>
      <c r="G287" s="102">
        <f t="shared" si="33"/>
        <v>-1.1474691403111414E-2</v>
      </c>
      <c r="O287" s="101">
        <v>42648</v>
      </c>
      <c r="P287" s="110">
        <v>41244.449999999997</v>
      </c>
      <c r="Q287" s="110">
        <v>687.04</v>
      </c>
      <c r="R287" s="102">
        <f t="shared" ref="R287:S349" si="34">LN(P287/P288)</f>
        <v>6.4538828249645769E-2</v>
      </c>
      <c r="S287" s="102">
        <f t="shared" si="34"/>
        <v>4.1422421469117987E-3</v>
      </c>
      <c r="Y287" s="101">
        <v>41208</v>
      </c>
      <c r="Z287" s="110">
        <v>11934.46</v>
      </c>
      <c r="AA287" s="110">
        <v>391.7</v>
      </c>
      <c r="AB287" s="102">
        <f t="shared" si="27"/>
        <v>-4.8989407229987486E-2</v>
      </c>
      <c r="AC287" s="102">
        <f t="shared" si="27"/>
        <v>-1.6533487146083731E-2</v>
      </c>
      <c r="BC287" s="101">
        <v>41285</v>
      </c>
      <c r="BD287" s="110">
        <v>91598.023400000005</v>
      </c>
      <c r="BE287" s="110">
        <v>462.69</v>
      </c>
      <c r="BF287" s="272">
        <f t="shared" si="28"/>
        <v>5.7250557627884877E-2</v>
      </c>
      <c r="BG287" s="272">
        <f t="shared" si="28"/>
        <v>8.2477101981575471E-2</v>
      </c>
    </row>
    <row r="288" spans="2:59" x14ac:dyDescent="0.3">
      <c r="B288" s="101">
        <v>41033</v>
      </c>
      <c r="C288" s="54">
        <v>476.32</v>
      </c>
      <c r="D288" s="102">
        <f t="shared" si="33"/>
        <v>5.3823585283998554E-3</v>
      </c>
      <c r="E288" s="102"/>
      <c r="F288" s="54">
        <v>1369.1</v>
      </c>
      <c r="G288" s="102">
        <f t="shared" si="33"/>
        <v>-2.4412837760802608E-2</v>
      </c>
      <c r="O288" s="101">
        <v>42647</v>
      </c>
      <c r="P288" s="110">
        <v>38666.660000000003</v>
      </c>
      <c r="Q288" s="110">
        <v>684.2</v>
      </c>
      <c r="R288" s="102">
        <f t="shared" si="34"/>
        <v>-4.7506812027984704E-3</v>
      </c>
      <c r="S288" s="102">
        <f t="shared" si="34"/>
        <v>1.6822092100082077E-3</v>
      </c>
      <c r="Y288" s="101">
        <v>41201</v>
      </c>
      <c r="Z288" s="110">
        <v>12533.68</v>
      </c>
      <c r="AA288" s="110">
        <v>398.23</v>
      </c>
      <c r="AB288" s="102">
        <f t="shared" ref="AB288:AC334" si="35">LN(Z288/Z289)</f>
        <v>-3.5018024948535884E-2</v>
      </c>
      <c r="AC288" s="102">
        <f t="shared" si="35"/>
        <v>1.4391284959936426E-2</v>
      </c>
      <c r="BC288" s="101">
        <v>41278</v>
      </c>
      <c r="BD288" s="110">
        <v>86501.273400000005</v>
      </c>
      <c r="BE288" s="110">
        <v>426.06</v>
      </c>
      <c r="BF288" s="272">
        <f t="shared" ref="BF288:BG351" si="36">LN(BD288/BD289)</f>
        <v>3.0629994811754102E-2</v>
      </c>
      <c r="BG288" s="272">
        <f t="shared" si="36"/>
        <v>2.9366594267701131E-2</v>
      </c>
    </row>
    <row r="289" spans="2:59" x14ac:dyDescent="0.3">
      <c r="B289" s="101">
        <v>41026</v>
      </c>
      <c r="C289" s="54">
        <v>473.77</v>
      </c>
      <c r="D289" s="102">
        <f t="shared" si="33"/>
        <v>1.7285063986944849E-2</v>
      </c>
      <c r="E289" s="102"/>
      <c r="F289" s="54">
        <v>1403.36</v>
      </c>
      <c r="G289" s="102">
        <f t="shared" si="33"/>
        <v>1.8011940255199255E-2</v>
      </c>
      <c r="O289" s="101">
        <v>42646</v>
      </c>
      <c r="P289" s="110">
        <v>38850.79</v>
      </c>
      <c r="Q289" s="110">
        <v>683.05</v>
      </c>
      <c r="R289" s="102">
        <f t="shared" si="34"/>
        <v>-2.3670323474423122E-3</v>
      </c>
      <c r="S289" s="102">
        <f t="shared" si="34"/>
        <v>-3.9159009112567696E-3</v>
      </c>
      <c r="Y289" s="101">
        <v>41194</v>
      </c>
      <c r="Z289" s="110">
        <v>12980.36</v>
      </c>
      <c r="AA289" s="110">
        <v>392.54</v>
      </c>
      <c r="AB289" s="102">
        <f t="shared" si="35"/>
        <v>7.2990993006236673E-3</v>
      </c>
      <c r="AC289" s="102">
        <f t="shared" si="35"/>
        <v>1.1220817102247616E-2</v>
      </c>
      <c r="BC289" s="101">
        <v>41271</v>
      </c>
      <c r="BD289" s="110">
        <v>83891.906300000002</v>
      </c>
      <c r="BE289" s="110">
        <v>413.73</v>
      </c>
      <c r="BF289" s="272">
        <f t="shared" si="36"/>
        <v>1.9052763657859215E-2</v>
      </c>
      <c r="BG289" s="272">
        <f t="shared" si="36"/>
        <v>4.1831616239730154E-2</v>
      </c>
    </row>
    <row r="290" spans="2:59" x14ac:dyDescent="0.3">
      <c r="B290" s="101">
        <v>41019</v>
      </c>
      <c r="C290" s="54">
        <v>465.72</v>
      </c>
      <c r="D290" s="102">
        <f t="shared" si="33"/>
        <v>6.9186197353627854E-3</v>
      </c>
      <c r="E290" s="102"/>
      <c r="F290" s="54">
        <v>1378.53</v>
      </c>
      <c r="G290" s="102">
        <f t="shared" si="33"/>
        <v>6.0353509552930618E-3</v>
      </c>
      <c r="O290" s="101">
        <v>42643</v>
      </c>
      <c r="P290" s="110">
        <v>38942.86</v>
      </c>
      <c r="Q290" s="110">
        <v>685.73</v>
      </c>
      <c r="R290" s="102">
        <f t="shared" si="34"/>
        <v>-2.3611865526585334E-3</v>
      </c>
      <c r="S290" s="102">
        <f t="shared" si="34"/>
        <v>-4.1039729283819399E-3</v>
      </c>
      <c r="Y290" s="101">
        <v>41187</v>
      </c>
      <c r="Z290" s="110">
        <v>12885.96</v>
      </c>
      <c r="AA290" s="110">
        <v>388.16</v>
      </c>
      <c r="AB290" s="102">
        <f t="shared" si="35"/>
        <v>1.4760787735441821E-2</v>
      </c>
      <c r="AC290" s="102">
        <f t="shared" si="35"/>
        <v>-1.1297239514430769E-2</v>
      </c>
      <c r="BC290" s="101">
        <v>41264</v>
      </c>
      <c r="BD290" s="110">
        <v>82308.664099999995</v>
      </c>
      <c r="BE290" s="110">
        <v>396.78</v>
      </c>
      <c r="BF290" s="272">
        <f t="shared" si="36"/>
        <v>-1.584456060141173E-2</v>
      </c>
      <c r="BG290" s="272">
        <f t="shared" si="36"/>
        <v>1.1584560282119526E-2</v>
      </c>
    </row>
    <row r="291" spans="2:59" x14ac:dyDescent="0.3">
      <c r="B291" s="101">
        <v>41012</v>
      </c>
      <c r="C291" s="54">
        <v>462.52</v>
      </c>
      <c r="D291" s="102">
        <f t="shared" si="33"/>
        <v>3.3702842839263392E-2</v>
      </c>
      <c r="E291" s="102"/>
      <c r="F291" s="54">
        <v>1370.26</v>
      </c>
      <c r="G291" s="102">
        <f t="shared" si="33"/>
        <v>-1.9898718242160607E-2</v>
      </c>
      <c r="O291" s="101">
        <v>42642</v>
      </c>
      <c r="P291" s="110">
        <v>39034.92</v>
      </c>
      <c r="Q291" s="110">
        <v>688.55</v>
      </c>
      <c r="R291" s="102">
        <f t="shared" si="34"/>
        <v>3.8466391337199611E-2</v>
      </c>
      <c r="S291" s="102">
        <f t="shared" si="34"/>
        <v>2.6612971708558733E-3</v>
      </c>
      <c r="Y291" s="101">
        <v>41180</v>
      </c>
      <c r="Z291" s="110">
        <v>12697.15</v>
      </c>
      <c r="AA291" s="110">
        <v>392.57</v>
      </c>
      <c r="AB291" s="102">
        <f t="shared" si="35"/>
        <v>3.40296092455422E-2</v>
      </c>
      <c r="AC291" s="102">
        <f t="shared" si="35"/>
        <v>-7.3853517588160543E-3</v>
      </c>
      <c r="BC291" s="101">
        <v>41257</v>
      </c>
      <c r="BD291" s="110">
        <v>83623.195300000007</v>
      </c>
      <c r="BE291" s="110">
        <v>392.21</v>
      </c>
      <c r="BF291" s="272">
        <f t="shared" si="36"/>
        <v>2.3462027951310204E-2</v>
      </c>
      <c r="BG291" s="272">
        <f t="shared" si="36"/>
        <v>2.1675827058906749E-2</v>
      </c>
    </row>
    <row r="292" spans="2:59" x14ac:dyDescent="0.3">
      <c r="B292" s="101">
        <v>41005</v>
      </c>
      <c r="C292" s="54">
        <v>447.44</v>
      </c>
      <c r="D292" s="102">
        <f t="shared" si="33"/>
        <v>1.4534158674013087E-2</v>
      </c>
      <c r="E292" s="102"/>
      <c r="F292" s="54">
        <v>1398.08</v>
      </c>
      <c r="G292" s="102">
        <f t="shared" si="33"/>
        <v>-7.3767989378545895E-3</v>
      </c>
      <c r="O292" s="101">
        <v>42641</v>
      </c>
      <c r="P292" s="110">
        <v>37561.9</v>
      </c>
      <c r="Q292" s="110">
        <v>686.72</v>
      </c>
      <c r="R292" s="102">
        <f t="shared" si="34"/>
        <v>2.4538960764005388E-3</v>
      </c>
      <c r="S292" s="102">
        <f t="shared" si="34"/>
        <v>2.6683985766411205E-3</v>
      </c>
      <c r="Y292" s="101">
        <v>41173</v>
      </c>
      <c r="Z292" s="110">
        <v>12272.34</v>
      </c>
      <c r="AA292" s="110">
        <v>395.48</v>
      </c>
      <c r="AB292" s="102">
        <f t="shared" si="35"/>
        <v>-1.904847170894863E-2</v>
      </c>
      <c r="AC292" s="102">
        <f t="shared" si="35"/>
        <v>-8.535332235502513E-3</v>
      </c>
      <c r="BC292" s="101">
        <v>41250</v>
      </c>
      <c r="BD292" s="110">
        <v>81684.0625</v>
      </c>
      <c r="BE292" s="110">
        <v>383.8</v>
      </c>
      <c r="BF292" s="272">
        <f t="shared" si="36"/>
        <v>1.8296819208964317E-2</v>
      </c>
      <c r="BG292" s="272">
        <f t="shared" si="36"/>
        <v>1.5703691844893203E-2</v>
      </c>
    </row>
    <row r="293" spans="2:59" x14ac:dyDescent="0.3">
      <c r="B293" s="101">
        <v>40998</v>
      </c>
      <c r="C293" s="54">
        <v>441.03</v>
      </c>
      <c r="D293" s="102">
        <f t="shared" si="33"/>
        <v>-2.8782206562431245E-2</v>
      </c>
      <c r="E293" s="102"/>
      <c r="F293" s="54">
        <v>1408.47</v>
      </c>
      <c r="G293" s="102">
        <f t="shared" si="33"/>
        <v>8.1310705670993855E-3</v>
      </c>
      <c r="O293" s="101">
        <v>42640</v>
      </c>
      <c r="P293" s="110">
        <v>37469.839999999997</v>
      </c>
      <c r="Q293" s="110">
        <v>684.89</v>
      </c>
      <c r="R293" s="102">
        <f t="shared" si="34"/>
        <v>-2.4273169476851354E-2</v>
      </c>
      <c r="S293" s="102">
        <f t="shared" si="34"/>
        <v>1.152788606378731E-2</v>
      </c>
      <c r="Y293" s="101">
        <v>41166</v>
      </c>
      <c r="Z293" s="110">
        <v>12508.35</v>
      </c>
      <c r="AA293" s="110">
        <v>398.87</v>
      </c>
      <c r="AB293" s="102">
        <f t="shared" si="35"/>
        <v>2.6770303038711869E-2</v>
      </c>
      <c r="AC293" s="102">
        <f t="shared" si="35"/>
        <v>3.4154582537817145E-3</v>
      </c>
      <c r="BC293" s="101">
        <v>41243</v>
      </c>
      <c r="BD293" s="110">
        <v>80203.093800000002</v>
      </c>
      <c r="BE293" s="110">
        <v>377.82</v>
      </c>
      <c r="BF293" s="272">
        <f t="shared" si="36"/>
        <v>-7.7625104512337624E-3</v>
      </c>
      <c r="BG293" s="272">
        <f t="shared" si="36"/>
        <v>-1.0243266264577128E-2</v>
      </c>
    </row>
    <row r="294" spans="2:59" x14ac:dyDescent="0.3">
      <c r="B294" s="101">
        <v>40991</v>
      </c>
      <c r="C294" s="54">
        <v>454.1</v>
      </c>
      <c r="D294" s="102">
        <f t="shared" ref="D294:G309" si="37">C294/C295-1</f>
        <v>3.5528596187175188E-2</v>
      </c>
      <c r="E294" s="102"/>
      <c r="F294" s="54">
        <v>1397.11</v>
      </c>
      <c r="G294" s="102">
        <f t="shared" si="37"/>
        <v>-5.0278812394511929E-3</v>
      </c>
      <c r="O294" s="101">
        <v>42639</v>
      </c>
      <c r="P294" s="110">
        <v>38390.480000000003</v>
      </c>
      <c r="Q294" s="110">
        <v>677.04</v>
      </c>
      <c r="R294" s="102">
        <f t="shared" si="34"/>
        <v>3.4149686352692284E-2</v>
      </c>
      <c r="S294" s="102">
        <f t="shared" si="34"/>
        <v>4.3667222067648058E-3</v>
      </c>
      <c r="Y294" s="101">
        <v>41159</v>
      </c>
      <c r="Z294" s="110">
        <v>12177.94</v>
      </c>
      <c r="AA294" s="110">
        <v>397.51</v>
      </c>
      <c r="AB294" s="102">
        <f t="shared" si="35"/>
        <v>-2.6770303038711887E-2</v>
      </c>
      <c r="AC294" s="102">
        <f t="shared" si="35"/>
        <v>3.7553759810046525E-3</v>
      </c>
      <c r="BC294" s="101">
        <v>41236</v>
      </c>
      <c r="BD294" s="110">
        <v>80828.093800000002</v>
      </c>
      <c r="BE294" s="110">
        <v>381.71</v>
      </c>
      <c r="BF294" s="272">
        <f t="shared" si="36"/>
        <v>-4.4839400962714045E-3</v>
      </c>
      <c r="BG294" s="272">
        <f t="shared" si="36"/>
        <v>-1.0424633770983686E-2</v>
      </c>
    </row>
    <row r="295" spans="2:59" x14ac:dyDescent="0.3">
      <c r="B295" s="101">
        <v>40984</v>
      </c>
      <c r="C295" s="54">
        <v>438.52</v>
      </c>
      <c r="D295" s="102">
        <f t="shared" si="37"/>
        <v>1.4834185739742045E-2</v>
      </c>
      <c r="E295" s="102"/>
      <c r="F295" s="54">
        <v>1404.17</v>
      </c>
      <c r="G295" s="102">
        <f t="shared" si="37"/>
        <v>2.4291143580354113E-2</v>
      </c>
      <c r="O295" s="101">
        <v>42636</v>
      </c>
      <c r="P295" s="110">
        <v>37101.589999999997</v>
      </c>
      <c r="Q295" s="110">
        <v>674.09</v>
      </c>
      <c r="R295" s="102">
        <f t="shared" si="34"/>
        <v>-3.6544806097155623E-2</v>
      </c>
      <c r="S295" s="102">
        <f t="shared" si="34"/>
        <v>4.0283375544756944E-3</v>
      </c>
      <c r="Y295" s="101">
        <v>41152</v>
      </c>
      <c r="Z295" s="110">
        <v>12508.35</v>
      </c>
      <c r="AA295" s="110">
        <v>396.02</v>
      </c>
      <c r="AB295" s="102">
        <f t="shared" si="35"/>
        <v>1.9048471708948644E-2</v>
      </c>
      <c r="AC295" s="102">
        <f t="shared" si="35"/>
        <v>-9.2995869639402491E-3</v>
      </c>
      <c r="BC295" s="101">
        <v>41229</v>
      </c>
      <c r="BD295" s="110">
        <v>81191.335900000005</v>
      </c>
      <c r="BE295" s="110">
        <v>385.71</v>
      </c>
      <c r="BF295" s="272">
        <f t="shared" si="36"/>
        <v>-3.1777528825161145E-4</v>
      </c>
      <c r="BG295" s="272">
        <f t="shared" si="36"/>
        <v>-2.5892663542933436E-3</v>
      </c>
    </row>
    <row r="296" spans="2:59" x14ac:dyDescent="0.3">
      <c r="B296" s="101">
        <v>40977</v>
      </c>
      <c r="C296" s="54">
        <v>432.11</v>
      </c>
      <c r="D296" s="102">
        <f t="shared" si="37"/>
        <v>-1.7038216560509523E-2</v>
      </c>
      <c r="E296" s="102"/>
      <c r="F296" s="54">
        <v>1370.87</v>
      </c>
      <c r="G296" s="102">
        <f t="shared" si="37"/>
        <v>9.0535400071534156E-4</v>
      </c>
      <c r="O296" s="101">
        <v>42635</v>
      </c>
      <c r="P296" s="110">
        <v>38482.54</v>
      </c>
      <c r="Q296" s="110">
        <v>671.38</v>
      </c>
      <c r="R296" s="102">
        <f t="shared" si="34"/>
        <v>0</v>
      </c>
      <c r="S296" s="102">
        <f t="shared" si="34"/>
        <v>4.3288172324088886E-3</v>
      </c>
      <c r="Y296" s="101">
        <v>41145</v>
      </c>
      <c r="Z296" s="110">
        <v>12272.34</v>
      </c>
      <c r="AA296" s="110">
        <v>399.72</v>
      </c>
      <c r="AB296" s="102">
        <f t="shared" si="35"/>
        <v>-0.10227909809943725</v>
      </c>
      <c r="AC296" s="102">
        <f t="shared" si="35"/>
        <v>-8.1012147321060657E-2</v>
      </c>
      <c r="BC296" s="101">
        <v>41222</v>
      </c>
      <c r="BD296" s="110">
        <v>81217.140599999999</v>
      </c>
      <c r="BE296" s="110">
        <v>386.71</v>
      </c>
      <c r="BF296" s="272">
        <f t="shared" si="36"/>
        <v>2.5835620863013886E-2</v>
      </c>
      <c r="BG296" s="272">
        <f t="shared" si="36"/>
        <v>3.0055939059331911E-2</v>
      </c>
    </row>
    <row r="297" spans="2:59" x14ac:dyDescent="0.3">
      <c r="B297" s="101">
        <v>40970</v>
      </c>
      <c r="C297" s="54">
        <v>439.6</v>
      </c>
      <c r="D297" s="102">
        <f t="shared" si="37"/>
        <v>3.8188130269465992E-2</v>
      </c>
      <c r="E297" s="102"/>
      <c r="F297" s="54">
        <v>1369.63</v>
      </c>
      <c r="G297" s="102">
        <f t="shared" si="37"/>
        <v>2.8482727312666434E-3</v>
      </c>
      <c r="O297" s="101">
        <v>42634</v>
      </c>
      <c r="P297" s="110">
        <v>38482.54</v>
      </c>
      <c r="Q297" s="110">
        <v>668.48</v>
      </c>
      <c r="R297" s="102">
        <f t="shared" si="34"/>
        <v>7.2028997707759149E-3</v>
      </c>
      <c r="S297" s="102">
        <f t="shared" si="34"/>
        <v>7.673574463545896E-3</v>
      </c>
      <c r="Y297" s="101">
        <v>41138</v>
      </c>
      <c r="Z297" s="110">
        <v>13593.98</v>
      </c>
      <c r="AA297" s="110">
        <v>433.45</v>
      </c>
      <c r="AB297" s="102">
        <f t="shared" si="35"/>
        <v>7.1973785089505748E-2</v>
      </c>
      <c r="AC297" s="102">
        <f t="shared" si="35"/>
        <v>1.8370500666484147E-2</v>
      </c>
      <c r="BC297" s="101">
        <v>41215</v>
      </c>
      <c r="BD297" s="110">
        <v>79145.718800000002</v>
      </c>
      <c r="BE297" s="110">
        <v>375.26</v>
      </c>
      <c r="BF297" s="272">
        <f t="shared" si="36"/>
        <v>-5.4582169220448264E-2</v>
      </c>
      <c r="BG297" s="272">
        <f t="shared" si="36"/>
        <v>-4.2877121612557079E-2</v>
      </c>
    </row>
    <row r="298" spans="2:59" x14ac:dyDescent="0.3">
      <c r="B298" s="101">
        <v>40963</v>
      </c>
      <c r="C298" s="54">
        <v>423.43</v>
      </c>
      <c r="D298" s="102">
        <f t="shared" si="37"/>
        <v>4.9913215968261815E-2</v>
      </c>
      <c r="E298" s="102"/>
      <c r="F298" s="54">
        <v>1365.74</v>
      </c>
      <c r="G298" s="102">
        <f t="shared" si="37"/>
        <v>3.3131799916252813E-3</v>
      </c>
      <c r="O298" s="101">
        <v>42633</v>
      </c>
      <c r="P298" s="110">
        <v>38206.35</v>
      </c>
      <c r="Q298" s="110">
        <v>663.37</v>
      </c>
      <c r="R298" s="102">
        <f t="shared" si="34"/>
        <v>-2.4066488002569956E-3</v>
      </c>
      <c r="S298" s="102">
        <f t="shared" si="34"/>
        <v>8.2951598066231553E-3</v>
      </c>
      <c r="Y298" s="101">
        <v>41131</v>
      </c>
      <c r="Z298" s="110">
        <v>12649.95</v>
      </c>
      <c r="AA298" s="110">
        <v>425.56</v>
      </c>
      <c r="AB298" s="102">
        <f t="shared" si="35"/>
        <v>2.2641843129497675E-2</v>
      </c>
      <c r="AC298" s="102">
        <f t="shared" si="35"/>
        <v>1.7422249935693624E-2</v>
      </c>
      <c r="BC298" s="101">
        <v>41208</v>
      </c>
      <c r="BD298" s="110">
        <v>83585.734400000001</v>
      </c>
      <c r="BE298" s="110">
        <v>391.7</v>
      </c>
      <c r="BF298" s="272">
        <f t="shared" si="36"/>
        <v>-2.5430741752473597E-2</v>
      </c>
      <c r="BG298" s="272">
        <f t="shared" si="36"/>
        <v>-1.6533487146083731E-2</v>
      </c>
    </row>
    <row r="299" spans="2:59" x14ac:dyDescent="0.3">
      <c r="B299" s="101">
        <v>40956</v>
      </c>
      <c r="C299" s="54">
        <v>403.3</v>
      </c>
      <c r="D299" s="102">
        <f t="shared" si="37"/>
        <v>-4.2467038664756318E-3</v>
      </c>
      <c r="E299" s="102"/>
      <c r="F299" s="54">
        <v>1361.23</v>
      </c>
      <c r="G299" s="102">
        <f t="shared" si="37"/>
        <v>1.3845855925638917E-2</v>
      </c>
      <c r="O299" s="101">
        <v>42632</v>
      </c>
      <c r="P299" s="110">
        <v>38298.410000000003</v>
      </c>
      <c r="Q299" s="110">
        <v>657.89</v>
      </c>
      <c r="R299" s="102">
        <f t="shared" si="34"/>
        <v>-9.5693490599048966E-3</v>
      </c>
      <c r="S299" s="102">
        <f t="shared" si="34"/>
        <v>1.00520247559766E-2</v>
      </c>
      <c r="Y299" s="101">
        <v>41124</v>
      </c>
      <c r="Z299" s="110">
        <v>12366.75</v>
      </c>
      <c r="AA299" s="110">
        <v>418.21</v>
      </c>
      <c r="AB299" s="102">
        <f t="shared" si="35"/>
        <v>7.6634698804338864E-3</v>
      </c>
      <c r="AC299" s="102">
        <f t="shared" si="35"/>
        <v>1.2148771574038807E-2</v>
      </c>
      <c r="BC299" s="101">
        <v>41201</v>
      </c>
      <c r="BD299" s="110">
        <v>85738.640599999999</v>
      </c>
      <c r="BE299" s="110">
        <v>398.23</v>
      </c>
      <c r="BF299" s="272">
        <f t="shared" si="36"/>
        <v>-1.3037732888636248E-2</v>
      </c>
      <c r="BG299" s="272">
        <f t="shared" si="36"/>
        <v>1.4391284959936426E-2</v>
      </c>
    </row>
    <row r="300" spans="2:59" x14ac:dyDescent="0.3">
      <c r="B300" s="101">
        <v>40949</v>
      </c>
      <c r="C300" s="54">
        <v>405.02</v>
      </c>
      <c r="D300" s="102">
        <f t="shared" si="37"/>
        <v>8.1644844924577686E-3</v>
      </c>
      <c r="E300" s="102"/>
      <c r="F300" s="54">
        <v>1342.64</v>
      </c>
      <c r="G300" s="102">
        <f t="shared" si="37"/>
        <v>-1.6804223362332227E-3</v>
      </c>
      <c r="O300" s="101">
        <v>42629</v>
      </c>
      <c r="P300" s="110">
        <v>38666.660000000003</v>
      </c>
      <c r="Q300" s="110">
        <v>651.30999999999995</v>
      </c>
      <c r="R300" s="102">
        <f t="shared" si="34"/>
        <v>-2.3782907234358923E-3</v>
      </c>
      <c r="S300" s="102">
        <f t="shared" si="34"/>
        <v>-8.1502037602400462E-3</v>
      </c>
      <c r="Y300" s="101">
        <v>41117</v>
      </c>
      <c r="Z300" s="110">
        <v>12272.34</v>
      </c>
      <c r="AA300" s="110">
        <v>413.16</v>
      </c>
      <c r="AB300" s="102">
        <f t="shared" si="35"/>
        <v>-3.402960924554229E-2</v>
      </c>
      <c r="AC300" s="102">
        <f t="shared" si="35"/>
        <v>-2.700640473753798E-2</v>
      </c>
      <c r="BC300" s="101">
        <v>41194</v>
      </c>
      <c r="BD300" s="110">
        <v>86863.796900000001</v>
      </c>
      <c r="BE300" s="110">
        <v>392.54</v>
      </c>
      <c r="BF300" s="272">
        <f t="shared" si="36"/>
        <v>4.9270505210059056E-3</v>
      </c>
      <c r="BG300" s="272">
        <f t="shared" si="36"/>
        <v>1.1220817102247616E-2</v>
      </c>
    </row>
    <row r="301" spans="2:59" x14ac:dyDescent="0.3">
      <c r="B301" s="101">
        <v>40942</v>
      </c>
      <c r="C301" s="54">
        <v>401.74</v>
      </c>
      <c r="D301" s="102">
        <f t="shared" si="37"/>
        <v>4.3643165168597786E-2</v>
      </c>
      <c r="E301" s="102"/>
      <c r="F301" s="54">
        <v>1344.9</v>
      </c>
      <c r="G301" s="102">
        <f t="shared" si="37"/>
        <v>2.1704283880182196E-2</v>
      </c>
      <c r="O301" s="101">
        <v>42627</v>
      </c>
      <c r="P301" s="110">
        <v>38758.730000000003</v>
      </c>
      <c r="Q301" s="110">
        <v>656.64</v>
      </c>
      <c r="R301" s="102">
        <f t="shared" si="34"/>
        <v>0</v>
      </c>
      <c r="S301" s="102">
        <f t="shared" si="34"/>
        <v>-4.6795794776562614E-3</v>
      </c>
      <c r="Y301" s="101">
        <v>41110</v>
      </c>
      <c r="Z301" s="110">
        <v>12697.15</v>
      </c>
      <c r="AA301" s="110">
        <v>424.47</v>
      </c>
      <c r="AB301" s="102">
        <f t="shared" si="35"/>
        <v>2.2556718559458105E-2</v>
      </c>
      <c r="AC301" s="102">
        <f t="shared" si="35"/>
        <v>1.7803072858060435E-2</v>
      </c>
      <c r="BC301" s="101">
        <v>41187</v>
      </c>
      <c r="BD301" s="110">
        <v>86436.867199999993</v>
      </c>
      <c r="BE301" s="110">
        <v>388.16</v>
      </c>
      <c r="BF301" s="272">
        <f t="shared" si="36"/>
        <v>-3.722932690979769E-3</v>
      </c>
      <c r="BG301" s="272">
        <f t="shared" si="36"/>
        <v>-1.1297239514430769E-2</v>
      </c>
    </row>
    <row r="302" spans="2:59" x14ac:dyDescent="0.3">
      <c r="B302" s="101">
        <v>40935</v>
      </c>
      <c r="C302" s="54">
        <v>384.94</v>
      </c>
      <c r="D302" s="102">
        <f t="shared" si="37"/>
        <v>3.2010723860589785E-2</v>
      </c>
      <c r="E302" s="102"/>
      <c r="F302" s="54">
        <v>1316.33</v>
      </c>
      <c r="G302" s="102">
        <f t="shared" si="37"/>
        <v>7.22224756344092E-4</v>
      </c>
      <c r="O302" s="101">
        <v>42626</v>
      </c>
      <c r="P302" s="110">
        <v>38758.730000000003</v>
      </c>
      <c r="Q302" s="110">
        <v>659.72</v>
      </c>
      <c r="R302" s="102">
        <f t="shared" si="34"/>
        <v>-9.4562338606959291E-3</v>
      </c>
      <c r="S302" s="102">
        <f t="shared" si="34"/>
        <v>-6.0629945148409276E-5</v>
      </c>
      <c r="Y302" s="101">
        <v>41103</v>
      </c>
      <c r="Z302" s="110">
        <v>12413.95</v>
      </c>
      <c r="AA302" s="110">
        <v>416.98</v>
      </c>
      <c r="AB302" s="102">
        <f t="shared" si="35"/>
        <v>3.809420805650247E-3</v>
      </c>
      <c r="AC302" s="102">
        <f t="shared" si="35"/>
        <v>3.7000594818466953E-3</v>
      </c>
      <c r="BC302" s="101">
        <v>41180</v>
      </c>
      <c r="BD302" s="110">
        <v>86759.265599999999</v>
      </c>
      <c r="BE302" s="110">
        <v>392.57</v>
      </c>
      <c r="BF302" s="272">
        <f t="shared" si="36"/>
        <v>-1.0391303218319025E-2</v>
      </c>
      <c r="BG302" s="272">
        <f t="shared" si="36"/>
        <v>-7.3853517588160543E-3</v>
      </c>
    </row>
    <row r="303" spans="2:59" x14ac:dyDescent="0.3">
      <c r="B303" s="101">
        <v>40928</v>
      </c>
      <c r="C303" s="54">
        <v>373</v>
      </c>
      <c r="D303" s="102">
        <f t="shared" si="37"/>
        <v>5.2690994270877534E-2</v>
      </c>
      <c r="E303" s="102"/>
      <c r="F303" s="54">
        <v>1315.38</v>
      </c>
      <c r="G303" s="102">
        <f t="shared" si="37"/>
        <v>2.0394231589726308E-2</v>
      </c>
      <c r="O303" s="101">
        <v>42625</v>
      </c>
      <c r="P303" s="110">
        <v>39126.980000000003</v>
      </c>
      <c r="Q303" s="110">
        <v>659.76</v>
      </c>
      <c r="R303" s="102">
        <f t="shared" si="34"/>
        <v>-4.6949215163299687E-3</v>
      </c>
      <c r="S303" s="102">
        <f t="shared" si="34"/>
        <v>-1.0733987159792756E-2</v>
      </c>
      <c r="Y303" s="101">
        <v>41096</v>
      </c>
      <c r="Z303" s="110">
        <v>12366.75</v>
      </c>
      <c r="AA303" s="110">
        <v>415.44</v>
      </c>
      <c r="AB303" s="102">
        <f t="shared" si="35"/>
        <v>-3.8094208056502947E-3</v>
      </c>
      <c r="AC303" s="102">
        <f t="shared" si="35"/>
        <v>-1.6543507606482162E-2</v>
      </c>
      <c r="BC303" s="101">
        <v>41173</v>
      </c>
      <c r="BD303" s="110">
        <v>87665.507800000007</v>
      </c>
      <c r="BE303" s="110">
        <v>395.48</v>
      </c>
      <c r="BF303" s="272">
        <f t="shared" si="36"/>
        <v>-3.7656221517594207E-2</v>
      </c>
      <c r="BG303" s="272">
        <f t="shared" si="36"/>
        <v>-8.535332235502513E-3</v>
      </c>
    </row>
    <row r="304" spans="2:59" x14ac:dyDescent="0.3">
      <c r="B304" s="101">
        <v>40921</v>
      </c>
      <c r="C304" s="54">
        <v>354.33</v>
      </c>
      <c r="D304" s="102">
        <f t="shared" si="37"/>
        <v>5.2267395242479031E-2</v>
      </c>
      <c r="E304" s="102"/>
      <c r="F304" s="54">
        <v>1289.0899999999999</v>
      </c>
      <c r="G304" s="102">
        <f t="shared" si="37"/>
        <v>8.8276034778254076E-3</v>
      </c>
      <c r="O304" s="101">
        <v>42622</v>
      </c>
      <c r="P304" s="110">
        <v>39311.11</v>
      </c>
      <c r="Q304" s="110">
        <v>666.88</v>
      </c>
      <c r="R304" s="102">
        <f t="shared" si="34"/>
        <v>1.6529446100461823E-2</v>
      </c>
      <c r="S304" s="102">
        <f t="shared" si="34"/>
        <v>1.215349562552841E-3</v>
      </c>
      <c r="Y304" s="101">
        <v>41089</v>
      </c>
      <c r="Z304" s="110">
        <v>12413.95</v>
      </c>
      <c r="AA304" s="110">
        <v>422.37</v>
      </c>
      <c r="AB304" s="102">
        <f t="shared" si="35"/>
        <v>-3.7317506294899917E-2</v>
      </c>
      <c r="AC304" s="102">
        <f t="shared" si="35"/>
        <v>-1.1300353318467307E-2</v>
      </c>
      <c r="BC304" s="101">
        <v>41166</v>
      </c>
      <c r="BD304" s="110">
        <v>91029.601599999995</v>
      </c>
      <c r="BE304" s="110">
        <v>398.87</v>
      </c>
      <c r="BF304" s="272">
        <f t="shared" si="36"/>
        <v>8.918806919738136E-3</v>
      </c>
      <c r="BG304" s="272">
        <f t="shared" si="36"/>
        <v>3.4154582537817145E-3</v>
      </c>
    </row>
    <row r="305" spans="2:59" x14ac:dyDescent="0.3">
      <c r="B305" s="101">
        <v>40914</v>
      </c>
      <c r="C305" s="54">
        <v>336.73</v>
      </c>
      <c r="D305" s="102">
        <f t="shared" si="37"/>
        <v>-4.2156165552552971E-2</v>
      </c>
      <c r="E305" s="102"/>
      <c r="F305" s="54">
        <v>1277.81</v>
      </c>
      <c r="G305" s="102">
        <f t="shared" si="37"/>
        <v>1.6070292620865123E-2</v>
      </c>
      <c r="O305" s="101">
        <v>42621</v>
      </c>
      <c r="P305" s="110">
        <v>38666.660000000003</v>
      </c>
      <c r="Q305" s="110">
        <v>666.07</v>
      </c>
      <c r="R305" s="102">
        <f t="shared" si="34"/>
        <v>1.6807004347928655E-2</v>
      </c>
      <c r="S305" s="102">
        <f t="shared" si="34"/>
        <v>7.2174193589175468E-3</v>
      </c>
      <c r="Y305" s="101">
        <v>41082</v>
      </c>
      <c r="Z305" s="110">
        <v>12885.96</v>
      </c>
      <c r="AA305" s="110">
        <v>427.17</v>
      </c>
      <c r="AB305" s="102">
        <f t="shared" si="35"/>
        <v>-1.4545307574383933E-2</v>
      </c>
      <c r="AC305" s="102">
        <f t="shared" si="35"/>
        <v>-1.3763498137197716E-2</v>
      </c>
      <c r="BC305" s="101">
        <v>41159</v>
      </c>
      <c r="BD305" s="110">
        <v>90221.335900000005</v>
      </c>
      <c r="BE305" s="110">
        <v>397.51</v>
      </c>
      <c r="BF305" s="272">
        <f t="shared" si="36"/>
        <v>8.0644998941796827E-3</v>
      </c>
      <c r="BG305" s="272">
        <f t="shared" si="36"/>
        <v>3.7553759810046525E-3</v>
      </c>
    </row>
    <row r="306" spans="2:59" x14ac:dyDescent="0.3">
      <c r="B306" s="101">
        <v>40907</v>
      </c>
      <c r="C306" s="54">
        <v>351.55</v>
      </c>
      <c r="D306" s="102">
        <f t="shared" si="37"/>
        <v>-1.3082170629684642E-2</v>
      </c>
      <c r="E306" s="102"/>
      <c r="F306" s="54">
        <v>1257.5999999999999</v>
      </c>
      <c r="G306" s="102">
        <f t="shared" si="37"/>
        <v>-6.1090782641682884E-3</v>
      </c>
      <c r="O306" s="101">
        <v>42620</v>
      </c>
      <c r="P306" s="110">
        <v>38022.22</v>
      </c>
      <c r="Q306" s="110">
        <v>661.28</v>
      </c>
      <c r="R306" s="102">
        <f t="shared" si="34"/>
        <v>-2.4185517534086984E-3</v>
      </c>
      <c r="S306" s="102">
        <f t="shared" si="34"/>
        <v>-3.954184961691482E-3</v>
      </c>
      <c r="Y306" s="101">
        <v>41075</v>
      </c>
      <c r="Z306" s="110">
        <v>13074.76</v>
      </c>
      <c r="AA306" s="110">
        <v>433.09</v>
      </c>
      <c r="AB306" s="102">
        <f t="shared" si="35"/>
        <v>-7.1948376074924911E-3</v>
      </c>
      <c r="AC306" s="102">
        <f t="shared" si="35"/>
        <v>4.3880415027590733E-4</v>
      </c>
      <c r="BC306" s="101">
        <v>41152</v>
      </c>
      <c r="BD306" s="110">
        <v>89496.671900000001</v>
      </c>
      <c r="BE306" s="110">
        <v>396.02</v>
      </c>
      <c r="BF306" s="272">
        <f t="shared" si="36"/>
        <v>1.8518169890331673E-3</v>
      </c>
      <c r="BG306" s="272">
        <f t="shared" si="36"/>
        <v>-9.2995869639402491E-3</v>
      </c>
    </row>
    <row r="307" spans="2:59" x14ac:dyDescent="0.3">
      <c r="B307" s="101">
        <v>40900</v>
      </c>
      <c r="C307" s="54">
        <v>356.21</v>
      </c>
      <c r="D307" s="102">
        <f t="shared" si="37"/>
        <v>-2.6828402043548305E-2</v>
      </c>
      <c r="E307" s="102"/>
      <c r="F307" s="54">
        <v>1265.33</v>
      </c>
      <c r="G307" s="102">
        <f t="shared" si="37"/>
        <v>3.7444861682763841E-2</v>
      </c>
      <c r="O307" s="101">
        <v>42619</v>
      </c>
      <c r="P307" s="110">
        <v>38114.29</v>
      </c>
      <c r="Q307" s="110">
        <v>663.9</v>
      </c>
      <c r="R307" s="102">
        <f t="shared" si="34"/>
        <v>1.215088385582766E-2</v>
      </c>
      <c r="S307" s="102">
        <f t="shared" si="34"/>
        <v>-9.785841422281082E-4</v>
      </c>
      <c r="Y307" s="101">
        <v>41068</v>
      </c>
      <c r="Z307" s="110">
        <v>13169.17</v>
      </c>
      <c r="AA307" s="110">
        <v>432.9</v>
      </c>
      <c r="AB307" s="102">
        <f t="shared" si="35"/>
        <v>0</v>
      </c>
      <c r="AC307" s="102">
        <f t="shared" si="35"/>
        <v>9.5161446913426505E-3</v>
      </c>
      <c r="BC307" s="101">
        <v>41145</v>
      </c>
      <c r="BD307" s="110">
        <v>89331.093800000002</v>
      </c>
      <c r="BE307" s="110">
        <v>399.72</v>
      </c>
      <c r="BF307" s="272">
        <f t="shared" si="36"/>
        <v>-8.323516933745613E-2</v>
      </c>
      <c r="BG307" s="272">
        <f t="shared" si="36"/>
        <v>-8.1012147321060657E-2</v>
      </c>
    </row>
    <row r="308" spans="2:59" x14ac:dyDescent="0.3">
      <c r="B308" s="101">
        <v>40893</v>
      </c>
      <c r="C308" s="54">
        <v>366.03</v>
      </c>
      <c r="D308" s="102">
        <f t="shared" si="37"/>
        <v>-2.9510022271715064E-2</v>
      </c>
      <c r="E308" s="102"/>
      <c r="F308" s="54">
        <v>1219.6600000000001</v>
      </c>
      <c r="G308" s="102">
        <f t="shared" si="37"/>
        <v>-2.8306471530206601E-2</v>
      </c>
      <c r="O308" s="101">
        <v>42618</v>
      </c>
      <c r="P308" s="110">
        <v>37653.97</v>
      </c>
      <c r="Q308" s="110">
        <v>664.55</v>
      </c>
      <c r="R308" s="102">
        <f t="shared" si="34"/>
        <v>7.3619833584956289E-3</v>
      </c>
      <c r="S308" s="102">
        <f t="shared" si="34"/>
        <v>-6.9579059178963114E-3</v>
      </c>
      <c r="Y308" s="101">
        <v>41061</v>
      </c>
      <c r="Z308" s="110">
        <v>13169.17</v>
      </c>
      <c r="AA308" s="110">
        <v>428.8</v>
      </c>
      <c r="AB308" s="102">
        <f t="shared" si="35"/>
        <v>-7.1426875413705153E-3</v>
      </c>
      <c r="AC308" s="102">
        <f t="shared" si="35"/>
        <v>-1.9811772703584734E-2</v>
      </c>
      <c r="BC308" s="101">
        <v>41138</v>
      </c>
      <c r="BD308" s="110">
        <v>97084.796900000001</v>
      </c>
      <c r="BE308" s="110">
        <v>433.45</v>
      </c>
      <c r="BF308" s="272">
        <f t="shared" si="36"/>
        <v>4.9897997344670653E-2</v>
      </c>
      <c r="BG308" s="272">
        <f t="shared" si="36"/>
        <v>1.8370500666484147E-2</v>
      </c>
    </row>
    <row r="309" spans="2:59" x14ac:dyDescent="0.3">
      <c r="B309" s="101">
        <v>40886</v>
      </c>
      <c r="C309" s="54">
        <v>377.16</v>
      </c>
      <c r="D309" s="102">
        <f t="shared" si="37"/>
        <v>-1.7505470459518557E-2</v>
      </c>
      <c r="E309" s="102"/>
      <c r="F309" s="54">
        <v>1255.19</v>
      </c>
      <c r="G309" s="102">
        <f t="shared" si="37"/>
        <v>8.7681229305300867E-3</v>
      </c>
      <c r="O309" s="101">
        <v>42614</v>
      </c>
      <c r="P309" s="110">
        <v>37377.78</v>
      </c>
      <c r="Q309" s="110">
        <v>669.19</v>
      </c>
      <c r="R309" s="102">
        <f t="shared" si="34"/>
        <v>-9.8038943862303191E-3</v>
      </c>
      <c r="S309" s="102">
        <f t="shared" si="34"/>
        <v>-8.0963666510249603E-3</v>
      </c>
      <c r="Y309" s="101">
        <v>41054</v>
      </c>
      <c r="Z309" s="110">
        <v>13263.57</v>
      </c>
      <c r="AA309" s="110">
        <v>437.38</v>
      </c>
      <c r="AB309" s="102">
        <f t="shared" si="35"/>
        <v>3.5649665360773827E-3</v>
      </c>
      <c r="AC309" s="102">
        <f t="shared" si="35"/>
        <v>5.5713005066273793E-3</v>
      </c>
      <c r="BC309" s="101">
        <v>41131</v>
      </c>
      <c r="BD309" s="110">
        <v>92359.335900000005</v>
      </c>
      <c r="BE309" s="110">
        <v>425.56</v>
      </c>
      <c r="BF309" s="272">
        <f t="shared" si="36"/>
        <v>1.9444817718010547E-2</v>
      </c>
      <c r="BG309" s="272">
        <f t="shared" si="36"/>
        <v>1.7422249935693624E-2</v>
      </c>
    </row>
    <row r="310" spans="2:59" x14ac:dyDescent="0.3">
      <c r="B310" s="101">
        <v>40879</v>
      </c>
      <c r="C310" s="54">
        <v>383.88</v>
      </c>
      <c r="D310" s="102">
        <f t="shared" ref="D310:G325" si="38">C310/C311-1</f>
        <v>1.38254858484399E-3</v>
      </c>
      <c r="E310" s="102"/>
      <c r="F310" s="54">
        <v>1244.28</v>
      </c>
      <c r="G310" s="102">
        <f t="shared" si="38"/>
        <v>7.3886438761683548E-2</v>
      </c>
      <c r="O310" s="101">
        <v>42613</v>
      </c>
      <c r="P310" s="110">
        <v>37746.03</v>
      </c>
      <c r="Q310" s="110">
        <v>674.63</v>
      </c>
      <c r="R310" s="102">
        <f t="shared" si="34"/>
        <v>-1.4528076362707946E-2</v>
      </c>
      <c r="S310" s="102">
        <f t="shared" si="34"/>
        <v>2.9095248017088405E-3</v>
      </c>
      <c r="Y310" s="101">
        <v>41047</v>
      </c>
      <c r="Z310" s="110">
        <v>13216.37</v>
      </c>
      <c r="AA310" s="110">
        <v>434.95</v>
      </c>
      <c r="AB310" s="102">
        <f t="shared" si="35"/>
        <v>-6.8992417504400758E-2</v>
      </c>
      <c r="AC310" s="102">
        <f t="shared" si="35"/>
        <v>-9.876333358334502E-2</v>
      </c>
      <c r="BC310" s="101">
        <v>41124</v>
      </c>
      <c r="BD310" s="110">
        <v>90580.773400000005</v>
      </c>
      <c r="BE310" s="110">
        <v>418.21</v>
      </c>
      <c r="BF310" s="272">
        <f t="shared" si="36"/>
        <v>1.215839107051747E-2</v>
      </c>
      <c r="BG310" s="272">
        <f t="shared" si="36"/>
        <v>1.2148771574038807E-2</v>
      </c>
    </row>
    <row r="311" spans="2:59" x14ac:dyDescent="0.3">
      <c r="B311" s="101">
        <v>40872</v>
      </c>
      <c r="C311" s="54">
        <v>383.35</v>
      </c>
      <c r="D311" s="102">
        <f t="shared" si="38"/>
        <v>9.8256150887729987E-3</v>
      </c>
      <c r="E311" s="102"/>
      <c r="F311" s="54">
        <v>1158.67</v>
      </c>
      <c r="G311" s="102">
        <f t="shared" si="38"/>
        <v>-4.6872043762596127E-2</v>
      </c>
      <c r="O311" s="101">
        <v>42612</v>
      </c>
      <c r="P311" s="110">
        <v>38298.410000000003</v>
      </c>
      <c r="Q311" s="110">
        <v>672.67</v>
      </c>
      <c r="R311" s="102">
        <f t="shared" si="34"/>
        <v>-9.5693490599048966E-3</v>
      </c>
      <c r="S311" s="102">
        <f t="shared" si="34"/>
        <v>4.8133256381053431E-3</v>
      </c>
      <c r="Y311" s="101">
        <v>41040</v>
      </c>
      <c r="Z311" s="110">
        <v>14160.39</v>
      </c>
      <c r="AA311" s="110">
        <v>480.1</v>
      </c>
      <c r="AB311" s="102">
        <f t="shared" si="35"/>
        <v>-1.980277961278833E-2</v>
      </c>
      <c r="AC311" s="102">
        <f t="shared" si="35"/>
        <v>7.9045182694283678E-3</v>
      </c>
      <c r="BC311" s="101">
        <v>41117</v>
      </c>
      <c r="BD311" s="110">
        <v>89486.125</v>
      </c>
      <c r="BE311" s="110">
        <v>413.16</v>
      </c>
      <c r="BF311" s="272">
        <f t="shared" si="36"/>
        <v>-3.1060767842396995E-2</v>
      </c>
      <c r="BG311" s="272">
        <f t="shared" si="36"/>
        <v>-2.700640473753798E-2</v>
      </c>
    </row>
    <row r="312" spans="2:59" x14ac:dyDescent="0.3">
      <c r="B312" s="101">
        <v>40865</v>
      </c>
      <c r="C312" s="54">
        <v>379.62</v>
      </c>
      <c r="D312" s="102">
        <f t="shared" si="38"/>
        <v>-4.2089326267978788E-2</v>
      </c>
      <c r="E312" s="102"/>
      <c r="F312" s="54">
        <v>1215.6500000000001</v>
      </c>
      <c r="G312" s="102">
        <f t="shared" si="38"/>
        <v>-3.8137437195869595E-2</v>
      </c>
      <c r="O312" s="101">
        <v>42611</v>
      </c>
      <c r="P312" s="110">
        <v>38666.660000000003</v>
      </c>
      <c r="Q312" s="110">
        <v>669.44</v>
      </c>
      <c r="R312" s="102">
        <f t="shared" si="34"/>
        <v>-2.3782907234358923E-3</v>
      </c>
      <c r="S312" s="102">
        <f t="shared" si="34"/>
        <v>2.5276900063786025E-3</v>
      </c>
      <c r="Y312" s="101">
        <v>41033</v>
      </c>
      <c r="Z312" s="110">
        <v>14443.6</v>
      </c>
      <c r="AA312" s="110">
        <v>476.32</v>
      </c>
      <c r="AB312" s="102">
        <f t="shared" si="35"/>
        <v>2.3141588765884669E-2</v>
      </c>
      <c r="AC312" s="102">
        <f t="shared" si="35"/>
        <v>5.3679254030764975E-3</v>
      </c>
      <c r="BC312" s="101">
        <v>41110</v>
      </c>
      <c r="BD312" s="110">
        <v>92309.25</v>
      </c>
      <c r="BE312" s="110">
        <v>424.47</v>
      </c>
      <c r="BF312" s="272">
        <f t="shared" si="36"/>
        <v>3.7717369508823609E-2</v>
      </c>
      <c r="BG312" s="272">
        <f t="shared" si="36"/>
        <v>1.7803072858060435E-2</v>
      </c>
    </row>
    <row r="313" spans="2:59" x14ac:dyDescent="0.3">
      <c r="B313" s="101">
        <v>40858</v>
      </c>
      <c r="C313" s="54">
        <v>396.3</v>
      </c>
      <c r="D313" s="102">
        <f t="shared" si="38"/>
        <v>-3.4756557956012291E-2</v>
      </c>
      <c r="E313" s="102"/>
      <c r="F313" s="54">
        <v>1263.8499999999999</v>
      </c>
      <c r="G313" s="102">
        <f t="shared" si="38"/>
        <v>8.4741029180597227E-3</v>
      </c>
      <c r="O313" s="101">
        <v>42608</v>
      </c>
      <c r="P313" s="110">
        <v>38758.730000000003</v>
      </c>
      <c r="Q313" s="110">
        <v>667.75</v>
      </c>
      <c r="R313" s="102">
        <f t="shared" si="34"/>
        <v>-1.6490249172318019E-2</v>
      </c>
      <c r="S313" s="102">
        <f t="shared" si="34"/>
        <v>1.3949330806734413E-2</v>
      </c>
      <c r="Y313" s="101">
        <v>41026</v>
      </c>
      <c r="Z313" s="110">
        <v>14113.19</v>
      </c>
      <c r="AA313" s="110">
        <v>473.77</v>
      </c>
      <c r="AB313" s="102">
        <f t="shared" si="35"/>
        <v>-2.6404144192466488E-2</v>
      </c>
      <c r="AC313" s="102">
        <f t="shared" si="35"/>
        <v>1.7137376695574413E-2</v>
      </c>
      <c r="BC313" s="101">
        <v>41103</v>
      </c>
      <c r="BD313" s="110">
        <v>88892.429699999993</v>
      </c>
      <c r="BE313" s="110">
        <v>416.98</v>
      </c>
      <c r="BF313" s="272">
        <f t="shared" si="36"/>
        <v>1.4145521932804233E-2</v>
      </c>
      <c r="BG313" s="272">
        <f t="shared" si="36"/>
        <v>3.7000594818466953E-3</v>
      </c>
    </row>
    <row r="314" spans="2:59" x14ac:dyDescent="0.3">
      <c r="B314" s="101">
        <v>40851</v>
      </c>
      <c r="C314" s="54">
        <v>410.57</v>
      </c>
      <c r="D314" s="102">
        <f t="shared" si="38"/>
        <v>-2.7246665245101553E-2</v>
      </c>
      <c r="E314" s="102"/>
      <c r="F314" s="54">
        <v>1253.23</v>
      </c>
      <c r="G314" s="102">
        <f t="shared" si="38"/>
        <v>-2.479203791174156E-2</v>
      </c>
      <c r="O314" s="101">
        <v>42607</v>
      </c>
      <c r="P314" s="110">
        <v>39403.17</v>
      </c>
      <c r="Q314" s="110">
        <v>658.5</v>
      </c>
      <c r="R314" s="102">
        <f t="shared" si="34"/>
        <v>3.0844537755915905E-2</v>
      </c>
      <c r="S314" s="102">
        <f t="shared" si="34"/>
        <v>-3.4413004771048539E-3</v>
      </c>
      <c r="Y314" s="101">
        <v>41019</v>
      </c>
      <c r="Z314" s="110">
        <v>14490.8</v>
      </c>
      <c r="AA314" s="110">
        <v>465.72</v>
      </c>
      <c r="AB314" s="102">
        <f t="shared" si="35"/>
        <v>6.7573273809339099E-2</v>
      </c>
      <c r="AC314" s="102">
        <f t="shared" si="35"/>
        <v>6.8947959080542E-3</v>
      </c>
      <c r="BC314" s="101">
        <v>41096</v>
      </c>
      <c r="BD314" s="110">
        <v>87643.851599999995</v>
      </c>
      <c r="BE314" s="110">
        <v>415.44</v>
      </c>
      <c r="BF314" s="272">
        <f t="shared" si="36"/>
        <v>-9.3770164074446025E-3</v>
      </c>
      <c r="BG314" s="272">
        <f t="shared" si="36"/>
        <v>-1.6543507606482162E-2</v>
      </c>
    </row>
    <row r="315" spans="2:59" x14ac:dyDescent="0.3">
      <c r="B315" s="101">
        <v>40844</v>
      </c>
      <c r="C315" s="54">
        <v>422.07</v>
      </c>
      <c r="D315" s="102">
        <f t="shared" si="38"/>
        <v>2.6859353331873725E-2</v>
      </c>
      <c r="E315" s="102"/>
      <c r="F315" s="54">
        <v>1285.0899999999999</v>
      </c>
      <c r="G315" s="102">
        <f t="shared" si="38"/>
        <v>3.7827579244902099E-2</v>
      </c>
      <c r="O315" s="101">
        <v>42606</v>
      </c>
      <c r="P315" s="110">
        <v>38206.35</v>
      </c>
      <c r="Q315" s="110">
        <v>660.77</v>
      </c>
      <c r="R315" s="102">
        <f t="shared" si="34"/>
        <v>-9.5922966209368386E-3</v>
      </c>
      <c r="S315" s="102">
        <f t="shared" si="34"/>
        <v>2.439524517911264E-3</v>
      </c>
      <c r="Y315" s="101">
        <v>41012</v>
      </c>
      <c r="Z315" s="110">
        <v>13543.96</v>
      </c>
      <c r="AA315" s="110">
        <v>462.52</v>
      </c>
      <c r="AB315" s="102">
        <f t="shared" si="35"/>
        <v>6.5958118815183361E-2</v>
      </c>
      <c r="AC315" s="102">
        <f t="shared" si="35"/>
        <v>3.3147348747428529E-2</v>
      </c>
      <c r="BC315" s="101">
        <v>41089</v>
      </c>
      <c r="BD315" s="110">
        <v>88469.554699999993</v>
      </c>
      <c r="BE315" s="110">
        <v>422.37</v>
      </c>
      <c r="BF315" s="272">
        <f t="shared" si="36"/>
        <v>-3.04770253426347E-2</v>
      </c>
      <c r="BG315" s="272">
        <f t="shared" si="36"/>
        <v>-1.1300353318467307E-2</v>
      </c>
    </row>
    <row r="316" spans="2:59" x14ac:dyDescent="0.3">
      <c r="B316" s="101">
        <v>40837</v>
      </c>
      <c r="C316" s="54">
        <v>411.03</v>
      </c>
      <c r="D316" s="102">
        <f t="shared" si="38"/>
        <v>-8.3476079036889361E-3</v>
      </c>
      <c r="E316" s="102"/>
      <c r="F316" s="54">
        <v>1238.25</v>
      </c>
      <c r="G316" s="102">
        <f t="shared" si="38"/>
        <v>1.1163010991523725E-2</v>
      </c>
      <c r="O316" s="101">
        <v>42605</v>
      </c>
      <c r="P316" s="110">
        <v>38574.6</v>
      </c>
      <c r="Q316" s="110">
        <v>659.16</v>
      </c>
      <c r="R316" s="102">
        <f t="shared" si="34"/>
        <v>9.5922966209368698E-3</v>
      </c>
      <c r="S316" s="102">
        <f t="shared" si="34"/>
        <v>2.2478062986513465E-3</v>
      </c>
      <c r="Y316" s="101">
        <v>41005</v>
      </c>
      <c r="Z316" s="110">
        <v>12679.45</v>
      </c>
      <c r="AA316" s="110">
        <v>447.44</v>
      </c>
      <c r="AB316" s="102">
        <f t="shared" si="35"/>
        <v>7.7610428365648756E-2</v>
      </c>
      <c r="AC316" s="102">
        <f t="shared" si="35"/>
        <v>1.4429550169347946E-2</v>
      </c>
      <c r="BC316" s="101">
        <v>41082</v>
      </c>
      <c r="BD316" s="110">
        <v>91207.351599999995</v>
      </c>
      <c r="BE316" s="110">
        <v>427.17</v>
      </c>
      <c r="BF316" s="272">
        <f t="shared" si="36"/>
        <v>-1.3731106334337179E-2</v>
      </c>
      <c r="BG316" s="272">
        <f t="shared" si="36"/>
        <v>-1.3763498137197716E-2</v>
      </c>
    </row>
    <row r="317" spans="2:59" x14ac:dyDescent="0.3">
      <c r="B317" s="101">
        <v>40830</v>
      </c>
      <c r="C317" s="54">
        <v>414.49</v>
      </c>
      <c r="D317" s="102">
        <f t="shared" si="38"/>
        <v>-8.3022298784571902E-3</v>
      </c>
      <c r="E317" s="102"/>
      <c r="F317" s="54">
        <v>1224.58</v>
      </c>
      <c r="G317" s="102">
        <f t="shared" si="38"/>
        <v>5.9820331296626339E-2</v>
      </c>
      <c r="O317" s="101">
        <v>42604</v>
      </c>
      <c r="P317" s="110">
        <v>38206.35</v>
      </c>
      <c r="Q317" s="110">
        <v>657.68</v>
      </c>
      <c r="R317" s="102">
        <f t="shared" si="34"/>
        <v>-2.3810522444293741E-2</v>
      </c>
      <c r="S317" s="102">
        <f t="shared" si="34"/>
        <v>-6.9699363955323113E-3</v>
      </c>
      <c r="Y317" s="101">
        <v>40998</v>
      </c>
      <c r="Z317" s="110">
        <v>11732.61</v>
      </c>
      <c r="AA317" s="110">
        <v>441.03</v>
      </c>
      <c r="AB317" s="102">
        <f t="shared" si="35"/>
        <v>-4.4604168949452544E-2</v>
      </c>
      <c r="AC317" s="102">
        <f t="shared" si="35"/>
        <v>-2.9204537759920941E-2</v>
      </c>
      <c r="BC317" s="101">
        <v>41075</v>
      </c>
      <c r="BD317" s="110">
        <v>92468.367199999993</v>
      </c>
      <c r="BE317" s="110">
        <v>433.09</v>
      </c>
      <c r="BF317" s="272">
        <f t="shared" si="36"/>
        <v>-1.9265052531978993E-3</v>
      </c>
      <c r="BG317" s="272">
        <f t="shared" si="36"/>
        <v>4.3880415027590733E-4</v>
      </c>
    </row>
    <row r="318" spans="2:59" x14ac:dyDescent="0.3">
      <c r="B318" s="101">
        <v>40823</v>
      </c>
      <c r="C318" s="54">
        <v>417.96</v>
      </c>
      <c r="D318" s="102">
        <f t="shared" si="38"/>
        <v>-2.254443405051465E-2</v>
      </c>
      <c r="E318" s="102"/>
      <c r="F318" s="54">
        <v>1155.46</v>
      </c>
      <c r="G318" s="102">
        <f t="shared" si="38"/>
        <v>2.1247635714412016E-2</v>
      </c>
      <c r="O318" s="101">
        <v>42601</v>
      </c>
      <c r="P318" s="110">
        <v>39126.980000000003</v>
      </c>
      <c r="Q318" s="110">
        <v>662.28</v>
      </c>
      <c r="R318" s="102">
        <f t="shared" si="34"/>
        <v>1.1834524584131909E-2</v>
      </c>
      <c r="S318" s="102">
        <f t="shared" si="34"/>
        <v>2.4642283791843915E-3</v>
      </c>
      <c r="Y318" s="101">
        <v>40991</v>
      </c>
      <c r="Z318" s="110">
        <v>12267.78</v>
      </c>
      <c r="AA318" s="110">
        <v>454.1</v>
      </c>
      <c r="AB318" s="102">
        <f t="shared" si="35"/>
        <v>2.7212029465553067E-2</v>
      </c>
      <c r="AC318" s="102">
        <f t="shared" si="35"/>
        <v>3.4912017297566308E-2</v>
      </c>
      <c r="BC318" s="101">
        <v>41068</v>
      </c>
      <c r="BD318" s="110">
        <v>92646.679699999993</v>
      </c>
      <c r="BE318" s="110">
        <v>432.9</v>
      </c>
      <c r="BF318" s="272">
        <f t="shared" si="36"/>
        <v>1.5224798275246665E-2</v>
      </c>
      <c r="BG318" s="272">
        <f t="shared" si="36"/>
        <v>9.5161446913426505E-3</v>
      </c>
    </row>
    <row r="319" spans="2:59" x14ac:dyDescent="0.3">
      <c r="B319" s="101">
        <v>40816</v>
      </c>
      <c r="C319" s="54">
        <v>427.6</v>
      </c>
      <c r="D319" s="102">
        <f t="shared" si="38"/>
        <v>-2.884397002044059E-2</v>
      </c>
      <c r="E319" s="102"/>
      <c r="F319" s="54">
        <v>1131.42</v>
      </c>
      <c r="G319" s="102">
        <f t="shared" si="38"/>
        <v>-4.4085425411155565E-3</v>
      </c>
      <c r="O319" s="101">
        <v>42600</v>
      </c>
      <c r="P319" s="110">
        <v>38666.660000000003</v>
      </c>
      <c r="Q319" s="110">
        <v>660.65</v>
      </c>
      <c r="R319" s="102">
        <f t="shared" si="34"/>
        <v>0</v>
      </c>
      <c r="S319" s="102">
        <f t="shared" si="34"/>
        <v>2.1193496703511349E-4</v>
      </c>
      <c r="Y319" s="101">
        <v>40984</v>
      </c>
      <c r="Z319" s="110">
        <v>11938.45</v>
      </c>
      <c r="AA319" s="110">
        <v>438.52</v>
      </c>
      <c r="AB319" s="102">
        <f t="shared" si="35"/>
        <v>1.0398605070943329E-2</v>
      </c>
      <c r="AC319" s="102">
        <f t="shared" si="35"/>
        <v>1.4725235345221299E-2</v>
      </c>
      <c r="BC319" s="101">
        <v>41061</v>
      </c>
      <c r="BD319" s="110">
        <v>91246.835900000005</v>
      </c>
      <c r="BE319" s="110">
        <v>428.8</v>
      </c>
      <c r="BF319" s="272">
        <f t="shared" si="36"/>
        <v>-3.6130451224233535E-2</v>
      </c>
      <c r="BG319" s="272">
        <f t="shared" si="36"/>
        <v>-1.9811772703584734E-2</v>
      </c>
    </row>
    <row r="320" spans="2:59" x14ac:dyDescent="0.3">
      <c r="B320" s="101">
        <v>40809</v>
      </c>
      <c r="C320" s="54">
        <v>440.3</v>
      </c>
      <c r="D320" s="102">
        <f t="shared" si="38"/>
        <v>-3.677451816849342E-2</v>
      </c>
      <c r="E320" s="102"/>
      <c r="F320" s="54">
        <v>1136.43</v>
      </c>
      <c r="G320" s="102">
        <f t="shared" si="38"/>
        <v>-6.5443540760355523E-2</v>
      </c>
      <c r="O320" s="101">
        <v>42599</v>
      </c>
      <c r="P320" s="110">
        <v>38666.660000000003</v>
      </c>
      <c r="Q320" s="110">
        <v>660.51</v>
      </c>
      <c r="R320" s="102">
        <f t="shared" si="34"/>
        <v>4.7730980893860887E-3</v>
      </c>
      <c r="S320" s="102">
        <f t="shared" si="34"/>
        <v>3.6401732874849768E-3</v>
      </c>
      <c r="Y320" s="101">
        <v>40977</v>
      </c>
      <c r="Z320" s="110">
        <v>11814.95</v>
      </c>
      <c r="AA320" s="110">
        <v>432.11</v>
      </c>
      <c r="AB320" s="102">
        <f t="shared" si="35"/>
        <v>-4.4300100904644799E-2</v>
      </c>
      <c r="AC320" s="102">
        <f t="shared" si="35"/>
        <v>-1.7185037068348442E-2</v>
      </c>
      <c r="BC320" s="101">
        <v>41054</v>
      </c>
      <c r="BD320" s="110">
        <v>94603.906300000002</v>
      </c>
      <c r="BE320" s="110">
        <v>437.38</v>
      </c>
      <c r="BF320" s="272">
        <f t="shared" si="36"/>
        <v>0.37857300027281737</v>
      </c>
      <c r="BG320" s="272">
        <f t="shared" si="36"/>
        <v>5.5713005066273793E-3</v>
      </c>
    </row>
    <row r="321" spans="2:59" x14ac:dyDescent="0.3">
      <c r="B321" s="101">
        <v>40802</v>
      </c>
      <c r="C321" s="54">
        <v>457.11</v>
      </c>
      <c r="D321" s="102">
        <f t="shared" si="38"/>
        <v>-6.109758218820649E-3</v>
      </c>
      <c r="E321" s="102"/>
      <c r="F321" s="54">
        <v>1216.01</v>
      </c>
      <c r="G321" s="102">
        <f t="shared" si="38"/>
        <v>5.3524860729663892E-2</v>
      </c>
      <c r="O321" s="101">
        <v>42598</v>
      </c>
      <c r="P321" s="110">
        <v>38482.54</v>
      </c>
      <c r="Q321" s="110">
        <v>658.11</v>
      </c>
      <c r="R321" s="102">
        <f t="shared" si="34"/>
        <v>3.1594488610216402E-2</v>
      </c>
      <c r="S321" s="102">
        <f t="shared" si="34"/>
        <v>-2.0643915101839255E-3</v>
      </c>
      <c r="Y321" s="101">
        <v>40970</v>
      </c>
      <c r="Z321" s="110">
        <v>12350.12</v>
      </c>
      <c r="AA321" s="110">
        <v>439.6</v>
      </c>
      <c r="AB321" s="102">
        <f t="shared" si="35"/>
        <v>0.20252439630882682</v>
      </c>
      <c r="AC321" s="102">
        <f t="shared" si="35"/>
        <v>3.7477011355330082E-2</v>
      </c>
      <c r="BC321" s="101">
        <v>41047</v>
      </c>
      <c r="BD321" s="110">
        <v>64788.347699999998</v>
      </c>
      <c r="BE321" s="110">
        <v>434.95</v>
      </c>
      <c r="BF321" s="272">
        <f t="shared" si="36"/>
        <v>-9.6051464117591495E-2</v>
      </c>
      <c r="BG321" s="272">
        <f t="shared" si="36"/>
        <v>-9.876333358334502E-2</v>
      </c>
    </row>
    <row r="322" spans="2:59" x14ac:dyDescent="0.3">
      <c r="B322" s="101">
        <v>40795</v>
      </c>
      <c r="C322" s="54">
        <v>459.92</v>
      </c>
      <c r="D322" s="102">
        <f t="shared" si="38"/>
        <v>5.658296767672133E-2</v>
      </c>
      <c r="E322" s="102"/>
      <c r="F322" s="54">
        <v>1154.23</v>
      </c>
      <c r="G322" s="102">
        <f t="shared" si="38"/>
        <v>-1.6814739729294592E-2</v>
      </c>
      <c r="O322" s="101">
        <v>42597</v>
      </c>
      <c r="P322" s="110">
        <v>37285.71</v>
      </c>
      <c r="Q322" s="110">
        <v>659.47</v>
      </c>
      <c r="R322" s="102">
        <f t="shared" si="34"/>
        <v>7.4349664785959037E-3</v>
      </c>
      <c r="S322" s="102">
        <f t="shared" si="34"/>
        <v>5.7178640856839057E-3</v>
      </c>
      <c r="Y322" s="101">
        <v>40963</v>
      </c>
      <c r="Z322" s="110">
        <v>10085.93</v>
      </c>
      <c r="AA322" s="110">
        <v>423.43</v>
      </c>
      <c r="AB322" s="102">
        <f t="shared" si="35"/>
        <v>5.8840620202360236E-2</v>
      </c>
      <c r="AC322" s="102">
        <f t="shared" si="35"/>
        <v>4.8707509294813697E-2</v>
      </c>
      <c r="BC322" s="101">
        <v>41040</v>
      </c>
      <c r="BD322" s="110">
        <v>71320.031300000002</v>
      </c>
      <c r="BE322" s="110">
        <v>480.1</v>
      </c>
      <c r="BF322" s="272">
        <f t="shared" si="36"/>
        <v>4.3296976701600848E-2</v>
      </c>
      <c r="BG322" s="272">
        <f t="shared" si="36"/>
        <v>7.9045182694283678E-3</v>
      </c>
    </row>
    <row r="323" spans="2:59" x14ac:dyDescent="0.3">
      <c r="B323" s="101">
        <v>40788</v>
      </c>
      <c r="C323" s="54">
        <v>435.29</v>
      </c>
      <c r="D323" s="102">
        <f t="shared" si="38"/>
        <v>7.6358151381024086E-2</v>
      </c>
      <c r="E323" s="102"/>
      <c r="F323" s="54">
        <v>1173.97</v>
      </c>
      <c r="G323" s="102">
        <f t="shared" si="38"/>
        <v>-2.4048266485383607E-3</v>
      </c>
      <c r="O323" s="101">
        <v>42594</v>
      </c>
      <c r="P323" s="110">
        <v>37009.519999999997</v>
      </c>
      <c r="Q323" s="110">
        <v>655.71</v>
      </c>
      <c r="R323" s="102">
        <f t="shared" si="34"/>
        <v>1.7566203324661571E-2</v>
      </c>
      <c r="S323" s="102">
        <f t="shared" si="34"/>
        <v>-6.8847872542230435E-3</v>
      </c>
      <c r="Y323" s="101">
        <v>40956</v>
      </c>
      <c r="Z323" s="110">
        <v>9509.59</v>
      </c>
      <c r="AA323" s="110">
        <v>403.3</v>
      </c>
      <c r="AB323" s="102">
        <f t="shared" si="35"/>
        <v>1.74678829715628E-2</v>
      </c>
      <c r="AC323" s="102">
        <f t="shared" si="35"/>
        <v>-4.2557467239797827E-3</v>
      </c>
      <c r="BC323" s="101">
        <v>41033</v>
      </c>
      <c r="BD323" s="110">
        <v>68297.984400000001</v>
      </c>
      <c r="BE323" s="110">
        <v>476.32</v>
      </c>
      <c r="BF323" s="272">
        <f t="shared" si="36"/>
        <v>4.3054441857169071E-2</v>
      </c>
      <c r="BG323" s="272">
        <f t="shared" si="36"/>
        <v>5.3679254030764975E-3</v>
      </c>
    </row>
    <row r="324" spans="2:59" x14ac:dyDescent="0.3">
      <c r="B324" s="101">
        <v>40781</v>
      </c>
      <c r="C324" s="54">
        <v>404.41</v>
      </c>
      <c r="D324" s="102">
        <f t="shared" si="38"/>
        <v>9.1076953787803117E-3</v>
      </c>
      <c r="E324" s="102"/>
      <c r="F324" s="54">
        <v>1176.8</v>
      </c>
      <c r="G324" s="102">
        <f t="shared" si="38"/>
        <v>4.7413064181641706E-2</v>
      </c>
      <c r="O324" s="101">
        <v>42593</v>
      </c>
      <c r="P324" s="110">
        <v>36365.08</v>
      </c>
      <c r="Q324" s="110">
        <v>660.24</v>
      </c>
      <c r="R324" s="102">
        <f t="shared" si="34"/>
        <v>-5.050598213523219E-3</v>
      </c>
      <c r="S324" s="102">
        <f t="shared" si="34"/>
        <v>1.8203579301383482E-2</v>
      </c>
      <c r="Y324" s="101">
        <v>40949</v>
      </c>
      <c r="Z324" s="110">
        <v>9344.92</v>
      </c>
      <c r="AA324" s="110">
        <v>405.02</v>
      </c>
      <c r="AB324" s="102">
        <f t="shared" si="35"/>
        <v>-4.3959259322339734E-3</v>
      </c>
      <c r="AC324" s="102">
        <f t="shared" si="35"/>
        <v>8.1313353969001793E-3</v>
      </c>
      <c r="BC324" s="101">
        <v>41026</v>
      </c>
      <c r="BD324" s="110">
        <v>65419.855499999998</v>
      </c>
      <c r="BE324" s="110">
        <v>473.77</v>
      </c>
      <c r="BF324" s="272">
        <f t="shared" si="36"/>
        <v>4.8780874143149813E-2</v>
      </c>
      <c r="BG324" s="272">
        <f t="shared" si="36"/>
        <v>1.7137376695574413E-2</v>
      </c>
    </row>
    <row r="325" spans="2:59" x14ac:dyDescent="0.3">
      <c r="B325" s="101">
        <v>40774</v>
      </c>
      <c r="C325" s="54">
        <v>400.76</v>
      </c>
      <c r="D325" s="102">
        <f t="shared" si="38"/>
        <v>4.3863304855178198E-2</v>
      </c>
      <c r="E325" s="102"/>
      <c r="F325" s="54">
        <v>1123.53</v>
      </c>
      <c r="G325" s="102">
        <f t="shared" si="38"/>
        <v>-4.6894749790042489E-2</v>
      </c>
      <c r="O325" s="101">
        <v>42592</v>
      </c>
      <c r="P325" s="110">
        <v>36549.21</v>
      </c>
      <c r="Q325" s="110">
        <v>648.33000000000004</v>
      </c>
      <c r="R325" s="102">
        <f t="shared" si="34"/>
        <v>2.5511727640719493E-2</v>
      </c>
      <c r="S325" s="102">
        <f t="shared" si="34"/>
        <v>1.7096560843470235E-2</v>
      </c>
      <c r="Y325" s="101">
        <v>40942</v>
      </c>
      <c r="Z325" s="110">
        <v>9386.09</v>
      </c>
      <c r="AA325" s="110">
        <v>401.74</v>
      </c>
      <c r="AB325" s="102">
        <f t="shared" si="35"/>
        <v>-3.0239944127089725E-2</v>
      </c>
      <c r="AC325" s="102">
        <f t="shared" si="35"/>
        <v>7.4226693562586502E-2</v>
      </c>
      <c r="BC325" s="101">
        <v>41019</v>
      </c>
      <c r="BD325" s="110">
        <v>62305.203099999999</v>
      </c>
      <c r="BE325" s="110">
        <v>465.72</v>
      </c>
      <c r="BF325" s="272">
        <f t="shared" si="36"/>
        <v>4.2266711793919165E-2</v>
      </c>
      <c r="BG325" s="272">
        <f t="shared" si="36"/>
        <v>6.8947959080542E-3</v>
      </c>
    </row>
    <row r="326" spans="2:59" x14ac:dyDescent="0.3">
      <c r="B326" s="101">
        <v>40767</v>
      </c>
      <c r="C326" s="54">
        <v>383.92</v>
      </c>
      <c r="D326" s="102">
        <f t="shared" ref="D326:G341" si="39">C326/C327-1</f>
        <v>-4.2306924765515785E-2</v>
      </c>
      <c r="E326" s="102"/>
      <c r="F326" s="54">
        <v>1178.81</v>
      </c>
      <c r="G326" s="102">
        <f t="shared" si="39"/>
        <v>-1.7150527772682667E-2</v>
      </c>
      <c r="O326" s="101">
        <v>42591</v>
      </c>
      <c r="P326" s="110">
        <v>35628.57</v>
      </c>
      <c r="Q326" s="110">
        <v>637.34</v>
      </c>
      <c r="R326" s="102">
        <f t="shared" si="34"/>
        <v>7.7821272854787819E-3</v>
      </c>
      <c r="S326" s="102">
        <f t="shared" si="34"/>
        <v>1.2440956168125778E-2</v>
      </c>
      <c r="Y326" s="101">
        <v>40928</v>
      </c>
      <c r="Z326" s="110">
        <v>9674.26</v>
      </c>
      <c r="AA326" s="110">
        <v>373</v>
      </c>
      <c r="AB326" s="102">
        <f t="shared" si="35"/>
        <v>7.5090441871851682E-2</v>
      </c>
      <c r="AC326" s="102">
        <f t="shared" si="35"/>
        <v>5.1349737351950107E-2</v>
      </c>
      <c r="BC326" s="101">
        <v>41012</v>
      </c>
      <c r="BD326" s="110">
        <v>59726.644500000002</v>
      </c>
      <c r="BE326" s="110">
        <v>462.52</v>
      </c>
      <c r="BF326" s="272">
        <f t="shared" si="36"/>
        <v>2.9550150261028189E-2</v>
      </c>
      <c r="BG326" s="272">
        <f t="shared" si="36"/>
        <v>3.3147348747428529E-2</v>
      </c>
    </row>
    <row r="327" spans="2:59" x14ac:dyDescent="0.3">
      <c r="B327" s="101">
        <v>40760</v>
      </c>
      <c r="C327" s="54">
        <v>400.88</v>
      </c>
      <c r="D327" s="102">
        <f t="shared" si="39"/>
        <v>-1.1880700024648694E-2</v>
      </c>
      <c r="E327" s="102"/>
      <c r="F327" s="54">
        <v>1199.3800000000001</v>
      </c>
      <c r="G327" s="102">
        <f t="shared" si="39"/>
        <v>-7.1888445228588171E-2</v>
      </c>
      <c r="O327" s="101">
        <v>42590</v>
      </c>
      <c r="P327" s="110">
        <v>35352.379999999997</v>
      </c>
      <c r="Q327" s="110">
        <v>629.46</v>
      </c>
      <c r="R327" s="102">
        <f t="shared" si="34"/>
        <v>0</v>
      </c>
      <c r="S327" s="102">
        <f t="shared" si="34"/>
        <v>3.2939521369225355E-3</v>
      </c>
      <c r="Y327" s="101">
        <v>40921</v>
      </c>
      <c r="Z327" s="110">
        <v>8974.42</v>
      </c>
      <c r="AA327" s="110">
        <v>354.33</v>
      </c>
      <c r="AB327" s="102">
        <f t="shared" si="35"/>
        <v>-1.8182509815466021E-2</v>
      </c>
      <c r="AC327" s="102">
        <f t="shared" si="35"/>
        <v>5.0947260004913716E-2</v>
      </c>
      <c r="BC327" s="101">
        <v>41005</v>
      </c>
      <c r="BD327" s="110">
        <v>57987.535199999998</v>
      </c>
      <c r="BE327" s="110">
        <v>447.44</v>
      </c>
      <c r="BF327" s="272">
        <f t="shared" si="36"/>
        <v>2.773938687689282E-2</v>
      </c>
      <c r="BG327" s="272">
        <f t="shared" si="36"/>
        <v>1.4429550169347946E-2</v>
      </c>
    </row>
    <row r="328" spans="2:59" x14ac:dyDescent="0.3">
      <c r="B328" s="101">
        <v>40753</v>
      </c>
      <c r="C328" s="54">
        <v>405.7</v>
      </c>
      <c r="D328" s="102">
        <f t="shared" si="39"/>
        <v>-8.5532746823069328E-3</v>
      </c>
      <c r="E328" s="102"/>
      <c r="F328" s="54">
        <v>1292.28</v>
      </c>
      <c r="G328" s="102">
        <f t="shared" si="39"/>
        <v>-3.9211312842931667E-2</v>
      </c>
      <c r="O328" s="101">
        <v>42587</v>
      </c>
      <c r="P328" s="110">
        <v>35352.379999999997</v>
      </c>
      <c r="Q328" s="110">
        <v>627.39</v>
      </c>
      <c r="R328" s="102">
        <f t="shared" si="34"/>
        <v>-5.1949018835795264E-3</v>
      </c>
      <c r="S328" s="102">
        <f t="shared" si="34"/>
        <v>-7.2260960966954628E-3</v>
      </c>
      <c r="Y328" s="101">
        <v>40914</v>
      </c>
      <c r="Z328" s="110">
        <v>9139.09</v>
      </c>
      <c r="AA328" s="110">
        <v>336.73</v>
      </c>
      <c r="AB328" s="102">
        <f t="shared" si="35"/>
        <v>-1.3422889028030691E-2</v>
      </c>
      <c r="AC328" s="102">
        <f t="shared" si="35"/>
        <v>-4.3070526358218612E-2</v>
      </c>
      <c r="BC328" s="101">
        <v>40998</v>
      </c>
      <c r="BD328" s="110">
        <v>56401.101600000002</v>
      </c>
      <c r="BE328" s="110">
        <v>441.03</v>
      </c>
      <c r="BF328" s="272">
        <f t="shared" si="36"/>
        <v>-5.5514977613891743E-2</v>
      </c>
      <c r="BG328" s="272">
        <f t="shared" si="36"/>
        <v>-2.9204537759920941E-2</v>
      </c>
    </row>
    <row r="329" spans="2:59" x14ac:dyDescent="0.3">
      <c r="B329" s="101">
        <v>40746</v>
      </c>
      <c r="C329" s="54">
        <v>409.2</v>
      </c>
      <c r="D329" s="102">
        <f t="shared" si="39"/>
        <v>-1.3357766311424046E-2</v>
      </c>
      <c r="E329" s="102"/>
      <c r="F329" s="54">
        <v>1345.02</v>
      </c>
      <c r="G329" s="102">
        <f t="shared" si="39"/>
        <v>2.1942954396948489E-2</v>
      </c>
      <c r="O329" s="101">
        <v>42586</v>
      </c>
      <c r="P329" s="110">
        <v>35536.51</v>
      </c>
      <c r="Q329" s="110">
        <v>631.94000000000005</v>
      </c>
      <c r="R329" s="102">
        <f t="shared" si="34"/>
        <v>-2.5872254018992828E-3</v>
      </c>
      <c r="S329" s="102">
        <f t="shared" si="34"/>
        <v>5.223378694996151E-4</v>
      </c>
      <c r="Y329" s="101">
        <v>40907</v>
      </c>
      <c r="Z329" s="110">
        <v>9262.59</v>
      </c>
      <c r="AA329" s="110">
        <v>351.55</v>
      </c>
      <c r="AB329" s="102">
        <f t="shared" si="35"/>
        <v>0</v>
      </c>
      <c r="AC329" s="102">
        <f t="shared" si="35"/>
        <v>-1.3168495931985588E-2</v>
      </c>
      <c r="BC329" s="101">
        <v>40991</v>
      </c>
      <c r="BD329" s="110">
        <v>59620.75</v>
      </c>
      <c r="BE329" s="110">
        <v>454.1</v>
      </c>
      <c r="BF329" s="272">
        <f t="shared" si="36"/>
        <v>4.8051838659732685E-2</v>
      </c>
      <c r="BG329" s="272">
        <f t="shared" si="36"/>
        <v>3.4912017297566308E-2</v>
      </c>
    </row>
    <row r="330" spans="2:59" x14ac:dyDescent="0.3">
      <c r="B330" s="101">
        <v>40739</v>
      </c>
      <c r="C330" s="54">
        <v>414.74</v>
      </c>
      <c r="D330" s="102">
        <f t="shared" si="39"/>
        <v>-3.6205614426473298E-2</v>
      </c>
      <c r="E330" s="102"/>
      <c r="F330" s="54">
        <v>1316.14</v>
      </c>
      <c r="G330" s="102">
        <f t="shared" si="39"/>
        <v>-2.0583420151808252E-2</v>
      </c>
      <c r="O330" s="101">
        <v>42585</v>
      </c>
      <c r="P330" s="110">
        <v>35628.57</v>
      </c>
      <c r="Q330" s="110">
        <v>631.61</v>
      </c>
      <c r="R330" s="102">
        <f t="shared" si="34"/>
        <v>-7.7220331397428038E-3</v>
      </c>
      <c r="S330" s="102">
        <f t="shared" si="34"/>
        <v>-7.0050615404972138E-3</v>
      </c>
      <c r="Y330" s="101">
        <v>40900</v>
      </c>
      <c r="Z330" s="110">
        <v>9262.59</v>
      </c>
      <c r="AA330" s="110">
        <v>356.21</v>
      </c>
      <c r="AB330" s="102">
        <f t="shared" si="35"/>
        <v>4.5767398327194168E-2</v>
      </c>
      <c r="AC330" s="102">
        <f t="shared" si="35"/>
        <v>-2.7194852678196487E-2</v>
      </c>
      <c r="BC330" s="101">
        <v>40984</v>
      </c>
      <c r="BD330" s="110">
        <v>56823.605499999998</v>
      </c>
      <c r="BE330" s="110">
        <v>438.52</v>
      </c>
      <c r="BF330" s="272">
        <f t="shared" si="36"/>
        <v>1.6079258591950595E-2</v>
      </c>
      <c r="BG330" s="272">
        <f t="shared" si="36"/>
        <v>1.4725235345221299E-2</v>
      </c>
    </row>
    <row r="331" spans="2:59" x14ac:dyDescent="0.3">
      <c r="B331" s="101">
        <v>40732</v>
      </c>
      <c r="C331" s="54">
        <v>430.32</v>
      </c>
      <c r="D331" s="102">
        <f t="shared" si="39"/>
        <v>1.1827223776716966E-2</v>
      </c>
      <c r="E331" s="102"/>
      <c r="F331" s="54">
        <v>1343.8</v>
      </c>
      <c r="G331" s="102">
        <f t="shared" si="39"/>
        <v>3.0828487612619693E-3</v>
      </c>
      <c r="O331" s="101">
        <v>42584</v>
      </c>
      <c r="P331" s="110">
        <v>35904.76</v>
      </c>
      <c r="Q331" s="110">
        <v>636.04999999999995</v>
      </c>
      <c r="R331" s="102">
        <f t="shared" si="34"/>
        <v>-7.6628599891748837E-3</v>
      </c>
      <c r="S331" s="102">
        <f t="shared" si="34"/>
        <v>-1.9199767626269241E-2</v>
      </c>
      <c r="Y331" s="101">
        <v>40893</v>
      </c>
      <c r="Z331" s="110">
        <v>8848.2199999999993</v>
      </c>
      <c r="AA331" s="110">
        <v>366.03</v>
      </c>
      <c r="AB331" s="102">
        <f t="shared" si="35"/>
        <v>-8.3381563732217501E-2</v>
      </c>
      <c r="AC331" s="102">
        <f t="shared" si="35"/>
        <v>-2.9954203342124137E-2</v>
      </c>
      <c r="BC331" s="101">
        <v>40977</v>
      </c>
      <c r="BD331" s="110">
        <v>55917.230499999998</v>
      </c>
      <c r="BE331" s="110">
        <v>432.11</v>
      </c>
      <c r="BF331" s="272">
        <f t="shared" si="36"/>
        <v>-3.1509026725182868E-2</v>
      </c>
      <c r="BG331" s="272">
        <f t="shared" si="36"/>
        <v>-1.7185037068348442E-2</v>
      </c>
    </row>
    <row r="332" spans="2:59" x14ac:dyDescent="0.3">
      <c r="B332" s="101">
        <v>40725</v>
      </c>
      <c r="C332" s="54">
        <v>425.29</v>
      </c>
      <c r="D332" s="102">
        <f t="shared" si="39"/>
        <v>-1.8712505768343268E-2</v>
      </c>
      <c r="E332" s="102"/>
      <c r="F332" s="54">
        <v>1339.67</v>
      </c>
      <c r="G332" s="102">
        <f t="shared" si="39"/>
        <v>5.614726634869327E-2</v>
      </c>
      <c r="O332" s="101">
        <v>42583</v>
      </c>
      <c r="P332" s="110">
        <v>36180.949999999997</v>
      </c>
      <c r="Q332" s="110">
        <v>648.38</v>
      </c>
      <c r="R332" s="102">
        <f t="shared" si="34"/>
        <v>2.5476754838282662E-3</v>
      </c>
      <c r="S332" s="102">
        <f t="shared" si="34"/>
        <v>-5.9203162289203437E-3</v>
      </c>
      <c r="Y332" s="101">
        <v>40886</v>
      </c>
      <c r="Z332" s="110">
        <v>9617.6299999999992</v>
      </c>
      <c r="AA332" s="110">
        <v>377.16</v>
      </c>
      <c r="AB332" s="102">
        <f t="shared" si="35"/>
        <v>7.472361790333179E-2</v>
      </c>
      <c r="AC332" s="102">
        <f t="shared" si="35"/>
        <v>-1.7660503151950363E-2</v>
      </c>
      <c r="BC332" s="101">
        <v>40970</v>
      </c>
      <c r="BD332" s="110">
        <v>57707.179700000001</v>
      </c>
      <c r="BE332" s="110">
        <v>439.6</v>
      </c>
      <c r="BF332" s="272">
        <f t="shared" si="36"/>
        <v>7.450133306210302E-2</v>
      </c>
      <c r="BG332" s="272">
        <f t="shared" si="36"/>
        <v>3.7477011355330082E-2</v>
      </c>
    </row>
    <row r="333" spans="2:59" x14ac:dyDescent="0.3">
      <c r="B333" s="101">
        <v>40718</v>
      </c>
      <c r="C333" s="54">
        <v>433.4</v>
      </c>
      <c r="D333" s="102">
        <f t="shared" si="39"/>
        <v>-1.2598819857380539E-2</v>
      </c>
      <c r="E333" s="102"/>
      <c r="F333" s="54">
        <v>1268.45</v>
      </c>
      <c r="G333" s="102">
        <f t="shared" si="39"/>
        <v>-2.3987416437278863E-3</v>
      </c>
      <c r="O333" s="101">
        <v>42580</v>
      </c>
      <c r="P333" s="110">
        <v>36088.89</v>
      </c>
      <c r="Q333" s="110">
        <v>652.23</v>
      </c>
      <c r="R333" s="102">
        <f t="shared" si="34"/>
        <v>0</v>
      </c>
      <c r="S333" s="102">
        <f t="shared" si="34"/>
        <v>-7.4998251289248559E-3</v>
      </c>
      <c r="Y333" s="101">
        <v>40879</v>
      </c>
      <c r="Z333" s="110">
        <v>8925.16</v>
      </c>
      <c r="AA333" s="110">
        <v>383.88</v>
      </c>
      <c r="AB333" s="102">
        <f t="shared" si="35"/>
        <v>-0.11394481094443458</v>
      </c>
      <c r="AC333" s="102">
        <f t="shared" si="35"/>
        <v>1.3815937445233648E-3</v>
      </c>
      <c r="BC333" s="101">
        <v>40963</v>
      </c>
      <c r="BD333" s="110">
        <v>53564.164100000002</v>
      </c>
      <c r="BE333" s="110">
        <v>423.43</v>
      </c>
      <c r="BF333" s="272">
        <f t="shared" si="36"/>
        <v>2.937921724536038E-2</v>
      </c>
      <c r="BG333" s="272">
        <f t="shared" si="36"/>
        <v>4.8707509294813697E-2</v>
      </c>
    </row>
    <row r="334" spans="2:59" x14ac:dyDescent="0.3">
      <c r="B334" s="101">
        <v>40711</v>
      </c>
      <c r="C334" s="54">
        <v>438.93</v>
      </c>
      <c r="D334" s="102">
        <f t="shared" si="39"/>
        <v>-1.3640449438202196E-2</v>
      </c>
      <c r="E334" s="102"/>
      <c r="F334" s="54">
        <v>1271.5</v>
      </c>
      <c r="G334" s="102">
        <f t="shared" si="39"/>
        <v>4.0913310988366369E-4</v>
      </c>
      <c r="O334" s="101">
        <v>42579</v>
      </c>
      <c r="P334" s="110">
        <v>36088.89</v>
      </c>
      <c r="Q334" s="110">
        <v>657.14</v>
      </c>
      <c r="R334" s="102">
        <f t="shared" si="34"/>
        <v>2.554460518322386E-3</v>
      </c>
      <c r="S334" s="102">
        <f t="shared" si="34"/>
        <v>1.5686277726264339E-3</v>
      </c>
      <c r="Y334" s="101">
        <v>40872</v>
      </c>
      <c r="Z334" s="110">
        <v>10002.34</v>
      </c>
      <c r="AA334" s="110">
        <v>383.35</v>
      </c>
      <c r="AB334" s="102" t="e">
        <f t="shared" si="35"/>
        <v>#DIV/0!</v>
      </c>
      <c r="AC334" s="102" t="e">
        <f t="shared" si="35"/>
        <v>#DIV/0!</v>
      </c>
      <c r="BC334" s="101">
        <v>40956</v>
      </c>
      <c r="BD334" s="110">
        <v>52013.382799999999</v>
      </c>
      <c r="BE334" s="110">
        <v>403.3</v>
      </c>
      <c r="BF334" s="272">
        <f t="shared" si="36"/>
        <v>3.1300629934510833E-2</v>
      </c>
      <c r="BG334" s="272">
        <f t="shared" si="36"/>
        <v>-4.2557467239797827E-3</v>
      </c>
    </row>
    <row r="335" spans="2:59" x14ac:dyDescent="0.3">
      <c r="B335" s="101">
        <v>40704</v>
      </c>
      <c r="C335" s="54">
        <v>445</v>
      </c>
      <c r="D335" s="102">
        <f t="shared" si="39"/>
        <v>3.5858460566968731E-3</v>
      </c>
      <c r="E335" s="102"/>
      <c r="F335" s="54">
        <v>1270.98</v>
      </c>
      <c r="G335" s="102">
        <f t="shared" si="39"/>
        <v>-2.2443391582574468E-2</v>
      </c>
      <c r="O335" s="101">
        <v>42578</v>
      </c>
      <c r="P335" s="110">
        <v>35996.82</v>
      </c>
      <c r="Q335" s="110">
        <v>656.11</v>
      </c>
      <c r="R335" s="102">
        <f t="shared" si="34"/>
        <v>0</v>
      </c>
      <c r="S335" s="102">
        <f t="shared" si="34"/>
        <v>1.1527681882349419E-2</v>
      </c>
      <c r="Y335" s="101"/>
      <c r="BC335" s="101">
        <v>40949</v>
      </c>
      <c r="BD335" s="110">
        <v>50410.546900000001</v>
      </c>
      <c r="BE335" s="110">
        <v>405.02</v>
      </c>
      <c r="BF335" s="272">
        <f t="shared" si="36"/>
        <v>-1.3311217080639905E-2</v>
      </c>
      <c r="BG335" s="272">
        <f t="shared" si="36"/>
        <v>8.1313353969001793E-3</v>
      </c>
    </row>
    <row r="336" spans="2:59" x14ac:dyDescent="0.3">
      <c r="B336" s="101">
        <v>40697</v>
      </c>
      <c r="C336" s="54">
        <v>443.41</v>
      </c>
      <c r="D336" s="102">
        <f t="shared" si="39"/>
        <v>7.9329146584879107E-2</v>
      </c>
      <c r="E336" s="102"/>
      <c r="F336" s="54">
        <v>1300.1600000000001</v>
      </c>
      <c r="G336" s="102">
        <f t="shared" si="39"/>
        <v>-2.324393358876109E-2</v>
      </c>
      <c r="O336" s="101">
        <v>42577</v>
      </c>
      <c r="P336" s="110">
        <v>35996.82</v>
      </c>
      <c r="Q336" s="110">
        <v>648.59</v>
      </c>
      <c r="R336" s="102">
        <f t="shared" si="34"/>
        <v>0</v>
      </c>
      <c r="S336" s="102">
        <f t="shared" si="34"/>
        <v>-1.0940835830825586E-3</v>
      </c>
      <c r="BC336" s="101">
        <v>40942</v>
      </c>
      <c r="BD336" s="110">
        <v>51086.058599999997</v>
      </c>
      <c r="BE336" s="110">
        <v>401.74</v>
      </c>
      <c r="BF336" s="272">
        <f t="shared" si="36"/>
        <v>5.1108948999811984E-2</v>
      </c>
      <c r="BG336" s="272">
        <f t="shared" si="36"/>
        <v>7.4226693562586502E-2</v>
      </c>
    </row>
    <row r="337" spans="2:59" x14ac:dyDescent="0.3">
      <c r="B337" s="101">
        <v>40690</v>
      </c>
      <c r="C337" s="54">
        <v>410.82</v>
      </c>
      <c r="D337" s="102">
        <f t="shared" si="39"/>
        <v>-5.0939081017395527E-2</v>
      </c>
      <c r="E337" s="102"/>
      <c r="F337" s="54">
        <v>1331.1</v>
      </c>
      <c r="G337" s="102">
        <f t="shared" si="39"/>
        <v>-1.6275773099222457E-3</v>
      </c>
      <c r="O337" s="101">
        <v>42576</v>
      </c>
      <c r="P337" s="110">
        <v>35996.82</v>
      </c>
      <c r="Q337" s="110">
        <v>649.29999999999995</v>
      </c>
      <c r="R337" s="102">
        <f t="shared" si="34"/>
        <v>2.5607239870240966E-3</v>
      </c>
      <c r="S337" s="102">
        <f t="shared" si="34"/>
        <v>-8.7748337257468874E-4</v>
      </c>
      <c r="BC337" s="101">
        <v>40935</v>
      </c>
      <c r="BD337" s="110">
        <v>48540.703099999999</v>
      </c>
      <c r="BE337" s="110">
        <f>BE338</f>
        <v>373</v>
      </c>
      <c r="BF337" s="272">
        <f t="shared" si="36"/>
        <v>0</v>
      </c>
      <c r="BG337" s="272">
        <f t="shared" si="36"/>
        <v>0</v>
      </c>
    </row>
    <row r="338" spans="2:59" x14ac:dyDescent="0.3">
      <c r="B338" s="101">
        <v>40683</v>
      </c>
      <c r="C338" s="54">
        <v>432.87</v>
      </c>
      <c r="D338" s="102">
        <f t="shared" si="39"/>
        <v>-9.7567077365688926E-2</v>
      </c>
      <c r="E338" s="102"/>
      <c r="F338" s="54">
        <v>1333.27</v>
      </c>
      <c r="G338" s="102">
        <f t="shared" si="39"/>
        <v>-3.3638069324323228E-3</v>
      </c>
      <c r="O338" s="101">
        <v>42573</v>
      </c>
      <c r="P338" s="110">
        <v>35904.76</v>
      </c>
      <c r="Q338" s="110">
        <v>649.87</v>
      </c>
      <c r="R338" s="102">
        <f t="shared" si="34"/>
        <v>0</v>
      </c>
      <c r="S338" s="102">
        <f t="shared" si="34"/>
        <v>-1.4815764653715761E-2</v>
      </c>
      <c r="BC338" s="101">
        <v>40928</v>
      </c>
      <c r="BD338" s="110">
        <v>48540.703099999999</v>
      </c>
      <c r="BE338" s="110">
        <v>373</v>
      </c>
      <c r="BF338" s="272">
        <f t="shared" si="36"/>
        <v>5.8125076588029935E-2</v>
      </c>
      <c r="BG338" s="272">
        <f t="shared" si="36"/>
        <v>5.1349737351950107E-2</v>
      </c>
    </row>
    <row r="339" spans="2:59" x14ac:dyDescent="0.3">
      <c r="B339" s="101">
        <v>40676</v>
      </c>
      <c r="C339" s="54">
        <v>479.67</v>
      </c>
      <c r="D339" s="102">
        <f t="shared" si="39"/>
        <v>1.4723614901313686E-2</v>
      </c>
      <c r="E339" s="102"/>
      <c r="F339" s="54">
        <v>1337.77</v>
      </c>
      <c r="G339" s="102">
        <f t="shared" si="39"/>
        <v>-1.8131622145949322E-3</v>
      </c>
      <c r="O339" s="101">
        <v>42572</v>
      </c>
      <c r="P339" s="110">
        <v>35904.76</v>
      </c>
      <c r="Q339" s="110">
        <v>659.57</v>
      </c>
      <c r="R339" s="102">
        <f t="shared" si="34"/>
        <v>-7.6628599891748837E-3</v>
      </c>
      <c r="S339" s="102">
        <f t="shared" si="34"/>
        <v>-1.0455892999283189E-3</v>
      </c>
      <c r="BC339" s="101">
        <v>40921</v>
      </c>
      <c r="BD339" s="110">
        <v>45799.703099999999</v>
      </c>
      <c r="BE339" s="110">
        <v>354.33</v>
      </c>
      <c r="BF339" s="272">
        <f t="shared" si="36"/>
        <v>-5.4252157132303868E-3</v>
      </c>
      <c r="BG339" s="272">
        <f t="shared" si="36"/>
        <v>5.0947260004913716E-2</v>
      </c>
    </row>
    <row r="340" spans="2:59" x14ac:dyDescent="0.3">
      <c r="B340" s="101">
        <v>40669</v>
      </c>
      <c r="C340" s="54">
        <v>472.71</v>
      </c>
      <c r="D340" s="102">
        <f t="shared" si="39"/>
        <v>-1.5351608065322431E-2</v>
      </c>
      <c r="E340" s="102"/>
      <c r="F340" s="54">
        <v>1340.2</v>
      </c>
      <c r="G340" s="102">
        <f t="shared" si="39"/>
        <v>-1.7167665241527907E-2</v>
      </c>
      <c r="O340" s="101">
        <v>42571</v>
      </c>
      <c r="P340" s="110">
        <v>36180.949999999997</v>
      </c>
      <c r="Q340" s="110">
        <v>660.26</v>
      </c>
      <c r="R340" s="102">
        <f t="shared" si="34"/>
        <v>5.1021360021506566E-3</v>
      </c>
      <c r="S340" s="102">
        <f t="shared" si="34"/>
        <v>-1.129513070182144E-2</v>
      </c>
      <c r="BC340" s="101">
        <v>40914</v>
      </c>
      <c r="BD340" s="110">
        <v>46048.851600000002</v>
      </c>
      <c r="BE340" s="110">
        <v>336.73</v>
      </c>
      <c r="BF340" s="272">
        <f t="shared" si="36"/>
        <v>-3.2105334500804751E-2</v>
      </c>
      <c r="BG340" s="272">
        <f t="shared" si="36"/>
        <v>-4.3070526358218612E-2</v>
      </c>
    </row>
    <row r="341" spans="2:59" x14ac:dyDescent="0.3">
      <c r="B341" s="101">
        <v>40662</v>
      </c>
      <c r="C341" s="54">
        <v>480.08</v>
      </c>
      <c r="D341" s="102">
        <f t="shared" si="39"/>
        <v>5.1769087523277468E-2</v>
      </c>
      <c r="E341" s="102"/>
      <c r="F341" s="54">
        <v>1363.61</v>
      </c>
      <c r="G341" s="102">
        <f t="shared" si="39"/>
        <v>1.9612974622021939E-2</v>
      </c>
      <c r="O341" s="101">
        <v>42570</v>
      </c>
      <c r="P341" s="110">
        <v>35996.82</v>
      </c>
      <c r="Q341" s="110">
        <v>667.76</v>
      </c>
      <c r="R341" s="102">
        <f t="shared" si="34"/>
        <v>-7.643613013209683E-3</v>
      </c>
      <c r="S341" s="102">
        <f t="shared" si="34"/>
        <v>-8.5591683079375026E-3</v>
      </c>
      <c r="BC341" s="101">
        <v>40907</v>
      </c>
      <c r="BD341" s="110">
        <v>47551.253900000003</v>
      </c>
      <c r="BE341" s="110">
        <v>351.55</v>
      </c>
      <c r="BF341" s="272">
        <f t="shared" si="36"/>
        <v>-6.5414595186676387E-3</v>
      </c>
      <c r="BG341" s="272">
        <f t="shared" si="36"/>
        <v>-1.3168495931985588E-2</v>
      </c>
    </row>
    <row r="342" spans="2:59" x14ac:dyDescent="0.3">
      <c r="B342" s="101">
        <v>40655</v>
      </c>
      <c r="C342" s="54">
        <v>456.45</v>
      </c>
      <c r="D342" s="102">
        <f t="shared" ref="D342:G357" si="40">C342/C343-1</f>
        <v>-9.7839291912530379E-3</v>
      </c>
      <c r="E342" s="102"/>
      <c r="F342" s="54">
        <v>1337.38</v>
      </c>
      <c r="G342" s="102">
        <f t="shared" si="40"/>
        <v>1.341234238603306E-2</v>
      </c>
      <c r="O342" s="101">
        <v>42569</v>
      </c>
      <c r="P342" s="110">
        <v>36273.019999999997</v>
      </c>
      <c r="Q342" s="110">
        <v>673.5</v>
      </c>
      <c r="R342" s="102">
        <f t="shared" si="34"/>
        <v>1.2771635132769745E-2</v>
      </c>
      <c r="S342" s="102">
        <f t="shared" si="34"/>
        <v>1.3362828319602763E-2</v>
      </c>
      <c r="BC342" s="101">
        <v>40900</v>
      </c>
      <c r="BD342" s="110">
        <v>47863.328099999999</v>
      </c>
      <c r="BE342" s="110">
        <v>356.21</v>
      </c>
      <c r="BF342" s="272">
        <f t="shared" si="36"/>
        <v>-5.8303806687978667E-2</v>
      </c>
      <c r="BG342" s="272">
        <f t="shared" si="36"/>
        <v>-2.7194852678196487E-2</v>
      </c>
    </row>
    <row r="343" spans="2:59" x14ac:dyDescent="0.3">
      <c r="B343" s="101">
        <v>40648</v>
      </c>
      <c r="C343" s="54">
        <v>460.96</v>
      </c>
      <c r="D343" s="102">
        <f t="shared" si="40"/>
        <v>-7.1722414870017959E-3</v>
      </c>
      <c r="E343" s="102"/>
      <c r="F343" s="54">
        <v>1319.68</v>
      </c>
      <c r="G343" s="102">
        <f t="shared" si="40"/>
        <v>-6.3922540036290831E-3</v>
      </c>
      <c r="O343" s="101">
        <v>42566</v>
      </c>
      <c r="P343" s="110">
        <v>35812.699999999997</v>
      </c>
      <c r="Q343" s="110">
        <v>664.56</v>
      </c>
      <c r="R343" s="102">
        <f t="shared" si="34"/>
        <v>0</v>
      </c>
      <c r="S343" s="102">
        <f t="shared" si="34"/>
        <v>-3.2000027306710141E-3</v>
      </c>
      <c r="BC343" s="101">
        <v>40893</v>
      </c>
      <c r="BD343" s="110">
        <v>50736.898399999998</v>
      </c>
      <c r="BE343" s="110">
        <v>366.03</v>
      </c>
      <c r="BF343" s="272">
        <f t="shared" si="36"/>
        <v>-5.2237686612120693E-2</v>
      </c>
      <c r="BG343" s="272">
        <f t="shared" si="36"/>
        <v>-2.9954203342124137E-2</v>
      </c>
    </row>
    <row r="344" spans="2:59" x14ac:dyDescent="0.3">
      <c r="B344" s="101">
        <v>40641</v>
      </c>
      <c r="C344" s="54">
        <v>464.29</v>
      </c>
      <c r="D344" s="102">
        <f t="shared" si="40"/>
        <v>1.115055426094913E-2</v>
      </c>
      <c r="E344" s="102"/>
      <c r="F344" s="54">
        <v>1328.17</v>
      </c>
      <c r="G344" s="102">
        <f t="shared" si="40"/>
        <v>-3.182203676045714E-3</v>
      </c>
      <c r="O344" s="101">
        <v>42565</v>
      </c>
      <c r="P344" s="110">
        <v>35812.699999999997</v>
      </c>
      <c r="Q344" s="110">
        <v>666.69</v>
      </c>
      <c r="R344" s="102">
        <f t="shared" si="34"/>
        <v>-1.5306394419989289E-2</v>
      </c>
      <c r="S344" s="102">
        <f t="shared" si="34"/>
        <v>-1.2565282588224086E-2</v>
      </c>
      <c r="BC344" s="101">
        <v>40886</v>
      </c>
      <c r="BD344" s="110">
        <v>53457.722699999998</v>
      </c>
      <c r="BE344" s="110">
        <v>377.16</v>
      </c>
      <c r="BF344" s="272">
        <f t="shared" si="36"/>
        <v>1.289718911680653E-2</v>
      </c>
      <c r="BG344" s="272">
        <f t="shared" si="36"/>
        <v>-1.7660503151950363E-2</v>
      </c>
    </row>
    <row r="345" spans="2:59" x14ac:dyDescent="0.3">
      <c r="B345" s="101">
        <v>40634</v>
      </c>
      <c r="C345" s="54">
        <v>459.17</v>
      </c>
      <c r="D345" s="102">
        <f t="shared" si="40"/>
        <v>3.1240442172413285E-3</v>
      </c>
      <c r="E345" s="102"/>
      <c r="F345" s="54">
        <v>1332.41</v>
      </c>
      <c r="G345" s="102">
        <f t="shared" si="40"/>
        <v>1.4165017506469813E-2</v>
      </c>
      <c r="O345" s="101">
        <v>42564</v>
      </c>
      <c r="P345" s="110">
        <v>36365.08</v>
      </c>
      <c r="Q345" s="110">
        <v>675.12</v>
      </c>
      <c r="R345" s="102">
        <f t="shared" si="34"/>
        <v>1.2739096287453466E-2</v>
      </c>
      <c r="S345" s="102">
        <f t="shared" si="34"/>
        <v>2.4318674929936866E-2</v>
      </c>
      <c r="BC345" s="101">
        <v>40879</v>
      </c>
      <c r="BD345" s="110">
        <v>52772.695299999999</v>
      </c>
      <c r="BE345" s="110">
        <v>383.88</v>
      </c>
      <c r="BF345" s="272">
        <f t="shared" si="36"/>
        <v>-1.3723508349680115E-2</v>
      </c>
      <c r="BG345" s="272">
        <f t="shared" si="36"/>
        <v>1.3815937445233648E-3</v>
      </c>
    </row>
    <row r="346" spans="2:59" x14ac:dyDescent="0.3">
      <c r="B346" s="101">
        <v>40627</v>
      </c>
      <c r="C346" s="54">
        <v>457.74</v>
      </c>
      <c r="D346" s="102">
        <f t="shared" si="40"/>
        <v>-7.2438622364882077E-3</v>
      </c>
      <c r="E346" s="102"/>
      <c r="F346" s="54">
        <v>1313.8</v>
      </c>
      <c r="G346" s="102">
        <f t="shared" si="40"/>
        <v>2.7048155096935478E-2</v>
      </c>
      <c r="O346" s="101">
        <v>42563</v>
      </c>
      <c r="P346" s="110">
        <v>35904.76</v>
      </c>
      <c r="Q346" s="110">
        <v>658.9</v>
      </c>
      <c r="R346" s="102">
        <f t="shared" si="34"/>
        <v>-1.2739096287453554E-2</v>
      </c>
      <c r="S346" s="102">
        <f t="shared" si="34"/>
        <v>1.0128522475810177E-2</v>
      </c>
      <c r="BC346" s="101">
        <v>40872</v>
      </c>
      <c r="BD346" s="110">
        <v>53501.914100000002</v>
      </c>
      <c r="BE346" s="110">
        <v>383.35</v>
      </c>
      <c r="BF346" s="272">
        <f t="shared" si="36"/>
        <v>0.190617110459147</v>
      </c>
      <c r="BG346" s="272">
        <f t="shared" si="36"/>
        <v>9.777657618055529E-3</v>
      </c>
    </row>
    <row r="347" spans="2:59" x14ac:dyDescent="0.3">
      <c r="B347" s="101">
        <v>40620</v>
      </c>
      <c r="C347" s="54">
        <v>461.08</v>
      </c>
      <c r="D347" s="102">
        <f t="shared" si="40"/>
        <v>-6.8638144871328799E-2</v>
      </c>
      <c r="E347" s="102"/>
      <c r="F347" s="54">
        <v>1279.2</v>
      </c>
      <c r="G347" s="102">
        <f t="shared" si="40"/>
        <v>-1.9228999907995203E-2</v>
      </c>
      <c r="O347" s="101">
        <v>42562</v>
      </c>
      <c r="P347" s="110">
        <v>36365.08</v>
      </c>
      <c r="Q347" s="110">
        <v>652.26</v>
      </c>
      <c r="R347" s="102">
        <f t="shared" si="34"/>
        <v>-2.7467436694016554E-2</v>
      </c>
      <c r="S347" s="102">
        <f t="shared" si="34"/>
        <v>-9.7945769058340373E-3</v>
      </c>
      <c r="BC347" s="101">
        <v>40865</v>
      </c>
      <c r="BD347" s="110">
        <v>44216.601600000002</v>
      </c>
      <c r="BE347" s="110">
        <v>379.62</v>
      </c>
      <c r="BF347" s="272">
        <f t="shared" si="36"/>
        <v>-2.3670990276313936E-2</v>
      </c>
      <c r="BG347" s="272">
        <f t="shared" si="36"/>
        <v>-4.3000747809541391E-2</v>
      </c>
    </row>
    <row r="348" spans="2:59" x14ac:dyDescent="0.3">
      <c r="B348" s="101">
        <v>40613</v>
      </c>
      <c r="C348" s="54">
        <v>495.06</v>
      </c>
      <c r="D348" s="102">
        <f t="shared" si="40"/>
        <v>7.8021906234348792E-2</v>
      </c>
      <c r="E348" s="102"/>
      <c r="F348" s="54">
        <v>1304.28</v>
      </c>
      <c r="G348" s="102">
        <f t="shared" si="40"/>
        <v>-1.2769178367331602E-2</v>
      </c>
      <c r="O348" s="101">
        <v>42559</v>
      </c>
      <c r="P348" s="110">
        <v>37377.78</v>
      </c>
      <c r="Q348" s="110">
        <v>658.68</v>
      </c>
      <c r="R348" s="102">
        <f t="shared" si="34"/>
        <v>-1.7094315460914562E-2</v>
      </c>
      <c r="S348" s="102">
        <f t="shared" si="34"/>
        <v>-3.6975341414209905E-3</v>
      </c>
      <c r="BC348" s="101">
        <v>40858</v>
      </c>
      <c r="BD348" s="110">
        <v>45275.738299999997</v>
      </c>
      <c r="BE348" s="110">
        <v>396.3</v>
      </c>
      <c r="BF348" s="272">
        <f t="shared" si="36"/>
        <v>-4.0145890475015544E-2</v>
      </c>
      <c r="BG348" s="272">
        <f t="shared" si="36"/>
        <v>-3.5374937910093752E-2</v>
      </c>
    </row>
    <row r="349" spans="2:59" x14ac:dyDescent="0.3">
      <c r="B349" s="101">
        <v>40606</v>
      </c>
      <c r="C349" s="54">
        <v>459.23</v>
      </c>
      <c r="D349" s="102">
        <f t="shared" si="40"/>
        <v>-1.6553880418022859E-2</v>
      </c>
      <c r="E349" s="102"/>
      <c r="F349" s="54">
        <v>1321.15</v>
      </c>
      <c r="G349" s="102">
        <f t="shared" si="40"/>
        <v>9.6220868563801076E-4</v>
      </c>
      <c r="O349" s="101">
        <v>42558</v>
      </c>
      <c r="P349" s="110">
        <v>38022.22</v>
      </c>
      <c r="Q349" s="110">
        <v>661.12</v>
      </c>
      <c r="R349" s="102">
        <f t="shared" si="34"/>
        <v>1.2180486886371548E-2</v>
      </c>
      <c r="S349" s="102">
        <f t="shared" si="34"/>
        <v>1.7794118112307963E-2</v>
      </c>
      <c r="BC349" s="101">
        <v>40851</v>
      </c>
      <c r="BD349" s="110">
        <v>47130.351600000002</v>
      </c>
      <c r="BE349" s="110">
        <v>410.57</v>
      </c>
      <c r="BF349" s="272">
        <f t="shared" si="36"/>
        <v>-3.1114635303056751E-2</v>
      </c>
      <c r="BG349" s="272">
        <f t="shared" si="36"/>
        <v>-2.762473895074842E-2</v>
      </c>
    </row>
    <row r="350" spans="2:59" x14ac:dyDescent="0.3">
      <c r="B350" s="101">
        <v>40599</v>
      </c>
      <c r="C350" s="54">
        <v>466.96</v>
      </c>
      <c r="D350" s="102">
        <f t="shared" si="40"/>
        <v>-7.334497539291962E-2</v>
      </c>
      <c r="E350" s="102"/>
      <c r="F350" s="54">
        <v>1319.88</v>
      </c>
      <c r="G350" s="102">
        <f t="shared" si="40"/>
        <v>-1.722250765072475E-2</v>
      </c>
      <c r="O350" s="101">
        <v>42557</v>
      </c>
      <c r="P350" s="110">
        <v>37561.9</v>
      </c>
      <c r="Q350" s="110">
        <v>649.46</v>
      </c>
      <c r="R350" s="102">
        <f t="shared" ref="R350:S413" si="41">LN(P350/P351)</f>
        <v>2.4538960764005388E-3</v>
      </c>
      <c r="S350" s="102">
        <f t="shared" si="41"/>
        <v>-2.1840450412295093E-3</v>
      </c>
      <c r="BC350" s="101">
        <v>40844</v>
      </c>
      <c r="BD350" s="110">
        <v>48619.847699999998</v>
      </c>
      <c r="BE350" s="110">
        <v>422.07</v>
      </c>
      <c r="BF350" s="272">
        <f t="shared" si="36"/>
        <v>3.2377391851987257E-2</v>
      </c>
      <c r="BG350" s="272">
        <f t="shared" si="36"/>
        <v>2.6504972524104713E-2</v>
      </c>
    </row>
    <row r="351" spans="2:59" x14ac:dyDescent="0.3">
      <c r="B351" s="101">
        <v>40592</v>
      </c>
      <c r="C351" s="54">
        <v>503.92</v>
      </c>
      <c r="D351" s="102">
        <f t="shared" si="40"/>
        <v>-3.0885803300126913E-2</v>
      </c>
      <c r="E351" s="102"/>
      <c r="F351" s="54">
        <v>1343.01</v>
      </c>
      <c r="G351" s="102">
        <f t="shared" si="40"/>
        <v>1.0427716961968203E-2</v>
      </c>
      <c r="O351" s="101">
        <v>42556</v>
      </c>
      <c r="P351" s="110">
        <v>37469.839999999997</v>
      </c>
      <c r="Q351" s="110">
        <v>650.88</v>
      </c>
      <c r="R351" s="102">
        <f t="shared" si="41"/>
        <v>-1.2210231275027043E-2</v>
      </c>
      <c r="S351" s="102">
        <f t="shared" si="41"/>
        <v>4.4963273682031048E-3</v>
      </c>
      <c r="BC351" s="101">
        <v>40837</v>
      </c>
      <c r="BD351" s="110">
        <v>47070.875</v>
      </c>
      <c r="BE351" s="110">
        <v>411.03</v>
      </c>
      <c r="BF351" s="272">
        <f t="shared" si="36"/>
        <v>2.7858348950483185E-3</v>
      </c>
      <c r="BG351" s="272">
        <f t="shared" si="36"/>
        <v>-8.3826442988471136E-3</v>
      </c>
    </row>
    <row r="352" spans="2:59" x14ac:dyDescent="0.3">
      <c r="B352" s="101">
        <v>40585</v>
      </c>
      <c r="C352" s="54">
        <v>519.98</v>
      </c>
      <c r="D352" s="102">
        <f t="shared" si="40"/>
        <v>-1.3827539850201909E-3</v>
      </c>
      <c r="E352" s="102"/>
      <c r="F352" s="54">
        <v>1329.15</v>
      </c>
      <c r="G352" s="102">
        <f t="shared" si="40"/>
        <v>1.3944937331695995E-2</v>
      </c>
      <c r="O352" s="101">
        <v>42555</v>
      </c>
      <c r="P352" s="110">
        <v>37930.160000000003</v>
      </c>
      <c r="Q352" s="110">
        <v>647.96</v>
      </c>
      <c r="R352" s="102">
        <f t="shared" si="41"/>
        <v>0</v>
      </c>
      <c r="S352" s="102">
        <f t="shared" si="41"/>
        <v>1.1892149527180906E-2</v>
      </c>
      <c r="BC352" s="101">
        <v>40830</v>
      </c>
      <c r="BD352" s="110">
        <v>46939.925799999997</v>
      </c>
      <c r="BE352" s="110">
        <v>414.49</v>
      </c>
      <c r="BF352" s="272">
        <f t="shared" ref="BF352:BG415" si="42">LN(BD352/BD353)</f>
        <v>-8.2811810855215971E-3</v>
      </c>
      <c r="BG352" s="272">
        <f t="shared" si="42"/>
        <v>-8.3368853339360251E-3</v>
      </c>
    </row>
    <row r="353" spans="2:59" x14ac:dyDescent="0.3">
      <c r="B353" s="101">
        <v>40578</v>
      </c>
      <c r="C353" s="54">
        <v>520.70000000000005</v>
      </c>
      <c r="D353" s="102">
        <f t="shared" si="40"/>
        <v>1.978065021543296E-2</v>
      </c>
      <c r="E353" s="102"/>
      <c r="F353" s="54">
        <v>1310.87</v>
      </c>
      <c r="G353" s="102">
        <f t="shared" si="40"/>
        <v>2.7053919801933723E-2</v>
      </c>
      <c r="O353" s="101">
        <v>42552</v>
      </c>
      <c r="P353" s="110">
        <v>37930.160000000003</v>
      </c>
      <c r="Q353" s="110">
        <v>640.29999999999995</v>
      </c>
      <c r="R353" s="102">
        <f t="shared" si="41"/>
        <v>4.8662693869391651E-3</v>
      </c>
      <c r="S353" s="102">
        <f t="shared" si="41"/>
        <v>1.2636114571489882E-2</v>
      </c>
      <c r="BC353" s="101">
        <v>40823</v>
      </c>
      <c r="BD353" s="110">
        <v>47330.257799999999</v>
      </c>
      <c r="BE353" s="110">
        <v>417.96</v>
      </c>
      <c r="BF353" s="272">
        <f t="shared" si="42"/>
        <v>5.7319684679989396E-3</v>
      </c>
      <c r="BG353" s="272">
        <f t="shared" si="42"/>
        <v>-2.2802444984980182E-2</v>
      </c>
    </row>
    <row r="354" spans="2:59" x14ac:dyDescent="0.3">
      <c r="B354" s="101">
        <v>40571</v>
      </c>
      <c r="C354" s="54">
        <v>510.6</v>
      </c>
      <c r="D354" s="102">
        <f t="shared" si="40"/>
        <v>-1.7131857555341634E-2</v>
      </c>
      <c r="E354" s="102"/>
      <c r="F354" s="54">
        <v>1276.3399999999999</v>
      </c>
      <c r="G354" s="102">
        <f t="shared" si="40"/>
        <v>-5.4622667238087841E-3</v>
      </c>
      <c r="O354" s="101">
        <v>42551</v>
      </c>
      <c r="P354" s="110">
        <v>37746.03</v>
      </c>
      <c r="Q354" s="110">
        <v>632.26</v>
      </c>
      <c r="R354" s="102">
        <f t="shared" si="41"/>
        <v>-1.4528076362707946E-2</v>
      </c>
      <c r="S354" s="102">
        <f t="shared" si="41"/>
        <v>3.3904245154984442E-3</v>
      </c>
      <c r="BC354" s="101">
        <v>40816</v>
      </c>
      <c r="BD354" s="110">
        <v>47059.738299999997</v>
      </c>
      <c r="BE354" s="110">
        <v>427.6</v>
      </c>
      <c r="BF354" s="272">
        <f t="shared" si="42"/>
        <v>-7.343032231385542E-2</v>
      </c>
      <c r="BG354" s="272">
        <f t="shared" si="42"/>
        <v>-2.9268133610817967E-2</v>
      </c>
    </row>
    <row r="355" spans="2:59" x14ac:dyDescent="0.3">
      <c r="B355" s="101">
        <v>40564</v>
      </c>
      <c r="C355" s="54">
        <v>519.5</v>
      </c>
      <c r="D355" s="102">
        <f t="shared" si="40"/>
        <v>6.1894444217325484E-2</v>
      </c>
      <c r="E355" s="102"/>
      <c r="F355" s="54">
        <v>1283.3499999999999</v>
      </c>
      <c r="G355" s="102">
        <f t="shared" si="40"/>
        <v>-7.6474590949863197E-3</v>
      </c>
      <c r="O355" s="101">
        <v>42550</v>
      </c>
      <c r="P355" s="110">
        <v>38298.410000000003</v>
      </c>
      <c r="Q355" s="110">
        <v>630.12</v>
      </c>
      <c r="R355" s="102">
        <f t="shared" si="41"/>
        <v>2.6798237639697464E-2</v>
      </c>
      <c r="S355" s="102">
        <f t="shared" si="41"/>
        <v>1.2648692974231584E-2</v>
      </c>
      <c r="BC355" s="101">
        <v>40809</v>
      </c>
      <c r="BD355" s="110">
        <v>50645.386700000003</v>
      </c>
      <c r="BE355" s="110">
        <v>440.3</v>
      </c>
      <c r="BF355" s="272">
        <f t="shared" si="42"/>
        <v>-1.8357192963548964E-2</v>
      </c>
      <c r="BG355" s="272">
        <f t="shared" si="42"/>
        <v>-3.7467749387664936E-2</v>
      </c>
    </row>
    <row r="356" spans="2:59" x14ac:dyDescent="0.3">
      <c r="B356" s="101">
        <v>40557</v>
      </c>
      <c r="C356" s="54">
        <v>489.22</v>
      </c>
      <c r="D356" s="102">
        <f t="shared" si="40"/>
        <v>1.5274146017515422E-2</v>
      </c>
      <c r="E356" s="102"/>
      <c r="F356" s="54">
        <v>1293.24</v>
      </c>
      <c r="G356" s="102">
        <f t="shared" si="40"/>
        <v>1.7097915847424261E-2</v>
      </c>
      <c r="O356" s="101">
        <v>42549</v>
      </c>
      <c r="P356" s="110">
        <v>37285.71</v>
      </c>
      <c r="Q356" s="110">
        <v>622.20000000000005</v>
      </c>
      <c r="R356" s="102">
        <f t="shared" si="41"/>
        <v>3.5179542103686803E-2</v>
      </c>
      <c r="S356" s="102">
        <f t="shared" si="41"/>
        <v>1.4958144119331966E-3</v>
      </c>
      <c r="BC356" s="101">
        <v>40802</v>
      </c>
      <c r="BD356" s="110">
        <v>51583.679700000001</v>
      </c>
      <c r="BE356" s="110">
        <v>457.11</v>
      </c>
      <c r="BF356" s="272">
        <f t="shared" si="42"/>
        <v>9.1790026830212926E-3</v>
      </c>
      <c r="BG356" s="272">
        <f t="shared" si="42"/>
        <v>-6.1284991656624351E-3</v>
      </c>
    </row>
    <row r="357" spans="2:59" x14ac:dyDescent="0.3">
      <c r="B357" s="101">
        <v>40550</v>
      </c>
      <c r="C357" s="54">
        <v>481.86</v>
      </c>
      <c r="D357" s="102">
        <f t="shared" si="40"/>
        <v>-5.7772459043453628E-3</v>
      </c>
      <c r="E357" s="102"/>
      <c r="F357" s="54">
        <v>1271.5</v>
      </c>
      <c r="G357" s="102">
        <f t="shared" si="40"/>
        <v>1.1020641837091505E-2</v>
      </c>
      <c r="O357" s="101">
        <v>42548</v>
      </c>
      <c r="P357" s="110">
        <v>35996.82</v>
      </c>
      <c r="Q357" s="110">
        <v>621.27</v>
      </c>
      <c r="R357" s="102">
        <f t="shared" si="41"/>
        <v>-3.7645808994445959E-2</v>
      </c>
      <c r="S357" s="102">
        <f t="shared" si="41"/>
        <v>8.0512709254064799E-4</v>
      </c>
      <c r="BC357" s="101">
        <v>40795</v>
      </c>
      <c r="BD357" s="110">
        <v>51112.359400000001</v>
      </c>
      <c r="BE357" s="110">
        <v>459.92</v>
      </c>
      <c r="BF357" s="272">
        <f t="shared" si="42"/>
        <v>8.3252765311089619E-2</v>
      </c>
      <c r="BG357" s="272">
        <f t="shared" si="42"/>
        <v>5.5040085683190916E-2</v>
      </c>
    </row>
    <row r="358" spans="2:59" x14ac:dyDescent="0.3">
      <c r="B358" s="101">
        <v>40543</v>
      </c>
      <c r="C358" s="54">
        <v>484.66</v>
      </c>
      <c r="D358" s="102">
        <f t="shared" ref="D358:G373" si="43">C358/C359-1</f>
        <v>2.5171334292241276E-2</v>
      </c>
      <c r="E358" s="102"/>
      <c r="F358" s="54">
        <v>1257.6400000000001</v>
      </c>
      <c r="G358" s="102">
        <f t="shared" si="43"/>
        <v>6.9225076983059353E-4</v>
      </c>
      <c r="O358" s="101">
        <v>42545</v>
      </c>
      <c r="P358" s="110">
        <v>37377.78</v>
      </c>
      <c r="Q358" s="110">
        <v>620.77</v>
      </c>
      <c r="R358" s="102">
        <f t="shared" si="41"/>
        <v>-5.5103748100887293E-2</v>
      </c>
      <c r="S358" s="102">
        <f t="shared" si="41"/>
        <v>-1.8355875147241053E-2</v>
      </c>
      <c r="BC358" s="101">
        <v>40788</v>
      </c>
      <c r="BD358" s="110">
        <v>47029.429700000001</v>
      </c>
      <c r="BE358" s="110">
        <v>435.29</v>
      </c>
      <c r="BF358" s="272">
        <f t="shared" si="42"/>
        <v>7.1245974735062764E-2</v>
      </c>
      <c r="BG358" s="272">
        <f t="shared" si="42"/>
        <v>7.3583260799172864E-2</v>
      </c>
    </row>
    <row r="359" spans="2:59" x14ac:dyDescent="0.3">
      <c r="B359" s="101">
        <v>40536</v>
      </c>
      <c r="C359" s="54">
        <v>472.76</v>
      </c>
      <c r="D359" s="102">
        <f t="shared" si="43"/>
        <v>-2.5819613014898324E-2</v>
      </c>
      <c r="E359" s="102"/>
      <c r="F359" s="54">
        <v>1256.77</v>
      </c>
      <c r="G359" s="102">
        <f t="shared" si="43"/>
        <v>1.0338368531485287E-2</v>
      </c>
      <c r="O359" s="101">
        <v>42544</v>
      </c>
      <c r="P359" s="110">
        <v>39495.24</v>
      </c>
      <c r="Q359" s="110">
        <v>632.27</v>
      </c>
      <c r="R359" s="102">
        <f t="shared" si="41"/>
        <v>-2.328201435726214E-3</v>
      </c>
      <c r="S359" s="102">
        <f t="shared" si="41"/>
        <v>9.3114093170356509E-3</v>
      </c>
      <c r="BC359" s="101">
        <v>40781</v>
      </c>
      <c r="BD359" s="110">
        <v>43795.347699999998</v>
      </c>
      <c r="BE359" s="110">
        <v>404.41</v>
      </c>
      <c r="BF359" s="272">
        <f t="shared" si="42"/>
        <v>2.9489654387844701E-2</v>
      </c>
      <c r="BG359" s="272">
        <f t="shared" si="42"/>
        <v>9.0664704416093915E-3</v>
      </c>
    </row>
    <row r="360" spans="2:59" x14ac:dyDescent="0.3">
      <c r="B360" s="101">
        <v>40529</v>
      </c>
      <c r="C360" s="54">
        <v>485.29</v>
      </c>
      <c r="D360" s="102">
        <f t="shared" si="43"/>
        <v>2.5852957341563565E-2</v>
      </c>
      <c r="E360" s="102"/>
      <c r="F360" s="54">
        <v>1243.9100000000001</v>
      </c>
      <c r="G360" s="102">
        <f t="shared" si="43"/>
        <v>2.8297323444050893E-3</v>
      </c>
      <c r="O360" s="101">
        <v>42543</v>
      </c>
      <c r="P360" s="110">
        <v>39587.300000000003</v>
      </c>
      <c r="Q360" s="110">
        <v>626.41</v>
      </c>
      <c r="R360" s="102">
        <f t="shared" si="41"/>
        <v>1.6412916177529546E-2</v>
      </c>
      <c r="S360" s="102">
        <f t="shared" si="41"/>
        <v>-2.5350576789303033E-3</v>
      </c>
      <c r="BC360" s="101">
        <v>40774</v>
      </c>
      <c r="BD360" s="110">
        <v>42522.695299999999</v>
      </c>
      <c r="BE360" s="110">
        <v>400.76</v>
      </c>
      <c r="BF360" s="272">
        <f t="shared" si="42"/>
        <v>5.7906746485492044E-2</v>
      </c>
      <c r="BG360" s="272">
        <f t="shared" si="42"/>
        <v>4.2928546841072189E-2</v>
      </c>
    </row>
    <row r="361" spans="2:59" x14ac:dyDescent="0.3">
      <c r="B361" s="101">
        <v>40522</v>
      </c>
      <c r="C361" s="54">
        <v>473.06</v>
      </c>
      <c r="D361" s="102">
        <f t="shared" si="43"/>
        <v>1.8757402821147906E-2</v>
      </c>
      <c r="E361" s="102"/>
      <c r="F361" s="54">
        <v>1240.4000000000001</v>
      </c>
      <c r="G361" s="102">
        <f t="shared" si="43"/>
        <v>1.2811196119897783E-2</v>
      </c>
      <c r="O361" s="101">
        <v>42542</v>
      </c>
      <c r="P361" s="110">
        <v>38942.86</v>
      </c>
      <c r="Q361" s="110">
        <v>628</v>
      </c>
      <c r="R361" s="102">
        <f t="shared" si="41"/>
        <v>3.3657050000588259E-2</v>
      </c>
      <c r="S361" s="102">
        <f t="shared" si="41"/>
        <v>2.4552409381246019E-3</v>
      </c>
      <c r="BC361" s="101">
        <v>40767</v>
      </c>
      <c r="BD361" s="110">
        <v>40130.281300000002</v>
      </c>
      <c r="BE361" s="110">
        <v>383.92</v>
      </c>
      <c r="BF361" s="272">
        <f t="shared" si="42"/>
        <v>-5.2471735643898634E-2</v>
      </c>
      <c r="BG361" s="272">
        <f t="shared" si="42"/>
        <v>-4.3227933101479044E-2</v>
      </c>
    </row>
    <row r="362" spans="2:59" x14ac:dyDescent="0.3">
      <c r="B362" s="101">
        <v>40515</v>
      </c>
      <c r="C362" s="54">
        <v>464.35</v>
      </c>
      <c r="D362" s="102">
        <f t="shared" si="43"/>
        <v>5.5484838841660222E-2</v>
      </c>
      <c r="E362" s="102"/>
      <c r="F362" s="54">
        <v>1224.71</v>
      </c>
      <c r="G362" s="102">
        <f t="shared" si="43"/>
        <v>2.9687237262485233E-2</v>
      </c>
      <c r="O362" s="101">
        <v>42541</v>
      </c>
      <c r="P362" s="110">
        <v>37653.97</v>
      </c>
      <c r="Q362" s="110">
        <v>626.46</v>
      </c>
      <c r="R362" s="102">
        <f t="shared" si="41"/>
        <v>2.4481547839527431E-3</v>
      </c>
      <c r="S362" s="102">
        <f t="shared" si="41"/>
        <v>1.1575857160605036E-2</v>
      </c>
      <c r="BC362" s="101">
        <v>40760</v>
      </c>
      <c r="BD362" s="110">
        <v>42292.210899999998</v>
      </c>
      <c r="BE362" s="110">
        <v>400.88</v>
      </c>
      <c r="BF362" s="272">
        <f t="shared" si="42"/>
        <v>1.2285383474197533E-3</v>
      </c>
      <c r="BG362" s="272">
        <f t="shared" si="42"/>
        <v>-1.1951839560932279E-2</v>
      </c>
    </row>
    <row r="363" spans="2:59" x14ac:dyDescent="0.3">
      <c r="B363" s="101">
        <v>40508</v>
      </c>
      <c r="C363" s="54">
        <v>439.94</v>
      </c>
      <c r="D363" s="102">
        <f t="shared" si="43"/>
        <v>3.1488124545731688E-2</v>
      </c>
      <c r="E363" s="102"/>
      <c r="F363" s="54">
        <v>1189.4000000000001</v>
      </c>
      <c r="G363" s="102">
        <f t="shared" si="43"/>
        <v>-8.6102706442282573E-3</v>
      </c>
      <c r="O363" s="101">
        <v>42538</v>
      </c>
      <c r="P363" s="110">
        <v>37561.9</v>
      </c>
      <c r="Q363" s="110">
        <v>619.25</v>
      </c>
      <c r="R363" s="102">
        <f t="shared" si="41"/>
        <v>1.9802685866168703E-2</v>
      </c>
      <c r="S363" s="102">
        <f t="shared" si="41"/>
        <v>-9.418565880749635E-3</v>
      </c>
      <c r="BC363" s="101">
        <v>40753</v>
      </c>
      <c r="BD363" s="110">
        <v>42240.285199999998</v>
      </c>
      <c r="BE363" s="110">
        <v>405.7</v>
      </c>
      <c r="BF363" s="272">
        <f t="shared" si="42"/>
        <v>1.359780912097438E-3</v>
      </c>
      <c r="BG363" s="272">
        <f t="shared" si="42"/>
        <v>-8.5900638650698597E-3</v>
      </c>
    </row>
    <row r="364" spans="2:59" x14ac:dyDescent="0.3">
      <c r="B364" s="101">
        <v>40501</v>
      </c>
      <c r="C364" s="54">
        <v>426.51</v>
      </c>
      <c r="D364" s="102">
        <f t="shared" si="43"/>
        <v>-3.4171195652173969E-2</v>
      </c>
      <c r="E364" s="102"/>
      <c r="F364" s="54">
        <v>1199.73</v>
      </c>
      <c r="G364" s="102">
        <f t="shared" si="43"/>
        <v>4.3361879904257883E-4</v>
      </c>
      <c r="O364" s="101">
        <v>42537</v>
      </c>
      <c r="P364" s="110">
        <v>36825.39</v>
      </c>
      <c r="Q364" s="110">
        <v>625.11</v>
      </c>
      <c r="R364" s="102">
        <f t="shared" si="41"/>
        <v>1.005022887856563E-2</v>
      </c>
      <c r="S364" s="102">
        <f t="shared" si="41"/>
        <v>-3.0508038006088782E-3</v>
      </c>
      <c r="BC364" s="101">
        <v>40746</v>
      </c>
      <c r="BD364" s="110">
        <v>42182.886700000003</v>
      </c>
      <c r="BE364" s="110">
        <v>409.2</v>
      </c>
      <c r="BF364" s="272">
        <f t="shared" si="42"/>
        <v>7.2171365441506957E-3</v>
      </c>
      <c r="BG364" s="272">
        <f t="shared" si="42"/>
        <v>-1.344778379222295E-2</v>
      </c>
    </row>
    <row r="365" spans="2:59" x14ac:dyDescent="0.3">
      <c r="B365" s="101">
        <v>40494</v>
      </c>
      <c r="C365" s="54">
        <v>441.6</v>
      </c>
      <c r="D365" s="102">
        <f t="shared" si="43"/>
        <v>-3.4268594047280554E-2</v>
      </c>
      <c r="E365" s="102"/>
      <c r="F365" s="54">
        <v>1199.21</v>
      </c>
      <c r="G365" s="102">
        <f t="shared" si="43"/>
        <v>-2.1731859526043062E-2</v>
      </c>
      <c r="O365" s="101">
        <v>42536</v>
      </c>
      <c r="P365" s="110">
        <v>36457.14</v>
      </c>
      <c r="Q365" s="110">
        <v>627.02</v>
      </c>
      <c r="R365" s="102">
        <f t="shared" si="41"/>
        <v>-1.0050228878565697E-2</v>
      </c>
      <c r="S365" s="102">
        <f t="shared" si="41"/>
        <v>2.539024877928414E-3</v>
      </c>
      <c r="BC365" s="101">
        <v>40739</v>
      </c>
      <c r="BD365" s="110">
        <v>41879.542999999998</v>
      </c>
      <c r="BE365" s="110">
        <v>414.74</v>
      </c>
      <c r="BF365" s="272">
        <f t="shared" si="42"/>
        <v>-4.8192754742595108E-2</v>
      </c>
      <c r="BG365" s="272">
        <f t="shared" si="42"/>
        <v>-3.6877300095292762E-2</v>
      </c>
    </row>
    <row r="366" spans="2:59" x14ac:dyDescent="0.3">
      <c r="B366" s="101">
        <v>40487</v>
      </c>
      <c r="C366" s="54">
        <v>457.27</v>
      </c>
      <c r="D366" s="102">
        <f t="shared" si="43"/>
        <v>1.0251198550692564E-2</v>
      </c>
      <c r="E366" s="102"/>
      <c r="F366" s="54">
        <v>1225.8499999999999</v>
      </c>
      <c r="G366" s="102">
        <f t="shared" si="43"/>
        <v>3.599377989621888E-2</v>
      </c>
      <c r="O366" s="101">
        <v>42535</v>
      </c>
      <c r="P366" s="110">
        <v>36825.39</v>
      </c>
      <c r="Q366" s="110">
        <v>625.42999999999995</v>
      </c>
      <c r="R366" s="102">
        <f t="shared" si="41"/>
        <v>3.8220870735553532E-2</v>
      </c>
      <c r="S366" s="102">
        <f t="shared" si="41"/>
        <v>2.962348344513711E-3</v>
      </c>
      <c r="BC366" s="101">
        <v>40732</v>
      </c>
      <c r="BD366" s="110">
        <v>43947.257799999999</v>
      </c>
      <c r="BE366" s="110">
        <v>430.32</v>
      </c>
      <c r="BF366" s="272">
        <f t="shared" si="42"/>
        <v>1.8453388249953184E-2</v>
      </c>
      <c r="BG366" s="272">
        <f t="shared" si="42"/>
        <v>1.1757828796313631E-2</v>
      </c>
    </row>
    <row r="367" spans="2:59" x14ac:dyDescent="0.3">
      <c r="B367" s="101">
        <v>40480</v>
      </c>
      <c r="C367" s="54">
        <v>452.63</v>
      </c>
      <c r="D367" s="102">
        <f t="shared" si="43"/>
        <v>1.6666292311493525E-2</v>
      </c>
      <c r="E367" s="102"/>
      <c r="F367" s="54">
        <v>1183.26</v>
      </c>
      <c r="G367" s="102">
        <f t="shared" si="43"/>
        <v>1.5214524799689322E-4</v>
      </c>
      <c r="O367" s="101">
        <v>42534</v>
      </c>
      <c r="P367" s="110">
        <v>35444.449999999997</v>
      </c>
      <c r="Q367" s="110">
        <v>623.58000000000004</v>
      </c>
      <c r="R367" s="102">
        <f t="shared" si="41"/>
        <v>-2.0566055034883981E-2</v>
      </c>
      <c r="S367" s="102">
        <f t="shared" si="41"/>
        <v>-9.9887540478264918E-3</v>
      </c>
      <c r="BC367" s="101">
        <v>40725</v>
      </c>
      <c r="BD367" s="110">
        <v>43143.718800000002</v>
      </c>
      <c r="BE367" s="110">
        <v>425.29</v>
      </c>
      <c r="BF367" s="272">
        <f t="shared" si="42"/>
        <v>-2.1411720792935286E-2</v>
      </c>
      <c r="BG367" s="272">
        <f t="shared" si="42"/>
        <v>-1.8889799933585208E-2</v>
      </c>
    </row>
    <row r="368" spans="2:59" x14ac:dyDescent="0.3">
      <c r="B368" s="101">
        <v>40473</v>
      </c>
      <c r="C368" s="54">
        <v>445.21</v>
      </c>
      <c r="D368" s="102">
        <f t="shared" si="43"/>
        <v>-2.8752808743646274E-2</v>
      </c>
      <c r="E368" s="102"/>
      <c r="F368" s="54">
        <v>1183.08</v>
      </c>
      <c r="G368" s="102">
        <f t="shared" si="43"/>
        <v>5.8578971084601861E-3</v>
      </c>
      <c r="O368" s="101">
        <v>42531</v>
      </c>
      <c r="P368" s="110">
        <v>36180.949999999997</v>
      </c>
      <c r="Q368" s="110">
        <v>629.84</v>
      </c>
      <c r="R368" s="102">
        <f t="shared" si="41"/>
        <v>5.1021360021506566E-3</v>
      </c>
      <c r="S368" s="102">
        <f t="shared" si="41"/>
        <v>-2.2520031720396276E-3</v>
      </c>
      <c r="BC368" s="101">
        <v>40718</v>
      </c>
      <c r="BD368" s="110">
        <v>44077.460899999998</v>
      </c>
      <c r="BE368" s="110">
        <v>433.4</v>
      </c>
      <c r="BF368" s="272">
        <f t="shared" si="42"/>
        <v>4.0746381886629188E-3</v>
      </c>
      <c r="BG368" s="272">
        <f t="shared" si="42"/>
        <v>-1.2678857955922031E-2</v>
      </c>
    </row>
    <row r="369" spans="2:59" x14ac:dyDescent="0.3">
      <c r="B369" s="101">
        <v>40466</v>
      </c>
      <c r="C369" s="54">
        <v>458.39</v>
      </c>
      <c r="D369" s="102">
        <f t="shared" si="43"/>
        <v>-1.8943517833035495E-3</v>
      </c>
      <c r="E369" s="102"/>
      <c r="F369" s="54">
        <v>1176.19</v>
      </c>
      <c r="G369" s="102">
        <f t="shared" si="43"/>
        <v>9.4751748701884519E-3</v>
      </c>
      <c r="O369" s="101">
        <v>42530</v>
      </c>
      <c r="P369" s="110">
        <v>35996.82</v>
      </c>
      <c r="Q369" s="110">
        <v>631.26</v>
      </c>
      <c r="R369" s="102">
        <f t="shared" si="41"/>
        <v>2.5607239870240966E-3</v>
      </c>
      <c r="S369" s="102">
        <f t="shared" si="41"/>
        <v>5.3846833782552504E-3</v>
      </c>
      <c r="BC369" s="101">
        <v>40711</v>
      </c>
      <c r="BD369" s="110">
        <v>43898.226600000002</v>
      </c>
      <c r="BE369" s="110">
        <v>438.93</v>
      </c>
      <c r="BF369" s="272">
        <f t="shared" si="42"/>
        <v>-4.585222878355262E-2</v>
      </c>
      <c r="BG369" s="272">
        <f t="shared" si="42"/>
        <v>-1.3734335108059546E-2</v>
      </c>
    </row>
    <row r="370" spans="2:59" x14ac:dyDescent="0.3">
      <c r="B370" s="101">
        <v>40459</v>
      </c>
      <c r="C370" s="54">
        <v>459.26</v>
      </c>
      <c r="D370" s="102">
        <f t="shared" si="43"/>
        <v>1.6714263576188326E-2</v>
      </c>
      <c r="E370" s="102"/>
      <c r="F370" s="54">
        <v>1165.1500000000001</v>
      </c>
      <c r="G370" s="102">
        <f t="shared" si="43"/>
        <v>1.6497417643774437E-2</v>
      </c>
      <c r="O370" s="101">
        <v>42529</v>
      </c>
      <c r="P370" s="110">
        <v>35904.76</v>
      </c>
      <c r="Q370" s="110">
        <v>627.87</v>
      </c>
      <c r="R370" s="102">
        <f t="shared" si="41"/>
        <v>-1.2739096287453554E-2</v>
      </c>
      <c r="S370" s="102">
        <f t="shared" si="41"/>
        <v>5.1416457921578994E-3</v>
      </c>
      <c r="BC370" s="101">
        <v>40704</v>
      </c>
      <c r="BD370" s="110">
        <v>45957.917999999998</v>
      </c>
      <c r="BE370" s="110">
        <v>445</v>
      </c>
      <c r="BF370" s="272">
        <f t="shared" si="42"/>
        <v>8.7122876506798216E-2</v>
      </c>
      <c r="BG370" s="272">
        <f t="shared" si="42"/>
        <v>3.5794322387951638E-3</v>
      </c>
    </row>
    <row r="371" spans="2:59" x14ac:dyDescent="0.3">
      <c r="B371" s="101">
        <v>40452</v>
      </c>
      <c r="C371" s="54">
        <v>451.71</v>
      </c>
      <c r="D371" s="102">
        <f t="shared" si="43"/>
        <v>4.4473104889817261E-3</v>
      </c>
      <c r="E371" s="102"/>
      <c r="F371" s="54">
        <v>1146.24</v>
      </c>
      <c r="G371" s="102">
        <f t="shared" si="43"/>
        <v>-2.1154900885372863E-3</v>
      </c>
      <c r="O371" s="101">
        <v>42528</v>
      </c>
      <c r="P371" s="110">
        <v>36365.08</v>
      </c>
      <c r="Q371" s="110">
        <v>624.65</v>
      </c>
      <c r="R371" s="102">
        <f t="shared" si="41"/>
        <v>6.5382837300297453E-2</v>
      </c>
      <c r="S371" s="102">
        <f t="shared" si="41"/>
        <v>7.3913729290569557E-3</v>
      </c>
      <c r="BC371" s="101">
        <v>40697</v>
      </c>
      <c r="BD371" s="110">
        <v>42123.394500000002</v>
      </c>
      <c r="BE371" s="110">
        <v>443.41</v>
      </c>
      <c r="BF371" s="272">
        <f t="shared" si="42"/>
        <v>3.1003933216029848E-2</v>
      </c>
      <c r="BG371" s="272">
        <f t="shared" si="42"/>
        <v>7.6339687566418499E-2</v>
      </c>
    </row>
    <row r="372" spans="2:59" x14ac:dyDescent="0.3">
      <c r="B372" s="101">
        <v>40445</v>
      </c>
      <c r="C372" s="54">
        <v>449.71</v>
      </c>
      <c r="D372" s="102">
        <f t="shared" si="43"/>
        <v>-1.7199178285764227E-2</v>
      </c>
      <c r="E372" s="102"/>
      <c r="F372" s="54">
        <v>1148.67</v>
      </c>
      <c r="G372" s="102">
        <f t="shared" si="43"/>
        <v>2.0504801926101157E-2</v>
      </c>
      <c r="O372" s="101">
        <v>42527</v>
      </c>
      <c r="P372" s="110">
        <v>34063.49</v>
      </c>
      <c r="Q372" s="110">
        <v>620.04999999999995</v>
      </c>
      <c r="R372" s="102">
        <f t="shared" si="41"/>
        <v>0</v>
      </c>
      <c r="S372" s="102">
        <f t="shared" si="41"/>
        <v>-2.9470281327587328E-3</v>
      </c>
      <c r="BC372" s="101">
        <v>40690</v>
      </c>
      <c r="BD372" s="110">
        <v>40837.441400000003</v>
      </c>
      <c r="BE372" s="110">
        <v>410.82</v>
      </c>
      <c r="BF372" s="272">
        <f t="shared" si="42"/>
        <v>-7.7713693138699719E-2</v>
      </c>
      <c r="BG372" s="272">
        <f t="shared" si="42"/>
        <v>-5.2282289616247521E-2</v>
      </c>
    </row>
    <row r="373" spans="2:59" x14ac:dyDescent="0.3">
      <c r="B373" s="101">
        <v>40438</v>
      </c>
      <c r="C373" s="54">
        <v>457.58</v>
      </c>
      <c r="D373" s="102">
        <f t="shared" si="43"/>
        <v>1.3713197013668799E-2</v>
      </c>
      <c r="E373" s="102"/>
      <c r="F373" s="54">
        <v>1125.5899999999999</v>
      </c>
      <c r="G373" s="102">
        <f t="shared" si="43"/>
        <v>1.4456311117119425E-2</v>
      </c>
      <c r="O373" s="101">
        <v>42524</v>
      </c>
      <c r="P373" s="110">
        <v>34063.49</v>
      </c>
      <c r="Q373" s="110">
        <v>621.88</v>
      </c>
      <c r="R373" s="102">
        <f t="shared" si="41"/>
        <v>-1.075296760393795E-2</v>
      </c>
      <c r="S373" s="102">
        <f t="shared" si="41"/>
        <v>-2.3930948983584151E-3</v>
      </c>
      <c r="BC373" s="101">
        <v>40683</v>
      </c>
      <c r="BD373" s="110">
        <v>44137.644500000002</v>
      </c>
      <c r="BE373" s="110">
        <v>432.87</v>
      </c>
      <c r="BF373" s="272">
        <f t="shared" si="42"/>
        <v>-3.5128645841337597E-2</v>
      </c>
      <c r="BG373" s="272">
        <f t="shared" si="42"/>
        <v>-0.10266091548816463</v>
      </c>
    </row>
    <row r="374" spans="2:59" x14ac:dyDescent="0.3">
      <c r="B374" s="101">
        <v>40431</v>
      </c>
      <c r="C374" s="54">
        <v>451.39</v>
      </c>
      <c r="D374" s="102">
        <f t="shared" ref="D374:G389" si="44">C374/C375-1</f>
        <v>-1.6043596730245246E-2</v>
      </c>
      <c r="E374" s="102"/>
      <c r="F374" s="54">
        <v>1109.55</v>
      </c>
      <c r="G374" s="102">
        <f t="shared" si="44"/>
        <v>4.5631094331421984E-3</v>
      </c>
      <c r="O374" s="101">
        <v>42523</v>
      </c>
      <c r="P374" s="110">
        <v>34431.75</v>
      </c>
      <c r="Q374" s="110">
        <v>623.37</v>
      </c>
      <c r="R374" s="102">
        <f t="shared" si="41"/>
        <v>1.3459226571716033E-2</v>
      </c>
      <c r="S374" s="102">
        <f t="shared" si="41"/>
        <v>5.6465968904893258E-3</v>
      </c>
      <c r="BC374" s="101">
        <v>40676</v>
      </c>
      <c r="BD374" s="110">
        <v>45715.695299999999</v>
      </c>
      <c r="BE374" s="110">
        <v>479.67</v>
      </c>
      <c r="BF374" s="272">
        <f t="shared" si="42"/>
        <v>-1.3639363902408058E-2</v>
      </c>
      <c r="BG374" s="272">
        <f t="shared" si="42"/>
        <v>1.4616274823374789E-2</v>
      </c>
    </row>
    <row r="375" spans="2:59" x14ac:dyDescent="0.3">
      <c r="B375" s="101">
        <v>40424</v>
      </c>
      <c r="C375" s="54">
        <v>458.75</v>
      </c>
      <c r="D375" s="102">
        <f t="shared" si="44"/>
        <v>6.8998462040359865E-2</v>
      </c>
      <c r="E375" s="102"/>
      <c r="F375" s="54">
        <v>1104.51</v>
      </c>
      <c r="G375" s="102">
        <f t="shared" si="44"/>
        <v>3.7498003926394352E-2</v>
      </c>
      <c r="O375" s="101">
        <v>42522</v>
      </c>
      <c r="P375" s="110">
        <v>33971.43</v>
      </c>
      <c r="Q375" s="110">
        <v>619.86</v>
      </c>
      <c r="R375" s="102">
        <f t="shared" si="41"/>
        <v>-2.7062589677780365E-3</v>
      </c>
      <c r="S375" s="102">
        <f t="shared" si="41"/>
        <v>2.2934678550151693E-3</v>
      </c>
      <c r="BC375" s="101">
        <v>40669</v>
      </c>
      <c r="BD375" s="110">
        <v>46343.5</v>
      </c>
      <c r="BE375" s="110">
        <v>472.71</v>
      </c>
      <c r="BF375" s="272">
        <f t="shared" si="42"/>
        <v>4.1436615758571726E-4</v>
      </c>
      <c r="BG375" s="272">
        <f t="shared" si="42"/>
        <v>-1.5470664039193522E-2</v>
      </c>
    </row>
    <row r="376" spans="2:59" x14ac:dyDescent="0.3">
      <c r="B376" s="101">
        <v>40417</v>
      </c>
      <c r="C376" s="54">
        <v>429.14</v>
      </c>
      <c r="D376" s="102">
        <f t="shared" si="44"/>
        <v>-5.6503385805997675E-2</v>
      </c>
      <c r="E376" s="102"/>
      <c r="F376" s="54">
        <v>1064.5899999999999</v>
      </c>
      <c r="G376" s="102">
        <f t="shared" si="44"/>
        <v>-6.6250501544291573E-3</v>
      </c>
      <c r="O376" s="101">
        <v>42521</v>
      </c>
      <c r="P376" s="110">
        <v>34063.49</v>
      </c>
      <c r="Q376" s="110">
        <v>618.44000000000005</v>
      </c>
      <c r="R376" s="102">
        <f t="shared" si="41"/>
        <v>-8.0754006257045298E-3</v>
      </c>
      <c r="S376" s="102">
        <f t="shared" si="41"/>
        <v>6.3912492283043926E-3</v>
      </c>
      <c r="BC376" s="101">
        <v>40662</v>
      </c>
      <c r="BD376" s="110">
        <v>46324.300799999997</v>
      </c>
      <c r="BE376" s="110">
        <v>480.08</v>
      </c>
      <c r="BF376" s="272">
        <f t="shared" si="42"/>
        <v>1.176629218482864E-2</v>
      </c>
      <c r="BG376" s="272">
        <f t="shared" si="42"/>
        <v>5.0473591670167635E-2</v>
      </c>
    </row>
    <row r="377" spans="2:59" x14ac:dyDescent="0.3">
      <c r="B377" s="101">
        <v>40410</v>
      </c>
      <c r="C377" s="54">
        <v>454.84</v>
      </c>
      <c r="D377" s="102">
        <f t="shared" si="44"/>
        <v>4.6606144942900052E-3</v>
      </c>
      <c r="E377" s="102"/>
      <c r="F377" s="54">
        <v>1071.69</v>
      </c>
      <c r="G377" s="102">
        <f t="shared" si="44"/>
        <v>-7.0048644892285461E-3</v>
      </c>
      <c r="O377" s="101">
        <v>42520</v>
      </c>
      <c r="P377" s="110">
        <v>34339.68</v>
      </c>
      <c r="Q377" s="110">
        <v>614.5</v>
      </c>
      <c r="R377" s="102">
        <f t="shared" si="41"/>
        <v>1.3495557442271398E-2</v>
      </c>
      <c r="S377" s="102">
        <f t="shared" si="41"/>
        <v>1.0453142351530885E-2</v>
      </c>
      <c r="BC377" s="101">
        <v>40655</v>
      </c>
      <c r="BD377" s="110">
        <v>45782.429700000001</v>
      </c>
      <c r="BE377" s="110">
        <v>456.45</v>
      </c>
      <c r="BF377" s="272">
        <f t="shared" si="42"/>
        <v>-5.1496237573418494E-2</v>
      </c>
      <c r="BG377" s="272">
        <f t="shared" si="42"/>
        <v>-9.8321063251285788E-3</v>
      </c>
    </row>
    <row r="378" spans="2:59" x14ac:dyDescent="0.3">
      <c r="B378" s="101">
        <v>40403</v>
      </c>
      <c r="C378" s="54">
        <v>452.73</v>
      </c>
      <c r="D378" s="102">
        <f t="shared" si="44"/>
        <v>-6.2321361998260216E-2</v>
      </c>
      <c r="E378" s="102"/>
      <c r="F378" s="54">
        <v>1079.25</v>
      </c>
      <c r="G378" s="102">
        <f t="shared" si="44"/>
        <v>-3.7792874719161262E-2</v>
      </c>
      <c r="O378" s="101">
        <v>42517</v>
      </c>
      <c r="P378" s="110">
        <v>33879.360000000001</v>
      </c>
      <c r="Q378" s="110">
        <v>608.11</v>
      </c>
      <c r="R378" s="102">
        <f t="shared" si="41"/>
        <v>-1.0811093837940381E-2</v>
      </c>
      <c r="S378" s="102">
        <f t="shared" si="41"/>
        <v>6.2188331890602622E-3</v>
      </c>
      <c r="BC378" s="101">
        <v>40648</v>
      </c>
      <c r="BD378" s="110">
        <v>48201.8125</v>
      </c>
      <c r="BE378" s="110">
        <v>460.96</v>
      </c>
      <c r="BF378" s="272">
        <f t="shared" si="42"/>
        <v>-3.9166590279848673E-2</v>
      </c>
      <c r="BG378" s="272">
        <f t="shared" si="42"/>
        <v>-7.1980856588791308E-3</v>
      </c>
    </row>
    <row r="379" spans="2:59" x14ac:dyDescent="0.3">
      <c r="B379" s="101">
        <v>40396</v>
      </c>
      <c r="C379" s="54">
        <v>482.82</v>
      </c>
      <c r="D379" s="102">
        <f t="shared" si="44"/>
        <v>-2.2453483428155008E-2</v>
      </c>
      <c r="E379" s="102"/>
      <c r="F379" s="54">
        <v>1121.6400000000001</v>
      </c>
      <c r="G379" s="102">
        <f t="shared" si="44"/>
        <v>1.8191721132897687E-2</v>
      </c>
      <c r="O379" s="101">
        <v>42516</v>
      </c>
      <c r="P379" s="110">
        <v>34247.620000000003</v>
      </c>
      <c r="Q379" s="110">
        <v>604.34</v>
      </c>
      <c r="R379" s="102">
        <f t="shared" si="41"/>
        <v>-8.0321576816915E-3</v>
      </c>
      <c r="S379" s="102">
        <f t="shared" si="41"/>
        <v>-1.2415574329824956E-2</v>
      </c>
      <c r="BC379" s="101">
        <v>40641</v>
      </c>
      <c r="BD379" s="110">
        <v>50127.171900000001</v>
      </c>
      <c r="BE379" s="110">
        <v>464.29</v>
      </c>
      <c r="BF379" s="272">
        <f t="shared" si="42"/>
        <v>-8.8045710034526312E-3</v>
      </c>
      <c r="BG379" s="272">
        <f t="shared" si="42"/>
        <v>1.1088845134357086E-2</v>
      </c>
    </row>
    <row r="380" spans="2:59" x14ac:dyDescent="0.3">
      <c r="B380" s="101">
        <v>40389</v>
      </c>
      <c r="C380" s="54">
        <v>493.91</v>
      </c>
      <c r="D380" s="102">
        <f t="shared" si="44"/>
        <v>-1.2792068917271249E-2</v>
      </c>
      <c r="E380" s="102"/>
      <c r="F380" s="54">
        <v>1101.5999999999999</v>
      </c>
      <c r="G380" s="102">
        <f t="shared" si="44"/>
        <v>-9.6131173707236783E-4</v>
      </c>
      <c r="O380" s="101">
        <v>42515</v>
      </c>
      <c r="P380" s="110">
        <v>34523.81</v>
      </c>
      <c r="Q380" s="110">
        <v>611.89</v>
      </c>
      <c r="R380" s="102">
        <f t="shared" si="41"/>
        <v>-2.6630165023855006E-3</v>
      </c>
      <c r="S380" s="102">
        <f t="shared" si="41"/>
        <v>4.4135316324801267E-4</v>
      </c>
      <c r="BC380" s="101">
        <v>40634</v>
      </c>
      <c r="BD380" s="110">
        <v>50570.468800000002</v>
      </c>
      <c r="BE380" s="110">
        <v>459.17</v>
      </c>
      <c r="BF380" s="272">
        <f t="shared" si="42"/>
        <v>-2.8478517008662385E-2</v>
      </c>
      <c r="BG380" s="272">
        <f t="shared" si="42"/>
        <v>3.1191745305474252E-3</v>
      </c>
    </row>
    <row r="381" spans="2:59" x14ac:dyDescent="0.3">
      <c r="B381" s="101">
        <v>40382</v>
      </c>
      <c r="C381" s="54">
        <v>500.31</v>
      </c>
      <c r="D381" s="102">
        <f t="shared" si="44"/>
        <v>-1.1655241895655921E-2</v>
      </c>
      <c r="E381" s="102"/>
      <c r="F381" s="54">
        <v>1102.6600000000001</v>
      </c>
      <c r="G381" s="102">
        <f t="shared" si="44"/>
        <v>3.5478175944707369E-2</v>
      </c>
      <c r="O381" s="101">
        <v>42514</v>
      </c>
      <c r="P381" s="110">
        <v>34615.870000000003</v>
      </c>
      <c r="Q381" s="110">
        <v>611.62</v>
      </c>
      <c r="R381" s="102">
        <f t="shared" si="41"/>
        <v>1.8792370173228632E-2</v>
      </c>
      <c r="S381" s="102">
        <f t="shared" si="41"/>
        <v>9.6511682950367725E-4</v>
      </c>
      <c r="BC381" s="101">
        <v>40627</v>
      </c>
      <c r="BD381" s="110">
        <v>52031.343800000002</v>
      </c>
      <c r="BE381" s="110">
        <v>457.74</v>
      </c>
      <c r="BF381" s="272">
        <f t="shared" si="42"/>
        <v>6.8822070354779621E-2</v>
      </c>
      <c r="BG381" s="272">
        <f t="shared" si="42"/>
        <v>-7.2702264026188249E-3</v>
      </c>
    </row>
    <row r="382" spans="2:59" x14ac:dyDescent="0.3">
      <c r="B382" s="101">
        <v>40375</v>
      </c>
      <c r="C382" s="54">
        <v>506.21</v>
      </c>
      <c r="D382" s="102">
        <f t="shared" si="44"/>
        <v>1.3514595763424397E-2</v>
      </c>
      <c r="E382" s="102"/>
      <c r="F382" s="54">
        <v>1064.8800000000001</v>
      </c>
      <c r="G382" s="102">
        <f t="shared" si="44"/>
        <v>-1.2134030947344887E-2</v>
      </c>
      <c r="O382" s="101">
        <v>42513</v>
      </c>
      <c r="P382" s="110">
        <v>33971.43</v>
      </c>
      <c r="Q382" s="110">
        <v>611.03</v>
      </c>
      <c r="R382" s="102">
        <f t="shared" si="41"/>
        <v>-5.4052138602292852E-3</v>
      </c>
      <c r="S382" s="102">
        <f t="shared" si="41"/>
        <v>-6.1672191817675427E-3</v>
      </c>
      <c r="BC382" s="101">
        <v>40620</v>
      </c>
      <c r="BD382" s="110">
        <v>48570.882799999999</v>
      </c>
      <c r="BE382" s="110">
        <v>461.08</v>
      </c>
      <c r="BF382" s="272">
        <f t="shared" si="42"/>
        <v>-1.4676621274250781E-2</v>
      </c>
      <c r="BG382" s="272">
        <f t="shared" si="42"/>
        <v>-7.110740361149509E-2</v>
      </c>
    </row>
    <row r="383" spans="2:59" x14ac:dyDescent="0.3">
      <c r="B383" s="101">
        <v>40368</v>
      </c>
      <c r="C383" s="54">
        <v>499.46</v>
      </c>
      <c r="D383" s="102">
        <f t="shared" si="44"/>
        <v>-8.3192693338628443E-3</v>
      </c>
      <c r="E383" s="102"/>
      <c r="F383" s="54">
        <v>1077.96</v>
      </c>
      <c r="G383" s="102">
        <f t="shared" si="44"/>
        <v>5.4157131960335558E-2</v>
      </c>
      <c r="O383" s="101">
        <v>42510</v>
      </c>
      <c r="P383" s="110">
        <v>34155.550000000003</v>
      </c>
      <c r="Q383" s="110">
        <v>614.80999999999995</v>
      </c>
      <c r="R383" s="102">
        <f t="shared" si="41"/>
        <v>0</v>
      </c>
      <c r="S383" s="102">
        <f t="shared" si="41"/>
        <v>-7.1150452911782139E-3</v>
      </c>
      <c r="BC383" s="101">
        <v>40613</v>
      </c>
      <c r="BD383" s="110">
        <v>49288.996099999997</v>
      </c>
      <c r="BE383" s="110">
        <v>495.06</v>
      </c>
      <c r="BF383" s="272">
        <f t="shared" si="42"/>
        <v>5.3151004705732516E-2</v>
      </c>
      <c r="BG383" s="272">
        <f t="shared" si="42"/>
        <v>7.5127793462474723E-2</v>
      </c>
    </row>
    <row r="384" spans="2:59" x14ac:dyDescent="0.3">
      <c r="B384" s="101">
        <v>40361</v>
      </c>
      <c r="C384" s="54">
        <v>503.65</v>
      </c>
      <c r="D384" s="102">
        <f t="shared" si="44"/>
        <v>-2.9101995565410377E-3</v>
      </c>
      <c r="E384" s="102"/>
      <c r="F384" s="54">
        <v>1022.58</v>
      </c>
      <c r="G384" s="102">
        <f t="shared" si="44"/>
        <v>-5.0317619525242385E-2</v>
      </c>
      <c r="O384" s="101">
        <v>42509</v>
      </c>
      <c r="P384" s="110">
        <v>34155.550000000003</v>
      </c>
      <c r="Q384" s="110">
        <v>619.20000000000005</v>
      </c>
      <c r="R384" s="102">
        <f t="shared" si="41"/>
        <v>0</v>
      </c>
      <c r="S384" s="102">
        <f t="shared" si="41"/>
        <v>-5.2349815522775749E-3</v>
      </c>
      <c r="BC384" s="101">
        <v>40606</v>
      </c>
      <c r="BD384" s="110">
        <v>46737.640599999999</v>
      </c>
      <c r="BE384" s="110">
        <v>459.23</v>
      </c>
      <c r="BF384" s="272">
        <f t="shared" si="42"/>
        <v>-6.6259608786789978E-2</v>
      </c>
      <c r="BG384" s="272">
        <f t="shared" si="42"/>
        <v>-1.6692427013703385E-2</v>
      </c>
    </row>
    <row r="385" spans="2:59" x14ac:dyDescent="0.3">
      <c r="B385" s="101">
        <v>40354</v>
      </c>
      <c r="C385" s="54">
        <v>505.12</v>
      </c>
      <c r="D385" s="102">
        <f t="shared" si="44"/>
        <v>-1.1854923901561065E-2</v>
      </c>
      <c r="E385" s="102"/>
      <c r="F385" s="54">
        <v>1076.76</v>
      </c>
      <c r="G385" s="102">
        <f t="shared" si="44"/>
        <v>-3.6464998076079835E-2</v>
      </c>
      <c r="O385" s="101">
        <v>42508</v>
      </c>
      <c r="P385" s="110">
        <v>34155.550000000003</v>
      </c>
      <c r="Q385" s="110">
        <v>622.45000000000005</v>
      </c>
      <c r="R385" s="102">
        <f t="shared" si="41"/>
        <v>2.6989548924512561E-3</v>
      </c>
      <c r="S385" s="102">
        <f t="shared" si="41"/>
        <v>-3.6882658872667015E-3</v>
      </c>
      <c r="BC385" s="101">
        <v>40599</v>
      </c>
      <c r="BD385" s="110">
        <v>49939.359400000001</v>
      </c>
      <c r="BE385" s="110">
        <v>466.96</v>
      </c>
      <c r="BF385" s="272">
        <f t="shared" si="42"/>
        <v>-3.8575789161266895E-2</v>
      </c>
      <c r="BG385" s="272">
        <f t="shared" si="42"/>
        <v>-7.6173924418138098E-2</v>
      </c>
    </row>
    <row r="386" spans="2:59" x14ac:dyDescent="0.3">
      <c r="B386" s="101">
        <v>40347</v>
      </c>
      <c r="C386" s="54">
        <v>511.18</v>
      </c>
      <c r="D386" s="102">
        <f t="shared" si="44"/>
        <v>1.3662773404192086E-2</v>
      </c>
      <c r="E386" s="102"/>
      <c r="F386" s="54">
        <v>1117.51</v>
      </c>
      <c r="G386" s="102">
        <f t="shared" si="44"/>
        <v>2.3735800659582251E-2</v>
      </c>
      <c r="O386" s="101">
        <v>42507</v>
      </c>
      <c r="P386" s="110">
        <v>34063.49</v>
      </c>
      <c r="Q386" s="110">
        <v>624.75</v>
      </c>
      <c r="R386" s="102">
        <f t="shared" si="41"/>
        <v>1.0869555129971982E-2</v>
      </c>
      <c r="S386" s="102">
        <f t="shared" si="41"/>
        <v>1.4461812829383794E-2</v>
      </c>
      <c r="BC386" s="101">
        <v>40592</v>
      </c>
      <c r="BD386" s="110">
        <v>51903.449200000003</v>
      </c>
      <c r="BE386" s="110">
        <v>503.92</v>
      </c>
      <c r="BF386" s="272">
        <f t="shared" si="42"/>
        <v>-7.9118140238727375E-2</v>
      </c>
      <c r="BG386" s="272">
        <f t="shared" si="42"/>
        <v>-3.1372823983673977E-2</v>
      </c>
    </row>
    <row r="387" spans="2:59" x14ac:dyDescent="0.3">
      <c r="B387" s="101">
        <v>40340</v>
      </c>
      <c r="C387" s="54">
        <v>504.29</v>
      </c>
      <c r="D387" s="102">
        <f t="shared" si="44"/>
        <v>-1.1912925916491957E-2</v>
      </c>
      <c r="E387" s="102"/>
      <c r="F387" s="54">
        <v>1091.5999999999999</v>
      </c>
      <c r="G387" s="102">
        <f t="shared" si="44"/>
        <v>2.5092029148824135E-2</v>
      </c>
      <c r="O387" s="101">
        <v>42506</v>
      </c>
      <c r="P387" s="110">
        <v>33695.24</v>
      </c>
      <c r="Q387" s="110">
        <v>615.78</v>
      </c>
      <c r="R387" s="102">
        <f t="shared" si="41"/>
        <v>-1.0869555129971918E-2</v>
      </c>
      <c r="S387" s="102">
        <f t="shared" si="41"/>
        <v>8.0874401349011141E-3</v>
      </c>
      <c r="BC387" s="101">
        <v>40585</v>
      </c>
      <c r="BD387" s="110">
        <v>56176.773399999998</v>
      </c>
      <c r="BE387" s="110">
        <v>519.98</v>
      </c>
      <c r="BF387" s="272">
        <f t="shared" si="42"/>
        <v>-7.4122866587561136E-3</v>
      </c>
      <c r="BG387" s="272">
        <f t="shared" si="42"/>
        <v>1.8203844489963993E-2</v>
      </c>
    </row>
    <row r="388" spans="2:59" x14ac:dyDescent="0.3">
      <c r="B388" s="101">
        <v>40333</v>
      </c>
      <c r="C388" s="54">
        <v>510.37</v>
      </c>
      <c r="D388" s="102">
        <f t="shared" si="44"/>
        <v>-5.1073120333730015E-3</v>
      </c>
      <c r="E388" s="102"/>
      <c r="F388" s="54">
        <v>1064.8800000000001</v>
      </c>
      <c r="G388" s="102">
        <f t="shared" si="44"/>
        <v>-2.2516775135164924E-2</v>
      </c>
      <c r="O388" s="101">
        <v>42503</v>
      </c>
      <c r="P388" s="110">
        <v>34063.49</v>
      </c>
      <c r="Q388" s="110">
        <v>610.82000000000005</v>
      </c>
      <c r="R388" s="102">
        <f t="shared" si="41"/>
        <v>-5.3909370213735489E-3</v>
      </c>
      <c r="S388" s="102">
        <f t="shared" si="41"/>
        <v>-2.1260249720586213E-3</v>
      </c>
      <c r="BC388" s="101">
        <v>40578</v>
      </c>
      <c r="BD388" s="110">
        <v>56594.718800000002</v>
      </c>
      <c r="BE388" s="110">
        <f>BE389</f>
        <v>510.6</v>
      </c>
      <c r="BF388" s="272">
        <f t="shared" si="42"/>
        <v>0</v>
      </c>
      <c r="BG388" s="272">
        <f t="shared" si="42"/>
        <v>0</v>
      </c>
    </row>
    <row r="389" spans="2:59" x14ac:dyDescent="0.3">
      <c r="B389" s="101">
        <v>40326</v>
      </c>
      <c r="C389" s="54">
        <v>512.99</v>
      </c>
      <c r="D389" s="102">
        <f t="shared" si="44"/>
        <v>6.0575988753126975E-2</v>
      </c>
      <c r="E389" s="102"/>
      <c r="F389" s="54">
        <v>1089.4100000000001</v>
      </c>
      <c r="G389" s="102">
        <f t="shared" si="44"/>
        <v>1.5813329165479395E-3</v>
      </c>
      <c r="O389" s="101">
        <v>42502</v>
      </c>
      <c r="P389" s="110">
        <v>34247.620000000003</v>
      </c>
      <c r="Q389" s="110">
        <v>612.12</v>
      </c>
      <c r="R389" s="102">
        <f t="shared" si="41"/>
        <v>1.0811093837940218E-2</v>
      </c>
      <c r="S389" s="102">
        <f t="shared" si="41"/>
        <v>-3.164301519738242E-3</v>
      </c>
      <c r="BC389" s="101">
        <v>40571</v>
      </c>
      <c r="BD389" s="110">
        <v>56594.718800000002</v>
      </c>
      <c r="BE389" s="110">
        <v>510.6</v>
      </c>
      <c r="BF389" s="272">
        <f t="shared" si="42"/>
        <v>-1.4810834418081667E-2</v>
      </c>
      <c r="BG389" s="272">
        <f t="shared" si="42"/>
        <v>-1.728030573189859E-2</v>
      </c>
    </row>
    <row r="390" spans="2:59" x14ac:dyDescent="0.3">
      <c r="B390" s="101">
        <v>40319</v>
      </c>
      <c r="C390" s="54">
        <v>483.69</v>
      </c>
      <c r="D390" s="102">
        <f t="shared" ref="D390:G405" si="45">C390/C391-1</f>
        <v>-7.1113074204947058E-2</v>
      </c>
      <c r="E390" s="102"/>
      <c r="F390" s="54">
        <v>1087.69</v>
      </c>
      <c r="G390" s="102">
        <f t="shared" si="45"/>
        <v>-4.2256621583544707E-2</v>
      </c>
      <c r="O390" s="101">
        <v>42501</v>
      </c>
      <c r="P390" s="110">
        <v>33879.360000000001</v>
      </c>
      <c r="Q390" s="110">
        <v>614.05999999999995</v>
      </c>
      <c r="R390" s="102">
        <f t="shared" si="41"/>
        <v>-1.0811093837940381E-2</v>
      </c>
      <c r="S390" s="102">
        <f t="shared" si="41"/>
        <v>1.4781543998512413E-2</v>
      </c>
      <c r="BC390" s="101">
        <v>40564</v>
      </c>
      <c r="BD390" s="110">
        <v>57439.171900000001</v>
      </c>
      <c r="BE390" s="110">
        <v>519.5</v>
      </c>
      <c r="BF390" s="272">
        <f t="shared" si="42"/>
        <v>-4.4248455039235151E-3</v>
      </c>
      <c r="BG390" s="272">
        <f t="shared" si="42"/>
        <v>6.0054524487547653E-2</v>
      </c>
    </row>
    <row r="391" spans="2:59" x14ac:dyDescent="0.3">
      <c r="B391" s="101">
        <v>40312</v>
      </c>
      <c r="C391" s="54">
        <v>520.72</v>
      </c>
      <c r="D391" s="102">
        <f t="shared" si="45"/>
        <v>-3.9315167057173861E-2</v>
      </c>
      <c r="E391" s="102"/>
      <c r="F391" s="54">
        <v>1135.68</v>
      </c>
      <c r="G391" s="102">
        <f t="shared" si="45"/>
        <v>2.2324643525853283E-2</v>
      </c>
      <c r="O391" s="101">
        <v>42500</v>
      </c>
      <c r="P391" s="110">
        <v>34247.620000000003</v>
      </c>
      <c r="Q391" s="110">
        <v>605.04999999999995</v>
      </c>
      <c r="R391" s="102">
        <f t="shared" si="41"/>
        <v>0</v>
      </c>
      <c r="S391" s="102">
        <f t="shared" si="41"/>
        <v>1.9852765226771206E-3</v>
      </c>
      <c r="BC391" s="101">
        <v>40557</v>
      </c>
      <c r="BD391" s="110">
        <v>57693.894500000002</v>
      </c>
      <c r="BE391" s="110">
        <v>489.22</v>
      </c>
      <c r="BF391" s="272">
        <f t="shared" si="42"/>
        <v>-7.9936296261202131E-4</v>
      </c>
      <c r="BG391" s="272">
        <f t="shared" si="42"/>
        <v>1.5158670623308505E-2</v>
      </c>
    </row>
    <row r="392" spans="2:59" x14ac:dyDescent="0.3">
      <c r="B392" s="101">
        <v>40305</v>
      </c>
      <c r="C392" s="54">
        <v>542.03</v>
      </c>
      <c r="D392" s="102">
        <f t="shared" si="45"/>
        <v>-6.2687833029118067E-4</v>
      </c>
      <c r="E392" s="102"/>
      <c r="F392" s="54">
        <v>1110.8800000000001</v>
      </c>
      <c r="G392" s="102">
        <f t="shared" si="45"/>
        <v>-6.3883575322957076E-2</v>
      </c>
      <c r="O392" s="101">
        <v>42499</v>
      </c>
      <c r="P392" s="110">
        <v>34247.620000000003</v>
      </c>
      <c r="Q392" s="110">
        <v>603.85</v>
      </c>
      <c r="R392" s="102">
        <f t="shared" si="41"/>
        <v>-5.362030582564431E-3</v>
      </c>
      <c r="S392" s="102">
        <f t="shared" si="41"/>
        <v>-4.4118812113541446E-3</v>
      </c>
      <c r="BC392" s="101">
        <v>40550</v>
      </c>
      <c r="BD392" s="110">
        <v>57740.031300000002</v>
      </c>
      <c r="BE392" s="110">
        <v>481.86</v>
      </c>
      <c r="BF392" s="272">
        <f t="shared" si="42"/>
        <v>-1.7977932184390744E-2</v>
      </c>
      <c r="BG392" s="272">
        <f t="shared" si="42"/>
        <v>-5.7939987441418253E-3</v>
      </c>
    </row>
    <row r="393" spans="2:59" x14ac:dyDescent="0.3">
      <c r="B393" s="101">
        <v>40298</v>
      </c>
      <c r="C393" s="54">
        <v>542.37</v>
      </c>
      <c r="D393" s="102">
        <f t="shared" si="45"/>
        <v>2.4673631709206445E-2</v>
      </c>
      <c r="E393" s="102"/>
      <c r="F393" s="54">
        <v>1186.69</v>
      </c>
      <c r="G393" s="102">
        <f t="shared" si="45"/>
        <v>-2.5129797581493141E-2</v>
      </c>
      <c r="O393" s="101">
        <v>42496</v>
      </c>
      <c r="P393" s="110">
        <v>34431.75</v>
      </c>
      <c r="Q393" s="110">
        <v>606.52</v>
      </c>
      <c r="R393" s="102">
        <f t="shared" si="41"/>
        <v>-7.9893753964423459E-3</v>
      </c>
      <c r="S393" s="102">
        <f t="shared" si="41"/>
        <v>8.294543552293563E-3</v>
      </c>
      <c r="BC393" s="101">
        <v>40543</v>
      </c>
      <c r="BD393" s="110">
        <v>58787.464800000002</v>
      </c>
      <c r="BE393" s="110">
        <v>484.66</v>
      </c>
      <c r="BF393" s="272">
        <f t="shared" si="42"/>
        <v>0.17167342693198165</v>
      </c>
      <c r="BG393" s="272">
        <f t="shared" si="42"/>
        <v>2.4859754028527737E-2</v>
      </c>
    </row>
    <row r="394" spans="2:59" x14ac:dyDescent="0.3">
      <c r="B394" s="101">
        <v>40291</v>
      </c>
      <c r="C394" s="54">
        <v>529.30999999999995</v>
      </c>
      <c r="D394" s="102">
        <f t="shared" si="45"/>
        <v>1.3945558684366643E-2</v>
      </c>
      <c r="E394" s="102"/>
      <c r="F394" s="54">
        <v>1217.28</v>
      </c>
      <c r="G394" s="102">
        <f t="shared" si="45"/>
        <v>2.1096692474813938E-2</v>
      </c>
      <c r="O394" s="101">
        <v>42495</v>
      </c>
      <c r="P394" s="110">
        <v>34707.94</v>
      </c>
      <c r="Q394" s="110">
        <v>601.51</v>
      </c>
      <c r="R394" s="102">
        <f t="shared" si="41"/>
        <v>-2.6489075587583137E-3</v>
      </c>
      <c r="S394" s="102">
        <f t="shared" si="41"/>
        <v>4.0647076570349463E-3</v>
      </c>
      <c r="BC394" s="101">
        <v>40536</v>
      </c>
      <c r="BD394" s="110">
        <v>49513.988299999997</v>
      </c>
      <c r="BE394" s="110">
        <v>472.76</v>
      </c>
      <c r="BF394" s="272">
        <f t="shared" si="42"/>
        <v>-5.732422539766685E-2</v>
      </c>
      <c r="BG394" s="272">
        <f t="shared" si="42"/>
        <v>-2.6158790243989382E-2</v>
      </c>
    </row>
    <row r="395" spans="2:59" x14ac:dyDescent="0.3">
      <c r="B395" s="101">
        <v>40284</v>
      </c>
      <c r="C395" s="54">
        <v>522.03</v>
      </c>
      <c r="D395" s="102">
        <f t="shared" si="45"/>
        <v>8.9095898882920466E-3</v>
      </c>
      <c r="E395" s="102"/>
      <c r="F395" s="54">
        <v>1192.1300000000001</v>
      </c>
      <c r="G395" s="102">
        <f t="shared" si="45"/>
        <v>-1.8754657267009422E-3</v>
      </c>
      <c r="O395" s="101">
        <v>42494</v>
      </c>
      <c r="P395" s="110">
        <v>34800</v>
      </c>
      <c r="Q395" s="110">
        <v>599.07000000000005</v>
      </c>
      <c r="R395" s="102">
        <f t="shared" si="41"/>
        <v>-2.611100625038788E-2</v>
      </c>
      <c r="S395" s="102">
        <f t="shared" si="41"/>
        <v>1.1691610097175982E-3</v>
      </c>
      <c r="BC395" s="101">
        <v>40529</v>
      </c>
      <c r="BD395" s="110">
        <v>52435.269500000002</v>
      </c>
      <c r="BE395" s="110">
        <v>485.29</v>
      </c>
      <c r="BF395" s="272">
        <f t="shared" si="42"/>
        <v>-1.709293782578878E-2</v>
      </c>
      <c r="BG395" s="272">
        <f t="shared" si="42"/>
        <v>2.5524420046572141E-2</v>
      </c>
    </row>
    <row r="396" spans="2:59" x14ac:dyDescent="0.3">
      <c r="B396" s="101">
        <v>40277</v>
      </c>
      <c r="C396" s="54">
        <v>517.41999999999996</v>
      </c>
      <c r="D396" s="102">
        <f t="shared" si="45"/>
        <v>1.3595047798150572E-2</v>
      </c>
      <c r="E396" s="102"/>
      <c r="F396" s="54">
        <v>1194.3699999999999</v>
      </c>
      <c r="G396" s="102">
        <f t="shared" si="45"/>
        <v>1.3810372633902057E-2</v>
      </c>
      <c r="O396" s="101">
        <v>42489</v>
      </c>
      <c r="P396" s="110">
        <v>35720.629999999997</v>
      </c>
      <c r="Q396" s="110">
        <v>598.37</v>
      </c>
      <c r="R396" s="102">
        <f t="shared" si="41"/>
        <v>1.8205840319163773E-2</v>
      </c>
      <c r="S396" s="102">
        <f t="shared" si="41"/>
        <v>1.1260244685338932E-2</v>
      </c>
      <c r="BC396" s="101">
        <v>40522</v>
      </c>
      <c r="BD396" s="110">
        <v>53339.246099999997</v>
      </c>
      <c r="BE396" s="110">
        <v>473.06</v>
      </c>
      <c r="BF396" s="272">
        <f t="shared" si="42"/>
        <v>4.9182731013076894E-2</v>
      </c>
      <c r="BG396" s="272">
        <f t="shared" si="42"/>
        <v>1.8583652119439919E-2</v>
      </c>
    </row>
    <row r="397" spans="2:59" x14ac:dyDescent="0.3">
      <c r="B397" s="101">
        <v>40270</v>
      </c>
      <c r="C397" s="54">
        <v>510.48</v>
      </c>
      <c r="D397" s="102">
        <f t="shared" si="45"/>
        <v>1.0251335840095077E-2</v>
      </c>
      <c r="E397" s="102"/>
      <c r="F397" s="54">
        <v>1178.0999999999999</v>
      </c>
      <c r="G397" s="102">
        <f t="shared" si="45"/>
        <v>9.8663626466881649E-3</v>
      </c>
      <c r="O397" s="101">
        <v>42488</v>
      </c>
      <c r="P397" s="110">
        <v>35076.19</v>
      </c>
      <c r="Q397" s="110">
        <v>591.66999999999996</v>
      </c>
      <c r="R397" s="102">
        <f t="shared" si="41"/>
        <v>-2.0780026389945361E-2</v>
      </c>
      <c r="S397" s="102">
        <f t="shared" si="41"/>
        <v>-3.8629299995073365E-3</v>
      </c>
      <c r="BC397" s="101">
        <v>40515</v>
      </c>
      <c r="BD397" s="110">
        <v>50779.343800000002</v>
      </c>
      <c r="BE397" s="110">
        <v>464.35</v>
      </c>
      <c r="BF397" s="272">
        <f t="shared" si="42"/>
        <v>0.12394678274452617</v>
      </c>
      <c r="BG397" s="272">
        <f t="shared" si="42"/>
        <v>5.40002242444401E-2</v>
      </c>
    </row>
    <row r="398" spans="2:59" x14ac:dyDescent="0.3">
      <c r="B398" s="101">
        <v>40263</v>
      </c>
      <c r="C398" s="54">
        <v>505.3</v>
      </c>
      <c r="D398" s="102">
        <f t="shared" si="45"/>
        <v>-2.0717455764646564E-2</v>
      </c>
      <c r="E398" s="102"/>
      <c r="F398" s="54">
        <v>1166.5899999999999</v>
      </c>
      <c r="G398" s="102">
        <f t="shared" si="45"/>
        <v>5.7677385981549367E-3</v>
      </c>
      <c r="O398" s="101">
        <v>42487</v>
      </c>
      <c r="P398" s="110">
        <v>35812.699999999997</v>
      </c>
      <c r="Q398" s="110">
        <v>593.96</v>
      </c>
      <c r="R398" s="102">
        <f t="shared" si="41"/>
        <v>0</v>
      </c>
      <c r="S398" s="102">
        <f t="shared" si="41"/>
        <v>-7.5811305362887072E-3</v>
      </c>
      <c r="BC398" s="101">
        <v>40508</v>
      </c>
      <c r="BD398" s="110">
        <v>44859.835899999998</v>
      </c>
      <c r="BE398" s="110">
        <v>439.94</v>
      </c>
      <c r="BF398" s="272">
        <f t="shared" si="42"/>
        <v>7.4614566002424207E-2</v>
      </c>
      <c r="BG398" s="272">
        <f t="shared" si="42"/>
        <v>3.1002540661860971E-2</v>
      </c>
    </row>
    <row r="399" spans="2:59" x14ac:dyDescent="0.3">
      <c r="B399" s="101">
        <v>40256</v>
      </c>
      <c r="C399" s="54">
        <v>515.99</v>
      </c>
      <c r="D399" s="102">
        <f t="shared" si="45"/>
        <v>-2.9199826908242521E-2</v>
      </c>
      <c r="E399" s="102"/>
      <c r="F399" s="54">
        <v>1159.9000000000001</v>
      </c>
      <c r="G399" s="102">
        <f t="shared" si="45"/>
        <v>8.6174662388369683E-3</v>
      </c>
      <c r="O399" s="101">
        <v>42486</v>
      </c>
      <c r="P399" s="110">
        <v>35812.699999999997</v>
      </c>
      <c r="Q399" s="110">
        <v>598.48</v>
      </c>
      <c r="R399" s="102">
        <f t="shared" si="41"/>
        <v>-1.0230158121710659E-2</v>
      </c>
      <c r="S399" s="102">
        <f t="shared" si="41"/>
        <v>1.1596183925060217E-2</v>
      </c>
      <c r="BC399" s="101">
        <v>40501</v>
      </c>
      <c r="BD399" s="110">
        <v>41634.464800000002</v>
      </c>
      <c r="BE399" s="110">
        <v>426.51</v>
      </c>
      <c r="BF399" s="272">
        <f t="shared" si="42"/>
        <v>-4.0559412948570323E-2</v>
      </c>
      <c r="BG399" s="272">
        <f t="shared" si="42"/>
        <v>-3.47686816471693E-2</v>
      </c>
    </row>
    <row r="400" spans="2:59" x14ac:dyDescent="0.3">
      <c r="B400" s="101">
        <v>40249</v>
      </c>
      <c r="C400" s="54">
        <v>531.51</v>
      </c>
      <c r="D400" s="102">
        <f t="shared" si="45"/>
        <v>3.5294805118915473E-2</v>
      </c>
      <c r="E400" s="102"/>
      <c r="F400" s="54">
        <v>1149.99</v>
      </c>
      <c r="G400" s="102">
        <f t="shared" si="45"/>
        <v>9.9148151400720863E-3</v>
      </c>
      <c r="O400" s="101">
        <v>42485</v>
      </c>
      <c r="P400" s="110">
        <v>36180.949999999997</v>
      </c>
      <c r="Q400" s="110">
        <v>591.58000000000004</v>
      </c>
      <c r="R400" s="102">
        <f t="shared" si="41"/>
        <v>-5.0762362982786809E-3</v>
      </c>
      <c r="S400" s="102">
        <f t="shared" si="41"/>
        <v>-1.5201935262133723E-3</v>
      </c>
      <c r="BC400" s="101">
        <v>40494</v>
      </c>
      <c r="BD400" s="110">
        <v>43357.847699999998</v>
      </c>
      <c r="BE400" s="110">
        <v>441.6</v>
      </c>
      <c r="BF400" s="272">
        <f t="shared" si="42"/>
        <v>-8.5831164045466354E-2</v>
      </c>
      <c r="BG400" s="272">
        <f t="shared" si="42"/>
        <v>-3.4869531100031013E-2</v>
      </c>
    </row>
    <row r="401" spans="2:59" x14ac:dyDescent="0.3">
      <c r="B401" s="101">
        <v>40242</v>
      </c>
      <c r="C401" s="54">
        <v>513.39</v>
      </c>
      <c r="D401" s="102">
        <f t="shared" si="45"/>
        <v>3.3164959449397236E-2</v>
      </c>
      <c r="E401" s="102"/>
      <c r="F401" s="54">
        <v>1138.7</v>
      </c>
      <c r="G401" s="102">
        <f t="shared" si="45"/>
        <v>3.0973571512643794E-2</v>
      </c>
      <c r="O401" s="101">
        <v>42482</v>
      </c>
      <c r="P401" s="110">
        <v>36365.08</v>
      </c>
      <c r="Q401" s="110">
        <v>592.48</v>
      </c>
      <c r="R401" s="102">
        <f t="shared" si="41"/>
        <v>1.2739096287453466E-2</v>
      </c>
      <c r="S401" s="102">
        <f t="shared" si="41"/>
        <v>2.8678316367036837E-2</v>
      </c>
      <c r="BC401" s="101">
        <v>40487</v>
      </c>
      <c r="BD401" s="110">
        <v>47243.679700000001</v>
      </c>
      <c r="BE401" s="110">
        <v>457.27</v>
      </c>
      <c r="BF401" s="272">
        <f t="shared" si="42"/>
        <v>1.3843750049078023E-2</v>
      </c>
      <c r="BG401" s="272">
        <f t="shared" si="42"/>
        <v>1.019901136593533E-2</v>
      </c>
    </row>
    <row r="402" spans="2:59" x14ac:dyDescent="0.3">
      <c r="B402" s="101">
        <v>40235</v>
      </c>
      <c r="C402" s="54">
        <v>496.91</v>
      </c>
      <c r="D402" s="102">
        <f t="shared" si="45"/>
        <v>-2.5666666666666615E-2</v>
      </c>
      <c r="E402" s="102"/>
      <c r="F402" s="54">
        <v>1104.49</v>
      </c>
      <c r="G402" s="102">
        <f t="shared" si="45"/>
        <v>-4.2193712415590223E-3</v>
      </c>
      <c r="O402" s="101">
        <v>42481</v>
      </c>
      <c r="P402" s="110">
        <v>35904.76</v>
      </c>
      <c r="Q402" s="110">
        <v>575.73</v>
      </c>
      <c r="R402" s="102">
        <f t="shared" si="41"/>
        <v>2.5975347145968754E-2</v>
      </c>
      <c r="S402" s="102">
        <f t="shared" si="41"/>
        <v>1.3464566570469298E-2</v>
      </c>
      <c r="BC402" s="101">
        <v>40480</v>
      </c>
      <c r="BD402" s="110">
        <v>46594.156300000002</v>
      </c>
      <c r="BE402" s="110">
        <v>452.63</v>
      </c>
      <c r="BF402" s="272">
        <f t="shared" si="42"/>
        <v>2.8147619076969682E-4</v>
      </c>
      <c r="BG402" s="272">
        <f t="shared" si="42"/>
        <v>1.652893373293968E-2</v>
      </c>
    </row>
    <row r="403" spans="2:59" x14ac:dyDescent="0.3">
      <c r="B403" s="101">
        <v>40228</v>
      </c>
      <c r="C403" s="54">
        <v>510</v>
      </c>
      <c r="D403" s="102">
        <f t="shared" si="45"/>
        <v>5.9171597633136397E-3</v>
      </c>
      <c r="E403" s="102"/>
      <c r="F403" s="54">
        <v>1109.17</v>
      </c>
      <c r="G403" s="102">
        <f t="shared" si="45"/>
        <v>3.1296780132216373E-2</v>
      </c>
      <c r="O403" s="101">
        <v>42480</v>
      </c>
      <c r="P403" s="110">
        <v>34984.129999999997</v>
      </c>
      <c r="Q403" s="110">
        <v>568.03</v>
      </c>
      <c r="R403" s="102">
        <f t="shared" si="41"/>
        <v>-2.6280226234875067E-3</v>
      </c>
      <c r="S403" s="102">
        <f t="shared" si="41"/>
        <v>-4.4002077607992277E-4</v>
      </c>
      <c r="BC403" s="101">
        <v>40473</v>
      </c>
      <c r="BD403" s="110">
        <v>46581.042999999998</v>
      </c>
      <c r="BE403" s="110">
        <v>445.21</v>
      </c>
      <c r="BF403" s="272">
        <f t="shared" si="42"/>
        <v>-7.5740396681391348E-2</v>
      </c>
      <c r="BG403" s="272">
        <f t="shared" si="42"/>
        <v>-2.9174269189811454E-2</v>
      </c>
    </row>
    <row r="404" spans="2:59" x14ac:dyDescent="0.3">
      <c r="B404" s="101">
        <v>40221</v>
      </c>
      <c r="C404" s="54">
        <v>507</v>
      </c>
      <c r="D404" s="102">
        <f t="shared" si="45"/>
        <v>2.8314132727567776E-2</v>
      </c>
      <c r="E404" s="102"/>
      <c r="F404" s="54">
        <v>1075.51</v>
      </c>
      <c r="G404" s="102">
        <f t="shared" si="45"/>
        <v>8.741406315947442E-3</v>
      </c>
      <c r="O404" s="101">
        <v>42479</v>
      </c>
      <c r="P404" s="110">
        <v>35076.19</v>
      </c>
      <c r="Q404" s="110">
        <v>568.28</v>
      </c>
      <c r="R404" s="102">
        <f t="shared" si="41"/>
        <v>-4.6161964594946092E-2</v>
      </c>
      <c r="S404" s="102">
        <f t="shared" si="41"/>
        <v>-2.0172440089569414E-2</v>
      </c>
      <c r="BC404" s="101">
        <v>40466</v>
      </c>
      <c r="BD404" s="110">
        <v>50246.156300000002</v>
      </c>
      <c r="BE404" s="110">
        <v>458.39</v>
      </c>
      <c r="BF404" s="272">
        <f t="shared" si="42"/>
        <v>-2.8655716463919269E-2</v>
      </c>
      <c r="BG404" s="272">
        <f t="shared" si="42"/>
        <v>-1.8961483368711706E-3</v>
      </c>
    </row>
    <row r="405" spans="2:59" x14ac:dyDescent="0.3">
      <c r="B405" s="101">
        <v>40214</v>
      </c>
      <c r="C405" s="54">
        <v>493.04</v>
      </c>
      <c r="D405" s="102">
        <f t="shared" si="45"/>
        <v>2.29894597061997E-2</v>
      </c>
      <c r="E405" s="102"/>
      <c r="F405" s="54">
        <v>1066.19</v>
      </c>
      <c r="G405" s="102">
        <f t="shared" si="45"/>
        <v>-7.1517036512798171E-3</v>
      </c>
      <c r="O405" s="101">
        <v>42475</v>
      </c>
      <c r="P405" s="110">
        <v>36733.33</v>
      </c>
      <c r="Q405" s="110">
        <v>579.86</v>
      </c>
      <c r="R405" s="102">
        <f t="shared" si="41"/>
        <v>-2.5030356173794499E-3</v>
      </c>
      <c r="S405" s="102">
        <f t="shared" si="41"/>
        <v>6.3828871792269914E-4</v>
      </c>
      <c r="BC405" s="101">
        <v>40459</v>
      </c>
      <c r="BD405" s="110">
        <v>51706.824200000003</v>
      </c>
      <c r="BE405" s="110">
        <v>459.26</v>
      </c>
      <c r="BF405" s="272">
        <f t="shared" si="42"/>
        <v>-4.3080209796428133E-2</v>
      </c>
      <c r="BG405" s="272">
        <f t="shared" si="42"/>
        <v>1.6576117487662623E-2</v>
      </c>
    </row>
    <row r="406" spans="2:59" x14ac:dyDescent="0.3">
      <c r="B406" s="101">
        <v>40207</v>
      </c>
      <c r="C406" s="54">
        <v>481.96</v>
      </c>
      <c r="D406" s="102">
        <f t="shared" ref="D406:G421" si="46">C406/C407-1</f>
        <v>9.15010783307868E-3</v>
      </c>
      <c r="E406" s="102"/>
      <c r="F406" s="54">
        <v>1073.8699999999999</v>
      </c>
      <c r="G406" s="102">
        <f t="shared" si="46"/>
        <v>-1.6386385286143557E-2</v>
      </c>
      <c r="O406" s="101">
        <v>42474</v>
      </c>
      <c r="P406" s="110">
        <v>36825.39</v>
      </c>
      <c r="Q406" s="110">
        <v>579.49</v>
      </c>
      <c r="R406" s="102">
        <f t="shared" si="41"/>
        <v>0</v>
      </c>
      <c r="S406" s="102">
        <f t="shared" si="41"/>
        <v>2.5399362256588822E-3</v>
      </c>
      <c r="BC406" s="101">
        <v>40452</v>
      </c>
      <c r="BD406" s="110">
        <v>53983.042999999998</v>
      </c>
      <c r="BE406" s="110">
        <v>451.71</v>
      </c>
      <c r="BF406" s="272">
        <f t="shared" si="42"/>
        <v>-3.9307169614350296E-2</v>
      </c>
      <c r="BG406" s="272">
        <f t="shared" si="42"/>
        <v>4.4374504267191989E-3</v>
      </c>
    </row>
    <row r="407" spans="2:59" x14ac:dyDescent="0.3">
      <c r="B407" s="101">
        <v>40200</v>
      </c>
      <c r="C407" s="54">
        <v>477.59</v>
      </c>
      <c r="D407" s="102">
        <f t="shared" si="46"/>
        <v>-5.5063115824462883E-2</v>
      </c>
      <c r="E407" s="102"/>
      <c r="F407" s="54">
        <v>1091.76</v>
      </c>
      <c r="G407" s="102">
        <f t="shared" si="46"/>
        <v>-3.8969041310528807E-2</v>
      </c>
      <c r="O407" s="101">
        <v>42473</v>
      </c>
      <c r="P407" s="110">
        <v>36825.39</v>
      </c>
      <c r="Q407" s="110">
        <v>578.02</v>
      </c>
      <c r="R407" s="102">
        <f t="shared" si="41"/>
        <v>-1.734878978976807E-2</v>
      </c>
      <c r="S407" s="102">
        <f t="shared" si="41"/>
        <v>-3.1437332646959033E-3</v>
      </c>
      <c r="BC407" s="101">
        <v>40445</v>
      </c>
      <c r="BD407" s="110">
        <v>56147.218800000002</v>
      </c>
      <c r="BE407" s="110">
        <v>449.71</v>
      </c>
      <c r="BF407" s="272">
        <f t="shared" si="42"/>
        <v>-1.810078538797761E-2</v>
      </c>
      <c r="BG407" s="272">
        <f t="shared" si="42"/>
        <v>-1.7348802240391537E-2</v>
      </c>
    </row>
    <row r="408" spans="2:59" x14ac:dyDescent="0.3">
      <c r="B408" s="101">
        <v>40193</v>
      </c>
      <c r="C408" s="54">
        <v>505.42</v>
      </c>
      <c r="D408" s="102">
        <f t="shared" si="46"/>
        <v>-2.9717796122096352E-2</v>
      </c>
      <c r="E408" s="102"/>
      <c r="F408" s="54">
        <v>1136.03</v>
      </c>
      <c r="G408" s="102">
        <f t="shared" si="46"/>
        <v>-7.8167304232388268E-3</v>
      </c>
      <c r="O408" s="101">
        <v>42472</v>
      </c>
      <c r="P408" s="110">
        <v>37469.839999999997</v>
      </c>
      <c r="Q408" s="110">
        <v>579.84</v>
      </c>
      <c r="R408" s="102">
        <f t="shared" si="41"/>
        <v>2.4599324981423379E-3</v>
      </c>
      <c r="S408" s="102">
        <f t="shared" si="41"/>
        <v>9.8351329200277904E-4</v>
      </c>
      <c r="BC408" s="101">
        <v>40438</v>
      </c>
      <c r="BD408" s="110">
        <v>57172.781300000002</v>
      </c>
      <c r="BE408" s="110">
        <v>457.58</v>
      </c>
      <c r="BF408" s="272">
        <f t="shared" si="42"/>
        <v>-1.330174270757631E-2</v>
      </c>
      <c r="BG408" s="272">
        <f t="shared" si="42"/>
        <v>1.3620021979528375E-2</v>
      </c>
    </row>
    <row r="409" spans="2:59" x14ac:dyDescent="0.3">
      <c r="B409" s="101">
        <v>40186</v>
      </c>
      <c r="C409" s="54">
        <v>520.9</v>
      </c>
      <c r="D409" s="102">
        <f t="shared" si="46"/>
        <v>5.2812417891141328E-2</v>
      </c>
      <c r="E409" s="102"/>
      <c r="F409" s="54">
        <v>1144.98</v>
      </c>
      <c r="G409" s="102">
        <f t="shared" si="46"/>
        <v>2.6795803066989698E-2</v>
      </c>
      <c r="O409" s="101">
        <v>42471</v>
      </c>
      <c r="P409" s="110">
        <v>37377.78</v>
      </c>
      <c r="Q409" s="110">
        <v>579.27</v>
      </c>
      <c r="R409" s="102">
        <f t="shared" si="41"/>
        <v>0</v>
      </c>
      <c r="S409" s="102">
        <f t="shared" si="41"/>
        <v>1.2035469737385149E-2</v>
      </c>
      <c r="BC409" s="101">
        <v>40431</v>
      </c>
      <c r="BD409" s="110">
        <v>57938.359400000001</v>
      </c>
      <c r="BE409" s="110">
        <v>451.39</v>
      </c>
      <c r="BF409" s="272">
        <f t="shared" si="42"/>
        <v>-4.4561271164155598E-2</v>
      </c>
      <c r="BG409" s="272">
        <f t="shared" si="42"/>
        <v>-1.6173688531574543E-2</v>
      </c>
    </row>
    <row r="410" spans="2:59" x14ac:dyDescent="0.3">
      <c r="B410" s="101">
        <v>40179</v>
      </c>
      <c r="C410" s="54">
        <v>494.77</v>
      </c>
      <c r="D410" s="102">
        <f t="shared" si="46"/>
        <v>-6.2616142845606237E-4</v>
      </c>
      <c r="E410" s="102"/>
      <c r="F410" s="54">
        <v>1115.0999999999999</v>
      </c>
      <c r="G410" s="102">
        <f t="shared" si="46"/>
        <v>-1.0102265464100646E-2</v>
      </c>
      <c r="O410" s="101">
        <v>42468</v>
      </c>
      <c r="P410" s="110">
        <v>37377.78</v>
      </c>
      <c r="Q410" s="110">
        <v>572.34</v>
      </c>
      <c r="R410" s="102">
        <f t="shared" si="41"/>
        <v>4.0206532981470117E-2</v>
      </c>
      <c r="S410" s="102">
        <f t="shared" si="41"/>
        <v>1.2937743294594345E-3</v>
      </c>
      <c r="BC410" s="101">
        <v>40424</v>
      </c>
      <c r="BD410" s="110">
        <v>60578.554700000001</v>
      </c>
      <c r="BE410" s="110">
        <v>458.75</v>
      </c>
      <c r="BF410" s="272">
        <f t="shared" si="42"/>
        <v>0.11942767265656341</v>
      </c>
      <c r="BG410" s="272">
        <f t="shared" si="42"/>
        <v>6.6722193351845066E-2</v>
      </c>
    </row>
    <row r="411" spans="2:59" x14ac:dyDescent="0.3">
      <c r="B411" s="101">
        <v>40172</v>
      </c>
      <c r="C411" s="54">
        <v>495.08</v>
      </c>
      <c r="D411" s="102">
        <f t="shared" si="46"/>
        <v>0.1167050119547075</v>
      </c>
      <c r="E411" s="102"/>
      <c r="F411" s="54">
        <v>1126.48</v>
      </c>
      <c r="G411" s="102">
        <f t="shared" si="46"/>
        <v>2.1778370386495771E-2</v>
      </c>
      <c r="O411" s="101">
        <v>42467</v>
      </c>
      <c r="P411" s="110">
        <v>35904.76</v>
      </c>
      <c r="Q411" s="110">
        <v>571.6</v>
      </c>
      <c r="R411" s="102">
        <f t="shared" si="41"/>
        <v>2.8610581072756745E-2</v>
      </c>
      <c r="S411" s="102">
        <f t="shared" si="41"/>
        <v>6.6878140070850229E-3</v>
      </c>
      <c r="BC411" s="101">
        <v>40417</v>
      </c>
      <c r="BD411" s="110">
        <v>53759.117200000001</v>
      </c>
      <c r="BE411" s="110">
        <v>429.14</v>
      </c>
      <c r="BF411" s="272">
        <f t="shared" si="42"/>
        <v>-8.2399802602709071E-2</v>
      </c>
      <c r="BG411" s="272">
        <f t="shared" si="42"/>
        <v>-5.8162502739587021E-2</v>
      </c>
    </row>
    <row r="412" spans="2:59" x14ac:dyDescent="0.3">
      <c r="B412" s="101">
        <v>40165</v>
      </c>
      <c r="C412" s="54">
        <v>443.34</v>
      </c>
      <c r="D412" s="102">
        <f t="shared" si="46"/>
        <v>-1.8461815561960915E-3</v>
      </c>
      <c r="E412" s="102"/>
      <c r="F412" s="54">
        <v>1102.47</v>
      </c>
      <c r="G412" s="102">
        <f t="shared" si="46"/>
        <v>-3.5610668739437523E-3</v>
      </c>
      <c r="O412" s="101">
        <v>42466</v>
      </c>
      <c r="P412" s="110">
        <v>34892.06</v>
      </c>
      <c r="Q412" s="110">
        <v>567.79</v>
      </c>
      <c r="R412" s="102">
        <f t="shared" si="41"/>
        <v>1.864222291871347E-2</v>
      </c>
      <c r="S412" s="102">
        <f t="shared" si="41"/>
        <v>1.3243582951140233E-2</v>
      </c>
      <c r="BC412" s="101">
        <v>40410</v>
      </c>
      <c r="BD412" s="110">
        <v>58376.480499999998</v>
      </c>
      <c r="BE412" s="110">
        <v>454.84</v>
      </c>
      <c r="BF412" s="272">
        <f t="shared" si="42"/>
        <v>7.4664546140209599E-3</v>
      </c>
      <c r="BG412" s="272">
        <f t="shared" si="42"/>
        <v>4.6497874579530902E-3</v>
      </c>
    </row>
    <row r="413" spans="2:59" x14ac:dyDescent="0.3">
      <c r="B413" s="101">
        <v>40158</v>
      </c>
      <c r="C413" s="54">
        <v>444.16</v>
      </c>
      <c r="D413" s="102">
        <f t="shared" si="46"/>
        <v>-0.10263455632778395</v>
      </c>
      <c r="E413" s="102"/>
      <c r="F413" s="54">
        <v>1106.4100000000001</v>
      </c>
      <c r="G413" s="102">
        <f t="shared" si="46"/>
        <v>3.887954574224306E-4</v>
      </c>
      <c r="O413" s="101">
        <v>42465</v>
      </c>
      <c r="P413" s="110">
        <v>34247.620000000003</v>
      </c>
      <c r="Q413" s="110">
        <v>560.32000000000005</v>
      </c>
      <c r="R413" s="102">
        <f t="shared" si="41"/>
        <v>1.6260492151345521E-2</v>
      </c>
      <c r="S413" s="102">
        <f t="shared" si="41"/>
        <v>8.0635482695318034E-3</v>
      </c>
      <c r="BC413" s="101">
        <v>40403</v>
      </c>
      <c r="BD413" s="110">
        <v>57942.238299999997</v>
      </c>
      <c r="BE413" s="110">
        <v>452.73</v>
      </c>
      <c r="BF413" s="272">
        <f t="shared" si="42"/>
        <v>-8.6074700882167787E-2</v>
      </c>
      <c r="BG413" s="272">
        <f t="shared" si="42"/>
        <v>-6.4347992087527658E-2</v>
      </c>
    </row>
    <row r="414" spans="2:59" x14ac:dyDescent="0.3">
      <c r="B414" s="101">
        <v>40151</v>
      </c>
      <c r="C414" s="54">
        <v>494.96</v>
      </c>
      <c r="D414" s="102">
        <f t="shared" si="46"/>
        <v>8.8459500224205012E-3</v>
      </c>
      <c r="E414" s="102"/>
      <c r="F414" s="54">
        <v>1105.98</v>
      </c>
      <c r="G414" s="102">
        <f t="shared" si="46"/>
        <v>1.3275430833081359E-2</v>
      </c>
      <c r="O414" s="101">
        <v>42464</v>
      </c>
      <c r="P414" s="110">
        <v>33695.24</v>
      </c>
      <c r="Q414" s="110">
        <v>555.82000000000005</v>
      </c>
      <c r="R414" s="102">
        <f t="shared" ref="R414:S477" si="47">LN(P414/P415)</f>
        <v>-2.4292649833037007E-2</v>
      </c>
      <c r="S414" s="102">
        <f t="shared" si="47"/>
        <v>-4.6847741054417231E-3</v>
      </c>
      <c r="BC414" s="101">
        <v>40396</v>
      </c>
      <c r="BD414" s="110">
        <v>63150.535199999998</v>
      </c>
      <c r="BE414" s="110">
        <v>482.82</v>
      </c>
      <c r="BF414" s="272">
        <f t="shared" si="42"/>
        <v>-3.7042642516420393E-2</v>
      </c>
      <c r="BG414" s="272">
        <f t="shared" si="42"/>
        <v>-2.2709400969080251E-2</v>
      </c>
    </row>
    <row r="415" spans="2:59" x14ac:dyDescent="0.3">
      <c r="B415" s="101">
        <v>40144</v>
      </c>
      <c r="C415" s="54">
        <v>490.62</v>
      </c>
      <c r="D415" s="102">
        <f t="shared" si="46"/>
        <v>-0.11733592400690851</v>
      </c>
      <c r="E415" s="102"/>
      <c r="F415" s="54">
        <v>1091.49</v>
      </c>
      <c r="G415" s="102">
        <f t="shared" si="46"/>
        <v>1.0078982572503392E-4</v>
      </c>
      <c r="O415" s="101">
        <v>42461</v>
      </c>
      <c r="P415" s="110">
        <v>34523.81</v>
      </c>
      <c r="Q415" s="110">
        <v>558.42999999999995</v>
      </c>
      <c r="R415" s="102">
        <f t="shared" si="47"/>
        <v>-2.6317451264069626E-2</v>
      </c>
      <c r="S415" s="102">
        <f t="shared" si="47"/>
        <v>-4.9837105786387972E-3</v>
      </c>
      <c r="BC415" s="101">
        <v>40389</v>
      </c>
      <c r="BD415" s="110">
        <v>65533.664100000002</v>
      </c>
      <c r="BE415" s="110">
        <v>493.91</v>
      </c>
      <c r="BF415" s="272">
        <f t="shared" si="42"/>
        <v>-1.7467737695407631E-2</v>
      </c>
      <c r="BG415" s="272">
        <f t="shared" si="42"/>
        <v>-1.2874591946420804E-2</v>
      </c>
    </row>
    <row r="416" spans="2:59" x14ac:dyDescent="0.3">
      <c r="B416" s="101">
        <v>40137</v>
      </c>
      <c r="C416" s="54">
        <v>555.84</v>
      </c>
      <c r="D416" s="102">
        <f t="shared" si="46"/>
        <v>1.3918024114846439E-2</v>
      </c>
      <c r="E416" s="102"/>
      <c r="F416" s="54">
        <v>1091.3800000000001</v>
      </c>
      <c r="G416" s="102">
        <f t="shared" si="46"/>
        <v>-1.9204740827448719E-3</v>
      </c>
      <c r="O416" s="101">
        <v>42460</v>
      </c>
      <c r="P416" s="110">
        <v>35444.449999999997</v>
      </c>
      <c r="Q416" s="110">
        <v>561.22</v>
      </c>
      <c r="R416" s="102">
        <f t="shared" si="47"/>
        <v>-1.0335896913173319E-2</v>
      </c>
      <c r="S416" s="102">
        <f t="shared" si="47"/>
        <v>-1.5365468113031534E-2</v>
      </c>
      <c r="BC416" s="101">
        <v>40382</v>
      </c>
      <c r="BD416" s="110">
        <v>66688.445300000007</v>
      </c>
      <c r="BE416" s="110">
        <v>500.31</v>
      </c>
      <c r="BF416" s="272">
        <f t="shared" ref="BF416:BG479" si="48">LN(BD416/BD417)</f>
        <v>6.2823729549205034E-3</v>
      </c>
      <c r="BG416" s="272">
        <f t="shared" si="48"/>
        <v>-1.1723696651832547E-2</v>
      </c>
    </row>
    <row r="417" spans="2:59" x14ac:dyDescent="0.3">
      <c r="B417" s="101">
        <v>40130</v>
      </c>
      <c r="C417" s="54">
        <v>548.21</v>
      </c>
      <c r="D417" s="102">
        <f t="shared" si="46"/>
        <v>-1.2020617070357509E-2</v>
      </c>
      <c r="E417" s="102"/>
      <c r="F417" s="54">
        <v>1093.48</v>
      </c>
      <c r="G417" s="102">
        <f t="shared" si="46"/>
        <v>2.2612924343028196E-2</v>
      </c>
      <c r="O417" s="101">
        <v>42459</v>
      </c>
      <c r="P417" s="110">
        <v>35812.699999999997</v>
      </c>
      <c r="Q417" s="110">
        <v>569.91</v>
      </c>
      <c r="R417" s="102">
        <f t="shared" si="47"/>
        <v>4.4685505858934549E-2</v>
      </c>
      <c r="S417" s="102">
        <f t="shared" si="47"/>
        <v>2.864198621191041E-3</v>
      </c>
      <c r="BC417" s="101">
        <v>40375</v>
      </c>
      <c r="BD417" s="110">
        <v>66270.796900000001</v>
      </c>
      <c r="BE417" s="110">
        <v>506.21</v>
      </c>
      <c r="BF417" s="272">
        <f t="shared" si="48"/>
        <v>4.1064125882422656E-2</v>
      </c>
      <c r="BG417" s="272">
        <f t="shared" si="48"/>
        <v>1.342408815148264E-2</v>
      </c>
    </row>
    <row r="418" spans="2:59" x14ac:dyDescent="0.3">
      <c r="B418" s="101">
        <v>40123</v>
      </c>
      <c r="C418" s="54">
        <v>554.88</v>
      </c>
      <c r="D418" s="102">
        <f t="shared" si="46"/>
        <v>-5.4912113366943793E-2</v>
      </c>
      <c r="E418" s="102"/>
      <c r="F418" s="54">
        <v>1069.3</v>
      </c>
      <c r="G418" s="102">
        <f t="shared" si="46"/>
        <v>3.1953599243381925E-2</v>
      </c>
      <c r="O418" s="101">
        <v>42458</v>
      </c>
      <c r="P418" s="110">
        <v>34247.620000000003</v>
      </c>
      <c r="Q418" s="110">
        <v>568.28</v>
      </c>
      <c r="R418" s="102">
        <f t="shared" si="47"/>
        <v>-2.3905479468989174E-2</v>
      </c>
      <c r="S418" s="102">
        <f t="shared" si="47"/>
        <v>-1.3007176390593686E-2</v>
      </c>
      <c r="BC418" s="101">
        <v>40368</v>
      </c>
      <c r="BD418" s="110">
        <v>63604.5625</v>
      </c>
      <c r="BE418" s="110">
        <v>499.46</v>
      </c>
      <c r="BF418" s="272">
        <f t="shared" si="48"/>
        <v>-2.9155051300058129E-2</v>
      </c>
      <c r="BG418" s="272">
        <f t="shared" si="48"/>
        <v>-8.354067586742845E-3</v>
      </c>
    </row>
    <row r="419" spans="2:59" x14ac:dyDescent="0.3">
      <c r="B419" s="101">
        <v>40116</v>
      </c>
      <c r="C419" s="54">
        <v>587.12</v>
      </c>
      <c r="D419" s="102">
        <f t="shared" si="46"/>
        <v>-4.6387733887733762E-2</v>
      </c>
      <c r="E419" s="102"/>
      <c r="F419" s="54">
        <v>1036.19</v>
      </c>
      <c r="G419" s="102">
        <f t="shared" si="46"/>
        <v>-4.0209336791404038E-2</v>
      </c>
      <c r="O419" s="101">
        <v>42457</v>
      </c>
      <c r="P419" s="110">
        <v>35076.19</v>
      </c>
      <c r="Q419" s="110">
        <v>575.72</v>
      </c>
      <c r="R419" s="102">
        <f t="shared" si="47"/>
        <v>4.8396456040594261E-2</v>
      </c>
      <c r="S419" s="102">
        <f t="shared" si="47"/>
        <v>6.3425896543294049E-3</v>
      </c>
      <c r="BC419" s="101">
        <v>40361</v>
      </c>
      <c r="BD419" s="110">
        <v>65486.253900000003</v>
      </c>
      <c r="BE419" s="110">
        <v>503.65</v>
      </c>
      <c r="BF419" s="272">
        <f t="shared" si="48"/>
        <v>1.2275836326196851E-2</v>
      </c>
      <c r="BG419" s="272">
        <f t="shared" si="48"/>
        <v>-2.914442420991412E-3</v>
      </c>
    </row>
    <row r="420" spans="2:59" x14ac:dyDescent="0.3">
      <c r="B420" s="101">
        <v>40109</v>
      </c>
      <c r="C420" s="54">
        <v>615.67999999999995</v>
      </c>
      <c r="D420" s="102">
        <f t="shared" si="46"/>
        <v>1.0073169931423598E-2</v>
      </c>
      <c r="E420" s="102"/>
      <c r="F420" s="54">
        <v>1079.5999999999999</v>
      </c>
      <c r="G420" s="102">
        <f t="shared" si="46"/>
        <v>-7.4286554869080756E-3</v>
      </c>
      <c r="O420" s="101">
        <v>42454</v>
      </c>
      <c r="P420" s="110">
        <v>33419.050000000003</v>
      </c>
      <c r="Q420" s="110">
        <v>572.08000000000004</v>
      </c>
      <c r="R420" s="102">
        <f t="shared" si="47"/>
        <v>6.54572016931175E-2</v>
      </c>
      <c r="S420" s="102">
        <f t="shared" si="47"/>
        <v>2.4852560177915611E-3</v>
      </c>
      <c r="BC420" s="101">
        <v>40354</v>
      </c>
      <c r="BD420" s="110">
        <v>64687.269500000002</v>
      </c>
      <c r="BE420" s="110">
        <v>505.12</v>
      </c>
      <c r="BF420" s="272">
        <f t="shared" si="48"/>
        <v>-1.8096359365582886E-4</v>
      </c>
      <c r="BG420" s="272">
        <f t="shared" si="48"/>
        <v>-1.1925753857621369E-2</v>
      </c>
    </row>
    <row r="421" spans="2:59" x14ac:dyDescent="0.3">
      <c r="B421" s="101">
        <v>40102</v>
      </c>
      <c r="C421" s="54">
        <v>609.54</v>
      </c>
      <c r="D421" s="102">
        <f t="shared" si="46"/>
        <v>4.7337583119984705E-2</v>
      </c>
      <c r="E421" s="102"/>
      <c r="F421" s="54">
        <v>1087.68</v>
      </c>
      <c r="G421" s="102">
        <f t="shared" si="46"/>
        <v>1.5109800371445381E-2</v>
      </c>
      <c r="O421" s="101">
        <v>42453</v>
      </c>
      <c r="P421" s="110">
        <v>31301.59</v>
      </c>
      <c r="Q421" s="110">
        <v>570.66</v>
      </c>
      <c r="R421" s="102">
        <f t="shared" si="47"/>
        <v>5.7504612913961729E-2</v>
      </c>
      <c r="S421" s="102">
        <f t="shared" si="47"/>
        <v>-7.0719800227702981E-3</v>
      </c>
      <c r="BC421" s="101">
        <v>40347</v>
      </c>
      <c r="BD421" s="110">
        <v>64698.976600000002</v>
      </c>
      <c r="BE421" s="110">
        <v>511.18</v>
      </c>
      <c r="BF421" s="272">
        <f t="shared" si="48"/>
        <v>1.7707944069575127E-2</v>
      </c>
      <c r="BG421" s="272">
        <f t="shared" si="48"/>
        <v>1.3570279247817179E-2</v>
      </c>
    </row>
    <row r="422" spans="2:59" x14ac:dyDescent="0.3">
      <c r="B422" s="101">
        <v>40095</v>
      </c>
      <c r="C422" s="54">
        <v>581.99</v>
      </c>
      <c r="D422" s="102">
        <f t="shared" ref="D422:G437" si="49">C422/C423-1</f>
        <v>5.8683353646335368E-2</v>
      </c>
      <c r="E422" s="102"/>
      <c r="F422" s="54">
        <v>1071.49</v>
      </c>
      <c r="G422" s="102">
        <f t="shared" si="49"/>
        <v>4.5141970913276319E-2</v>
      </c>
      <c r="O422" s="101">
        <v>42452</v>
      </c>
      <c r="P422" s="110">
        <v>29552.38</v>
      </c>
      <c r="Q422" s="110">
        <v>574.71</v>
      </c>
      <c r="R422" s="102">
        <f t="shared" si="47"/>
        <v>2.8437886515406595E-2</v>
      </c>
      <c r="S422" s="102">
        <f t="shared" si="47"/>
        <v>6.6339867258256224E-3</v>
      </c>
      <c r="BC422" s="101">
        <v>40340</v>
      </c>
      <c r="BD422" s="110">
        <v>63563.375</v>
      </c>
      <c r="BE422" s="110">
        <v>504.29</v>
      </c>
      <c r="BF422" s="272">
        <f t="shared" si="48"/>
        <v>3.0156854279164013E-3</v>
      </c>
      <c r="BG422" s="272">
        <f t="shared" si="48"/>
        <v>-1.1984453454166447E-2</v>
      </c>
    </row>
    <row r="423" spans="2:59" x14ac:dyDescent="0.3">
      <c r="B423" s="101">
        <v>40088</v>
      </c>
      <c r="C423" s="54">
        <v>549.73</v>
      </c>
      <c r="D423" s="102">
        <f t="shared" si="49"/>
        <v>-5.6808043373824724E-2</v>
      </c>
      <c r="E423" s="102"/>
      <c r="F423" s="54">
        <v>1025.21</v>
      </c>
      <c r="G423" s="102">
        <f t="shared" si="49"/>
        <v>-1.835538788563551E-2</v>
      </c>
      <c r="O423" s="101">
        <v>42451</v>
      </c>
      <c r="P423" s="110">
        <v>28723.81</v>
      </c>
      <c r="Q423" s="110">
        <v>570.91</v>
      </c>
      <c r="R423" s="102">
        <f t="shared" si="47"/>
        <v>-3.7740263511876294E-2</v>
      </c>
      <c r="S423" s="102">
        <f t="shared" si="47"/>
        <v>-2.3793289623739756E-3</v>
      </c>
      <c r="BC423" s="101">
        <v>40333</v>
      </c>
      <c r="BD423" s="110">
        <v>63371.976600000002</v>
      </c>
      <c r="BE423" s="110">
        <v>510.37</v>
      </c>
      <c r="BF423" s="272">
        <f t="shared" si="48"/>
        <v>1.8578083209605373E-2</v>
      </c>
      <c r="BG423" s="272">
        <f t="shared" si="48"/>
        <v>-5.1203989297349583E-3</v>
      </c>
    </row>
    <row r="424" spans="2:59" x14ac:dyDescent="0.3">
      <c r="B424" s="101">
        <v>40081</v>
      </c>
      <c r="C424" s="54">
        <v>582.84</v>
      </c>
      <c r="D424" s="102">
        <f t="shared" si="49"/>
        <v>2.0717675697448534E-2</v>
      </c>
      <c r="E424" s="102"/>
      <c r="F424" s="54">
        <v>1044.3800000000001</v>
      </c>
      <c r="G424" s="102">
        <f t="shared" si="49"/>
        <v>-2.2390714218852192E-2</v>
      </c>
      <c r="O424" s="101">
        <v>42450</v>
      </c>
      <c r="P424" s="110">
        <v>29828.57</v>
      </c>
      <c r="Q424" s="110">
        <v>572.27</v>
      </c>
      <c r="R424" s="102">
        <f t="shared" si="47"/>
        <v>9.3023769964697568E-3</v>
      </c>
      <c r="S424" s="102">
        <f t="shared" si="47"/>
        <v>-6.184203875923608E-3</v>
      </c>
      <c r="BC424" s="101">
        <v>40326</v>
      </c>
      <c r="BD424" s="110">
        <v>62205.515599999999</v>
      </c>
      <c r="BE424" s="110">
        <v>512.99</v>
      </c>
      <c r="BF424" s="272">
        <f t="shared" si="48"/>
        <v>9.7679717354753004E-2</v>
      </c>
      <c r="BG424" s="272">
        <f t="shared" si="48"/>
        <v>5.8812146159629035E-2</v>
      </c>
    </row>
    <row r="425" spans="2:59" x14ac:dyDescent="0.3">
      <c r="B425" s="101">
        <v>40074</v>
      </c>
      <c r="C425" s="54">
        <v>571.01</v>
      </c>
      <c r="D425" s="102">
        <f t="shared" si="49"/>
        <v>4.2008065840617448E-2</v>
      </c>
      <c r="E425" s="102"/>
      <c r="F425" s="54">
        <v>1068.3</v>
      </c>
      <c r="G425" s="102">
        <f t="shared" si="49"/>
        <v>2.4522167771139136E-2</v>
      </c>
      <c r="O425" s="101">
        <v>42447</v>
      </c>
      <c r="P425" s="110">
        <v>29552.38</v>
      </c>
      <c r="Q425" s="110">
        <v>575.82000000000005</v>
      </c>
      <c r="R425" s="102">
        <f t="shared" si="47"/>
        <v>-2.76514851874788E-2</v>
      </c>
      <c r="S425" s="102">
        <f t="shared" si="47"/>
        <v>-5.9563150089424225E-3</v>
      </c>
      <c r="BC425" s="101">
        <v>40319</v>
      </c>
      <c r="BD425" s="110">
        <v>56416.628900000003</v>
      </c>
      <c r="BE425" s="110">
        <v>483.69</v>
      </c>
      <c r="BF425" s="272">
        <f t="shared" si="48"/>
        <v>-0.1011613962637011</v>
      </c>
      <c r="BG425" s="272">
        <f t="shared" si="48"/>
        <v>-7.3768263620373836E-2</v>
      </c>
    </row>
    <row r="426" spans="2:59" x14ac:dyDescent="0.3">
      <c r="B426" s="101">
        <v>40067</v>
      </c>
      <c r="C426" s="54">
        <v>547.99</v>
      </c>
      <c r="D426" s="102">
        <f t="shared" si="49"/>
        <v>3.689757611307698E-2</v>
      </c>
      <c r="E426" s="102"/>
      <c r="F426" s="54">
        <v>1042.73</v>
      </c>
      <c r="G426" s="102">
        <f t="shared" si="49"/>
        <v>2.5905155450610007E-2</v>
      </c>
      <c r="O426" s="101">
        <v>42446</v>
      </c>
      <c r="P426" s="110">
        <v>30380.95</v>
      </c>
      <c r="Q426" s="110">
        <v>579.26</v>
      </c>
      <c r="R426" s="102">
        <f t="shared" si="47"/>
        <v>-9.0498206931776716E-3</v>
      </c>
      <c r="S426" s="102">
        <f t="shared" si="47"/>
        <v>3.787850559053113E-3</v>
      </c>
      <c r="BC426" s="101">
        <v>40312</v>
      </c>
      <c r="BD426" s="110">
        <v>62422.472699999998</v>
      </c>
      <c r="BE426" s="110">
        <v>520.72</v>
      </c>
      <c r="BF426" s="272">
        <f t="shared" si="48"/>
        <v>-8.8900716884509789E-2</v>
      </c>
      <c r="BG426" s="272">
        <f t="shared" si="48"/>
        <v>-4.0108881197234408E-2</v>
      </c>
    </row>
    <row r="427" spans="2:59" x14ac:dyDescent="0.3">
      <c r="B427" s="101">
        <v>40060</v>
      </c>
      <c r="C427" s="54">
        <v>528.49</v>
      </c>
      <c r="D427" s="102">
        <f t="shared" si="49"/>
        <v>-1.4985182562018862E-2</v>
      </c>
      <c r="E427" s="102"/>
      <c r="F427" s="54">
        <v>1016.4</v>
      </c>
      <c r="G427" s="102">
        <f t="shared" si="49"/>
        <v>-1.2177699163208433E-2</v>
      </c>
      <c r="O427" s="101">
        <v>42445</v>
      </c>
      <c r="P427" s="110">
        <v>30657.14</v>
      </c>
      <c r="Q427" s="110">
        <v>577.07000000000005</v>
      </c>
      <c r="R427" s="102">
        <f t="shared" si="47"/>
        <v>-2.9987149209599571E-3</v>
      </c>
      <c r="S427" s="102">
        <f t="shared" si="47"/>
        <v>5.2644960047496317E-3</v>
      </c>
      <c r="BC427" s="101">
        <v>40305</v>
      </c>
      <c r="BD427" s="110">
        <v>68226.023400000005</v>
      </c>
      <c r="BE427" s="110">
        <v>542.03</v>
      </c>
      <c r="BF427" s="272">
        <f t="shared" si="48"/>
        <v>1.2525136311255763E-2</v>
      </c>
      <c r="BG427" s="272">
        <f t="shared" si="48"/>
        <v>-6.2707490066644033E-4</v>
      </c>
    </row>
    <row r="428" spans="2:59" x14ac:dyDescent="0.3">
      <c r="B428" s="101">
        <v>40053</v>
      </c>
      <c r="C428" s="54">
        <v>536.53</v>
      </c>
      <c r="D428" s="102">
        <f t="shared" si="49"/>
        <v>3.3437987557062288E-2</v>
      </c>
      <c r="E428" s="102"/>
      <c r="F428" s="54">
        <v>1028.93</v>
      </c>
      <c r="G428" s="102">
        <f t="shared" si="49"/>
        <v>2.7286990927075649E-3</v>
      </c>
      <c r="O428" s="101">
        <v>42444</v>
      </c>
      <c r="P428" s="110">
        <v>30749.21</v>
      </c>
      <c r="Q428" s="110">
        <v>574.04</v>
      </c>
      <c r="R428" s="102">
        <f t="shared" si="47"/>
        <v>3.3488719089552074E-2</v>
      </c>
      <c r="S428" s="102">
        <f t="shared" si="47"/>
        <v>-6.8401856948562025E-3</v>
      </c>
      <c r="BC428" s="101">
        <v>40298</v>
      </c>
      <c r="BD428" s="110">
        <v>67376.8125</v>
      </c>
      <c r="BE428" s="110">
        <v>542.37</v>
      </c>
      <c r="BF428" s="272">
        <f t="shared" si="48"/>
        <v>4.3371933774558162E-2</v>
      </c>
      <c r="BG428" s="272">
        <f t="shared" si="48"/>
        <v>2.4374153799173952E-2</v>
      </c>
    </row>
    <row r="429" spans="2:59" x14ac:dyDescent="0.3">
      <c r="B429" s="101">
        <v>40046</v>
      </c>
      <c r="C429" s="54">
        <v>519.16999999999996</v>
      </c>
      <c r="D429" s="102">
        <f t="shared" si="49"/>
        <v>2.402414248801743E-2</v>
      </c>
      <c r="E429" s="102"/>
      <c r="F429" s="54">
        <v>1026.1300000000001</v>
      </c>
      <c r="G429" s="102">
        <f t="shared" si="49"/>
        <v>2.1950223585535333E-2</v>
      </c>
      <c r="O429" s="101">
        <v>42443</v>
      </c>
      <c r="P429" s="110">
        <v>29736.51</v>
      </c>
      <c r="Q429" s="110">
        <v>577.98</v>
      </c>
      <c r="R429" s="102">
        <f t="shared" si="47"/>
        <v>0</v>
      </c>
      <c r="S429" s="102">
        <f t="shared" si="47"/>
        <v>1.2464943963591086E-3</v>
      </c>
      <c r="BC429" s="101">
        <v>40291</v>
      </c>
      <c r="BD429" s="110">
        <v>64517.015599999999</v>
      </c>
      <c r="BE429" s="110">
        <v>529.30999999999995</v>
      </c>
      <c r="BF429" s="272">
        <f t="shared" si="48"/>
        <v>3.9783145654130242E-2</v>
      </c>
      <c r="BG429" s="272">
        <f t="shared" si="48"/>
        <v>1.3849214067262089E-2</v>
      </c>
    </row>
    <row r="430" spans="2:59" x14ac:dyDescent="0.3">
      <c r="B430" s="101">
        <v>40039</v>
      </c>
      <c r="C430" s="54">
        <v>506.99</v>
      </c>
      <c r="D430" s="102">
        <f t="shared" si="49"/>
        <v>5.4800790596067905E-2</v>
      </c>
      <c r="E430" s="102"/>
      <c r="F430" s="54">
        <v>1004.09</v>
      </c>
      <c r="G430" s="102">
        <f t="shared" si="49"/>
        <v>-6.3237273375029712E-3</v>
      </c>
      <c r="O430" s="101">
        <v>42440</v>
      </c>
      <c r="P430" s="110">
        <v>29736.51</v>
      </c>
      <c r="Q430" s="110">
        <v>577.26</v>
      </c>
      <c r="R430" s="102">
        <f t="shared" si="47"/>
        <v>9.3313106145374251E-3</v>
      </c>
      <c r="S430" s="102">
        <f t="shared" si="47"/>
        <v>2.3413731136400612E-3</v>
      </c>
      <c r="BC430" s="101">
        <v>40284</v>
      </c>
      <c r="BD430" s="110">
        <v>62000.710899999998</v>
      </c>
      <c r="BE430" s="110">
        <v>522.03</v>
      </c>
      <c r="BF430" s="272">
        <f t="shared" si="48"/>
        <v>2.6290756802272108E-2</v>
      </c>
      <c r="BG430" s="272">
        <f t="shared" si="48"/>
        <v>8.8701336782219271E-3</v>
      </c>
    </row>
    <row r="431" spans="2:59" x14ac:dyDescent="0.3">
      <c r="B431" s="101">
        <v>40032</v>
      </c>
      <c r="C431" s="54">
        <v>480.65</v>
      </c>
      <c r="D431" s="102">
        <f t="shared" si="49"/>
        <v>2.9758334047476298E-2</v>
      </c>
      <c r="E431" s="102"/>
      <c r="F431" s="54">
        <v>1010.48</v>
      </c>
      <c r="G431" s="102">
        <f t="shared" si="49"/>
        <v>2.3291610969336185E-2</v>
      </c>
      <c r="O431" s="101">
        <v>42439</v>
      </c>
      <c r="P431" s="110">
        <v>29460.32</v>
      </c>
      <c r="Q431" s="110">
        <v>575.91</v>
      </c>
      <c r="R431" s="102">
        <f t="shared" si="47"/>
        <v>9.4192047838923751E-3</v>
      </c>
      <c r="S431" s="102">
        <f t="shared" si="47"/>
        <v>7.3195286791939507E-3</v>
      </c>
      <c r="BC431" s="101">
        <v>40277</v>
      </c>
      <c r="BD431" s="110">
        <v>60391.906300000002</v>
      </c>
      <c r="BE431" s="110">
        <v>517.41999999999996</v>
      </c>
      <c r="BF431" s="272">
        <f t="shared" si="48"/>
        <v>7.6800701841455016E-2</v>
      </c>
      <c r="BG431" s="272">
        <f t="shared" si="48"/>
        <v>1.3503464257283276E-2</v>
      </c>
    </row>
    <row r="432" spans="2:59" x14ac:dyDescent="0.3">
      <c r="B432" s="101">
        <v>40025</v>
      </c>
      <c r="C432" s="54">
        <v>466.76</v>
      </c>
      <c r="D432" s="102">
        <f t="shared" si="49"/>
        <v>2.650040685271926E-2</v>
      </c>
      <c r="E432" s="102"/>
      <c r="F432" s="54">
        <v>987.48</v>
      </c>
      <c r="G432" s="102">
        <f t="shared" si="49"/>
        <v>8.3940934991728611E-3</v>
      </c>
      <c r="O432" s="101">
        <v>42438</v>
      </c>
      <c r="P432" s="110">
        <v>29184.13</v>
      </c>
      <c r="Q432" s="110">
        <v>571.71</v>
      </c>
      <c r="R432" s="102">
        <f t="shared" si="47"/>
        <v>0</v>
      </c>
      <c r="S432" s="102">
        <f t="shared" si="47"/>
        <v>-5.2336959367250031E-3</v>
      </c>
      <c r="BC432" s="101">
        <v>40270</v>
      </c>
      <c r="BD432" s="110">
        <v>55927.398399999998</v>
      </c>
      <c r="BE432" s="110">
        <v>510.48</v>
      </c>
      <c r="BF432" s="272">
        <f t="shared" si="48"/>
        <v>-2.2695687725133383E-2</v>
      </c>
      <c r="BG432" s="272">
        <f t="shared" si="48"/>
        <v>1.019914726222863E-2</v>
      </c>
    </row>
    <row r="433" spans="2:59" x14ac:dyDescent="0.3">
      <c r="B433" s="101">
        <v>40018</v>
      </c>
      <c r="C433" s="54">
        <v>454.71</v>
      </c>
      <c r="D433" s="102">
        <f t="shared" si="49"/>
        <v>6.0746028413464881E-2</v>
      </c>
      <c r="E433" s="102"/>
      <c r="F433" s="54">
        <v>979.26</v>
      </c>
      <c r="G433" s="102">
        <f t="shared" si="49"/>
        <v>4.134498819626109E-2</v>
      </c>
      <c r="O433" s="101">
        <v>42437</v>
      </c>
      <c r="P433" s="110">
        <v>29184.13</v>
      </c>
      <c r="Q433" s="110">
        <v>574.71</v>
      </c>
      <c r="R433" s="102">
        <f t="shared" si="47"/>
        <v>-9.4192047838922901E-3</v>
      </c>
      <c r="S433" s="102">
        <f t="shared" si="47"/>
        <v>-2.5892569053087349E-3</v>
      </c>
      <c r="BC433" s="101">
        <v>40263</v>
      </c>
      <c r="BD433" s="110">
        <v>57211.222699999998</v>
      </c>
      <c r="BE433" s="110">
        <v>505.3</v>
      </c>
      <c r="BF433" s="272">
        <f t="shared" si="48"/>
        <v>-2.2252567774556364E-2</v>
      </c>
      <c r="BG433" s="272">
        <f t="shared" si="48"/>
        <v>-2.0935073150946937E-2</v>
      </c>
    </row>
    <row r="434" spans="2:59" x14ac:dyDescent="0.3">
      <c r="B434" s="101">
        <v>40011</v>
      </c>
      <c r="C434" s="54">
        <v>428.67</v>
      </c>
      <c r="D434" s="102">
        <f t="shared" si="49"/>
        <v>-2.3152473623043068E-2</v>
      </c>
      <c r="E434" s="102"/>
      <c r="F434" s="54">
        <v>940.38</v>
      </c>
      <c r="G434" s="102">
        <f t="shared" si="49"/>
        <v>6.9671152161796313E-2</v>
      </c>
      <c r="O434" s="101">
        <v>42436</v>
      </c>
      <c r="P434" s="110">
        <v>29460.32</v>
      </c>
      <c r="Q434" s="110">
        <v>576.20000000000005</v>
      </c>
      <c r="R434" s="102">
        <f t="shared" si="47"/>
        <v>0</v>
      </c>
      <c r="S434" s="102">
        <f t="shared" si="47"/>
        <v>4.4353684052761584E-3</v>
      </c>
      <c r="BC434" s="101">
        <v>40256</v>
      </c>
      <c r="BD434" s="110">
        <v>58498.589800000002</v>
      </c>
      <c r="BE434" s="110">
        <v>515.99</v>
      </c>
      <c r="BF434" s="272">
        <f t="shared" si="48"/>
        <v>-1.4749488739249254E-2</v>
      </c>
      <c r="BG434" s="272">
        <f t="shared" si="48"/>
        <v>-2.9634626831645777E-2</v>
      </c>
    </row>
    <row r="435" spans="2:59" x14ac:dyDescent="0.3">
      <c r="B435" s="101">
        <v>40004</v>
      </c>
      <c r="C435" s="54">
        <v>438.83</v>
      </c>
      <c r="D435" s="102">
        <f t="shared" si="49"/>
        <v>7.7852287341539927E-3</v>
      </c>
      <c r="E435" s="102"/>
      <c r="F435" s="54">
        <v>879.13</v>
      </c>
      <c r="G435" s="102">
        <f t="shared" si="49"/>
        <v>-1.9287833827893119E-2</v>
      </c>
      <c r="O435" s="101">
        <v>42433</v>
      </c>
      <c r="P435" s="110">
        <v>29460.32</v>
      </c>
      <c r="Q435" s="110">
        <v>573.65</v>
      </c>
      <c r="R435" s="102">
        <f t="shared" si="47"/>
        <v>9.4192047838923751E-3</v>
      </c>
      <c r="S435" s="102">
        <f t="shared" si="47"/>
        <v>5.6991168555476871E-3</v>
      </c>
      <c r="BC435" s="101">
        <v>40249</v>
      </c>
      <c r="BD435" s="110">
        <v>59367.808599999997</v>
      </c>
      <c r="BE435" s="110">
        <v>531.51</v>
      </c>
      <c r="BF435" s="272">
        <f t="shared" si="48"/>
        <v>1.8392621651968772E-2</v>
      </c>
      <c r="BG435" s="272">
        <f t="shared" si="48"/>
        <v>3.468622202298563E-2</v>
      </c>
    </row>
    <row r="436" spans="2:59" x14ac:dyDescent="0.3">
      <c r="B436" s="101">
        <v>39997</v>
      </c>
      <c r="C436" s="54">
        <v>435.44</v>
      </c>
      <c r="D436" s="102">
        <f t="shared" si="49"/>
        <v>-5.6202180462535556E-2</v>
      </c>
      <c r="E436" s="102"/>
      <c r="F436" s="54">
        <v>896.42</v>
      </c>
      <c r="G436" s="102">
        <f t="shared" si="49"/>
        <v>-2.4464033083034131E-2</v>
      </c>
      <c r="O436" s="101">
        <v>42432</v>
      </c>
      <c r="P436" s="110">
        <v>29184.13</v>
      </c>
      <c r="Q436" s="110">
        <v>570.39</v>
      </c>
      <c r="R436" s="102">
        <f t="shared" si="47"/>
        <v>-3.1494892979517012E-3</v>
      </c>
      <c r="S436" s="102">
        <f t="shared" si="47"/>
        <v>3.6823693832559721E-4</v>
      </c>
      <c r="BC436" s="101">
        <v>40242</v>
      </c>
      <c r="BD436" s="110">
        <v>58285.859400000001</v>
      </c>
      <c r="BE436" s="110">
        <v>513.39</v>
      </c>
      <c r="BF436" s="272">
        <f t="shared" si="48"/>
        <v>5.7169665951363677E-2</v>
      </c>
      <c r="BG436" s="272">
        <f t="shared" si="48"/>
        <v>3.2626867078099392E-2</v>
      </c>
    </row>
    <row r="437" spans="2:59" x14ac:dyDescent="0.3">
      <c r="B437" s="101">
        <v>39990</v>
      </c>
      <c r="C437" s="54">
        <v>461.37</v>
      </c>
      <c r="D437" s="102">
        <f t="shared" si="49"/>
        <v>-2.9144396279617957E-2</v>
      </c>
      <c r="E437" s="102"/>
      <c r="F437" s="54">
        <v>918.9</v>
      </c>
      <c r="G437" s="102">
        <f t="shared" si="49"/>
        <v>-2.5292272288136575E-3</v>
      </c>
      <c r="O437" s="101">
        <v>42431</v>
      </c>
      <c r="P437" s="110">
        <v>29276.19</v>
      </c>
      <c r="Q437" s="110">
        <v>570.17999999999995</v>
      </c>
      <c r="R437" s="102">
        <f t="shared" si="47"/>
        <v>0</v>
      </c>
      <c r="S437" s="102">
        <f t="shared" si="47"/>
        <v>1.5233475347528367E-2</v>
      </c>
      <c r="BC437" s="101">
        <v>40235</v>
      </c>
      <c r="BD437" s="110">
        <v>55047.136700000003</v>
      </c>
      <c r="BE437" s="110">
        <v>496.91</v>
      </c>
      <c r="BF437" s="272">
        <f t="shared" si="48"/>
        <v>3.5475683787928639E-3</v>
      </c>
      <c r="BG437" s="272">
        <f t="shared" si="48"/>
        <v>-2.0102080411812495E-2</v>
      </c>
    </row>
    <row r="438" spans="2:59" x14ac:dyDescent="0.3">
      <c r="B438" s="101">
        <v>39983</v>
      </c>
      <c r="C438" s="54">
        <v>475.22</v>
      </c>
      <c r="D438" s="102">
        <f t="shared" ref="D438:G453" si="50">C438/C439-1</f>
        <v>-6.7446378461115675E-2</v>
      </c>
      <c r="E438" s="102"/>
      <c r="F438" s="54">
        <v>921.23</v>
      </c>
      <c r="G438" s="102">
        <f t="shared" si="50"/>
        <v>-2.6400059183479319E-2</v>
      </c>
      <c r="O438" s="101">
        <v>42430</v>
      </c>
      <c r="P438" s="110">
        <v>29276.19</v>
      </c>
      <c r="Q438" s="110">
        <v>561.55999999999995</v>
      </c>
      <c r="R438" s="102">
        <f t="shared" si="47"/>
        <v>1.2658259807005579E-2</v>
      </c>
      <c r="S438" s="102">
        <f t="shared" si="47"/>
        <v>3.9074746620655883E-3</v>
      </c>
      <c r="BC438" s="101">
        <v>40228</v>
      </c>
      <c r="BD438" s="110">
        <v>54852.199200000003</v>
      </c>
      <c r="BE438" s="110">
        <f>BE439</f>
        <v>507</v>
      </c>
      <c r="BF438" s="272">
        <f t="shared" si="48"/>
        <v>0</v>
      </c>
      <c r="BG438" s="272">
        <f t="shared" si="48"/>
        <v>0</v>
      </c>
    </row>
    <row r="439" spans="2:59" x14ac:dyDescent="0.3">
      <c r="B439" s="101">
        <v>39976</v>
      </c>
      <c r="C439" s="54">
        <v>509.59</v>
      </c>
      <c r="D439" s="102">
        <f t="shared" si="50"/>
        <v>6.4484458556149704E-2</v>
      </c>
      <c r="E439" s="102"/>
      <c r="F439" s="54">
        <v>946.21</v>
      </c>
      <c r="G439" s="102">
        <f t="shared" si="50"/>
        <v>6.5100149985639622E-3</v>
      </c>
      <c r="O439" s="101">
        <v>42429</v>
      </c>
      <c r="P439" s="110">
        <v>28907.94</v>
      </c>
      <c r="Q439" s="110">
        <v>559.37</v>
      </c>
      <c r="R439" s="102">
        <f t="shared" si="47"/>
        <v>-6.3489868442668214E-3</v>
      </c>
      <c r="S439" s="102">
        <f t="shared" si="47"/>
        <v>-1.1977255168457226E-2</v>
      </c>
      <c r="BC439" s="101">
        <v>40221</v>
      </c>
      <c r="BD439" s="110">
        <v>54852.199200000003</v>
      </c>
      <c r="BE439" s="110">
        <v>507</v>
      </c>
      <c r="BF439" s="272">
        <f t="shared" si="48"/>
        <v>3.9394909125641461E-2</v>
      </c>
      <c r="BG439" s="272">
        <f t="shared" si="48"/>
        <v>2.792069693719549E-2</v>
      </c>
    </row>
    <row r="440" spans="2:59" x14ac:dyDescent="0.3">
      <c r="B440" s="101">
        <v>39969</v>
      </c>
      <c r="C440" s="54">
        <v>478.72</v>
      </c>
      <c r="D440" s="102">
        <f t="shared" si="50"/>
        <v>0.16295792439996126</v>
      </c>
      <c r="E440" s="102"/>
      <c r="F440" s="54">
        <v>940.09</v>
      </c>
      <c r="G440" s="102">
        <f t="shared" si="50"/>
        <v>2.2793045673129342E-2</v>
      </c>
      <c r="O440" s="101">
        <v>42426</v>
      </c>
      <c r="P440" s="110">
        <v>29092.06</v>
      </c>
      <c r="Q440" s="110">
        <v>566.11</v>
      </c>
      <c r="R440" s="102">
        <f t="shared" si="47"/>
        <v>-1.5698997351152513E-2</v>
      </c>
      <c r="S440" s="102">
        <f t="shared" si="47"/>
        <v>5.8285443986172579E-3</v>
      </c>
      <c r="BC440" s="101">
        <v>40214</v>
      </c>
      <c r="BD440" s="110">
        <v>52733.3125</v>
      </c>
      <c r="BE440" s="110">
        <v>493.04</v>
      </c>
      <c r="BF440" s="272">
        <f t="shared" si="48"/>
        <v>6.8914604913166075E-3</v>
      </c>
      <c r="BG440" s="272">
        <f t="shared" si="48"/>
        <v>2.2729183598912038E-2</v>
      </c>
    </row>
    <row r="441" spans="2:59" x14ac:dyDescent="0.3">
      <c r="B441" s="101">
        <v>39962</v>
      </c>
      <c r="C441" s="54">
        <v>411.64</v>
      </c>
      <c r="D441" s="102">
        <f t="shared" si="50"/>
        <v>1.7450195264224533E-2</v>
      </c>
      <c r="E441" s="102"/>
      <c r="F441" s="54">
        <v>919.14</v>
      </c>
      <c r="G441" s="102">
        <f t="shared" si="50"/>
        <v>3.623449830890646E-2</v>
      </c>
      <c r="O441" s="101">
        <v>42425</v>
      </c>
      <c r="P441" s="110">
        <v>29552.38</v>
      </c>
      <c r="Q441" s="110">
        <v>562.82000000000005</v>
      </c>
      <c r="R441" s="102">
        <f t="shared" si="47"/>
        <v>3.1200089024732104E-3</v>
      </c>
      <c r="S441" s="102">
        <f t="shared" si="47"/>
        <v>-9.2319775652874823E-3</v>
      </c>
      <c r="BC441" s="101">
        <v>40207</v>
      </c>
      <c r="BD441" s="110">
        <v>52371.152300000002</v>
      </c>
      <c r="BE441" s="110">
        <v>481.96</v>
      </c>
      <c r="BF441" s="272">
        <f t="shared" si="48"/>
        <v>-1.5229879221544854E-2</v>
      </c>
      <c r="BG441" s="272">
        <f t="shared" si="48"/>
        <v>9.1084992193375056E-3</v>
      </c>
    </row>
    <row r="442" spans="2:59" x14ac:dyDescent="0.3">
      <c r="B442" s="101">
        <v>39955</v>
      </c>
      <c r="C442" s="54">
        <v>404.58</v>
      </c>
      <c r="D442" s="102">
        <f t="shared" si="50"/>
        <v>3.6959196227188684E-2</v>
      </c>
      <c r="E442" s="102"/>
      <c r="F442" s="54">
        <v>887</v>
      </c>
      <c r="G442" s="102">
        <f t="shared" si="50"/>
        <v>4.6665458499457468E-3</v>
      </c>
      <c r="O442" s="101">
        <v>42424</v>
      </c>
      <c r="P442" s="110">
        <v>29460.32</v>
      </c>
      <c r="Q442" s="110">
        <v>568.04</v>
      </c>
      <c r="R442" s="102">
        <f t="shared" si="47"/>
        <v>-3.1200089024731527E-3</v>
      </c>
      <c r="S442" s="102">
        <f t="shared" si="47"/>
        <v>1.1971949033048651E-2</v>
      </c>
      <c r="BC442" s="101">
        <v>40200</v>
      </c>
      <c r="BD442" s="110">
        <v>53174.863299999997</v>
      </c>
      <c r="BE442" s="110">
        <v>477.59</v>
      </c>
      <c r="BF442" s="272">
        <f t="shared" si="48"/>
        <v>-8.4693714286911637E-2</v>
      </c>
      <c r="BG442" s="272">
        <f t="shared" si="48"/>
        <v>-5.6637142951130238E-2</v>
      </c>
    </row>
    <row r="443" spans="2:59" x14ac:dyDescent="0.3">
      <c r="B443" s="101">
        <v>39948</v>
      </c>
      <c r="C443" s="54">
        <v>390.16</v>
      </c>
      <c r="D443" s="102">
        <f t="shared" si="50"/>
        <v>6.5370542296979917E-2</v>
      </c>
      <c r="E443" s="102"/>
      <c r="F443" s="54">
        <v>882.88</v>
      </c>
      <c r="G443" s="102">
        <f t="shared" si="50"/>
        <v>-4.9880008178814772E-2</v>
      </c>
      <c r="O443" s="101">
        <v>42423</v>
      </c>
      <c r="P443" s="110">
        <v>29552.38</v>
      </c>
      <c r="Q443" s="110">
        <v>561.28</v>
      </c>
      <c r="R443" s="102">
        <f t="shared" si="47"/>
        <v>1.2539213686365402E-2</v>
      </c>
      <c r="S443" s="102">
        <f t="shared" si="47"/>
        <v>1.0160519238801178E-3</v>
      </c>
      <c r="BC443" s="101">
        <v>40193</v>
      </c>
      <c r="BD443" s="110">
        <v>57874.652300000002</v>
      </c>
      <c r="BE443" s="110">
        <v>505.42</v>
      </c>
      <c r="BF443" s="272">
        <f t="shared" si="48"/>
        <v>-6.1241546608359718E-2</v>
      </c>
      <c r="BG443" s="272">
        <f t="shared" si="48"/>
        <v>-3.0168317964277387E-2</v>
      </c>
    </row>
    <row r="444" spans="2:59" x14ac:dyDescent="0.3">
      <c r="B444" s="101">
        <v>39941</v>
      </c>
      <c r="C444" s="54">
        <v>366.22</v>
      </c>
      <c r="D444" s="102">
        <f t="shared" si="50"/>
        <v>0.13863756490377144</v>
      </c>
      <c r="E444" s="102"/>
      <c r="F444" s="54">
        <v>929.23</v>
      </c>
      <c r="G444" s="102">
        <f t="shared" si="50"/>
        <v>5.8927431853404988E-2</v>
      </c>
      <c r="O444" s="101">
        <v>42422</v>
      </c>
      <c r="P444" s="110">
        <v>29184.13</v>
      </c>
      <c r="Q444" s="110">
        <v>560.71</v>
      </c>
      <c r="R444" s="102">
        <f t="shared" si="47"/>
        <v>-9.4192047838922901E-3</v>
      </c>
      <c r="S444" s="102">
        <f t="shared" si="47"/>
        <v>1.1985000914197214E-2</v>
      </c>
      <c r="BC444" s="101">
        <v>40186</v>
      </c>
      <c r="BD444" s="110">
        <v>61529.765599999999</v>
      </c>
      <c r="BE444" s="110">
        <v>520.9</v>
      </c>
      <c r="BF444" s="272">
        <f t="shared" si="48"/>
        <v>6.6505203894463683E-2</v>
      </c>
      <c r="BG444" s="272">
        <f t="shared" si="48"/>
        <v>5.1465076628720713E-2</v>
      </c>
    </row>
    <row r="445" spans="2:59" x14ac:dyDescent="0.3">
      <c r="B445" s="101">
        <v>39934</v>
      </c>
      <c r="C445" s="54">
        <v>321.63</v>
      </c>
      <c r="D445" s="102">
        <f t="shared" si="50"/>
        <v>3.7850919651500448E-2</v>
      </c>
      <c r="E445" s="102"/>
      <c r="F445" s="54">
        <v>877.52</v>
      </c>
      <c r="G445" s="102">
        <f t="shared" si="50"/>
        <v>1.3033489950705857E-2</v>
      </c>
      <c r="O445" s="101">
        <v>42419</v>
      </c>
      <c r="P445" s="110">
        <v>29460.32</v>
      </c>
      <c r="Q445" s="110">
        <v>554.03</v>
      </c>
      <c r="R445" s="102">
        <f t="shared" si="47"/>
        <v>-9.3313106145373123E-3</v>
      </c>
      <c r="S445" s="102">
        <f t="shared" si="47"/>
        <v>2.7835032250883981E-3</v>
      </c>
      <c r="BC445" s="101">
        <v>40179</v>
      </c>
      <c r="BD445" s="110">
        <v>57570.820299999999</v>
      </c>
      <c r="BE445" s="110">
        <v>494.77</v>
      </c>
      <c r="BF445" s="272">
        <f t="shared" si="48"/>
        <v>2.1255745108399608E-2</v>
      </c>
      <c r="BG445" s="272">
        <f t="shared" si="48"/>
        <v>-6.2635754939649089E-4</v>
      </c>
    </row>
    <row r="446" spans="2:59" x14ac:dyDescent="0.3">
      <c r="B446" s="101">
        <v>39927</v>
      </c>
      <c r="C446" s="54">
        <v>309.89999999999998</v>
      </c>
      <c r="D446" s="102">
        <f t="shared" si="50"/>
        <v>-7.2544442449272828E-2</v>
      </c>
      <c r="E446" s="102"/>
      <c r="F446" s="54">
        <v>866.23</v>
      </c>
      <c r="G446" s="102">
        <f t="shared" si="50"/>
        <v>-3.8753449862005684E-3</v>
      </c>
      <c r="O446" s="101">
        <v>42418</v>
      </c>
      <c r="P446" s="110">
        <v>29736.51</v>
      </c>
      <c r="Q446" s="110">
        <v>552.49</v>
      </c>
      <c r="R446" s="102">
        <f t="shared" si="47"/>
        <v>0</v>
      </c>
      <c r="S446" s="102">
        <f t="shared" si="47"/>
        <v>9.8951277577990528E-3</v>
      </c>
      <c r="BC446" s="101">
        <v>40172</v>
      </c>
      <c r="BD446" s="110">
        <v>56360.023399999998</v>
      </c>
      <c r="BE446" s="110">
        <v>495.08</v>
      </c>
      <c r="BF446" s="272">
        <f t="shared" si="48"/>
        <v>0.10516857887112943</v>
      </c>
      <c r="BG446" s="272">
        <f t="shared" si="48"/>
        <v>0.11038239564321038</v>
      </c>
    </row>
    <row r="447" spans="2:59" x14ac:dyDescent="0.3">
      <c r="B447" s="101">
        <v>39920</v>
      </c>
      <c r="C447" s="54">
        <v>334.14</v>
      </c>
      <c r="D447" s="102">
        <f t="shared" si="50"/>
        <v>2.7964928472542505E-2</v>
      </c>
      <c r="E447" s="102"/>
      <c r="F447" s="54">
        <v>869.6</v>
      </c>
      <c r="G447" s="102">
        <f t="shared" si="50"/>
        <v>1.5223685439432311E-2</v>
      </c>
      <c r="O447" s="101">
        <v>42417</v>
      </c>
      <c r="P447" s="110">
        <v>29736.51</v>
      </c>
      <c r="Q447" s="110">
        <v>547.04999999999995</v>
      </c>
      <c r="R447" s="102">
        <f t="shared" si="47"/>
        <v>1.8750515398429556E-2</v>
      </c>
      <c r="S447" s="102">
        <f t="shared" si="47"/>
        <v>-1.8263177389334687E-3</v>
      </c>
      <c r="BC447" s="101">
        <v>40165</v>
      </c>
      <c r="BD447" s="110">
        <v>50733.757799999999</v>
      </c>
      <c r="BE447" s="110">
        <v>443.34</v>
      </c>
      <c r="BF447" s="272">
        <f t="shared" si="48"/>
        <v>3.4326267541264213E-3</v>
      </c>
      <c r="BG447" s="272">
        <f t="shared" si="48"/>
        <v>-1.8478878497738794E-3</v>
      </c>
    </row>
    <row r="448" spans="2:59" x14ac:dyDescent="0.3">
      <c r="B448" s="101">
        <v>39913</v>
      </c>
      <c r="C448" s="54">
        <v>325.05</v>
      </c>
      <c r="D448" s="102">
        <f t="shared" si="50"/>
        <v>4.7602165785741946E-2</v>
      </c>
      <c r="E448" s="102"/>
      <c r="F448" s="54">
        <v>856.56</v>
      </c>
      <c r="G448" s="102">
        <f t="shared" si="50"/>
        <v>1.6688427299703212E-2</v>
      </c>
      <c r="O448" s="101">
        <v>42416</v>
      </c>
      <c r="P448" s="110">
        <v>29184.13</v>
      </c>
      <c r="Q448" s="110">
        <v>548.04999999999995</v>
      </c>
      <c r="R448" s="102">
        <f t="shared" si="47"/>
        <v>-3.1494892979517012E-3</v>
      </c>
      <c r="S448" s="102">
        <f t="shared" si="47"/>
        <v>7.8033807460885542E-3</v>
      </c>
      <c r="BC448" s="101">
        <v>40158</v>
      </c>
      <c r="BD448" s="110">
        <v>50559.906300000002</v>
      </c>
      <c r="BE448" s="110">
        <v>444.16</v>
      </c>
      <c r="BF448" s="272">
        <f t="shared" si="48"/>
        <v>-0.19383312490354726</v>
      </c>
      <c r="BG448" s="272">
        <f t="shared" si="48"/>
        <v>-0.10829209334434825</v>
      </c>
    </row>
    <row r="449" spans="2:59" x14ac:dyDescent="0.3">
      <c r="B449" s="101">
        <v>39906</v>
      </c>
      <c r="C449" s="54">
        <v>310.27999999999997</v>
      </c>
      <c r="D449" s="102">
        <f t="shared" si="50"/>
        <v>7.957273581294988E-2</v>
      </c>
      <c r="E449" s="102"/>
      <c r="F449" s="54">
        <v>842.5</v>
      </c>
      <c r="G449" s="102">
        <f t="shared" si="50"/>
        <v>3.2551413094100035E-2</v>
      </c>
      <c r="O449" s="101">
        <v>42415</v>
      </c>
      <c r="P449" s="110">
        <v>29276.19</v>
      </c>
      <c r="Q449" s="110">
        <v>543.79</v>
      </c>
      <c r="R449" s="102">
        <f t="shared" si="47"/>
        <v>0</v>
      </c>
      <c r="S449" s="102">
        <f t="shared" si="47"/>
        <v>-1.7638309090854916E-3</v>
      </c>
      <c r="BC449" s="101">
        <v>40151</v>
      </c>
      <c r="BD449" s="110">
        <v>61374.351600000002</v>
      </c>
      <c r="BE449" s="110">
        <v>494.96</v>
      </c>
      <c r="BF449" s="272">
        <f t="shared" si="48"/>
        <v>6.5882350057678753E-3</v>
      </c>
      <c r="BG449" s="272">
        <f t="shared" si="48"/>
        <v>8.8070538207923547E-3</v>
      </c>
    </row>
    <row r="450" spans="2:59" x14ac:dyDescent="0.3">
      <c r="B450" s="101">
        <v>39899</v>
      </c>
      <c r="C450" s="54">
        <v>287.41000000000003</v>
      </c>
      <c r="D450" s="102">
        <f t="shared" si="50"/>
        <v>7.7976145825519483E-2</v>
      </c>
      <c r="E450" s="102"/>
      <c r="F450" s="54">
        <v>815.94</v>
      </c>
      <c r="G450" s="102">
        <f t="shared" si="50"/>
        <v>6.1675384495276875E-2</v>
      </c>
      <c r="O450" s="101">
        <v>42405</v>
      </c>
      <c r="P450" s="110">
        <v>29276.19</v>
      </c>
      <c r="Q450" s="110">
        <v>544.75</v>
      </c>
      <c r="R450" s="102">
        <f t="shared" si="47"/>
        <v>0</v>
      </c>
      <c r="S450" s="102">
        <f t="shared" si="47"/>
        <v>4.784257906538256E-3</v>
      </c>
      <c r="BC450" s="101">
        <v>40144</v>
      </c>
      <c r="BD450" s="110">
        <v>60971.332000000002</v>
      </c>
      <c r="BE450" s="110">
        <v>490.62</v>
      </c>
      <c r="BF450" s="272">
        <f t="shared" si="48"/>
        <v>5.5179041578997154E-2</v>
      </c>
      <c r="BG450" s="272">
        <f t="shared" si="48"/>
        <v>-0.12481058565079928</v>
      </c>
    </row>
    <row r="451" spans="2:59" x14ac:dyDescent="0.3">
      <c r="B451" s="101">
        <v>39892</v>
      </c>
      <c r="C451" s="54">
        <v>266.62</v>
      </c>
      <c r="D451" s="102">
        <f t="shared" si="50"/>
        <v>6.0372255806554254E-2</v>
      </c>
      <c r="E451" s="102"/>
      <c r="F451" s="54">
        <v>768.54</v>
      </c>
      <c r="G451" s="102">
        <f t="shared" si="50"/>
        <v>1.5848258542066063E-2</v>
      </c>
      <c r="O451" s="101">
        <v>42404</v>
      </c>
      <c r="P451" s="110">
        <v>29276.19</v>
      </c>
      <c r="Q451" s="110">
        <v>542.15</v>
      </c>
      <c r="R451" s="102">
        <f t="shared" si="47"/>
        <v>2.5479158023300738E-2</v>
      </c>
      <c r="S451" s="102">
        <f t="shared" si="47"/>
        <v>5.6972833117186743E-3</v>
      </c>
      <c r="BC451" s="101">
        <v>40137</v>
      </c>
      <c r="BD451" s="110">
        <v>57698.128900000003</v>
      </c>
      <c r="BE451" s="110">
        <v>555.84</v>
      </c>
      <c r="BF451" s="272">
        <f t="shared" si="48"/>
        <v>0.10734108230916595</v>
      </c>
      <c r="BG451" s="272">
        <f t="shared" si="48"/>
        <v>1.3822057832734824E-2</v>
      </c>
    </row>
    <row r="452" spans="2:59" x14ac:dyDescent="0.3">
      <c r="B452" s="101">
        <v>39885</v>
      </c>
      <c r="C452" s="54">
        <v>251.44</v>
      </c>
      <c r="D452" s="102">
        <f t="shared" si="50"/>
        <v>2.3361823361823353E-2</v>
      </c>
      <c r="E452" s="102"/>
      <c r="F452" s="54">
        <v>756.55</v>
      </c>
      <c r="G452" s="102">
        <f t="shared" si="50"/>
        <v>0.10707073663262023</v>
      </c>
      <c r="O452" s="101">
        <v>42403</v>
      </c>
      <c r="P452" s="110">
        <v>28539.68</v>
      </c>
      <c r="Q452" s="110">
        <v>539.07000000000005</v>
      </c>
      <c r="R452" s="102">
        <f t="shared" si="47"/>
        <v>1.6260256643778847E-2</v>
      </c>
      <c r="S452" s="102">
        <f t="shared" si="47"/>
        <v>4.872071523716711E-3</v>
      </c>
      <c r="BC452" s="101">
        <v>40130</v>
      </c>
      <c r="BD452" s="110">
        <v>51825.570299999999</v>
      </c>
      <c r="BE452" s="110">
        <v>548.21</v>
      </c>
      <c r="BF452" s="272">
        <f t="shared" si="48"/>
        <v>-3.3983466827349394E-2</v>
      </c>
      <c r="BG452" s="272">
        <f t="shared" si="48"/>
        <v>-1.2093448932117066E-2</v>
      </c>
    </row>
    <row r="453" spans="2:59" x14ac:dyDescent="0.3">
      <c r="B453" s="101">
        <v>39878</v>
      </c>
      <c r="C453" s="54">
        <v>245.7</v>
      </c>
      <c r="D453" s="102">
        <f t="shared" si="50"/>
        <v>-1.6277366322137166E-4</v>
      </c>
      <c r="E453" s="102"/>
      <c r="F453" s="54">
        <v>683.38</v>
      </c>
      <c r="G453" s="102">
        <f t="shared" si="50"/>
        <v>-7.0345127807479368E-2</v>
      </c>
      <c r="O453" s="101">
        <v>42402</v>
      </c>
      <c r="P453" s="110">
        <v>28079.37</v>
      </c>
      <c r="Q453" s="110">
        <v>536.45000000000005</v>
      </c>
      <c r="R453" s="102">
        <f t="shared" si="47"/>
        <v>-1.2422445254518745E-2</v>
      </c>
      <c r="S453" s="102">
        <f t="shared" si="47"/>
        <v>-7.6322781611637153E-3</v>
      </c>
      <c r="BC453" s="101">
        <v>40123</v>
      </c>
      <c r="BD453" s="110">
        <v>53617.050799999997</v>
      </c>
      <c r="BE453" s="110">
        <v>554.88</v>
      </c>
      <c r="BF453" s="272">
        <f t="shared" si="48"/>
        <v>-0.10017636729246795</v>
      </c>
      <c r="BG453" s="272">
        <f t="shared" si="48"/>
        <v>-5.6477354084685093E-2</v>
      </c>
    </row>
    <row r="454" spans="2:59" x14ac:dyDescent="0.3">
      <c r="B454" s="101">
        <v>39871</v>
      </c>
      <c r="C454" s="54">
        <v>245.74</v>
      </c>
      <c r="D454" s="102">
        <f t="shared" ref="D454:G469" si="51">C454/C455-1</f>
        <v>-2.7042008156154651E-2</v>
      </c>
      <c r="E454" s="102"/>
      <c r="F454" s="54">
        <v>735.09</v>
      </c>
      <c r="G454" s="102">
        <f t="shared" si="51"/>
        <v>-4.5399649373417228E-2</v>
      </c>
      <c r="O454" s="101">
        <v>42401</v>
      </c>
      <c r="P454" s="110">
        <v>28430.36</v>
      </c>
      <c r="Q454" s="110">
        <v>540.55999999999995</v>
      </c>
      <c r="R454" s="102">
        <f t="shared" si="47"/>
        <v>1.8692199377563157E-2</v>
      </c>
      <c r="S454" s="102">
        <f t="shared" si="47"/>
        <v>-8.6387658378194176E-3</v>
      </c>
      <c r="BC454" s="101">
        <v>40116</v>
      </c>
      <c r="BD454" s="110">
        <v>59266.457000000002</v>
      </c>
      <c r="BE454" s="110">
        <v>587.12</v>
      </c>
      <c r="BF454" s="272">
        <f t="shared" si="48"/>
        <v>-6.9629486522601201E-4</v>
      </c>
      <c r="BG454" s="272">
        <f t="shared" si="48"/>
        <v>-4.7498119800479487E-2</v>
      </c>
    </row>
    <row r="455" spans="2:59" x14ac:dyDescent="0.3">
      <c r="B455" s="101">
        <v>39864</v>
      </c>
      <c r="C455" s="54">
        <v>252.57</v>
      </c>
      <c r="D455" s="102">
        <f t="shared" si="51"/>
        <v>-7.992422862555093E-2</v>
      </c>
      <c r="E455" s="102"/>
      <c r="F455" s="54">
        <v>770.05</v>
      </c>
      <c r="G455" s="102">
        <f t="shared" si="51"/>
        <v>-6.8683179333365652E-2</v>
      </c>
      <c r="O455" s="101">
        <v>42398</v>
      </c>
      <c r="P455" s="110">
        <v>27903.87</v>
      </c>
      <c r="Q455" s="110">
        <v>545.25</v>
      </c>
      <c r="R455" s="102">
        <f t="shared" si="47"/>
        <v>5.1624429485290488E-2</v>
      </c>
      <c r="S455" s="102">
        <f t="shared" si="47"/>
        <v>1.0657228973236793E-2</v>
      </c>
      <c r="BC455" s="101">
        <v>40109</v>
      </c>
      <c r="BD455" s="110">
        <v>59307.738299999997</v>
      </c>
      <c r="BE455" s="110">
        <v>615.67999999999995</v>
      </c>
      <c r="BF455" s="272">
        <f t="shared" si="48"/>
        <v>1.3016965134631981E-2</v>
      </c>
      <c r="BG455" s="272">
        <f t="shared" si="48"/>
        <v>1.0022773705778299E-2</v>
      </c>
    </row>
    <row r="456" spans="2:59" x14ac:dyDescent="0.3">
      <c r="B456" s="101">
        <v>39857</v>
      </c>
      <c r="C456" s="54">
        <v>274.51</v>
      </c>
      <c r="D456" s="102">
        <f t="shared" si="51"/>
        <v>-2.5281397578382991E-2</v>
      </c>
      <c r="E456" s="102"/>
      <c r="F456" s="54">
        <v>826.84</v>
      </c>
      <c r="G456" s="102">
        <f t="shared" si="51"/>
        <v>-4.8077365876122435E-2</v>
      </c>
      <c r="O456" s="101">
        <v>42397</v>
      </c>
      <c r="P456" s="110">
        <v>26499.9</v>
      </c>
      <c r="Q456" s="110">
        <v>539.47</v>
      </c>
      <c r="R456" s="102">
        <f t="shared" si="47"/>
        <v>-6.4124518794137039E-2</v>
      </c>
      <c r="S456" s="102">
        <f t="shared" si="47"/>
        <v>-5.9510784045041214E-3</v>
      </c>
      <c r="BC456" s="101">
        <v>40102</v>
      </c>
      <c r="BD456" s="110">
        <v>58540.734400000001</v>
      </c>
      <c r="BE456" s="110">
        <v>609.54</v>
      </c>
      <c r="BF456" s="272">
        <f t="shared" si="48"/>
        <v>3.361984742844553E-2</v>
      </c>
      <c r="BG456" s="272">
        <f t="shared" si="48"/>
        <v>4.6251308878269282E-2</v>
      </c>
    </row>
    <row r="457" spans="2:59" x14ac:dyDescent="0.3">
      <c r="B457" s="101">
        <v>39850</v>
      </c>
      <c r="C457" s="54">
        <v>281.63</v>
      </c>
      <c r="D457" s="102">
        <f t="shared" si="51"/>
        <v>-5.340817424038713E-2</v>
      </c>
      <c r="E457" s="102"/>
      <c r="F457" s="54">
        <v>868.6</v>
      </c>
      <c r="G457" s="102">
        <f t="shared" si="51"/>
        <v>5.1726643095849401E-2</v>
      </c>
      <c r="O457" s="101">
        <v>42396</v>
      </c>
      <c r="P457" s="110">
        <v>28254.86</v>
      </c>
      <c r="Q457" s="110">
        <v>542.69000000000005</v>
      </c>
      <c r="R457" s="102">
        <f t="shared" si="47"/>
        <v>2.5158410853915538E-2</v>
      </c>
      <c r="S457" s="102">
        <f t="shared" si="47"/>
        <v>9.181679060525064E-3</v>
      </c>
      <c r="BC457" s="101">
        <v>40095</v>
      </c>
      <c r="BD457" s="110">
        <v>56605.320299999999</v>
      </c>
      <c r="BE457" s="110">
        <v>581.99</v>
      </c>
      <c r="BF457" s="272">
        <f t="shared" si="48"/>
        <v>4.7880072053783279E-2</v>
      </c>
      <c r="BG457" s="272">
        <f t="shared" si="48"/>
        <v>5.7026016852948828E-2</v>
      </c>
    </row>
    <row r="458" spans="2:59" x14ac:dyDescent="0.3">
      <c r="B458" s="101">
        <v>39843</v>
      </c>
      <c r="C458" s="54">
        <v>297.52</v>
      </c>
      <c r="D458" s="102">
        <f t="shared" si="51"/>
        <v>-1.8765871838000048E-2</v>
      </c>
      <c r="E458" s="102"/>
      <c r="F458" s="54">
        <v>825.88</v>
      </c>
      <c r="G458" s="102">
        <f t="shared" si="51"/>
        <v>-7.2961115451650738E-3</v>
      </c>
      <c r="O458" s="101">
        <v>42395</v>
      </c>
      <c r="P458" s="110">
        <v>27552.880000000001</v>
      </c>
      <c r="Q458" s="110">
        <v>537.73</v>
      </c>
      <c r="R458" s="102">
        <f t="shared" si="47"/>
        <v>-3.1797243528847493E-3</v>
      </c>
      <c r="S458" s="102">
        <f t="shared" si="47"/>
        <v>-8.5549740337460302E-3</v>
      </c>
      <c r="BC458" s="101">
        <v>40088</v>
      </c>
      <c r="BD458" s="110">
        <v>53958.914100000002</v>
      </c>
      <c r="BE458" s="110">
        <v>549.73</v>
      </c>
      <c r="BF458" s="272">
        <f t="shared" si="48"/>
        <v>2.3798853041524685E-2</v>
      </c>
      <c r="BG458" s="272">
        <f t="shared" si="48"/>
        <v>-5.8485457545363558E-2</v>
      </c>
    </row>
    <row r="459" spans="2:59" x14ac:dyDescent="0.3">
      <c r="B459" s="101">
        <v>39836</v>
      </c>
      <c r="C459" s="54">
        <v>303.20999999999998</v>
      </c>
      <c r="D459" s="102">
        <f t="shared" si="51"/>
        <v>-9.506076048608425E-3</v>
      </c>
      <c r="E459" s="102"/>
      <c r="F459" s="54">
        <v>831.95</v>
      </c>
      <c r="G459" s="102">
        <f t="shared" si="51"/>
        <v>-2.1373453159553857E-2</v>
      </c>
      <c r="O459" s="101">
        <v>42394</v>
      </c>
      <c r="P459" s="110">
        <v>27640.63</v>
      </c>
      <c r="Q459" s="110">
        <v>542.35</v>
      </c>
      <c r="R459" s="102">
        <f t="shared" si="47"/>
        <v>3.1797243528847202E-3</v>
      </c>
      <c r="S459" s="102">
        <f t="shared" si="47"/>
        <v>3.7784297150539103E-2</v>
      </c>
      <c r="BC459" s="101">
        <v>40081</v>
      </c>
      <c r="BD459" s="110">
        <v>52689.914100000002</v>
      </c>
      <c r="BE459" s="110">
        <v>582.84</v>
      </c>
      <c r="BF459" s="272">
        <f t="shared" si="48"/>
        <v>3.1608715047482493E-2</v>
      </c>
      <c r="BG459" s="272">
        <f t="shared" si="48"/>
        <v>2.0505983508145715E-2</v>
      </c>
    </row>
    <row r="460" spans="2:59" x14ac:dyDescent="0.3">
      <c r="B460" s="101">
        <v>39829</v>
      </c>
      <c r="C460" s="54">
        <v>306.12</v>
      </c>
      <c r="D460" s="102">
        <f t="shared" si="51"/>
        <v>-2.3229100191448526E-2</v>
      </c>
      <c r="E460" s="102"/>
      <c r="F460" s="54">
        <v>850.12</v>
      </c>
      <c r="G460" s="102">
        <f t="shared" si="51"/>
        <v>-4.5184478014264062E-2</v>
      </c>
      <c r="O460" s="101">
        <v>42391</v>
      </c>
      <c r="P460" s="110">
        <v>27552.880000000001</v>
      </c>
      <c r="Q460" s="110">
        <v>522.24</v>
      </c>
      <c r="R460" s="102">
        <f t="shared" si="47"/>
        <v>1.2820978779876256E-2</v>
      </c>
      <c r="S460" s="102">
        <f t="shared" si="47"/>
        <v>6.8957593814027E-4</v>
      </c>
      <c r="BC460" s="101">
        <v>40074</v>
      </c>
      <c r="BD460" s="110">
        <v>51050.5</v>
      </c>
      <c r="BE460" s="110">
        <v>571.01</v>
      </c>
      <c r="BF460" s="272">
        <f t="shared" si="48"/>
        <v>-4.0156794763501209E-2</v>
      </c>
      <c r="BG460" s="272">
        <f t="shared" si="48"/>
        <v>4.1149684031175041E-2</v>
      </c>
    </row>
    <row r="461" spans="2:59" x14ac:dyDescent="0.3">
      <c r="B461" s="101">
        <v>39822</v>
      </c>
      <c r="C461" s="54">
        <v>313.39999999999998</v>
      </c>
      <c r="D461" s="102">
        <f t="shared" si="51"/>
        <v>1.9148528754708849E-4</v>
      </c>
      <c r="E461" s="102"/>
      <c r="F461" s="54">
        <v>890.35</v>
      </c>
      <c r="G461" s="102">
        <f t="shared" si="51"/>
        <v>-4.4483794805752264E-2</v>
      </c>
      <c r="O461" s="101">
        <v>42390</v>
      </c>
      <c r="P461" s="110">
        <v>27201.88</v>
      </c>
      <c r="Q461" s="110">
        <v>521.88</v>
      </c>
      <c r="R461" s="102">
        <f t="shared" si="47"/>
        <v>0</v>
      </c>
      <c r="S461" s="102">
        <f t="shared" si="47"/>
        <v>-1.4382167775754816E-2</v>
      </c>
      <c r="BC461" s="101">
        <v>40067</v>
      </c>
      <c r="BD461" s="110">
        <v>53142.242200000001</v>
      </c>
      <c r="BE461" s="110">
        <v>547.99</v>
      </c>
      <c r="BF461" s="272">
        <f t="shared" si="48"/>
        <v>2.2424270576917579E-2</v>
      </c>
      <c r="BG461" s="272">
        <f t="shared" si="48"/>
        <v>3.6233154950929353E-2</v>
      </c>
    </row>
    <row r="462" spans="2:59" x14ac:dyDescent="0.3">
      <c r="B462" s="101">
        <v>39815</v>
      </c>
      <c r="C462" s="54">
        <v>313.33999999999997</v>
      </c>
      <c r="D462" s="102">
        <f t="shared" si="51"/>
        <v>2.9166392958023923E-2</v>
      </c>
      <c r="E462" s="102"/>
      <c r="F462" s="54">
        <v>931.8</v>
      </c>
      <c r="G462" s="102">
        <f t="shared" si="51"/>
        <v>6.759853345554534E-2</v>
      </c>
      <c r="O462" s="101">
        <v>42389</v>
      </c>
      <c r="P462" s="110">
        <v>27201.88</v>
      </c>
      <c r="Q462" s="110">
        <v>529.44000000000005</v>
      </c>
      <c r="R462" s="102">
        <f t="shared" si="47"/>
        <v>-1.2820978779876318E-2</v>
      </c>
      <c r="S462" s="102">
        <f t="shared" si="47"/>
        <v>-1.1885120328215901E-2</v>
      </c>
      <c r="BC462" s="101">
        <v>40060</v>
      </c>
      <c r="BD462" s="110">
        <v>51963.828099999999</v>
      </c>
      <c r="BE462" s="110">
        <v>528.49</v>
      </c>
      <c r="BF462" s="272">
        <f t="shared" si="48"/>
        <v>7.9681137194381205E-2</v>
      </c>
      <c r="BG462" s="272">
        <f t="shared" si="48"/>
        <v>-1.5098594838949417E-2</v>
      </c>
    </row>
    <row r="463" spans="2:59" x14ac:dyDescent="0.3">
      <c r="B463" s="101">
        <v>39808</v>
      </c>
      <c r="C463" s="54">
        <v>304.45999999999998</v>
      </c>
      <c r="D463" s="102">
        <f t="shared" si="51"/>
        <v>-9.1128034889019771E-3</v>
      </c>
      <c r="E463" s="102"/>
      <c r="F463" s="54">
        <v>872.8</v>
      </c>
      <c r="G463" s="102">
        <f t="shared" si="51"/>
        <v>-1.6984277154570515E-2</v>
      </c>
      <c r="O463" s="101">
        <v>42388</v>
      </c>
      <c r="P463" s="110">
        <v>27552.880000000001</v>
      </c>
      <c r="Q463" s="110">
        <v>535.77</v>
      </c>
      <c r="R463" s="102">
        <f t="shared" si="47"/>
        <v>4.5610801602867283E-2</v>
      </c>
      <c r="S463" s="102">
        <f t="shared" si="47"/>
        <v>1.7700576995911623E-2</v>
      </c>
      <c r="BC463" s="101">
        <v>40053</v>
      </c>
      <c r="BD463" s="110">
        <v>47983.957000000002</v>
      </c>
      <c r="BE463" s="110">
        <v>536.53</v>
      </c>
      <c r="BF463" s="272">
        <f t="shared" si="48"/>
        <v>0.1861020734570171</v>
      </c>
      <c r="BG463" s="272">
        <f t="shared" si="48"/>
        <v>3.2891095975720042E-2</v>
      </c>
    </row>
    <row r="464" spans="2:59" x14ac:dyDescent="0.3">
      <c r="B464" s="101">
        <v>39801</v>
      </c>
      <c r="C464" s="54">
        <v>307.26</v>
      </c>
      <c r="D464" s="102">
        <f t="shared" si="51"/>
        <v>2.5772851705949007E-2</v>
      </c>
      <c r="E464" s="102"/>
      <c r="F464" s="54">
        <v>887.88</v>
      </c>
      <c r="G464" s="102">
        <f t="shared" si="51"/>
        <v>9.2642060632239787E-3</v>
      </c>
      <c r="O464" s="101">
        <v>42387</v>
      </c>
      <c r="P464" s="110">
        <v>26324.400000000001</v>
      </c>
      <c r="Q464" s="110">
        <v>526.37</v>
      </c>
      <c r="R464" s="102">
        <f t="shared" si="47"/>
        <v>-1.6529301951210471E-2</v>
      </c>
      <c r="S464" s="102">
        <f t="shared" si="47"/>
        <v>-3.1178594540254984E-2</v>
      </c>
      <c r="BC464" s="101">
        <v>40046</v>
      </c>
      <c r="BD464" s="110">
        <v>39835.746099999997</v>
      </c>
      <c r="BE464" s="110">
        <v>519.16999999999996</v>
      </c>
      <c r="BF464" s="272">
        <f t="shared" si="48"/>
        <v>0.10671430615844998</v>
      </c>
      <c r="BG464" s="272">
        <f t="shared" si="48"/>
        <v>2.3740102987845756E-2</v>
      </c>
    </row>
    <row r="465" spans="2:59" x14ac:dyDescent="0.3">
      <c r="B465" s="101">
        <v>39794</v>
      </c>
      <c r="C465" s="54">
        <v>299.54000000000002</v>
      </c>
      <c r="D465" s="102">
        <f t="shared" si="51"/>
        <v>-4.6716497597432127E-4</v>
      </c>
      <c r="E465" s="102"/>
      <c r="F465" s="54">
        <v>879.73</v>
      </c>
      <c r="G465" s="102">
        <f t="shared" si="51"/>
        <v>4.177748353441979E-3</v>
      </c>
      <c r="O465" s="101">
        <v>42384</v>
      </c>
      <c r="P465" s="110">
        <v>26763.14</v>
      </c>
      <c r="Q465" s="110">
        <v>543.04</v>
      </c>
      <c r="R465" s="102">
        <f t="shared" si="47"/>
        <v>-1.6260520871780405E-2</v>
      </c>
      <c r="S465" s="102">
        <f t="shared" si="47"/>
        <v>-1.822926755294025E-2</v>
      </c>
      <c r="BC465" s="101">
        <v>40039</v>
      </c>
      <c r="BD465" s="110">
        <v>35803.667999999998</v>
      </c>
      <c r="BE465" s="110">
        <v>506.99</v>
      </c>
      <c r="BF465" s="272">
        <f t="shared" si="48"/>
        <v>5.6930764459352393E-3</v>
      </c>
      <c r="BG465" s="272">
        <f t="shared" si="48"/>
        <v>5.3351925018962361E-2</v>
      </c>
    </row>
    <row r="466" spans="2:59" x14ac:dyDescent="0.3">
      <c r="B466" s="101">
        <v>39787</v>
      </c>
      <c r="C466" s="54">
        <v>299.68</v>
      </c>
      <c r="D466" s="102">
        <f t="shared" si="51"/>
        <v>-4.7849018237275165E-2</v>
      </c>
      <c r="E466" s="102"/>
      <c r="F466" s="54">
        <v>876.07</v>
      </c>
      <c r="G466" s="102">
        <f t="shared" si="51"/>
        <v>-2.2505132553780172E-2</v>
      </c>
      <c r="O466" s="101">
        <v>42383</v>
      </c>
      <c r="P466" s="110">
        <v>27201.88</v>
      </c>
      <c r="Q466" s="110">
        <v>553.03</v>
      </c>
      <c r="R466" s="102">
        <f t="shared" si="47"/>
        <v>-1.9169988236015838E-2</v>
      </c>
      <c r="S466" s="102">
        <f t="shared" si="47"/>
        <v>-1.3185030240519714E-2</v>
      </c>
      <c r="BC466" s="101">
        <v>40032</v>
      </c>
      <c r="BD466" s="110">
        <v>35600.414100000002</v>
      </c>
      <c r="BE466" s="110">
        <v>480.65</v>
      </c>
      <c r="BF466" s="272">
        <f t="shared" si="48"/>
        <v>1.1821791977002271E-2</v>
      </c>
      <c r="BG466" s="272">
        <f t="shared" si="48"/>
        <v>2.9324147573918689E-2</v>
      </c>
    </row>
    <row r="467" spans="2:59" x14ac:dyDescent="0.3">
      <c r="B467" s="101">
        <v>39780</v>
      </c>
      <c r="C467" s="54">
        <v>314.74</v>
      </c>
      <c r="D467" s="102">
        <f t="shared" si="51"/>
        <v>-1.323049912214691E-2</v>
      </c>
      <c r="E467" s="102"/>
      <c r="F467" s="54">
        <v>896.24</v>
      </c>
      <c r="G467" s="102">
        <f t="shared" si="51"/>
        <v>0.12025799032536288</v>
      </c>
      <c r="O467" s="101">
        <v>42382</v>
      </c>
      <c r="P467" s="110">
        <v>27728.37</v>
      </c>
      <c r="Q467" s="110">
        <v>560.37</v>
      </c>
      <c r="R467" s="102">
        <f t="shared" si="47"/>
        <v>-3.159631963590977E-3</v>
      </c>
      <c r="S467" s="102">
        <f t="shared" si="47"/>
        <v>-6.9178583419530291E-3</v>
      </c>
      <c r="BC467" s="101">
        <v>40025</v>
      </c>
      <c r="BD467" s="110">
        <v>35182.031300000002</v>
      </c>
      <c r="BE467" s="110">
        <v>466.76</v>
      </c>
      <c r="BF467" s="272">
        <f t="shared" si="48"/>
        <v>-7.2919735242127381E-4</v>
      </c>
      <c r="BG467" s="272">
        <f t="shared" si="48"/>
        <v>2.615535382623127E-2</v>
      </c>
    </row>
    <row r="468" spans="2:59" x14ac:dyDescent="0.3">
      <c r="B468" s="101">
        <v>39773</v>
      </c>
      <c r="C468" s="54">
        <v>318.95999999999998</v>
      </c>
      <c r="D468" s="102">
        <f t="shared" si="51"/>
        <v>-9.4043798108330745E-2</v>
      </c>
      <c r="E468" s="102"/>
      <c r="F468" s="54">
        <v>800.03</v>
      </c>
      <c r="G468" s="102">
        <f t="shared" si="51"/>
        <v>-8.3889658647184784E-2</v>
      </c>
      <c r="O468" s="101">
        <v>42381</v>
      </c>
      <c r="P468" s="110">
        <v>27816.12</v>
      </c>
      <c r="Q468" s="110">
        <v>564.26</v>
      </c>
      <c r="R468" s="102">
        <f t="shared" si="47"/>
        <v>-9.4194342483830858E-3</v>
      </c>
      <c r="S468" s="102">
        <f t="shared" si="47"/>
        <v>1.1389177853227911E-2</v>
      </c>
      <c r="BC468" s="101">
        <v>40018</v>
      </c>
      <c r="BD468" s="110">
        <v>35207.695299999999</v>
      </c>
      <c r="BE468" s="110">
        <v>454.71</v>
      </c>
      <c r="BF468" s="272">
        <f t="shared" si="48"/>
        <v>8.3672156310524173E-2</v>
      </c>
      <c r="BG468" s="272">
        <f t="shared" si="48"/>
        <v>5.897246096268681E-2</v>
      </c>
    </row>
    <row r="469" spans="2:59" x14ac:dyDescent="0.3">
      <c r="B469" s="101">
        <v>39766</v>
      </c>
      <c r="C469" s="54">
        <v>352.07</v>
      </c>
      <c r="D469" s="102">
        <f t="shared" si="51"/>
        <v>-3.7981255294149863E-2</v>
      </c>
      <c r="E469" s="102"/>
      <c r="F469" s="54">
        <v>873.29</v>
      </c>
      <c r="G469" s="102">
        <f t="shared" si="51"/>
        <v>-6.1977035199089148E-2</v>
      </c>
      <c r="O469" s="101">
        <v>42380</v>
      </c>
      <c r="P469" s="110">
        <v>28079.37</v>
      </c>
      <c r="Q469" s="110">
        <v>557.87</v>
      </c>
      <c r="R469" s="102">
        <f t="shared" si="47"/>
        <v>3.1749054447989873E-2</v>
      </c>
      <c r="S469" s="102">
        <f t="shared" si="47"/>
        <v>-3.9001051297020118E-3</v>
      </c>
      <c r="BC469" s="101">
        <v>40011</v>
      </c>
      <c r="BD469" s="110">
        <v>32381.669900000001</v>
      </c>
      <c r="BE469" s="110">
        <v>428.67</v>
      </c>
      <c r="BF469" s="272">
        <f t="shared" si="48"/>
        <v>-2.1000696403022857E-2</v>
      </c>
      <c r="BG469" s="272">
        <f t="shared" si="48"/>
        <v>-2.3424702192202027E-2</v>
      </c>
    </row>
    <row r="470" spans="2:59" x14ac:dyDescent="0.3">
      <c r="B470" s="101">
        <v>39759</v>
      </c>
      <c r="C470" s="54">
        <v>365.97</v>
      </c>
      <c r="D470" s="102">
        <f t="shared" ref="D470:G485" si="52">C470/C471-1</f>
        <v>5.4516640253565729E-2</v>
      </c>
      <c r="E470" s="102"/>
      <c r="F470" s="54">
        <v>930.99</v>
      </c>
      <c r="G470" s="102">
        <f t="shared" si="52"/>
        <v>-3.8978064516129063E-2</v>
      </c>
      <c r="O470" s="101">
        <v>42377</v>
      </c>
      <c r="P470" s="110">
        <v>27201.88</v>
      </c>
      <c r="Q470" s="110">
        <v>560.04999999999995</v>
      </c>
      <c r="R470" s="102">
        <f t="shared" si="47"/>
        <v>-1.2820978779876318E-2</v>
      </c>
      <c r="S470" s="102">
        <f t="shared" si="47"/>
        <v>-9.4366309248505049E-3</v>
      </c>
      <c r="BC470" s="101">
        <v>40004</v>
      </c>
      <c r="BD470" s="110">
        <v>33068.898399999998</v>
      </c>
      <c r="BE470" s="110">
        <v>438.83</v>
      </c>
      <c r="BF470" s="272">
        <f t="shared" si="48"/>
        <v>4.8638944015583253E-3</v>
      </c>
      <c r="BG470" s="272">
        <f t="shared" si="48"/>
        <v>7.7550802152459037E-3</v>
      </c>
    </row>
    <row r="471" spans="2:59" x14ac:dyDescent="0.3">
      <c r="B471" s="101">
        <v>39752</v>
      </c>
      <c r="C471" s="54">
        <v>347.05</v>
      </c>
      <c r="D471" s="102">
        <f t="shared" si="52"/>
        <v>5.621396076613161E-3</v>
      </c>
      <c r="E471" s="102"/>
      <c r="F471" s="54">
        <v>968.75</v>
      </c>
      <c r="G471" s="102">
        <f t="shared" si="52"/>
        <v>0.10490778653466704</v>
      </c>
      <c r="O471" s="101">
        <v>42376</v>
      </c>
      <c r="P471" s="110">
        <v>27552.880000000001</v>
      </c>
      <c r="Q471" s="110">
        <v>565.36</v>
      </c>
      <c r="R471" s="102">
        <f t="shared" si="47"/>
        <v>-3.1797243528847493E-3</v>
      </c>
      <c r="S471" s="102">
        <f t="shared" si="47"/>
        <v>-1.6159238566382961E-2</v>
      </c>
      <c r="BC471" s="101">
        <v>39997</v>
      </c>
      <c r="BD471" s="110">
        <v>32908.445299999999</v>
      </c>
      <c r="BE471" s="110">
        <v>435.44</v>
      </c>
      <c r="BF471" s="272">
        <f t="shared" si="48"/>
        <v>-5.7833236048953761E-2</v>
      </c>
      <c r="BG471" s="272">
        <f t="shared" si="48"/>
        <v>-5.7843309993997317E-2</v>
      </c>
    </row>
    <row r="472" spans="2:59" x14ac:dyDescent="0.3">
      <c r="B472" s="101">
        <v>39745</v>
      </c>
      <c r="C472" s="54">
        <v>345.11</v>
      </c>
      <c r="D472" s="102">
        <f t="shared" si="52"/>
        <v>-9.7775221562834913E-2</v>
      </c>
      <c r="E472" s="102"/>
      <c r="F472" s="54">
        <v>876.77</v>
      </c>
      <c r="G472" s="102">
        <f t="shared" si="52"/>
        <v>-6.7811386954441555E-2</v>
      </c>
      <c r="O472" s="101">
        <v>42375</v>
      </c>
      <c r="P472" s="110">
        <v>27640.63</v>
      </c>
      <c r="Q472" s="110">
        <v>574.57000000000005</v>
      </c>
      <c r="R472" s="102">
        <f t="shared" si="47"/>
        <v>-2.197868650103085E-2</v>
      </c>
      <c r="S472" s="102">
        <f t="shared" si="47"/>
        <v>8.0908428188357154E-3</v>
      </c>
      <c r="BC472" s="101">
        <v>39990</v>
      </c>
      <c r="BD472" s="110">
        <v>34867.757799999999</v>
      </c>
      <c r="BE472" s="110">
        <v>461.37</v>
      </c>
      <c r="BF472" s="272">
        <f t="shared" si="48"/>
        <v>-0.13231819446249257</v>
      </c>
      <c r="BG472" s="272">
        <f t="shared" si="48"/>
        <v>-2.9577530584925227E-2</v>
      </c>
    </row>
    <row r="473" spans="2:59" x14ac:dyDescent="0.3">
      <c r="B473" s="101">
        <v>39738</v>
      </c>
      <c r="C473" s="54">
        <v>382.51</v>
      </c>
      <c r="D473" s="102">
        <f t="shared" si="52"/>
        <v>9.1014615100510898E-3</v>
      </c>
      <c r="E473" s="102"/>
      <c r="F473" s="54">
        <v>940.55</v>
      </c>
      <c r="G473" s="102">
        <f t="shared" si="52"/>
        <v>4.5962056004092311E-2</v>
      </c>
      <c r="O473" s="101">
        <v>42374</v>
      </c>
      <c r="P473" s="110">
        <v>28254.86</v>
      </c>
      <c r="Q473" s="110">
        <v>569.94000000000005</v>
      </c>
      <c r="R473" s="102">
        <f t="shared" si="47"/>
        <v>0</v>
      </c>
      <c r="S473" s="102">
        <f t="shared" si="47"/>
        <v>-7.8123349230772082E-3</v>
      </c>
      <c r="BC473" s="101">
        <v>39983</v>
      </c>
      <c r="BD473" s="110">
        <v>39800.550799999997</v>
      </c>
      <c r="BE473" s="110">
        <v>475.22</v>
      </c>
      <c r="BF473" s="272">
        <f t="shared" si="48"/>
        <v>-0.12892291160360078</v>
      </c>
      <c r="BG473" s="272">
        <f t="shared" si="48"/>
        <v>-6.982862612663937E-2</v>
      </c>
    </row>
    <row r="474" spans="2:59" x14ac:dyDescent="0.3">
      <c r="B474" s="101">
        <v>39731</v>
      </c>
      <c r="C474" s="54">
        <v>379.06</v>
      </c>
      <c r="D474" s="102">
        <f t="shared" si="52"/>
        <v>-0.16163135312071475</v>
      </c>
      <c r="E474" s="102"/>
      <c r="F474" s="54">
        <v>899.22</v>
      </c>
      <c r="G474" s="102">
        <f t="shared" si="52"/>
        <v>-0.18195464097595593</v>
      </c>
      <c r="O474" s="101">
        <v>42373</v>
      </c>
      <c r="P474" s="110">
        <v>28254.86</v>
      </c>
      <c r="Q474" s="110">
        <v>574.41</v>
      </c>
      <c r="R474" s="102">
        <f t="shared" si="47"/>
        <v>2.5158410853915538E-2</v>
      </c>
      <c r="S474" s="102">
        <f t="shared" si="47"/>
        <v>-8.0108626490028E-3</v>
      </c>
      <c r="BC474" s="101">
        <v>39976</v>
      </c>
      <c r="BD474" s="110">
        <v>45277.203099999999</v>
      </c>
      <c r="BE474" s="110">
        <v>509.59</v>
      </c>
      <c r="BF474" s="272">
        <f t="shared" si="48"/>
        <v>0.13764080270630311</v>
      </c>
      <c r="BG474" s="272">
        <f t="shared" si="48"/>
        <v>6.2490605485448714E-2</v>
      </c>
    </row>
    <row r="475" spans="2:59" x14ac:dyDescent="0.3">
      <c r="B475" s="101">
        <v>39724</v>
      </c>
      <c r="C475" s="54">
        <v>452.14</v>
      </c>
      <c r="D475" s="102">
        <f t="shared" si="52"/>
        <v>-6.545958124056972E-2</v>
      </c>
      <c r="E475" s="102"/>
      <c r="F475" s="54">
        <v>1099.23</v>
      </c>
      <c r="G475" s="102">
        <f t="shared" si="52"/>
        <v>-9.3799721354316912E-2</v>
      </c>
      <c r="O475" s="101">
        <v>42369</v>
      </c>
      <c r="P475" s="110">
        <v>27552.880000000001</v>
      </c>
      <c r="Q475" s="110">
        <v>579.03</v>
      </c>
      <c r="R475" s="102">
        <f t="shared" si="47"/>
        <v>3.1898672600673391E-3</v>
      </c>
      <c r="S475" s="102">
        <f t="shared" si="47"/>
        <v>-7.2508807817380167E-4</v>
      </c>
      <c r="BC475" s="101">
        <v>39969</v>
      </c>
      <c r="BD475" s="110">
        <v>39455.082000000002</v>
      </c>
      <c r="BE475" s="110">
        <v>478.72</v>
      </c>
      <c r="BF475" s="272">
        <f t="shared" si="48"/>
        <v>0.23359933839127703</v>
      </c>
      <c r="BG475" s="272">
        <f t="shared" si="48"/>
        <v>0.1509666943781669</v>
      </c>
    </row>
    <row r="476" spans="2:59" x14ac:dyDescent="0.3">
      <c r="B476" s="101">
        <v>39717</v>
      </c>
      <c r="C476" s="54">
        <v>483.81</v>
      </c>
      <c r="D476" s="102">
        <f t="shared" si="52"/>
        <v>0.10192228852548624</v>
      </c>
      <c r="E476" s="102"/>
      <c r="F476" s="54">
        <v>1213.01</v>
      </c>
      <c r="G476" s="102">
        <f t="shared" si="52"/>
        <v>-3.3519775631832172E-2</v>
      </c>
      <c r="O476" s="101">
        <v>42368</v>
      </c>
      <c r="P476" s="110">
        <v>27465.13</v>
      </c>
      <c r="Q476" s="110">
        <v>579.45000000000005</v>
      </c>
      <c r="R476" s="102">
        <f t="shared" si="47"/>
        <v>9.6311115198090425E-3</v>
      </c>
      <c r="S476" s="102">
        <f t="shared" si="47"/>
        <v>5.4683715619012873E-3</v>
      </c>
      <c r="BC476" s="101">
        <v>39962</v>
      </c>
      <c r="BD476" s="110">
        <v>31235.757799999999</v>
      </c>
      <c r="BE476" s="110">
        <v>411.64</v>
      </c>
      <c r="BF476" s="272">
        <f t="shared" si="48"/>
        <v>0.10292253109082908</v>
      </c>
      <c r="BG476" s="272">
        <f t="shared" si="48"/>
        <v>1.7299688993345271E-2</v>
      </c>
    </row>
    <row r="477" spans="2:59" x14ac:dyDescent="0.3">
      <c r="B477" s="101">
        <v>39710</v>
      </c>
      <c r="C477" s="54">
        <v>439.06</v>
      </c>
      <c r="D477" s="102">
        <f t="shared" si="52"/>
        <v>-7.7605042016806736E-2</v>
      </c>
      <c r="E477" s="102"/>
      <c r="F477" s="54">
        <v>1255.08</v>
      </c>
      <c r="G477" s="102">
        <f t="shared" si="52"/>
        <v>2.70032755452565E-3</v>
      </c>
      <c r="O477" s="101">
        <v>42367</v>
      </c>
      <c r="P477" s="110">
        <v>27201.88</v>
      </c>
      <c r="Q477" s="110">
        <v>576.29</v>
      </c>
      <c r="R477" s="102">
        <f t="shared" si="47"/>
        <v>3.2789442947358347E-2</v>
      </c>
      <c r="S477" s="102">
        <f t="shared" si="47"/>
        <v>1.1150099377545061E-2</v>
      </c>
      <c r="BC477" s="101">
        <v>39955</v>
      </c>
      <c r="BD477" s="110">
        <v>28180.8027</v>
      </c>
      <c r="BE477" s="110">
        <v>404.58</v>
      </c>
      <c r="BF477" s="272">
        <f t="shared" si="48"/>
        <v>0.14512704463658127</v>
      </c>
      <c r="BG477" s="272">
        <f t="shared" si="48"/>
        <v>3.6292580572748263E-2</v>
      </c>
    </row>
    <row r="478" spans="2:59" x14ac:dyDescent="0.3">
      <c r="B478" s="101">
        <v>39703</v>
      </c>
      <c r="C478" s="54">
        <v>476</v>
      </c>
      <c r="D478" s="102">
        <f t="shared" si="52"/>
        <v>-0.12925767387407161</v>
      </c>
      <c r="E478" s="102"/>
      <c r="F478" s="54">
        <v>1251.7</v>
      </c>
      <c r="G478" s="102">
        <f t="shared" si="52"/>
        <v>7.5584998913316159E-3</v>
      </c>
      <c r="O478" s="101">
        <v>42366</v>
      </c>
      <c r="P478" s="110">
        <v>26324.41</v>
      </c>
      <c r="Q478" s="110">
        <v>569.9</v>
      </c>
      <c r="R478" s="102">
        <f t="shared" ref="R478:S541" si="53">LN(P478/P479)</f>
        <v>-3.1692129177209676E-3</v>
      </c>
      <c r="S478" s="102">
        <f t="shared" si="53"/>
        <v>3.9206428730104827E-3</v>
      </c>
      <c r="BC478" s="101">
        <v>39948</v>
      </c>
      <c r="BD478" s="110">
        <v>24373.925800000001</v>
      </c>
      <c r="BE478" s="110">
        <v>390.16</v>
      </c>
      <c r="BF478" s="272">
        <f t="shared" si="48"/>
        <v>9.0636355164133861E-2</v>
      </c>
      <c r="BG478" s="272">
        <f t="shared" si="48"/>
        <v>6.332266568822939E-2</v>
      </c>
    </row>
    <row r="479" spans="2:59" x14ac:dyDescent="0.3">
      <c r="B479" s="101">
        <v>39696</v>
      </c>
      <c r="C479" s="54">
        <v>546.66</v>
      </c>
      <c r="D479" s="102">
        <f t="shared" si="52"/>
        <v>1.402337228714523E-2</v>
      </c>
      <c r="E479" s="102"/>
      <c r="F479" s="54">
        <v>1242.31</v>
      </c>
      <c r="G479" s="102">
        <f t="shared" si="52"/>
        <v>-3.1586414411886254E-2</v>
      </c>
      <c r="O479" s="101">
        <v>42363</v>
      </c>
      <c r="P479" s="110">
        <v>26407.97</v>
      </c>
      <c r="Q479" s="110">
        <v>567.66999999999996</v>
      </c>
      <c r="R479" s="102">
        <f t="shared" si="53"/>
        <v>-3.1595782086755449E-3</v>
      </c>
      <c r="S479" s="102">
        <f t="shared" si="53"/>
        <v>2.6458775049095266E-3</v>
      </c>
      <c r="BC479" s="101">
        <v>39941</v>
      </c>
      <c r="BD479" s="110">
        <v>22261.919900000001</v>
      </c>
      <c r="BE479" s="110">
        <v>366.22</v>
      </c>
      <c r="BF479" s="272">
        <f t="shared" si="48"/>
        <v>4.814600632502819E-2</v>
      </c>
      <c r="BG479" s="272">
        <f t="shared" si="48"/>
        <v>0.12983242917730969</v>
      </c>
    </row>
    <row r="480" spans="2:59" x14ac:dyDescent="0.3">
      <c r="B480" s="101">
        <v>39689</v>
      </c>
      <c r="C480" s="54">
        <v>539.1</v>
      </c>
      <c r="D480" s="102">
        <f t="shared" si="52"/>
        <v>2.2998975293180068E-2</v>
      </c>
      <c r="E480" s="102"/>
      <c r="F480" s="54">
        <v>1282.83</v>
      </c>
      <c r="G480" s="102">
        <f t="shared" si="52"/>
        <v>-7.2511995047207511E-3</v>
      </c>
      <c r="O480" s="101">
        <v>42362</v>
      </c>
      <c r="P480" s="110">
        <v>26491.54</v>
      </c>
      <c r="Q480" s="110">
        <v>566.16999999999996</v>
      </c>
      <c r="R480" s="102">
        <f t="shared" si="53"/>
        <v>-9.4192749994744234E-3</v>
      </c>
      <c r="S480" s="102">
        <f t="shared" si="53"/>
        <v>3.3615261122108596E-3</v>
      </c>
      <c r="BC480" s="101">
        <v>39934</v>
      </c>
      <c r="BD480" s="110">
        <v>21215.4902</v>
      </c>
      <c r="BE480" s="110">
        <v>321.63</v>
      </c>
      <c r="BF480" s="272">
        <f t="shared" ref="BF480:BG543" si="54">LN(BD480/BD481)</f>
        <v>2.8218183413237157E-2</v>
      </c>
      <c r="BG480" s="272">
        <f t="shared" si="54"/>
        <v>3.7152151742555484E-2</v>
      </c>
    </row>
    <row r="481" spans="2:59" x14ac:dyDescent="0.3">
      <c r="B481" s="101">
        <v>39682</v>
      </c>
      <c r="C481" s="54">
        <v>526.98</v>
      </c>
      <c r="D481" s="102">
        <f t="shared" si="52"/>
        <v>7.7800957172659224E-2</v>
      </c>
      <c r="E481" s="102"/>
      <c r="F481" s="54">
        <v>1292.2</v>
      </c>
      <c r="G481" s="102">
        <f t="shared" si="52"/>
        <v>-4.6217840086273387E-3</v>
      </c>
      <c r="O481" s="101">
        <v>42361</v>
      </c>
      <c r="P481" s="110">
        <v>26742.25</v>
      </c>
      <c r="Q481" s="110">
        <v>564.27</v>
      </c>
      <c r="R481" s="102">
        <f t="shared" si="53"/>
        <v>0</v>
      </c>
      <c r="S481" s="102">
        <f t="shared" si="53"/>
        <v>-3.6794012958997931E-3</v>
      </c>
      <c r="BC481" s="101">
        <v>39927</v>
      </c>
      <c r="BD481" s="110">
        <v>20625.195299999999</v>
      </c>
      <c r="BE481" s="110">
        <v>309.89999999999998</v>
      </c>
      <c r="BF481" s="272">
        <f t="shared" si="54"/>
        <v>-0.16239439855960461</v>
      </c>
      <c r="BG481" s="272">
        <f t="shared" si="54"/>
        <v>-7.5310402035929758E-2</v>
      </c>
    </row>
    <row r="482" spans="2:59" x14ac:dyDescent="0.3">
      <c r="B482" s="101">
        <v>39675</v>
      </c>
      <c r="C482" s="54">
        <v>488.94</v>
      </c>
      <c r="D482" s="102">
        <f t="shared" si="52"/>
        <v>0.10052219321148836</v>
      </c>
      <c r="E482" s="102"/>
      <c r="F482" s="54">
        <v>1298.2</v>
      </c>
      <c r="G482" s="102">
        <f t="shared" si="52"/>
        <v>1.4502591952605393E-3</v>
      </c>
      <c r="O482" s="101">
        <v>42360</v>
      </c>
      <c r="P482" s="110">
        <v>26742.25</v>
      </c>
      <c r="Q482" s="110">
        <v>566.35</v>
      </c>
      <c r="R482" s="102">
        <f t="shared" si="53"/>
        <v>-9.3313795258027962E-3</v>
      </c>
      <c r="S482" s="102">
        <f t="shared" si="53"/>
        <v>-9.7065968353532688E-4</v>
      </c>
      <c r="BC482" s="101">
        <v>39920</v>
      </c>
      <c r="BD482" s="110">
        <v>24261.914100000002</v>
      </c>
      <c r="BE482" s="110">
        <v>334.14</v>
      </c>
      <c r="BF482" s="272">
        <f t="shared" si="54"/>
        <v>0.10011521188190768</v>
      </c>
      <c r="BG482" s="272">
        <f t="shared" si="54"/>
        <v>2.7581050179154316E-2</v>
      </c>
    </row>
    <row r="483" spans="2:59" x14ac:dyDescent="0.3">
      <c r="B483" s="101">
        <v>39668</v>
      </c>
      <c r="C483" s="54">
        <v>444.28</v>
      </c>
      <c r="D483" s="102">
        <f t="shared" si="52"/>
        <v>-6.3295385922927938E-3</v>
      </c>
      <c r="E483" s="102"/>
      <c r="F483" s="54">
        <v>1296.32</v>
      </c>
      <c r="G483" s="102">
        <f t="shared" si="52"/>
        <v>2.8572335377803793E-2</v>
      </c>
      <c r="O483" s="101">
        <v>42359</v>
      </c>
      <c r="P483" s="110">
        <v>26992.959999999999</v>
      </c>
      <c r="Q483" s="110">
        <v>566.9</v>
      </c>
      <c r="R483" s="102">
        <f t="shared" si="53"/>
        <v>0</v>
      </c>
      <c r="S483" s="102">
        <f t="shared" si="53"/>
        <v>-2.2553485966985668E-3</v>
      </c>
      <c r="BC483" s="101">
        <v>39913</v>
      </c>
      <c r="BD483" s="110">
        <v>21950.5586</v>
      </c>
      <c r="BE483" s="110">
        <v>325.05</v>
      </c>
      <c r="BF483" s="272">
        <f t="shared" si="54"/>
        <v>8.6693128012368281E-2</v>
      </c>
      <c r="BG483" s="272">
        <f t="shared" si="54"/>
        <v>4.6503901027806951E-2</v>
      </c>
    </row>
    <row r="484" spans="2:59" x14ac:dyDescent="0.3">
      <c r="B484" s="101">
        <v>39661</v>
      </c>
      <c r="C484" s="54">
        <v>447.11</v>
      </c>
      <c r="D484" s="102">
        <f t="shared" si="52"/>
        <v>4.1098123224514671E-2</v>
      </c>
      <c r="E484" s="102"/>
      <c r="F484" s="54">
        <v>1260.31</v>
      </c>
      <c r="G484" s="102">
        <f t="shared" si="52"/>
        <v>2.0274138150362386E-3</v>
      </c>
      <c r="O484" s="101">
        <v>42356</v>
      </c>
      <c r="P484" s="110">
        <v>26992.959999999999</v>
      </c>
      <c r="Q484" s="110">
        <v>568.17999999999995</v>
      </c>
      <c r="R484" s="102">
        <f t="shared" si="53"/>
        <v>-6.1728933040310387E-3</v>
      </c>
      <c r="S484" s="102">
        <f t="shared" si="53"/>
        <v>-1.5594619659243173E-2</v>
      </c>
      <c r="BC484" s="101">
        <v>39906</v>
      </c>
      <c r="BD484" s="110">
        <v>20127.75</v>
      </c>
      <c r="BE484" s="110">
        <v>310.27999999999997</v>
      </c>
      <c r="BF484" s="272">
        <f t="shared" si="54"/>
        <v>0.1171468703511403</v>
      </c>
      <c r="BG484" s="272">
        <f t="shared" si="54"/>
        <v>7.6565347871864059E-2</v>
      </c>
    </row>
    <row r="485" spans="2:59" x14ac:dyDescent="0.3">
      <c r="B485" s="101">
        <v>39654</v>
      </c>
      <c r="C485" s="54">
        <v>429.46</v>
      </c>
      <c r="D485" s="102">
        <f t="shared" si="52"/>
        <v>-0.11094089638753757</v>
      </c>
      <c r="E485" s="102"/>
      <c r="F485" s="54">
        <v>1257.76</v>
      </c>
      <c r="G485" s="102">
        <f t="shared" si="52"/>
        <v>-2.3162102992037026E-3</v>
      </c>
      <c r="O485" s="101">
        <v>42355</v>
      </c>
      <c r="P485" s="110">
        <v>27160.1</v>
      </c>
      <c r="Q485" s="110">
        <v>577.11</v>
      </c>
      <c r="R485" s="102">
        <f t="shared" si="53"/>
        <v>0</v>
      </c>
      <c r="S485" s="102">
        <f t="shared" si="53"/>
        <v>7.9328217268513496E-3</v>
      </c>
      <c r="BC485" s="101">
        <v>39899</v>
      </c>
      <c r="BD485" s="110">
        <v>17902.718799999999</v>
      </c>
      <c r="BE485" s="110">
        <v>287.41000000000003</v>
      </c>
      <c r="BF485" s="272">
        <f t="shared" si="54"/>
        <v>-3.268500391098985E-2</v>
      </c>
      <c r="BG485" s="272">
        <f t="shared" si="54"/>
        <v>7.508534406527563E-2</v>
      </c>
    </row>
    <row r="486" spans="2:59" x14ac:dyDescent="0.3">
      <c r="B486" s="101">
        <v>39647</v>
      </c>
      <c r="C486" s="54">
        <v>483.05</v>
      </c>
      <c r="D486" s="102">
        <f t="shared" ref="D486:G501" si="55">C486/C487-1</f>
        <v>5.7835494043447788E-2</v>
      </c>
      <c r="E486" s="102"/>
      <c r="F486" s="54">
        <v>1260.68</v>
      </c>
      <c r="G486" s="102">
        <f t="shared" si="55"/>
        <v>1.7095740990246133E-2</v>
      </c>
      <c r="O486" s="101">
        <v>42354</v>
      </c>
      <c r="P486" s="110">
        <v>27160.1</v>
      </c>
      <c r="Q486" s="110">
        <v>572.54999999999995</v>
      </c>
      <c r="R486" s="102">
        <f t="shared" si="53"/>
        <v>0</v>
      </c>
      <c r="S486" s="102">
        <f t="shared" si="53"/>
        <v>7.978649138197005E-3</v>
      </c>
      <c r="BC486" s="101">
        <v>39892</v>
      </c>
      <c r="BD486" s="110">
        <v>18497.537100000001</v>
      </c>
      <c r="BE486" s="110">
        <v>266.62</v>
      </c>
      <c r="BF486" s="272">
        <f t="shared" si="54"/>
        <v>1.3305469881809306E-2</v>
      </c>
      <c r="BG486" s="272">
        <f t="shared" si="54"/>
        <v>5.862003119621876E-2</v>
      </c>
    </row>
    <row r="487" spans="2:59" x14ac:dyDescent="0.3">
      <c r="B487" s="101">
        <v>39640</v>
      </c>
      <c r="C487" s="54">
        <v>456.64</v>
      </c>
      <c r="D487" s="102">
        <f t="shared" si="55"/>
        <v>3.8573508005822266E-2</v>
      </c>
      <c r="E487" s="102"/>
      <c r="F487" s="54">
        <v>1239.49</v>
      </c>
      <c r="G487" s="102">
        <f t="shared" si="55"/>
        <v>-1.8536701243170528E-2</v>
      </c>
      <c r="O487" s="101">
        <v>42353</v>
      </c>
      <c r="P487" s="110">
        <v>27160.1</v>
      </c>
      <c r="Q487" s="110">
        <v>568</v>
      </c>
      <c r="R487" s="102">
        <f t="shared" si="53"/>
        <v>-1.8293293158632068E-2</v>
      </c>
      <c r="S487" s="102">
        <f t="shared" si="53"/>
        <v>1.0228186352840809E-2</v>
      </c>
      <c r="BC487" s="101">
        <v>39885</v>
      </c>
      <c r="BD487" s="110">
        <v>18253.0488</v>
      </c>
      <c r="BE487" s="110">
        <v>251.44</v>
      </c>
      <c r="BF487" s="272">
        <f t="shared" si="54"/>
        <v>5.0946543524230128E-2</v>
      </c>
      <c r="BG487" s="272">
        <f t="shared" si="54"/>
        <v>2.3093112962178718E-2</v>
      </c>
    </row>
    <row r="488" spans="2:59" x14ac:dyDescent="0.3">
      <c r="B488" s="101">
        <v>39633</v>
      </c>
      <c r="C488" s="54">
        <v>439.68</v>
      </c>
      <c r="D488" s="102">
        <f t="shared" si="55"/>
        <v>0.11988996714296629</v>
      </c>
      <c r="E488" s="102"/>
      <c r="F488" s="54">
        <v>1262.9000000000001</v>
      </c>
      <c r="G488" s="102">
        <f t="shared" si="55"/>
        <v>-1.210907554874141E-2</v>
      </c>
      <c r="O488" s="101">
        <v>42352</v>
      </c>
      <c r="P488" s="110">
        <v>27661.52</v>
      </c>
      <c r="Q488" s="110">
        <v>562.22</v>
      </c>
      <c r="R488" s="102">
        <f t="shared" si="53"/>
        <v>3.3797565988465852E-2</v>
      </c>
      <c r="S488" s="102">
        <f t="shared" si="53"/>
        <v>-2.1498697926452155E-3</v>
      </c>
      <c r="BC488" s="101">
        <v>39878</v>
      </c>
      <c r="BD488" s="110">
        <v>17346.410199999998</v>
      </c>
      <c r="BE488" s="110">
        <v>245.7</v>
      </c>
      <c r="BF488" s="272">
        <f t="shared" si="54"/>
        <v>-5.8721549441934043E-2</v>
      </c>
      <c r="BG488" s="272">
        <f t="shared" si="54"/>
        <v>-1.6278691229184357E-4</v>
      </c>
    </row>
    <row r="489" spans="2:59" x14ac:dyDescent="0.3">
      <c r="B489" s="101">
        <v>39626</v>
      </c>
      <c r="C489" s="54">
        <v>392.61</v>
      </c>
      <c r="D489" s="102">
        <f t="shared" si="55"/>
        <v>7.2646303480684127E-2</v>
      </c>
      <c r="E489" s="102"/>
      <c r="F489" s="54">
        <v>1278.3800000000001</v>
      </c>
      <c r="G489" s="102">
        <f t="shared" si="55"/>
        <v>-3.0009181064244661E-2</v>
      </c>
      <c r="O489" s="101">
        <v>42349</v>
      </c>
      <c r="P489" s="110">
        <v>26742.25</v>
      </c>
      <c r="Q489" s="110">
        <v>563.42999999999995</v>
      </c>
      <c r="R489" s="102">
        <f t="shared" si="53"/>
        <v>0</v>
      </c>
      <c r="S489" s="102">
        <f t="shared" si="53"/>
        <v>4.2508979323006698E-3</v>
      </c>
      <c r="BC489" s="101">
        <v>39871</v>
      </c>
      <c r="BD489" s="110">
        <v>18395.519499999999</v>
      </c>
      <c r="BE489" s="110">
        <v>245.74</v>
      </c>
      <c r="BF489" s="272">
        <f t="shared" si="54"/>
        <v>-1.9773576215382675E-2</v>
      </c>
      <c r="BG489" s="272">
        <f t="shared" si="54"/>
        <v>-2.7414371578257036E-2</v>
      </c>
    </row>
    <row r="490" spans="2:59" x14ac:dyDescent="0.3">
      <c r="B490" s="101">
        <v>39619</v>
      </c>
      <c r="C490" s="54">
        <v>366.02</v>
      </c>
      <c r="D490" s="102">
        <f t="shared" si="55"/>
        <v>-1.7870559192873281E-2</v>
      </c>
      <c r="E490" s="102"/>
      <c r="F490" s="54">
        <v>1317.93</v>
      </c>
      <c r="G490" s="102">
        <f t="shared" si="55"/>
        <v>-3.0955199517657683E-2</v>
      </c>
      <c r="O490" s="101">
        <v>42348</v>
      </c>
      <c r="P490" s="110">
        <v>26742.25</v>
      </c>
      <c r="Q490" s="110">
        <v>561.04</v>
      </c>
      <c r="R490" s="102">
        <f t="shared" si="53"/>
        <v>0</v>
      </c>
      <c r="S490" s="102">
        <f t="shared" si="53"/>
        <v>-7.3874465817175151E-3</v>
      </c>
      <c r="BC490" s="101">
        <v>39864</v>
      </c>
      <c r="BD490" s="110">
        <v>18762.8848</v>
      </c>
      <c r="BE490" s="110">
        <v>252.57</v>
      </c>
      <c r="BF490" s="272">
        <f t="shared" si="54"/>
        <v>-6.6352926802263221E-2</v>
      </c>
      <c r="BG490" s="272">
        <f t="shared" si="54"/>
        <v>-8.3299252140846713E-2</v>
      </c>
    </row>
    <row r="491" spans="2:59" x14ac:dyDescent="0.3">
      <c r="B491" s="101">
        <v>39612</v>
      </c>
      <c r="C491" s="54">
        <v>372.68</v>
      </c>
      <c r="D491" s="102">
        <f t="shared" si="55"/>
        <v>-3.0085363314595104E-2</v>
      </c>
      <c r="E491" s="102"/>
      <c r="F491" s="54">
        <v>1360.03</v>
      </c>
      <c r="G491" s="102">
        <f t="shared" si="55"/>
        <v>-4.7770232530797152E-4</v>
      </c>
      <c r="O491" s="101">
        <v>42347</v>
      </c>
      <c r="P491" s="110">
        <v>26742.25</v>
      </c>
      <c r="Q491" s="110">
        <v>565.20000000000005</v>
      </c>
      <c r="R491" s="102">
        <f t="shared" si="53"/>
        <v>-3.0771828639518169E-2</v>
      </c>
      <c r="S491" s="102">
        <f t="shared" si="53"/>
        <v>-1.5711035411825829E-2</v>
      </c>
      <c r="BC491" s="101">
        <v>39857</v>
      </c>
      <c r="BD491" s="110">
        <v>20050.089800000002</v>
      </c>
      <c r="BE491" s="110">
        <v>274.51</v>
      </c>
      <c r="BF491" s="272">
        <f t="shared" si="54"/>
        <v>-4.9145212236388493E-2</v>
      </c>
      <c r="BG491" s="272">
        <f t="shared" si="54"/>
        <v>-2.5606462541914097E-2</v>
      </c>
    </row>
    <row r="492" spans="2:59" x14ac:dyDescent="0.3">
      <c r="B492" s="101">
        <v>39605</v>
      </c>
      <c r="C492" s="54">
        <v>384.24</v>
      </c>
      <c r="D492" s="102">
        <f t="shared" si="55"/>
        <v>-7.2108186428399001E-2</v>
      </c>
      <c r="E492" s="102"/>
      <c r="F492" s="54">
        <v>1360.68</v>
      </c>
      <c r="G492" s="102">
        <f t="shared" si="55"/>
        <v>-2.8349448006969591E-2</v>
      </c>
      <c r="O492" s="101">
        <v>42346</v>
      </c>
      <c r="P492" s="110">
        <v>27577.95</v>
      </c>
      <c r="Q492" s="110">
        <v>574.15</v>
      </c>
      <c r="R492" s="102">
        <f t="shared" si="53"/>
        <v>-1.5037958545552055E-2</v>
      </c>
      <c r="S492" s="102">
        <f t="shared" si="53"/>
        <v>1.8510420666894459E-2</v>
      </c>
      <c r="BC492" s="101">
        <v>39850</v>
      </c>
      <c r="BD492" s="110">
        <v>21060.070299999999</v>
      </c>
      <c r="BE492" s="110">
        <v>281.63</v>
      </c>
      <c r="BF492" s="272">
        <f t="shared" si="54"/>
        <v>-7.3992158616691894E-2</v>
      </c>
      <c r="BG492" s="272">
        <f t="shared" si="54"/>
        <v>-7.3831482054237674E-2</v>
      </c>
    </row>
    <row r="493" spans="2:59" x14ac:dyDescent="0.3">
      <c r="B493" s="101">
        <v>39598</v>
      </c>
      <c r="C493" s="54">
        <v>414.1</v>
      </c>
      <c r="D493" s="102">
        <f t="shared" si="55"/>
        <v>-3.2589650741735698E-2</v>
      </c>
      <c r="E493" s="102"/>
      <c r="F493" s="54">
        <v>1400.38</v>
      </c>
      <c r="G493" s="102">
        <f t="shared" si="55"/>
        <v>1.7769799335721981E-2</v>
      </c>
      <c r="O493" s="101">
        <v>42345</v>
      </c>
      <c r="P493" s="110">
        <v>27995.8</v>
      </c>
      <c r="Q493" s="110">
        <v>563.62</v>
      </c>
      <c r="R493" s="102">
        <f t="shared" si="53"/>
        <v>0</v>
      </c>
      <c r="S493" s="102">
        <f t="shared" si="53"/>
        <v>-1.4094169391439303E-2</v>
      </c>
      <c r="BC493" s="101">
        <v>39843</v>
      </c>
      <c r="BD493" s="110">
        <v>22677.449199999999</v>
      </c>
      <c r="BE493" s="110">
        <f>BE494</f>
        <v>303.20999999999998</v>
      </c>
      <c r="BF493" s="272">
        <f t="shared" si="54"/>
        <v>0</v>
      </c>
      <c r="BG493" s="272">
        <f t="shared" si="54"/>
        <v>0</v>
      </c>
    </row>
    <row r="494" spans="2:59" x14ac:dyDescent="0.3">
      <c r="B494" s="101">
        <v>39591</v>
      </c>
      <c r="C494" s="54">
        <v>428.05</v>
      </c>
      <c r="D494" s="102">
        <f t="shared" si="55"/>
        <v>-6.9537431527693205E-2</v>
      </c>
      <c r="E494" s="102"/>
      <c r="F494" s="54">
        <v>1375.93</v>
      </c>
      <c r="G494" s="102">
        <f t="shared" si="55"/>
        <v>-3.4672185778931386E-2</v>
      </c>
      <c r="O494" s="101">
        <v>42342</v>
      </c>
      <c r="P494" s="110">
        <v>27995.8</v>
      </c>
      <c r="Q494" s="110">
        <v>571.62</v>
      </c>
      <c r="R494" s="102">
        <f t="shared" si="53"/>
        <v>-5.9524303251971807E-3</v>
      </c>
      <c r="S494" s="102">
        <f t="shared" si="53"/>
        <v>-4.8167632395738052E-3</v>
      </c>
      <c r="BC494" s="101">
        <v>39836</v>
      </c>
      <c r="BD494" s="110">
        <v>22677.449199999999</v>
      </c>
      <c r="BE494" s="110">
        <v>303.20999999999998</v>
      </c>
      <c r="BF494" s="272">
        <f t="shared" si="54"/>
        <v>-5.537468003145038E-2</v>
      </c>
      <c r="BG494" s="272">
        <f t="shared" si="54"/>
        <v>-9.5515471870394868E-3</v>
      </c>
    </row>
    <row r="495" spans="2:59" x14ac:dyDescent="0.3">
      <c r="B495" s="101">
        <v>39584</v>
      </c>
      <c r="C495" s="54">
        <v>460.04</v>
      </c>
      <c r="D495" s="102">
        <f t="shared" si="55"/>
        <v>-8.0526852277496785E-2</v>
      </c>
      <c r="E495" s="102"/>
      <c r="F495" s="54">
        <v>1425.35</v>
      </c>
      <c r="G495" s="102">
        <f t="shared" si="55"/>
        <v>2.6702106203359444E-2</v>
      </c>
      <c r="O495" s="101">
        <v>42341</v>
      </c>
      <c r="P495" s="110">
        <v>28162.94</v>
      </c>
      <c r="Q495" s="110">
        <v>574.38</v>
      </c>
      <c r="R495" s="102">
        <f t="shared" si="53"/>
        <v>0</v>
      </c>
      <c r="S495" s="102">
        <f t="shared" si="53"/>
        <v>-6.9637883036443823E-5</v>
      </c>
      <c r="BC495" s="101">
        <v>39829</v>
      </c>
      <c r="BD495" s="110">
        <v>23968.625</v>
      </c>
      <c r="BE495" s="110">
        <v>306.12</v>
      </c>
      <c r="BF495" s="272">
        <f t="shared" si="54"/>
        <v>0.33215453047329241</v>
      </c>
      <c r="BG495" s="272">
        <f t="shared" si="54"/>
        <v>-2.3503147980200013E-2</v>
      </c>
    </row>
    <row r="496" spans="2:59" x14ac:dyDescent="0.3">
      <c r="B496" s="101">
        <v>39577</v>
      </c>
      <c r="C496" s="54">
        <v>500.33</v>
      </c>
      <c r="D496" s="102">
        <f t="shared" si="55"/>
        <v>-4.2173979630905967E-2</v>
      </c>
      <c r="E496" s="102"/>
      <c r="F496" s="54">
        <v>1388.28</v>
      </c>
      <c r="G496" s="102">
        <f t="shared" si="55"/>
        <v>-1.8120093358794942E-2</v>
      </c>
      <c r="O496" s="101">
        <v>42340</v>
      </c>
      <c r="P496" s="110">
        <v>28162.94</v>
      </c>
      <c r="Q496" s="110">
        <v>574.41999999999996</v>
      </c>
      <c r="R496" s="102">
        <f t="shared" si="53"/>
        <v>5.9524303251970801E-3</v>
      </c>
      <c r="S496" s="102">
        <f t="shared" si="53"/>
        <v>7.005435566140846E-3</v>
      </c>
      <c r="BC496" s="101">
        <v>39822</v>
      </c>
      <c r="BD496" s="110">
        <v>17194.527300000002</v>
      </c>
      <c r="BE496" s="110">
        <v>313.39999999999998</v>
      </c>
      <c r="BF496" s="272">
        <f t="shared" si="54"/>
        <v>0.43001825537746841</v>
      </c>
      <c r="BG496" s="272">
        <f t="shared" si="54"/>
        <v>1.9146695657945139E-4</v>
      </c>
    </row>
    <row r="497" spans="2:59" x14ac:dyDescent="0.3">
      <c r="B497" s="101">
        <v>39570</v>
      </c>
      <c r="C497" s="54">
        <v>522.36</v>
      </c>
      <c r="D497" s="102">
        <f t="shared" si="55"/>
        <v>1.2561060711793415E-2</v>
      </c>
      <c r="E497" s="102"/>
      <c r="F497" s="54">
        <v>1413.9</v>
      </c>
      <c r="G497" s="102">
        <f t="shared" si="55"/>
        <v>1.1489154695816461E-2</v>
      </c>
      <c r="O497" s="101">
        <v>42339</v>
      </c>
      <c r="P497" s="110">
        <v>27995.8</v>
      </c>
      <c r="Q497" s="110">
        <v>570.41</v>
      </c>
      <c r="R497" s="102">
        <f t="shared" si="53"/>
        <v>-1.1869285794220748E-2</v>
      </c>
      <c r="S497" s="102">
        <f t="shared" si="53"/>
        <v>-4.8792954508044602E-3</v>
      </c>
      <c r="BC497" s="101">
        <v>39815</v>
      </c>
      <c r="BD497" s="110">
        <v>11184.992200000001</v>
      </c>
      <c r="BE497" s="110">
        <v>313.33999999999997</v>
      </c>
      <c r="BF497" s="272">
        <f t="shared" si="54"/>
        <v>9.7337732855371048E-2</v>
      </c>
      <c r="BG497" s="272">
        <f t="shared" si="54"/>
        <v>2.8749147334232884E-2</v>
      </c>
    </row>
    <row r="498" spans="2:59" x14ac:dyDescent="0.3">
      <c r="B498" s="101">
        <v>39563</v>
      </c>
      <c r="C498" s="54">
        <v>515.88</v>
      </c>
      <c r="D498" s="102">
        <f t="shared" si="55"/>
        <v>-3.9883865924698836E-2</v>
      </c>
      <c r="E498" s="102"/>
      <c r="F498" s="54">
        <v>1397.84</v>
      </c>
      <c r="G498" s="102">
        <f t="shared" si="55"/>
        <v>5.4015953047117371E-3</v>
      </c>
      <c r="O498" s="101">
        <v>42338</v>
      </c>
      <c r="P498" s="110">
        <v>28330.07</v>
      </c>
      <c r="Q498" s="110">
        <v>573.20000000000005</v>
      </c>
      <c r="R498" s="102">
        <f t="shared" si="53"/>
        <v>2.6907244339772846E-2</v>
      </c>
      <c r="S498" s="102">
        <f t="shared" si="53"/>
        <v>-1.6712324337646991E-2</v>
      </c>
      <c r="BC498" s="101">
        <v>39808</v>
      </c>
      <c r="BD498" s="110">
        <v>10147.579100000001</v>
      </c>
      <c r="BE498" s="110">
        <v>304.45999999999998</v>
      </c>
      <c r="BF498" s="272">
        <f t="shared" si="54"/>
        <v>3.9979100289954571E-2</v>
      </c>
      <c r="BG498" s="272">
        <f t="shared" si="54"/>
        <v>-9.1545790714059883E-3</v>
      </c>
    </row>
    <row r="499" spans="2:59" x14ac:dyDescent="0.3">
      <c r="B499" s="101">
        <v>39556</v>
      </c>
      <c r="C499" s="54">
        <v>537.30999999999995</v>
      </c>
      <c r="D499" s="102">
        <f t="shared" si="55"/>
        <v>-3.1539303537968522E-3</v>
      </c>
      <c r="E499" s="102"/>
      <c r="F499" s="54">
        <v>1390.33</v>
      </c>
      <c r="G499" s="102">
        <f t="shared" si="55"/>
        <v>4.3141285835402776E-2</v>
      </c>
      <c r="O499" s="101">
        <v>42335</v>
      </c>
      <c r="P499" s="110">
        <v>27577.95</v>
      </c>
      <c r="Q499" s="110">
        <v>582.86</v>
      </c>
      <c r="R499" s="102">
        <f t="shared" si="53"/>
        <v>6.0790792417972578E-3</v>
      </c>
      <c r="S499" s="102">
        <f t="shared" si="53"/>
        <v>-1.2853252994598887E-2</v>
      </c>
      <c r="BC499" s="101">
        <v>39801</v>
      </c>
      <c r="BD499" s="110">
        <v>9749.8906000000006</v>
      </c>
      <c r="BE499" s="110">
        <v>307.26</v>
      </c>
      <c r="BF499" s="272">
        <f t="shared" si="54"/>
        <v>3.0088812720264983E-2</v>
      </c>
      <c r="BG499" s="272">
        <f t="shared" si="54"/>
        <v>2.5446330138264295E-2</v>
      </c>
    </row>
    <row r="500" spans="2:59" x14ac:dyDescent="0.3">
      <c r="B500" s="101">
        <v>39549</v>
      </c>
      <c r="C500" s="54">
        <v>539.01</v>
      </c>
      <c r="D500" s="102">
        <f t="shared" si="55"/>
        <v>1.1275797373358376E-2</v>
      </c>
      <c r="E500" s="102"/>
      <c r="F500" s="54">
        <v>1332.83</v>
      </c>
      <c r="G500" s="102">
        <f t="shared" si="55"/>
        <v>-2.7415353181552971E-2</v>
      </c>
      <c r="O500" s="101">
        <v>42334</v>
      </c>
      <c r="P500" s="110">
        <v>27410.81</v>
      </c>
      <c r="Q500" s="110">
        <v>590.4</v>
      </c>
      <c r="R500" s="102">
        <f t="shared" si="53"/>
        <v>3.0534542217333471E-3</v>
      </c>
      <c r="S500" s="102">
        <f t="shared" si="53"/>
        <v>-8.9369113483791784E-3</v>
      </c>
      <c r="BC500" s="101">
        <v>39794</v>
      </c>
      <c r="BD500" s="110">
        <v>9460.8974999999991</v>
      </c>
      <c r="BE500" s="110">
        <v>299.54000000000002</v>
      </c>
      <c r="BF500" s="272">
        <f t="shared" si="54"/>
        <v>1.5212530893659561E-2</v>
      </c>
      <c r="BG500" s="272">
        <f t="shared" si="54"/>
        <v>-4.6727413152880163E-4</v>
      </c>
    </row>
    <row r="501" spans="2:59" x14ac:dyDescent="0.3">
      <c r="B501" s="101">
        <v>39542</v>
      </c>
      <c r="C501" s="54">
        <v>533</v>
      </c>
      <c r="D501" s="102">
        <f t="shared" si="55"/>
        <v>3.9594304661595414E-2</v>
      </c>
      <c r="E501" s="102"/>
      <c r="F501" s="54">
        <v>1370.4</v>
      </c>
      <c r="G501" s="102">
        <f t="shared" si="55"/>
        <v>4.1954958105868245E-2</v>
      </c>
      <c r="O501" s="101">
        <v>42333</v>
      </c>
      <c r="P501" s="110">
        <v>27327.24</v>
      </c>
      <c r="Q501" s="110">
        <v>595.70000000000005</v>
      </c>
      <c r="R501" s="102">
        <f t="shared" si="53"/>
        <v>-9.1325334635306635E-3</v>
      </c>
      <c r="S501" s="102">
        <f t="shared" si="53"/>
        <v>3.1441015198784986E-3</v>
      </c>
      <c r="BC501" s="101">
        <v>39787</v>
      </c>
      <c r="BD501" s="110">
        <v>9318.0625</v>
      </c>
      <c r="BE501" s="110">
        <v>299.68</v>
      </c>
      <c r="BF501" s="272">
        <f t="shared" si="54"/>
        <v>-3.2329810751225041E-2</v>
      </c>
      <c r="BG501" s="272">
        <f t="shared" si="54"/>
        <v>-4.9031662476939908E-2</v>
      </c>
    </row>
    <row r="502" spans="2:59" x14ac:dyDescent="0.3">
      <c r="B502" s="101">
        <v>39535</v>
      </c>
      <c r="C502" s="54">
        <v>512.70000000000005</v>
      </c>
      <c r="D502" s="102">
        <f t="shared" ref="D502:G517" si="56">C502/C503-1</f>
        <v>-6.0438352147778707E-2</v>
      </c>
      <c r="E502" s="102"/>
      <c r="F502" s="54">
        <v>1315.22</v>
      </c>
      <c r="G502" s="102">
        <f t="shared" si="56"/>
        <v>-1.0748320809922385E-2</v>
      </c>
      <c r="O502" s="101">
        <v>42332</v>
      </c>
      <c r="P502" s="110">
        <v>27577.95</v>
      </c>
      <c r="Q502" s="110">
        <v>593.83000000000004</v>
      </c>
      <c r="R502" s="102">
        <f t="shared" si="53"/>
        <v>6.0790792417972578E-3</v>
      </c>
      <c r="S502" s="102">
        <f t="shared" si="53"/>
        <v>-1.0319905295826064E-2</v>
      </c>
      <c r="BC502" s="101">
        <v>39780</v>
      </c>
      <c r="BD502" s="110">
        <v>9624.2363000000005</v>
      </c>
      <c r="BE502" s="110">
        <v>314.74</v>
      </c>
      <c r="BF502" s="272">
        <f t="shared" si="54"/>
        <v>5.294593832499777E-2</v>
      </c>
      <c r="BG502" s="272">
        <f t="shared" si="54"/>
        <v>-1.3318801900381171E-2</v>
      </c>
    </row>
    <row r="503" spans="2:59" x14ac:dyDescent="0.3">
      <c r="B503" s="101">
        <v>39528</v>
      </c>
      <c r="C503" s="54">
        <v>545.67999999999995</v>
      </c>
      <c r="D503" s="102">
        <f t="shared" si="56"/>
        <v>-0.15240757999378696</v>
      </c>
      <c r="E503" s="102"/>
      <c r="F503" s="54">
        <v>1329.51</v>
      </c>
      <c r="G503" s="102">
        <f t="shared" si="56"/>
        <v>3.2116074339745504E-2</v>
      </c>
      <c r="O503" s="101">
        <v>42331</v>
      </c>
      <c r="P503" s="110">
        <v>27410.81</v>
      </c>
      <c r="Q503" s="110">
        <v>599.99</v>
      </c>
      <c r="R503" s="102">
        <f t="shared" si="53"/>
        <v>9.188476567887011E-3</v>
      </c>
      <c r="S503" s="102">
        <f t="shared" si="53"/>
        <v>-7.4225090661503958E-3</v>
      </c>
      <c r="BC503" s="101">
        <v>39773</v>
      </c>
      <c r="BD503" s="110">
        <v>9127.9267999999993</v>
      </c>
      <c r="BE503" s="110">
        <v>318.95999999999998</v>
      </c>
      <c r="BF503" s="272">
        <f t="shared" si="54"/>
        <v>-5.1766885082372469E-2</v>
      </c>
      <c r="BG503" s="272">
        <f t="shared" si="54"/>
        <v>-9.8764316390609314E-2</v>
      </c>
    </row>
    <row r="504" spans="2:59" x14ac:dyDescent="0.3">
      <c r="B504" s="101">
        <v>39521</v>
      </c>
      <c r="C504" s="54">
        <v>643.79999999999995</v>
      </c>
      <c r="D504" s="102">
        <f t="shared" si="56"/>
        <v>5.7174992970288052E-3</v>
      </c>
      <c r="E504" s="102"/>
      <c r="F504" s="54">
        <v>1288.1400000000001</v>
      </c>
      <c r="G504" s="102">
        <f t="shared" si="56"/>
        <v>-4.04369979201602E-3</v>
      </c>
      <c r="O504" s="101">
        <v>42328</v>
      </c>
      <c r="P504" s="110">
        <v>27160.1</v>
      </c>
      <c r="Q504" s="110">
        <v>604.46</v>
      </c>
      <c r="R504" s="102">
        <f t="shared" si="53"/>
        <v>-6.1350223461537207E-3</v>
      </c>
      <c r="S504" s="102">
        <f t="shared" si="53"/>
        <v>4.2441789230145931E-3</v>
      </c>
      <c r="BC504" s="101">
        <v>39766</v>
      </c>
      <c r="BD504" s="110">
        <v>9612.8955000000005</v>
      </c>
      <c r="BE504" s="110">
        <v>352.07</v>
      </c>
      <c r="BF504" s="272">
        <f t="shared" si="54"/>
        <v>-1.1622328523946355E-2</v>
      </c>
      <c r="BG504" s="272">
        <f t="shared" si="54"/>
        <v>-3.8721343365047102E-2</v>
      </c>
    </row>
    <row r="505" spans="2:59" x14ac:dyDescent="0.3">
      <c r="B505" s="101">
        <v>39514</v>
      </c>
      <c r="C505" s="54">
        <v>640.14</v>
      </c>
      <c r="D505" s="102">
        <f t="shared" si="56"/>
        <v>-3.4916327453640816E-2</v>
      </c>
      <c r="E505" s="102"/>
      <c r="F505" s="54">
        <v>1293.3699999999999</v>
      </c>
      <c r="G505" s="102">
        <f t="shared" si="56"/>
        <v>-2.8001773595966006E-2</v>
      </c>
      <c r="O505" s="101">
        <v>42327</v>
      </c>
      <c r="P505" s="110">
        <v>27327.24</v>
      </c>
      <c r="Q505" s="110">
        <v>601.9</v>
      </c>
      <c r="R505" s="102">
        <f t="shared" si="53"/>
        <v>1.5408710586211126E-2</v>
      </c>
      <c r="S505" s="102">
        <f t="shared" si="53"/>
        <v>-2.3895667007458312E-3</v>
      </c>
      <c r="BC505" s="101">
        <v>39759</v>
      </c>
      <c r="BD505" s="110">
        <v>9725.2715000000007</v>
      </c>
      <c r="BE505" s="110">
        <v>365.97</v>
      </c>
      <c r="BF505" s="272">
        <f t="shared" si="54"/>
        <v>-1.7180077076299805E-2</v>
      </c>
      <c r="BG505" s="272">
        <f t="shared" si="54"/>
        <v>5.3082501043163158E-2</v>
      </c>
    </row>
    <row r="506" spans="2:59" x14ac:dyDescent="0.3">
      <c r="B506" s="101">
        <v>39507</v>
      </c>
      <c r="C506" s="54">
        <v>663.3</v>
      </c>
      <c r="D506" s="102">
        <f t="shared" si="56"/>
        <v>-3.463833503129099E-2</v>
      </c>
      <c r="E506" s="102"/>
      <c r="F506" s="54">
        <v>1330.63</v>
      </c>
      <c r="G506" s="102">
        <f t="shared" si="56"/>
        <v>-1.6613579088174513E-2</v>
      </c>
      <c r="O506" s="101">
        <v>42326</v>
      </c>
      <c r="P506" s="110">
        <v>26909.39</v>
      </c>
      <c r="Q506" s="110">
        <v>603.34</v>
      </c>
      <c r="R506" s="102">
        <f t="shared" si="53"/>
        <v>-6.0259167612977803E-2</v>
      </c>
      <c r="S506" s="102">
        <f t="shared" si="53"/>
        <v>-2.8302139895904927E-3</v>
      </c>
      <c r="BC506" s="101">
        <v>39752</v>
      </c>
      <c r="BD506" s="110">
        <v>9893.7958999999992</v>
      </c>
      <c r="BE506" s="110">
        <v>347.05</v>
      </c>
      <c r="BF506" s="272">
        <f t="shared" si="54"/>
        <v>-1.5726549661600548E-2</v>
      </c>
      <c r="BG506" s="272">
        <f t="shared" si="54"/>
        <v>5.6056549933785598E-3</v>
      </c>
    </row>
    <row r="507" spans="2:59" x14ac:dyDescent="0.3">
      <c r="B507" s="101">
        <v>39500</v>
      </c>
      <c r="C507" s="54">
        <v>687.1</v>
      </c>
      <c r="D507" s="102">
        <f t="shared" si="56"/>
        <v>-0.1579966422803083</v>
      </c>
      <c r="E507" s="102"/>
      <c r="F507" s="54">
        <v>1353.11</v>
      </c>
      <c r="G507" s="102">
        <f t="shared" si="56"/>
        <v>2.3111282305794401E-3</v>
      </c>
      <c r="O507" s="101">
        <v>42325</v>
      </c>
      <c r="P507" s="110">
        <v>28580.78</v>
      </c>
      <c r="Q507" s="110">
        <v>605.04999999999995</v>
      </c>
      <c r="R507" s="102">
        <f t="shared" si="53"/>
        <v>6.3369607392673735E-2</v>
      </c>
      <c r="S507" s="102">
        <f t="shared" si="53"/>
        <v>-6.851936612674238E-3</v>
      </c>
      <c r="BC507" s="101">
        <v>39745</v>
      </c>
      <c r="BD507" s="110">
        <v>10050.6211</v>
      </c>
      <c r="BE507" s="110">
        <v>345.11</v>
      </c>
      <c r="BF507" s="272">
        <f t="shared" si="54"/>
        <v>-7.6586985822691314E-2</v>
      </c>
      <c r="BG507" s="272">
        <f t="shared" si="54"/>
        <v>-0.10289158992348316</v>
      </c>
    </row>
    <row r="508" spans="2:59" x14ac:dyDescent="0.3">
      <c r="B508" s="101">
        <v>39493</v>
      </c>
      <c r="C508" s="54">
        <v>816.03</v>
      </c>
      <c r="D508" s="102">
        <f t="shared" si="56"/>
        <v>-2.9956135658500083E-2</v>
      </c>
      <c r="E508" s="102"/>
      <c r="F508" s="54">
        <v>1349.99</v>
      </c>
      <c r="G508" s="102">
        <f t="shared" si="56"/>
        <v>1.4046526301557227E-2</v>
      </c>
      <c r="O508" s="101">
        <v>42324</v>
      </c>
      <c r="P508" s="110">
        <v>26825.82</v>
      </c>
      <c r="Q508" s="110">
        <v>609.21</v>
      </c>
      <c r="R508" s="102">
        <f t="shared" si="53"/>
        <v>3.1201448100804819E-3</v>
      </c>
      <c r="S508" s="102">
        <f t="shared" si="53"/>
        <v>-3.3757242334647021E-3</v>
      </c>
      <c r="BC508" s="101">
        <v>39738</v>
      </c>
      <c r="BD508" s="110">
        <v>10850.6113</v>
      </c>
      <c r="BE508" s="110">
        <v>382.51</v>
      </c>
      <c r="BF508" s="272">
        <f t="shared" si="54"/>
        <v>8.0833518755477174E-2</v>
      </c>
      <c r="BG508" s="272">
        <f t="shared" si="54"/>
        <v>9.0602928175430621E-3</v>
      </c>
    </row>
    <row r="509" spans="2:59" x14ac:dyDescent="0.3">
      <c r="B509" s="101">
        <v>39486</v>
      </c>
      <c r="C509" s="54">
        <v>841.23</v>
      </c>
      <c r="D509" s="102">
        <f t="shared" si="56"/>
        <v>-2.1393173727926262E-2</v>
      </c>
      <c r="E509" s="102"/>
      <c r="F509" s="54">
        <v>1331.29</v>
      </c>
      <c r="G509" s="102">
        <f t="shared" si="56"/>
        <v>-4.5957489501368798E-2</v>
      </c>
      <c r="O509" s="101">
        <v>42321</v>
      </c>
      <c r="P509" s="110">
        <v>26742.25</v>
      </c>
      <c r="Q509" s="110">
        <v>611.27</v>
      </c>
      <c r="R509" s="102">
        <f t="shared" si="53"/>
        <v>0</v>
      </c>
      <c r="S509" s="102">
        <f t="shared" si="53"/>
        <v>9.3520836113772845E-3</v>
      </c>
      <c r="BC509" s="101">
        <v>39731</v>
      </c>
      <c r="BD509" s="110">
        <v>10008.031300000001</v>
      </c>
      <c r="BE509" s="110">
        <v>379.06</v>
      </c>
      <c r="BF509" s="272">
        <f t="shared" si="54"/>
        <v>-0.14300299943185985</v>
      </c>
      <c r="BG509" s="272">
        <f t="shared" si="54"/>
        <v>-0.17629736248951952</v>
      </c>
    </row>
    <row r="510" spans="2:59" x14ac:dyDescent="0.3">
      <c r="B510" s="101">
        <v>39479</v>
      </c>
      <c r="C510" s="54">
        <v>859.62</v>
      </c>
      <c r="D510" s="102">
        <f t="shared" si="56"/>
        <v>0.10770063398793872</v>
      </c>
      <c r="E510" s="102"/>
      <c r="F510" s="54">
        <v>1395.42</v>
      </c>
      <c r="G510" s="102">
        <f t="shared" si="56"/>
        <v>4.8706984014850407E-2</v>
      </c>
      <c r="O510" s="101">
        <v>42320</v>
      </c>
      <c r="P510" s="110">
        <v>26742.25</v>
      </c>
      <c r="Q510" s="110">
        <v>605.58000000000004</v>
      </c>
      <c r="R510" s="102">
        <f t="shared" si="53"/>
        <v>0</v>
      </c>
      <c r="S510" s="102">
        <f t="shared" si="53"/>
        <v>3.3909271518843885E-3</v>
      </c>
      <c r="BC510" s="101">
        <v>39724</v>
      </c>
      <c r="BD510" s="110">
        <v>11546.598599999999</v>
      </c>
      <c r="BE510" s="110">
        <v>452.14</v>
      </c>
      <c r="BF510" s="272">
        <f t="shared" si="54"/>
        <v>-6.6310521224108243E-2</v>
      </c>
      <c r="BG510" s="272">
        <f t="shared" si="54"/>
        <v>-6.7700401272860394E-2</v>
      </c>
    </row>
    <row r="511" spans="2:59" x14ac:dyDescent="0.3">
      <c r="B511" s="101">
        <v>39472</v>
      </c>
      <c r="C511" s="54">
        <v>776.04</v>
      </c>
      <c r="D511" s="102">
        <f t="shared" si="56"/>
        <v>-8.3832123251283863E-2</v>
      </c>
      <c r="E511" s="102"/>
      <c r="F511" s="54">
        <v>1330.61</v>
      </c>
      <c r="G511" s="102">
        <f t="shared" si="56"/>
        <v>4.0899795501021519E-3</v>
      </c>
      <c r="O511" s="101">
        <v>42319</v>
      </c>
      <c r="P511" s="110">
        <v>26742.25</v>
      </c>
      <c r="Q511" s="110">
        <v>603.53</v>
      </c>
      <c r="R511" s="102">
        <f t="shared" si="53"/>
        <v>0</v>
      </c>
      <c r="S511" s="102">
        <f t="shared" si="53"/>
        <v>-2.8788901418945567E-3</v>
      </c>
      <c r="BC511" s="101">
        <v>39717</v>
      </c>
      <c r="BD511" s="110">
        <v>12338.2158</v>
      </c>
      <c r="BE511" s="110">
        <v>483.81</v>
      </c>
      <c r="BF511" s="272">
        <f t="shared" si="54"/>
        <v>6.2297598758879837E-2</v>
      </c>
      <c r="BG511" s="272">
        <f t="shared" si="54"/>
        <v>9.705618966475725E-2</v>
      </c>
    </row>
    <row r="512" spans="2:59" x14ac:dyDescent="0.3">
      <c r="B512" s="101">
        <v>39465</v>
      </c>
      <c r="C512" s="54">
        <v>847.05</v>
      </c>
      <c r="D512" s="102">
        <f t="shared" si="56"/>
        <v>-1.5939217212495804E-2</v>
      </c>
      <c r="E512" s="102"/>
      <c r="F512" s="54">
        <v>1325.19</v>
      </c>
      <c r="G512" s="102">
        <f t="shared" si="56"/>
        <v>-5.4124851893620263E-2</v>
      </c>
      <c r="O512" s="101">
        <v>42318</v>
      </c>
      <c r="P512" s="110">
        <v>26742.25</v>
      </c>
      <c r="Q512" s="110">
        <v>605.27</v>
      </c>
      <c r="R512" s="102">
        <f t="shared" si="53"/>
        <v>0</v>
      </c>
      <c r="S512" s="102">
        <f t="shared" si="53"/>
        <v>-8.8657000069735075E-3</v>
      </c>
      <c r="BC512" s="101">
        <v>39710</v>
      </c>
      <c r="BD512" s="110">
        <v>11593.0273</v>
      </c>
      <c r="BE512" s="110">
        <v>439.06</v>
      </c>
      <c r="BF512" s="272">
        <f t="shared" si="54"/>
        <v>-0.10227296481896654</v>
      </c>
      <c r="BG512" s="272">
        <f t="shared" si="54"/>
        <v>-8.0781776235643268E-2</v>
      </c>
    </row>
    <row r="513" spans="2:59" x14ac:dyDescent="0.3">
      <c r="B513" s="101">
        <v>39458</v>
      </c>
      <c r="C513" s="54">
        <v>860.77</v>
      </c>
      <c r="D513" s="102">
        <f t="shared" si="56"/>
        <v>-4.6861331650223215E-2</v>
      </c>
      <c r="E513" s="102"/>
      <c r="F513" s="54">
        <v>1401.02</v>
      </c>
      <c r="G513" s="102">
        <f t="shared" si="56"/>
        <v>-7.5161338311031667E-3</v>
      </c>
      <c r="O513" s="101">
        <v>42317</v>
      </c>
      <c r="P513" s="110">
        <v>26742.25</v>
      </c>
      <c r="Q513" s="110">
        <v>610.66</v>
      </c>
      <c r="R513" s="102">
        <f t="shared" si="53"/>
        <v>0</v>
      </c>
      <c r="S513" s="102">
        <f t="shared" si="53"/>
        <v>-2.7800053880735055E-3</v>
      </c>
      <c r="BC513" s="101">
        <v>39703</v>
      </c>
      <c r="BD513" s="110">
        <v>12841.4316</v>
      </c>
      <c r="BE513" s="110">
        <v>476</v>
      </c>
      <c r="BF513" s="272">
        <f t="shared" si="54"/>
        <v>-0.11792740166117795</v>
      </c>
      <c r="BG513" s="272">
        <f t="shared" si="54"/>
        <v>-0.13840918272240205</v>
      </c>
    </row>
    <row r="514" spans="2:59" x14ac:dyDescent="0.3">
      <c r="B514" s="101">
        <v>39451</v>
      </c>
      <c r="C514" s="54">
        <v>903.09</v>
      </c>
      <c r="D514" s="102">
        <f t="shared" si="56"/>
        <v>-2.5813898297771254E-2</v>
      </c>
      <c r="E514" s="102"/>
      <c r="F514" s="54">
        <v>1411.63</v>
      </c>
      <c r="G514" s="102">
        <f t="shared" si="56"/>
        <v>-4.5221814148218686E-2</v>
      </c>
      <c r="O514" s="101">
        <v>42314</v>
      </c>
      <c r="P514" s="110">
        <v>26742.25</v>
      </c>
      <c r="Q514" s="110">
        <v>612.36</v>
      </c>
      <c r="R514" s="102">
        <f t="shared" si="53"/>
        <v>3.1299105923188238E-3</v>
      </c>
      <c r="S514" s="102">
        <f t="shared" si="53"/>
        <v>-4.5945630461743285E-3</v>
      </c>
      <c r="BC514" s="101">
        <v>39696</v>
      </c>
      <c r="BD514" s="110">
        <v>14448.6963</v>
      </c>
      <c r="BE514" s="110">
        <v>546.66</v>
      </c>
      <c r="BF514" s="272">
        <f t="shared" si="54"/>
        <v>8.603538093239281E-2</v>
      </c>
      <c r="BG514" s="272">
        <f t="shared" si="54"/>
        <v>1.3925954496199032E-2</v>
      </c>
    </row>
    <row r="515" spans="2:59" x14ac:dyDescent="0.3">
      <c r="B515" s="101">
        <v>39444</v>
      </c>
      <c r="C515" s="54">
        <v>927.02</v>
      </c>
      <c r="D515" s="102">
        <f t="shared" si="56"/>
        <v>-8.6089811457966681E-3</v>
      </c>
      <c r="E515" s="102"/>
      <c r="F515" s="54">
        <v>1478.49</v>
      </c>
      <c r="G515" s="102">
        <f t="shared" si="56"/>
        <v>-4.0216644436360527E-3</v>
      </c>
      <c r="O515" s="101">
        <v>42313</v>
      </c>
      <c r="P515" s="110">
        <v>26658.68</v>
      </c>
      <c r="Q515" s="110">
        <v>615.17999999999995</v>
      </c>
      <c r="R515" s="102">
        <f t="shared" si="53"/>
        <v>-3.129910592318764E-3</v>
      </c>
      <c r="S515" s="102">
        <f t="shared" si="53"/>
        <v>7.4728276092771951E-3</v>
      </c>
      <c r="BC515" s="101">
        <v>39689</v>
      </c>
      <c r="BD515" s="110">
        <v>13257.5713</v>
      </c>
      <c r="BE515" s="110">
        <v>539.1</v>
      </c>
      <c r="BF515" s="272">
        <f t="shared" si="54"/>
        <v>8.5745372571293291E-2</v>
      </c>
      <c r="BG515" s="272">
        <f t="shared" si="54"/>
        <v>2.2738485300542077E-2</v>
      </c>
    </row>
    <row r="516" spans="2:59" x14ac:dyDescent="0.3">
      <c r="B516" s="101">
        <v>39437</v>
      </c>
      <c r="C516" s="54">
        <v>935.07</v>
      </c>
      <c r="D516" s="102">
        <f t="shared" si="56"/>
        <v>1.4076717023284058E-2</v>
      </c>
      <c r="E516" s="102"/>
      <c r="F516" s="54">
        <v>1484.46</v>
      </c>
      <c r="G516" s="102">
        <f t="shared" si="56"/>
        <v>1.1246977076875941E-2</v>
      </c>
      <c r="O516" s="101">
        <v>42312</v>
      </c>
      <c r="P516" s="110">
        <v>26742.25</v>
      </c>
      <c r="Q516" s="110">
        <v>610.6</v>
      </c>
      <c r="R516" s="102">
        <f t="shared" si="53"/>
        <v>3.1299105923188238E-3</v>
      </c>
      <c r="S516" s="102">
        <f t="shared" si="53"/>
        <v>-1.8162336970657517E-3</v>
      </c>
      <c r="BC516" s="101">
        <v>39682</v>
      </c>
      <c r="BD516" s="110">
        <v>12168.168900000001</v>
      </c>
      <c r="BE516" s="110">
        <v>526.98</v>
      </c>
      <c r="BF516" s="272">
        <f t="shared" si="54"/>
        <v>-1.1306685916491503E-2</v>
      </c>
      <c r="BG516" s="272">
        <f t="shared" si="54"/>
        <v>7.4922814596897605E-2</v>
      </c>
    </row>
    <row r="517" spans="2:59" x14ac:dyDescent="0.3">
      <c r="B517" s="101">
        <v>39430</v>
      </c>
      <c r="C517" s="54">
        <v>922.09</v>
      </c>
      <c r="D517" s="102">
        <f t="shared" si="56"/>
        <v>-5.3907636744200293E-2</v>
      </c>
      <c r="E517" s="102"/>
      <c r="F517" s="54">
        <v>1467.95</v>
      </c>
      <c r="G517" s="102">
        <f t="shared" si="56"/>
        <v>-2.439753831430358E-2</v>
      </c>
      <c r="O517" s="101">
        <v>42311</v>
      </c>
      <c r="P517" s="110">
        <v>26658.68</v>
      </c>
      <c r="Q517" s="110">
        <v>611.71</v>
      </c>
      <c r="R517" s="102">
        <f t="shared" si="53"/>
        <v>-6.2500554023992893E-3</v>
      </c>
      <c r="S517" s="102">
        <f t="shared" si="53"/>
        <v>1.4739206447889567E-2</v>
      </c>
      <c r="BC517" s="101">
        <v>39675</v>
      </c>
      <c r="BD517" s="110">
        <v>12306.531300000001</v>
      </c>
      <c r="BE517" s="110">
        <v>488.94</v>
      </c>
      <c r="BF517" s="272">
        <f t="shared" si="54"/>
        <v>0.10370527456811209</v>
      </c>
      <c r="BG517" s="272">
        <f t="shared" si="54"/>
        <v>9.5784788261264256E-2</v>
      </c>
    </row>
    <row r="518" spans="2:59" x14ac:dyDescent="0.3">
      <c r="B518" s="101">
        <v>39423</v>
      </c>
      <c r="C518" s="54">
        <v>974.63</v>
      </c>
      <c r="D518" s="102">
        <f t="shared" ref="D518:G533" si="57">C518/C519-1</f>
        <v>2.3448346788708108E-3</v>
      </c>
      <c r="E518" s="102"/>
      <c r="F518" s="54">
        <v>1504.66</v>
      </c>
      <c r="G518" s="102">
        <f t="shared" si="57"/>
        <v>1.5879660261690409E-2</v>
      </c>
      <c r="O518" s="101">
        <v>42310</v>
      </c>
      <c r="P518" s="110">
        <v>26825.82</v>
      </c>
      <c r="Q518" s="110">
        <v>602.76</v>
      </c>
      <c r="R518" s="102">
        <f t="shared" si="53"/>
        <v>-6.2112347157221963E-3</v>
      </c>
      <c r="S518" s="102">
        <f t="shared" si="53"/>
        <v>-7.6190529956969557E-3</v>
      </c>
      <c r="BC518" s="101">
        <v>39668</v>
      </c>
      <c r="BD518" s="110">
        <v>11094.2266</v>
      </c>
      <c r="BE518" s="110">
        <v>444.28</v>
      </c>
      <c r="BF518" s="272">
        <f t="shared" si="54"/>
        <v>-3.4883092294307159E-2</v>
      </c>
      <c r="BG518" s="272">
        <f t="shared" si="54"/>
        <v>-6.3496550518854934E-3</v>
      </c>
    </row>
    <row r="519" spans="2:59" x14ac:dyDescent="0.3">
      <c r="B519" s="101">
        <v>39416</v>
      </c>
      <c r="C519" s="54">
        <v>972.35</v>
      </c>
      <c r="D519" s="102">
        <f t="shared" si="57"/>
        <v>-3.6580867284202734E-3</v>
      </c>
      <c r="E519" s="102"/>
      <c r="F519" s="54">
        <v>1481.14</v>
      </c>
      <c r="G519" s="102">
        <f t="shared" si="57"/>
        <v>2.8069688345943034E-2</v>
      </c>
      <c r="O519" s="101">
        <v>42307</v>
      </c>
      <c r="P519" s="110">
        <v>26992.959999999999</v>
      </c>
      <c r="Q519" s="110">
        <v>607.37</v>
      </c>
      <c r="R519" s="102">
        <f t="shared" si="53"/>
        <v>0</v>
      </c>
      <c r="S519" s="102">
        <f t="shared" si="53"/>
        <v>3.5791786314496379E-3</v>
      </c>
      <c r="BC519" s="101">
        <v>39661</v>
      </c>
      <c r="BD519" s="110">
        <v>11488.0566</v>
      </c>
      <c r="BE519" s="110">
        <v>447.11</v>
      </c>
      <c r="BF519" s="272">
        <f t="shared" si="54"/>
        <v>-1.8698815292093579E-2</v>
      </c>
      <c r="BG519" s="272">
        <f t="shared" si="54"/>
        <v>4.02760438118187E-2</v>
      </c>
    </row>
    <row r="520" spans="2:59" x14ac:dyDescent="0.3">
      <c r="B520" s="101">
        <v>39409</v>
      </c>
      <c r="C520" s="54">
        <v>975.92</v>
      </c>
      <c r="D520" s="102">
        <f t="shared" si="57"/>
        <v>-2.2339764781310834E-2</v>
      </c>
      <c r="E520" s="102"/>
      <c r="F520" s="54">
        <v>1440.7</v>
      </c>
      <c r="G520" s="102">
        <f t="shared" si="57"/>
        <v>-1.2366837133416464E-2</v>
      </c>
      <c r="O520" s="101">
        <v>42306</v>
      </c>
      <c r="P520" s="110">
        <v>26992.959999999999</v>
      </c>
      <c r="Q520" s="110">
        <v>605.20000000000005</v>
      </c>
      <c r="R520" s="102">
        <f t="shared" si="53"/>
        <v>3.1007949360263415E-3</v>
      </c>
      <c r="S520" s="102">
        <f t="shared" si="53"/>
        <v>1.4915711340762604E-2</v>
      </c>
      <c r="BC520" s="101">
        <v>39654</v>
      </c>
      <c r="BD520" s="110">
        <v>11704.890600000001</v>
      </c>
      <c r="BE520" s="110">
        <v>429.46</v>
      </c>
      <c r="BF520" s="272">
        <f t="shared" si="54"/>
        <v>-0.12951911879060324</v>
      </c>
      <c r="BG520" s="272">
        <f t="shared" si="54"/>
        <v>-0.1175915624245325</v>
      </c>
    </row>
    <row r="521" spans="2:59" x14ac:dyDescent="0.3">
      <c r="B521" s="101">
        <v>39402</v>
      </c>
      <c r="C521" s="54">
        <v>998.22</v>
      </c>
      <c r="D521" s="102">
        <f t="shared" si="57"/>
        <v>-1.970951300710011E-2</v>
      </c>
      <c r="E521" s="102"/>
      <c r="F521" s="54">
        <v>1458.74</v>
      </c>
      <c r="G521" s="102">
        <f t="shared" si="57"/>
        <v>3.4670152025864098E-3</v>
      </c>
      <c r="O521" s="101">
        <v>42305</v>
      </c>
      <c r="P521" s="110">
        <v>26909.39</v>
      </c>
      <c r="Q521" s="110">
        <v>596.24</v>
      </c>
      <c r="R521" s="102">
        <f t="shared" si="53"/>
        <v>-6.1920046569474019E-3</v>
      </c>
      <c r="S521" s="102">
        <f t="shared" si="53"/>
        <v>-3.6829987725931598E-3</v>
      </c>
      <c r="BC521" s="101">
        <v>39647</v>
      </c>
      <c r="BD521" s="110">
        <v>13323.453100000001</v>
      </c>
      <c r="BE521" s="110">
        <v>483.05</v>
      </c>
      <c r="BF521" s="272">
        <f t="shared" si="54"/>
        <v>7.1832239359366348E-2</v>
      </c>
      <c r="BG521" s="272">
        <f t="shared" si="54"/>
        <v>5.6224833675046992E-2</v>
      </c>
    </row>
    <row r="522" spans="2:59" x14ac:dyDescent="0.3">
      <c r="B522" s="101">
        <v>39395</v>
      </c>
      <c r="C522" s="54">
        <v>1018.29</v>
      </c>
      <c r="D522" s="102">
        <f t="shared" si="57"/>
        <v>-4.5320307885583722E-2</v>
      </c>
      <c r="E522" s="102"/>
      <c r="F522" s="54">
        <v>1453.7</v>
      </c>
      <c r="G522" s="102">
        <f t="shared" si="57"/>
        <v>-3.7061570562713197E-2</v>
      </c>
      <c r="O522" s="101">
        <v>42304</v>
      </c>
      <c r="P522" s="110">
        <v>27076.53</v>
      </c>
      <c r="Q522" s="110">
        <v>598.44000000000005</v>
      </c>
      <c r="R522" s="102">
        <f t="shared" si="53"/>
        <v>9.3024444366433569E-3</v>
      </c>
      <c r="S522" s="102">
        <f t="shared" si="53"/>
        <v>-2.8403157953781695E-4</v>
      </c>
      <c r="BC522" s="101">
        <v>39640</v>
      </c>
      <c r="BD522" s="110">
        <v>12399.9648</v>
      </c>
      <c r="BE522" s="110">
        <v>456.64</v>
      </c>
      <c r="BF522" s="272">
        <f t="shared" si="54"/>
        <v>3.3810215765620127E-2</v>
      </c>
      <c r="BG522" s="272">
        <f t="shared" si="54"/>
        <v>3.7848144694541626E-2</v>
      </c>
    </row>
    <row r="523" spans="2:59" x14ac:dyDescent="0.3">
      <c r="B523" s="101">
        <v>39388</v>
      </c>
      <c r="C523" s="54">
        <v>1066.6300000000001</v>
      </c>
      <c r="D523" s="102">
        <f t="shared" si="57"/>
        <v>-2.3661760398359655E-2</v>
      </c>
      <c r="E523" s="102"/>
      <c r="F523" s="54">
        <v>1509.65</v>
      </c>
      <c r="G523" s="102">
        <f t="shared" si="57"/>
        <v>-1.6694023240060418E-2</v>
      </c>
      <c r="O523" s="101">
        <v>42303</v>
      </c>
      <c r="P523" s="110">
        <v>26825.82</v>
      </c>
      <c r="Q523" s="110">
        <v>598.61</v>
      </c>
      <c r="R523" s="102">
        <f t="shared" si="53"/>
        <v>-3.1104397796959454E-3</v>
      </c>
      <c r="S523" s="102">
        <f t="shared" si="53"/>
        <v>-5.2151574026026333E-3</v>
      </c>
      <c r="BC523" s="101">
        <v>39633</v>
      </c>
      <c r="BD523" s="110">
        <v>11987.727500000001</v>
      </c>
      <c r="BE523" s="110">
        <v>439.68</v>
      </c>
      <c r="BF523" s="272">
        <f t="shared" si="54"/>
        <v>8.9470675033888045E-2</v>
      </c>
      <c r="BG523" s="272">
        <f t="shared" si="54"/>
        <v>0.11323043685843089</v>
      </c>
    </row>
    <row r="524" spans="2:59" x14ac:dyDescent="0.3">
      <c r="B524" s="101">
        <v>39381</v>
      </c>
      <c r="C524" s="54">
        <v>1092.48</v>
      </c>
      <c r="D524" s="102">
        <f t="shared" si="57"/>
        <v>-4.1838715852223762E-3</v>
      </c>
      <c r="E524" s="102"/>
      <c r="F524" s="54">
        <v>1535.28</v>
      </c>
      <c r="G524" s="102">
        <f t="shared" si="57"/>
        <v>2.3090302073129232E-2</v>
      </c>
      <c r="O524" s="101">
        <v>42300</v>
      </c>
      <c r="P524" s="110">
        <v>26909.39</v>
      </c>
      <c r="Q524" s="110">
        <v>601.74</v>
      </c>
      <c r="R524" s="102">
        <f t="shared" si="53"/>
        <v>3.110439779695915E-3</v>
      </c>
      <c r="S524" s="102">
        <f t="shared" si="53"/>
        <v>1.1129608039129088E-2</v>
      </c>
      <c r="BC524" s="101">
        <v>39626</v>
      </c>
      <c r="BD524" s="110">
        <v>10961.7588</v>
      </c>
      <c r="BE524" s="110">
        <v>392.61</v>
      </c>
      <c r="BF524" s="272">
        <f t="shared" si="54"/>
        <v>6.4815038111445594E-2</v>
      </c>
      <c r="BG524" s="272">
        <f t="shared" si="54"/>
        <v>7.0128776018362704E-2</v>
      </c>
    </row>
    <row r="525" spans="2:59" x14ac:dyDescent="0.3">
      <c r="B525" s="101">
        <v>39374</v>
      </c>
      <c r="C525" s="54">
        <v>1097.07</v>
      </c>
      <c r="D525" s="102">
        <f t="shared" si="57"/>
        <v>-6.8259385665528916E-3</v>
      </c>
      <c r="E525" s="102"/>
      <c r="F525" s="54">
        <v>1500.63</v>
      </c>
      <c r="G525" s="102">
        <f t="shared" si="57"/>
        <v>-3.9166346523242357E-2</v>
      </c>
      <c r="O525" s="101">
        <v>42299</v>
      </c>
      <c r="P525" s="110">
        <v>26825.82</v>
      </c>
      <c r="Q525" s="110">
        <v>595.08000000000004</v>
      </c>
      <c r="R525" s="102">
        <f t="shared" si="53"/>
        <v>0</v>
      </c>
      <c r="S525" s="102">
        <f t="shared" si="53"/>
        <v>8.1666164406773399E-3</v>
      </c>
      <c r="BC525" s="101">
        <v>39619</v>
      </c>
      <c r="BD525" s="110">
        <v>10273.8076</v>
      </c>
      <c r="BE525" s="110">
        <v>366.02</v>
      </c>
      <c r="BF525" s="272">
        <f t="shared" si="54"/>
        <v>-2.6910375718936164E-2</v>
      </c>
      <c r="BG525" s="272">
        <f t="shared" si="54"/>
        <v>-1.803216586508798E-2</v>
      </c>
    </row>
    <row r="526" spans="2:59" x14ac:dyDescent="0.3">
      <c r="B526" s="101">
        <v>39367</v>
      </c>
      <c r="C526" s="54">
        <v>1104.6099999999999</v>
      </c>
      <c r="D526" s="102">
        <f t="shared" si="57"/>
        <v>2.124571248948337E-2</v>
      </c>
      <c r="E526" s="102"/>
      <c r="F526" s="54">
        <v>1561.8</v>
      </c>
      <c r="G526" s="102">
        <f t="shared" si="57"/>
        <v>2.7028935727630987E-3</v>
      </c>
      <c r="O526" s="101">
        <v>42298</v>
      </c>
      <c r="P526" s="110">
        <v>26825.82</v>
      </c>
      <c r="Q526" s="110">
        <v>590.24</v>
      </c>
      <c r="R526" s="102">
        <f t="shared" si="53"/>
        <v>3.1201448100804819E-3</v>
      </c>
      <c r="S526" s="102">
        <f t="shared" si="53"/>
        <v>-3.557241989252211E-4</v>
      </c>
      <c r="BC526" s="101">
        <v>39612</v>
      </c>
      <c r="BD526" s="110">
        <v>10554.0332</v>
      </c>
      <c r="BE526" s="110">
        <v>372.68</v>
      </c>
      <c r="BF526" s="272">
        <f t="shared" si="54"/>
        <v>2.6590759534356009E-2</v>
      </c>
      <c r="BG526" s="272">
        <f t="shared" si="54"/>
        <v>-3.054721477434481E-2</v>
      </c>
    </row>
    <row r="527" spans="2:59" x14ac:dyDescent="0.3">
      <c r="B527" s="101">
        <v>39360</v>
      </c>
      <c r="C527" s="54">
        <v>1081.6300000000001</v>
      </c>
      <c r="D527" s="102">
        <f t="shared" si="57"/>
        <v>3.3213610224863022E-2</v>
      </c>
      <c r="E527" s="102"/>
      <c r="F527" s="54">
        <v>1557.59</v>
      </c>
      <c r="G527" s="102">
        <f t="shared" si="57"/>
        <v>2.0199770754871338E-2</v>
      </c>
      <c r="O527" s="101">
        <v>42297</v>
      </c>
      <c r="P527" s="110">
        <v>26742.25</v>
      </c>
      <c r="Q527" s="110">
        <v>590.45000000000005</v>
      </c>
      <c r="R527" s="102">
        <f t="shared" si="53"/>
        <v>0</v>
      </c>
      <c r="S527" s="102">
        <f t="shared" si="53"/>
        <v>-7.0207704042121472E-3</v>
      </c>
      <c r="BC527" s="101">
        <v>39605</v>
      </c>
      <c r="BD527" s="110">
        <v>10277.0918</v>
      </c>
      <c r="BE527" s="110">
        <v>384.24</v>
      </c>
      <c r="BF527" s="272">
        <f t="shared" si="54"/>
        <v>-8.5281040566438995E-2</v>
      </c>
      <c r="BG527" s="272">
        <f t="shared" si="54"/>
        <v>-7.4840133194952696E-2</v>
      </c>
    </row>
    <row r="528" spans="2:59" x14ac:dyDescent="0.3">
      <c r="B528" s="101">
        <v>39353</v>
      </c>
      <c r="C528" s="54">
        <v>1046.8599999999999</v>
      </c>
      <c r="D528" s="102">
        <f t="shared" si="57"/>
        <v>9.1992030625762666E-2</v>
      </c>
      <c r="E528" s="102"/>
      <c r="F528" s="54">
        <v>1526.75</v>
      </c>
      <c r="G528" s="102">
        <f t="shared" si="57"/>
        <v>6.5541536949043078E-4</v>
      </c>
      <c r="O528" s="101">
        <v>42296</v>
      </c>
      <c r="P528" s="110">
        <v>26742.25</v>
      </c>
      <c r="Q528" s="110">
        <v>594.61</v>
      </c>
      <c r="R528" s="102">
        <f t="shared" si="53"/>
        <v>1.8927735980377773E-2</v>
      </c>
      <c r="S528" s="102">
        <f t="shared" si="53"/>
        <v>2.6776032096975273E-3</v>
      </c>
      <c r="BC528" s="101">
        <v>39598</v>
      </c>
      <c r="BD528" s="110">
        <v>11191.9902</v>
      </c>
      <c r="BE528" s="110">
        <v>414.1</v>
      </c>
      <c r="BF528" s="272">
        <f t="shared" si="54"/>
        <v>-4.6821497107463368E-2</v>
      </c>
      <c r="BG528" s="272">
        <f t="shared" si="54"/>
        <v>-3.3132520636973015E-2</v>
      </c>
    </row>
    <row r="529" spans="2:59" x14ac:dyDescent="0.3">
      <c r="B529" s="101">
        <v>39346</v>
      </c>
      <c r="C529" s="54">
        <v>958.67</v>
      </c>
      <c r="D529" s="102">
        <f t="shared" si="57"/>
        <v>3.0318337166562737E-2</v>
      </c>
      <c r="E529" s="102"/>
      <c r="F529" s="54">
        <v>1525.75</v>
      </c>
      <c r="G529" s="102">
        <f t="shared" si="57"/>
        <v>2.7960249284150196E-2</v>
      </c>
      <c r="O529" s="101">
        <v>42293</v>
      </c>
      <c r="P529" s="110">
        <v>26240.84</v>
      </c>
      <c r="Q529" s="110">
        <v>593.02</v>
      </c>
      <c r="R529" s="102">
        <f t="shared" si="53"/>
        <v>1.2820757270290428E-2</v>
      </c>
      <c r="S529" s="102">
        <f t="shared" si="53"/>
        <v>1.0460428481618765E-3</v>
      </c>
      <c r="BC529" s="101">
        <v>39591</v>
      </c>
      <c r="BD529" s="110">
        <v>11728.477500000001</v>
      </c>
      <c r="BE529" s="110">
        <v>428.05</v>
      </c>
      <c r="BF529" s="272">
        <f t="shared" si="54"/>
        <v>-7.9265659349866166E-2</v>
      </c>
      <c r="BG529" s="272">
        <f t="shared" si="54"/>
        <v>-7.2073431035885926E-2</v>
      </c>
    </row>
    <row r="530" spans="2:59" x14ac:dyDescent="0.3">
      <c r="B530" s="101">
        <v>39339</v>
      </c>
      <c r="C530" s="54">
        <v>930.46</v>
      </c>
      <c r="D530" s="102">
        <f t="shared" si="57"/>
        <v>-3.9287893548006769E-3</v>
      </c>
      <c r="E530" s="102"/>
      <c r="F530" s="54">
        <v>1484.25</v>
      </c>
      <c r="G530" s="102">
        <f t="shared" si="57"/>
        <v>2.1120704482129993E-2</v>
      </c>
      <c r="O530" s="101">
        <v>42292</v>
      </c>
      <c r="P530" s="110">
        <v>25906.560000000001</v>
      </c>
      <c r="Q530" s="110">
        <v>592.4</v>
      </c>
      <c r="R530" s="102">
        <f t="shared" si="53"/>
        <v>-1.2820757270290317E-2</v>
      </c>
      <c r="S530" s="102">
        <f t="shared" si="53"/>
        <v>4.0934443735238758E-3</v>
      </c>
      <c r="BC530" s="101">
        <v>39584</v>
      </c>
      <c r="BD530" s="110">
        <v>12695.981400000001</v>
      </c>
      <c r="BE530" s="110">
        <v>460.04</v>
      </c>
      <c r="BF530" s="272">
        <f t="shared" si="54"/>
        <v>-9.8838485178939062E-2</v>
      </c>
      <c r="BG530" s="272">
        <f t="shared" si="54"/>
        <v>-8.3954438493595629E-2</v>
      </c>
    </row>
    <row r="531" spans="2:59" x14ac:dyDescent="0.3">
      <c r="B531" s="101">
        <v>39332</v>
      </c>
      <c r="C531" s="54">
        <v>934.13</v>
      </c>
      <c r="D531" s="102">
        <f t="shared" si="57"/>
        <v>2.8358488281206906E-2</v>
      </c>
      <c r="E531" s="102"/>
      <c r="F531" s="54">
        <v>1453.55</v>
      </c>
      <c r="G531" s="102">
        <f t="shared" si="57"/>
        <v>-1.3867122572066348E-2</v>
      </c>
      <c r="O531" s="101">
        <v>42291</v>
      </c>
      <c r="P531" s="110">
        <v>26240.84</v>
      </c>
      <c r="Q531" s="110">
        <v>589.98</v>
      </c>
      <c r="R531" s="102">
        <f t="shared" si="53"/>
        <v>3.1898124134519543E-3</v>
      </c>
      <c r="S531" s="102">
        <f t="shared" si="53"/>
        <v>-1.4566151522792496E-3</v>
      </c>
      <c r="BC531" s="101">
        <v>39577</v>
      </c>
      <c r="BD531" s="110">
        <v>14014.9414</v>
      </c>
      <c r="BE531" s="110">
        <v>500.33</v>
      </c>
      <c r="BF531" s="272">
        <f t="shared" si="54"/>
        <v>-8.9942210280675977E-2</v>
      </c>
      <c r="BG531" s="272">
        <f t="shared" si="54"/>
        <v>-4.308912463423023E-2</v>
      </c>
    </row>
    <row r="532" spans="2:59" x14ac:dyDescent="0.3">
      <c r="B532" s="101">
        <v>39325</v>
      </c>
      <c r="C532" s="54">
        <v>908.37</v>
      </c>
      <c r="D532" s="102">
        <f t="shared" si="57"/>
        <v>3.1916773424041089E-3</v>
      </c>
      <c r="E532" s="102"/>
      <c r="F532" s="54">
        <v>1473.99</v>
      </c>
      <c r="G532" s="102">
        <f t="shared" si="57"/>
        <v>-3.6366831827060464E-3</v>
      </c>
      <c r="O532" s="101">
        <v>42290</v>
      </c>
      <c r="P532" s="110">
        <v>26157.27</v>
      </c>
      <c r="Q532" s="110">
        <v>590.84</v>
      </c>
      <c r="R532" s="102">
        <f t="shared" si="53"/>
        <v>1.2861982927076812E-2</v>
      </c>
      <c r="S532" s="102">
        <f t="shared" si="53"/>
        <v>-2.1302863653313783E-3</v>
      </c>
      <c r="BC532" s="101">
        <v>39570</v>
      </c>
      <c r="BD532" s="110">
        <v>15333.9023</v>
      </c>
      <c r="BE532" s="110">
        <v>522.36</v>
      </c>
      <c r="BF532" s="272">
        <f t="shared" si="54"/>
        <v>1.5239935438086157E-2</v>
      </c>
      <c r="BG532" s="272">
        <f t="shared" si="54"/>
        <v>1.2482825056015971E-2</v>
      </c>
    </row>
    <row r="533" spans="2:59" x14ac:dyDescent="0.3">
      <c r="B533" s="101">
        <v>39318</v>
      </c>
      <c r="C533" s="54">
        <v>905.48</v>
      </c>
      <c r="D533" s="102">
        <f t="shared" si="57"/>
        <v>1.9765071570957193E-2</v>
      </c>
      <c r="E533" s="102"/>
      <c r="F533" s="54">
        <v>1479.37</v>
      </c>
      <c r="G533" s="102">
        <f t="shared" si="57"/>
        <v>2.3119908156631563E-2</v>
      </c>
      <c r="O533" s="101">
        <v>42289</v>
      </c>
      <c r="P533" s="110">
        <v>25822.99</v>
      </c>
      <c r="Q533" s="110">
        <v>592.1</v>
      </c>
      <c r="R533" s="102">
        <f t="shared" si="53"/>
        <v>0</v>
      </c>
      <c r="S533" s="102">
        <f t="shared" si="53"/>
        <v>6.9145786121109845E-3</v>
      </c>
      <c r="BC533" s="101">
        <v>39563</v>
      </c>
      <c r="BD533" s="110">
        <v>15101.9863</v>
      </c>
      <c r="BE533" s="110">
        <v>515.88</v>
      </c>
      <c r="BF533" s="272">
        <f t="shared" si="54"/>
        <v>-5.1925253225283921E-2</v>
      </c>
      <c r="BG533" s="272">
        <f t="shared" si="54"/>
        <v>-4.0701028841792448E-2</v>
      </c>
    </row>
    <row r="534" spans="2:59" x14ac:dyDescent="0.3">
      <c r="B534" s="101">
        <v>39311</v>
      </c>
      <c r="C534" s="54">
        <v>887.93</v>
      </c>
      <c r="D534" s="102">
        <f t="shared" ref="D534:G549" si="58">C534/C535-1</f>
        <v>-5.1032404240766049E-2</v>
      </c>
      <c r="E534" s="102"/>
      <c r="F534" s="54">
        <v>1445.94</v>
      </c>
      <c r="G534" s="102">
        <f t="shared" si="58"/>
        <v>-5.2970474120139777E-3</v>
      </c>
      <c r="O534" s="101">
        <v>42286</v>
      </c>
      <c r="P534" s="110">
        <v>25822.99</v>
      </c>
      <c r="Q534" s="110">
        <v>588.02</v>
      </c>
      <c r="R534" s="102">
        <f t="shared" si="53"/>
        <v>3.2415115265268853E-3</v>
      </c>
      <c r="S534" s="102">
        <f t="shared" si="53"/>
        <v>2.1109984005546261E-3</v>
      </c>
      <c r="BC534" s="101">
        <v>39556</v>
      </c>
      <c r="BD534" s="110">
        <v>15906.877</v>
      </c>
      <c r="BE534" s="110">
        <v>537.30999999999995</v>
      </c>
      <c r="BF534" s="272">
        <f t="shared" si="54"/>
        <v>-1.2191956436296638E-2</v>
      </c>
      <c r="BG534" s="272">
        <f t="shared" si="54"/>
        <v>-3.1589144746074268E-3</v>
      </c>
    </row>
    <row r="535" spans="2:59" x14ac:dyDescent="0.3">
      <c r="B535" s="101">
        <v>39304</v>
      </c>
      <c r="C535" s="54">
        <v>935.68</v>
      </c>
      <c r="D535" s="102">
        <f t="shared" si="58"/>
        <v>4.7934772869814513E-2</v>
      </c>
      <c r="E535" s="102"/>
      <c r="F535" s="54">
        <v>1453.64</v>
      </c>
      <c r="G535" s="102">
        <f t="shared" si="58"/>
        <v>1.4360878120944109E-2</v>
      </c>
      <c r="O535" s="101">
        <v>42285</v>
      </c>
      <c r="P535" s="110">
        <v>25739.42</v>
      </c>
      <c r="Q535" s="110">
        <v>586.78</v>
      </c>
      <c r="R535" s="102">
        <f t="shared" si="53"/>
        <v>-6.4725495967653439E-3</v>
      </c>
      <c r="S535" s="102">
        <f t="shared" si="53"/>
        <v>1.2363513252492566E-2</v>
      </c>
      <c r="BC535" s="101">
        <v>39549</v>
      </c>
      <c r="BD535" s="110">
        <v>16102</v>
      </c>
      <c r="BE535" s="110">
        <v>539.01</v>
      </c>
      <c r="BF535" s="272">
        <f t="shared" si="54"/>
        <v>-1.3384072859003879E-2</v>
      </c>
      <c r="BG535" s="272">
        <f t="shared" si="54"/>
        <v>1.1212699446745904E-2</v>
      </c>
    </row>
    <row r="536" spans="2:59" x14ac:dyDescent="0.3">
      <c r="B536" s="101">
        <v>39297</v>
      </c>
      <c r="C536" s="54">
        <v>892.88</v>
      </c>
      <c r="D536" s="102">
        <f t="shared" si="58"/>
        <v>-5.0491301203794303E-2</v>
      </c>
      <c r="E536" s="102"/>
      <c r="F536" s="54">
        <v>1433.06</v>
      </c>
      <c r="G536" s="102">
        <f t="shared" si="58"/>
        <v>-1.7745638986942702E-2</v>
      </c>
      <c r="O536" s="101">
        <v>42284</v>
      </c>
      <c r="P536" s="110">
        <v>25906.560000000001</v>
      </c>
      <c r="Q536" s="110">
        <v>579.57000000000005</v>
      </c>
      <c r="R536" s="102">
        <f t="shared" si="53"/>
        <v>-2.8618582658349302E-2</v>
      </c>
      <c r="S536" s="102">
        <f t="shared" si="53"/>
        <v>-2.9633224654995118E-3</v>
      </c>
      <c r="BC536" s="101">
        <v>39542</v>
      </c>
      <c r="BD536" s="110">
        <v>16318.959000000001</v>
      </c>
      <c r="BE536" s="110">
        <v>533</v>
      </c>
      <c r="BF536" s="272">
        <f t="shared" si="54"/>
        <v>4.6402513292328737E-2</v>
      </c>
      <c r="BG536" s="272">
        <f t="shared" si="54"/>
        <v>3.8830545376189587E-2</v>
      </c>
    </row>
    <row r="537" spans="2:59" x14ac:dyDescent="0.3">
      <c r="B537" s="101">
        <v>39290</v>
      </c>
      <c r="C537" s="54">
        <v>940.36</v>
      </c>
      <c r="D537" s="102">
        <f t="shared" si="58"/>
        <v>-4.1729932437252204E-2</v>
      </c>
      <c r="E537" s="102"/>
      <c r="F537" s="54">
        <v>1458.95</v>
      </c>
      <c r="G537" s="102">
        <f t="shared" si="58"/>
        <v>-4.898637637702874E-2</v>
      </c>
      <c r="O537" s="101">
        <v>42283</v>
      </c>
      <c r="P537" s="110">
        <v>26658.68</v>
      </c>
      <c r="Q537" s="110">
        <v>581.29</v>
      </c>
      <c r="R537" s="102">
        <f t="shared" si="53"/>
        <v>-6.2500554023992893E-3</v>
      </c>
      <c r="S537" s="102">
        <f t="shared" si="53"/>
        <v>1.9613410909476089E-2</v>
      </c>
      <c r="BC537" s="101">
        <v>39535</v>
      </c>
      <c r="BD537" s="110">
        <v>15579.018599999999</v>
      </c>
      <c r="BE537" s="110">
        <v>512.70000000000005</v>
      </c>
      <c r="BF537" s="272">
        <f t="shared" si="54"/>
        <v>-8.9203279508078756E-2</v>
      </c>
      <c r="BG537" s="272">
        <f t="shared" si="54"/>
        <v>-6.2341844556808773E-2</v>
      </c>
    </row>
    <row r="538" spans="2:59" x14ac:dyDescent="0.3">
      <c r="B538" s="101">
        <v>39283</v>
      </c>
      <c r="C538" s="54">
        <v>981.31</v>
      </c>
      <c r="D538" s="102">
        <f t="shared" si="58"/>
        <v>-3.3886958148326873E-2</v>
      </c>
      <c r="E538" s="102"/>
      <c r="F538" s="54">
        <v>1534.1</v>
      </c>
      <c r="G538" s="102">
        <f t="shared" si="58"/>
        <v>-1.1851851851851891E-2</v>
      </c>
      <c r="O538" s="101">
        <v>42282</v>
      </c>
      <c r="P538" s="110">
        <v>26825.82</v>
      </c>
      <c r="Q538" s="110">
        <v>570</v>
      </c>
      <c r="R538" s="102">
        <f t="shared" si="53"/>
        <v>9.3897931010457174E-3</v>
      </c>
      <c r="S538" s="102">
        <f t="shared" si="53"/>
        <v>1.3583061587561502E-2</v>
      </c>
      <c r="BC538" s="101">
        <v>39528</v>
      </c>
      <c r="BD538" s="110">
        <v>17032.585899999998</v>
      </c>
      <c r="BE538" s="110">
        <v>545.67999999999995</v>
      </c>
      <c r="BF538" s="272">
        <f t="shared" si="54"/>
        <v>-0.25194782100557972</v>
      </c>
      <c r="BG538" s="272">
        <f t="shared" si="54"/>
        <v>-0.16535539551824396</v>
      </c>
    </row>
    <row r="539" spans="2:59" x14ac:dyDescent="0.3">
      <c r="B539" s="101">
        <v>39276</v>
      </c>
      <c r="C539" s="54">
        <v>1015.73</v>
      </c>
      <c r="D539" s="102">
        <f t="shared" si="58"/>
        <v>5.1458145725511439E-3</v>
      </c>
      <c r="E539" s="102"/>
      <c r="F539" s="54">
        <v>1552.5</v>
      </c>
      <c r="G539" s="102">
        <f t="shared" si="58"/>
        <v>1.4414155406288431E-2</v>
      </c>
      <c r="O539" s="101">
        <v>42279</v>
      </c>
      <c r="P539" s="110">
        <v>26575.11</v>
      </c>
      <c r="Q539" s="110">
        <v>562.30999999999995</v>
      </c>
      <c r="R539" s="102">
        <f t="shared" si="53"/>
        <v>6.1607767858941363E-2</v>
      </c>
      <c r="S539" s="102">
        <f t="shared" si="53"/>
        <v>-2.1850166351920987E-3</v>
      </c>
      <c r="BC539" s="101">
        <v>39521</v>
      </c>
      <c r="BD539" s="110">
        <v>21912.914100000002</v>
      </c>
      <c r="BE539" s="110">
        <v>643.79999999999995</v>
      </c>
      <c r="BF539" s="272">
        <f t="shared" si="54"/>
        <v>-4.0072023388283293E-2</v>
      </c>
      <c r="BG539" s="272">
        <f t="shared" si="54"/>
        <v>5.7012164332829237E-3</v>
      </c>
    </row>
    <row r="540" spans="2:59" x14ac:dyDescent="0.3">
      <c r="B540" s="101">
        <v>39269</v>
      </c>
      <c r="C540" s="54">
        <v>1010.53</v>
      </c>
      <c r="D540" s="102">
        <f t="shared" si="58"/>
        <v>-1.3809189210290174E-2</v>
      </c>
      <c r="E540" s="102"/>
      <c r="F540" s="54">
        <v>1530.44</v>
      </c>
      <c r="G540" s="102">
        <f t="shared" si="58"/>
        <v>1.8019755878537991E-2</v>
      </c>
      <c r="O540" s="101">
        <v>42278</v>
      </c>
      <c r="P540" s="110">
        <v>24987.29</v>
      </c>
      <c r="Q540" s="110">
        <v>563.54</v>
      </c>
      <c r="R540" s="102">
        <f t="shared" si="53"/>
        <v>1.0084175852254185E-2</v>
      </c>
      <c r="S540" s="102">
        <f t="shared" si="53"/>
        <v>1.5983238764637289E-3</v>
      </c>
      <c r="BC540" s="101">
        <v>39514</v>
      </c>
      <c r="BD540" s="110">
        <v>22808.839800000002</v>
      </c>
      <c r="BE540" s="110">
        <v>640.14</v>
      </c>
      <c r="BF540" s="272">
        <f t="shared" si="54"/>
        <v>-5.442728412758846E-2</v>
      </c>
      <c r="BG540" s="272">
        <f t="shared" si="54"/>
        <v>-3.5540474100085338E-2</v>
      </c>
    </row>
    <row r="541" spans="2:59" x14ac:dyDescent="0.3">
      <c r="B541" s="101">
        <v>39262</v>
      </c>
      <c r="C541" s="54">
        <v>1024.68</v>
      </c>
      <c r="D541" s="102">
        <f t="shared" si="58"/>
        <v>-8.7163462933761426E-3</v>
      </c>
      <c r="E541" s="102"/>
      <c r="F541" s="54">
        <v>1503.35</v>
      </c>
      <c r="G541" s="102">
        <f t="shared" si="58"/>
        <v>5.2576935363646271E-4</v>
      </c>
      <c r="O541" s="101">
        <v>42277</v>
      </c>
      <c r="P541" s="110">
        <v>24736.58</v>
      </c>
      <c r="Q541" s="110">
        <v>562.64</v>
      </c>
      <c r="R541" s="102">
        <f t="shared" si="53"/>
        <v>1.0186494856750553E-2</v>
      </c>
      <c r="S541" s="102">
        <f t="shared" si="53"/>
        <v>2.5804628895890456E-3</v>
      </c>
      <c r="BC541" s="101">
        <v>39507</v>
      </c>
      <c r="BD541" s="110">
        <v>24084.668000000001</v>
      </c>
      <c r="BE541" s="110">
        <v>663.3</v>
      </c>
      <c r="BF541" s="272">
        <f t="shared" si="54"/>
        <v>-0.13487821609733808</v>
      </c>
      <c r="BG541" s="272">
        <f t="shared" si="54"/>
        <v>-3.5252465505520039E-2</v>
      </c>
    </row>
    <row r="542" spans="2:59" x14ac:dyDescent="0.3">
      <c r="B542" s="101">
        <v>39255</v>
      </c>
      <c r="C542" s="54">
        <v>1033.69</v>
      </c>
      <c r="D542" s="102">
        <f t="shared" si="58"/>
        <v>-1.3833369904311277E-2</v>
      </c>
      <c r="E542" s="102"/>
      <c r="F542" s="54">
        <v>1502.56</v>
      </c>
      <c r="G542" s="102">
        <f t="shared" si="58"/>
        <v>-1.9798944491196568E-2</v>
      </c>
      <c r="O542" s="101">
        <v>42276</v>
      </c>
      <c r="P542" s="110">
        <v>24485.88</v>
      </c>
      <c r="Q542" s="110">
        <v>561.19000000000005</v>
      </c>
      <c r="R542" s="102">
        <f t="shared" ref="R542:S605" si="59">LN(P542/P543)</f>
        <v>-3.4071763800571767E-3</v>
      </c>
      <c r="S542" s="102">
        <f t="shared" si="59"/>
        <v>-6.5537900979176908E-3</v>
      </c>
      <c r="BC542" s="101">
        <v>39500</v>
      </c>
      <c r="BD542" s="110">
        <v>27562.4316</v>
      </c>
      <c r="BE542" s="110">
        <v>687.1</v>
      </c>
      <c r="BF542" s="272">
        <f t="shared" si="54"/>
        <v>-0.21302961332611298</v>
      </c>
      <c r="BG542" s="272">
        <f t="shared" si="54"/>
        <v>-0.17197127695715381</v>
      </c>
    </row>
    <row r="543" spans="2:59" x14ac:dyDescent="0.3">
      <c r="B543" s="101">
        <v>39248</v>
      </c>
      <c r="C543" s="54">
        <v>1048.19</v>
      </c>
      <c r="D543" s="102">
        <f t="shared" si="58"/>
        <v>-8.6725429371262708E-3</v>
      </c>
      <c r="E543" s="102"/>
      <c r="F543" s="54">
        <v>1532.91</v>
      </c>
      <c r="G543" s="102">
        <f t="shared" si="58"/>
        <v>1.6741064025947328E-2</v>
      </c>
      <c r="O543" s="101">
        <v>42275</v>
      </c>
      <c r="P543" s="110">
        <v>24569.45</v>
      </c>
      <c r="Q543" s="110">
        <v>564.88</v>
      </c>
      <c r="R543" s="102">
        <f t="shared" si="59"/>
        <v>3.4071763800571655E-3</v>
      </c>
      <c r="S543" s="102">
        <f t="shared" si="59"/>
        <v>-9.6894861636649485E-3</v>
      </c>
      <c r="BC543" s="101">
        <v>39493</v>
      </c>
      <c r="BD543" s="110">
        <v>34106.339800000002</v>
      </c>
      <c r="BE543" s="110">
        <v>816.03</v>
      </c>
      <c r="BF543" s="272">
        <f t="shared" si="54"/>
        <v>0.56344225090443356</v>
      </c>
      <c r="BG543" s="272">
        <f t="shared" si="54"/>
        <v>-5.2039312139151861E-2</v>
      </c>
    </row>
    <row r="544" spans="2:59" x14ac:dyDescent="0.3">
      <c r="B544" s="101">
        <v>39241</v>
      </c>
      <c r="C544" s="54">
        <v>1057.3599999999999</v>
      </c>
      <c r="D544" s="102">
        <f t="shared" si="58"/>
        <v>-1.8563896933244228E-2</v>
      </c>
      <c r="E544" s="102"/>
      <c r="F544" s="54">
        <v>1507.67</v>
      </c>
      <c r="G544" s="102">
        <f t="shared" si="58"/>
        <v>-1.8661233841467229E-2</v>
      </c>
      <c r="O544" s="101">
        <v>42272</v>
      </c>
      <c r="P544" s="110">
        <v>24485.88</v>
      </c>
      <c r="Q544" s="110">
        <v>570.38</v>
      </c>
      <c r="R544" s="102">
        <f t="shared" si="59"/>
        <v>0</v>
      </c>
      <c r="S544" s="102">
        <f t="shared" si="59"/>
        <v>2.279442072588603E-4</v>
      </c>
      <c r="BC544" s="101">
        <v>39486</v>
      </c>
      <c r="BD544" s="110">
        <v>19414.904299999998</v>
      </c>
      <c r="BE544" s="110">
        <f>BE545</f>
        <v>859.62</v>
      </c>
      <c r="BF544" s="272">
        <f t="shared" ref="BF544:BG548" si="60">LN(BD544/BD545)</f>
        <v>0</v>
      </c>
      <c r="BG544" s="272">
        <f t="shared" si="60"/>
        <v>0</v>
      </c>
    </row>
    <row r="545" spans="2:59" x14ac:dyDescent="0.3">
      <c r="B545" s="101">
        <v>39234</v>
      </c>
      <c r="C545" s="54">
        <v>1077.3599999999999</v>
      </c>
      <c r="D545" s="102">
        <f t="shared" si="58"/>
        <v>-1.1233480176211508E-2</v>
      </c>
      <c r="E545" s="102"/>
      <c r="F545" s="54">
        <v>1536.34</v>
      </c>
      <c r="G545" s="102">
        <f t="shared" si="58"/>
        <v>1.359740850943103E-2</v>
      </c>
      <c r="O545" s="101">
        <v>42271</v>
      </c>
      <c r="P545" s="110">
        <v>24485.88</v>
      </c>
      <c r="Q545" s="110">
        <v>570.25</v>
      </c>
      <c r="R545" s="102">
        <f t="shared" si="59"/>
        <v>-3.4071763800571767E-3</v>
      </c>
      <c r="S545" s="102">
        <f t="shared" si="59"/>
        <v>-4.3220799234322382E-3</v>
      </c>
      <c r="BC545" s="101">
        <v>39479</v>
      </c>
      <c r="BD545" s="110">
        <v>19414.904299999998</v>
      </c>
      <c r="BE545" s="110">
        <v>859.62</v>
      </c>
      <c r="BF545" s="272">
        <f t="shared" si="60"/>
        <v>0.14378258213397177</v>
      </c>
      <c r="BG545" s="272">
        <f t="shared" si="60"/>
        <v>0.10228636588683414</v>
      </c>
    </row>
    <row r="546" spans="2:59" x14ac:dyDescent="0.3">
      <c r="B546" s="101">
        <v>39227</v>
      </c>
      <c r="C546" s="54">
        <v>1089.5999999999999</v>
      </c>
      <c r="D546" s="102">
        <f t="shared" si="58"/>
        <v>2.160216021602146E-2</v>
      </c>
      <c r="E546" s="102"/>
      <c r="F546" s="54">
        <v>1515.73</v>
      </c>
      <c r="G546" s="102">
        <f t="shared" si="58"/>
        <v>-4.6100804465605272E-3</v>
      </c>
      <c r="O546" s="101">
        <v>42270</v>
      </c>
      <c r="P546" s="110">
        <v>24569.45</v>
      </c>
      <c r="Q546" s="110">
        <v>572.72</v>
      </c>
      <c r="R546" s="102">
        <f t="shared" si="59"/>
        <v>3.4071763800571655E-3</v>
      </c>
      <c r="S546" s="102">
        <f t="shared" si="59"/>
        <v>-8.3775486608723135E-4</v>
      </c>
      <c r="BC546" s="101">
        <v>39472</v>
      </c>
      <c r="BD546" s="110">
        <v>16814.783200000002</v>
      </c>
      <c r="BE546" s="110">
        <v>776.04</v>
      </c>
      <c r="BF546" s="272">
        <f t="shared" si="60"/>
        <v>-9.1759365761985345E-2</v>
      </c>
      <c r="BG546" s="272">
        <f t="shared" si="60"/>
        <v>-8.7555659540453662E-2</v>
      </c>
    </row>
    <row r="547" spans="2:59" x14ac:dyDescent="0.3">
      <c r="B547" s="101">
        <v>39220</v>
      </c>
      <c r="C547" s="54">
        <v>1066.56</v>
      </c>
      <c r="D547" s="102">
        <f t="shared" si="58"/>
        <v>2.5903446418437115E-2</v>
      </c>
      <c r="E547" s="102"/>
      <c r="F547" s="54">
        <v>1522.75</v>
      </c>
      <c r="G547" s="102">
        <f t="shared" si="58"/>
        <v>1.1222897366935713E-2</v>
      </c>
      <c r="O547" s="101">
        <v>42269</v>
      </c>
      <c r="P547" s="110">
        <v>24485.88</v>
      </c>
      <c r="Q547" s="110">
        <v>573.20000000000005</v>
      </c>
      <c r="R547" s="102">
        <f t="shared" si="59"/>
        <v>0</v>
      </c>
      <c r="S547" s="102">
        <f t="shared" si="59"/>
        <v>1.8859363673175413E-3</v>
      </c>
      <c r="BC547" s="101">
        <v>39465</v>
      </c>
      <c r="BD547" s="110">
        <v>18430.7012</v>
      </c>
      <c r="BE547" s="110">
        <v>847.05</v>
      </c>
      <c r="BF547" s="272">
        <f t="shared" si="60"/>
        <v>-3.6827612137111582E-2</v>
      </c>
      <c r="BG547" s="272">
        <f t="shared" si="60"/>
        <v>-1.6067612712128646E-2</v>
      </c>
    </row>
    <row r="548" spans="2:59" x14ac:dyDescent="0.3">
      <c r="B548" s="101">
        <v>39213</v>
      </c>
      <c r="C548" s="54">
        <v>1039.6300000000001</v>
      </c>
      <c r="D548" s="102">
        <f t="shared" si="58"/>
        <v>9.7593935746787874E-2</v>
      </c>
      <c r="E548" s="102"/>
      <c r="F548" s="54">
        <v>1505.85</v>
      </c>
      <c r="G548" s="102">
        <f t="shared" si="58"/>
        <v>1.5276098882854861E-4</v>
      </c>
      <c r="O548" s="101">
        <v>42268</v>
      </c>
      <c r="P548" s="110">
        <v>24485.88</v>
      </c>
      <c r="Q548" s="110">
        <v>572.12</v>
      </c>
      <c r="R548" s="102">
        <f t="shared" si="59"/>
        <v>0</v>
      </c>
      <c r="S548" s="102">
        <f t="shared" si="59"/>
        <v>1.0313082789455551E-2</v>
      </c>
      <c r="BC548" s="101">
        <v>39458</v>
      </c>
      <c r="BD548" s="110">
        <v>19122.113300000001</v>
      </c>
      <c r="BE548" s="110">
        <v>860.77</v>
      </c>
      <c r="BF548" s="272">
        <f t="shared" si="60"/>
        <v>-0.11922980333787683</v>
      </c>
      <c r="BG548" s="272">
        <f t="shared" si="60"/>
        <v>-4.7994878725485274E-2</v>
      </c>
    </row>
    <row r="549" spans="2:59" x14ac:dyDescent="0.3">
      <c r="B549" s="101">
        <v>39206</v>
      </c>
      <c r="C549" s="54">
        <v>947.19</v>
      </c>
      <c r="D549" s="102">
        <f t="shared" si="58"/>
        <v>2.5219452532228015E-2</v>
      </c>
      <c r="E549" s="102"/>
      <c r="F549" s="54">
        <v>1505.62</v>
      </c>
      <c r="G549" s="102">
        <f t="shared" si="58"/>
        <v>7.7305614864096039E-3</v>
      </c>
      <c r="O549" s="101">
        <v>42265</v>
      </c>
      <c r="P549" s="110">
        <v>24485.88</v>
      </c>
      <c r="Q549" s="110">
        <v>566.25</v>
      </c>
      <c r="R549" s="102">
        <f t="shared" si="59"/>
        <v>3.4188249309168245E-3</v>
      </c>
      <c r="S549" s="102">
        <f t="shared" si="59"/>
        <v>6.6800989063377702E-3</v>
      </c>
      <c r="BC549" s="101">
        <v>39451</v>
      </c>
      <c r="BD549" s="110">
        <v>21543.523399999998</v>
      </c>
      <c r="BE549" s="110">
        <v>903.09</v>
      </c>
    </row>
    <row r="550" spans="2:59" x14ac:dyDescent="0.3">
      <c r="B550" s="101">
        <v>39199</v>
      </c>
      <c r="C550" s="54">
        <v>923.89</v>
      </c>
      <c r="D550" s="102">
        <f t="shared" ref="D550:G565" si="61">C550/C551-1</f>
        <v>-4.6435059037238879E-2</v>
      </c>
      <c r="E550" s="102"/>
      <c r="F550" s="54">
        <v>1494.07</v>
      </c>
      <c r="G550" s="102">
        <f t="shared" si="61"/>
        <v>6.5483208138241711E-3</v>
      </c>
      <c r="O550" s="101">
        <v>42264</v>
      </c>
      <c r="P550" s="110">
        <v>24402.31</v>
      </c>
      <c r="Q550" s="110">
        <v>562.48</v>
      </c>
      <c r="R550" s="102">
        <f t="shared" si="59"/>
        <v>-6.8260013109740121E-3</v>
      </c>
      <c r="S550" s="102">
        <f t="shared" si="59"/>
        <v>-2.9291435008273257E-3</v>
      </c>
    </row>
    <row r="551" spans="2:59" x14ac:dyDescent="0.3">
      <c r="B551" s="101">
        <v>39192</v>
      </c>
      <c r="C551" s="54">
        <v>968.88</v>
      </c>
      <c r="D551" s="102">
        <f t="shared" si="61"/>
        <v>-4.3534916780193167E-2</v>
      </c>
      <c r="E551" s="102"/>
      <c r="F551" s="54">
        <v>1484.35</v>
      </c>
      <c r="G551" s="102">
        <f t="shared" si="61"/>
        <v>2.1681522524692909E-2</v>
      </c>
      <c r="O551" s="101">
        <v>42263</v>
      </c>
      <c r="P551" s="110">
        <v>24569.45</v>
      </c>
      <c r="Q551" s="110">
        <v>564.13</v>
      </c>
      <c r="R551" s="102">
        <f t="shared" si="59"/>
        <v>1.3698917339181585E-2</v>
      </c>
      <c r="S551" s="102">
        <f t="shared" si="59"/>
        <v>1.5256344985071391E-3</v>
      </c>
    </row>
    <row r="552" spans="2:59" x14ac:dyDescent="0.3">
      <c r="B552" s="101">
        <v>39185</v>
      </c>
      <c r="C552" s="54">
        <v>1012.98</v>
      </c>
      <c r="D552" s="102">
        <f t="shared" si="61"/>
        <v>-2.0253017641597038E-2</v>
      </c>
      <c r="E552" s="102"/>
      <c r="F552" s="54">
        <v>1452.85</v>
      </c>
      <c r="G552" s="102">
        <f t="shared" si="61"/>
        <v>6.2960602870283378E-3</v>
      </c>
      <c r="O552" s="101">
        <v>42262</v>
      </c>
      <c r="P552" s="110">
        <v>24235.17</v>
      </c>
      <c r="Q552" s="110">
        <v>563.27</v>
      </c>
      <c r="R552" s="102">
        <f t="shared" si="59"/>
        <v>-1.0291740959124428E-2</v>
      </c>
      <c r="S552" s="102">
        <f t="shared" si="59"/>
        <v>1.9547916375420712E-3</v>
      </c>
    </row>
    <row r="553" spans="2:59" x14ac:dyDescent="0.3">
      <c r="B553" s="101">
        <v>39178</v>
      </c>
      <c r="C553" s="54">
        <v>1033.92</v>
      </c>
      <c r="D553" s="102">
        <f t="shared" si="61"/>
        <v>-3.4919212567556035E-2</v>
      </c>
      <c r="E553" s="102"/>
      <c r="F553" s="54">
        <v>1443.76</v>
      </c>
      <c r="G553" s="102">
        <f t="shared" si="61"/>
        <v>1.6116999563644541E-2</v>
      </c>
      <c r="O553" s="101">
        <v>42261</v>
      </c>
      <c r="P553" s="110">
        <v>24485.88</v>
      </c>
      <c r="Q553" s="110">
        <v>562.16999999999996</v>
      </c>
      <c r="R553" s="102">
        <f t="shared" si="59"/>
        <v>0</v>
      </c>
      <c r="S553" s="102">
        <f t="shared" si="59"/>
        <v>-8.0963495122394966E-3</v>
      </c>
    </row>
    <row r="554" spans="2:59" x14ac:dyDescent="0.3">
      <c r="B554" s="101">
        <v>39171</v>
      </c>
      <c r="C554" s="54">
        <v>1071.33</v>
      </c>
      <c r="D554" s="102">
        <f t="shared" si="61"/>
        <v>-1.7633142605633867E-2</v>
      </c>
      <c r="E554" s="102"/>
      <c r="F554" s="54">
        <v>1420.86</v>
      </c>
      <c r="G554" s="102">
        <f t="shared" si="61"/>
        <v>-1.0618963728405206E-2</v>
      </c>
      <c r="O554" s="101">
        <v>42258</v>
      </c>
      <c r="P554" s="110">
        <v>24485.88</v>
      </c>
      <c r="Q554" s="110">
        <v>566.74</v>
      </c>
      <c r="R554" s="102">
        <f t="shared" si="59"/>
        <v>0</v>
      </c>
      <c r="S554" s="102">
        <f t="shared" si="59"/>
        <v>-9.3607167467216305E-3</v>
      </c>
    </row>
    <row r="555" spans="2:59" x14ac:dyDescent="0.3">
      <c r="B555" s="101">
        <v>39164</v>
      </c>
      <c r="C555" s="54">
        <v>1090.56</v>
      </c>
      <c r="D555" s="102">
        <f t="shared" si="61"/>
        <v>-1.730103806228378E-2</v>
      </c>
      <c r="E555" s="102"/>
      <c r="F555" s="54">
        <v>1436.11</v>
      </c>
      <c r="G555" s="102">
        <f t="shared" si="61"/>
        <v>3.5444680774360915E-2</v>
      </c>
      <c r="O555" s="101">
        <v>42257</v>
      </c>
      <c r="P555" s="110">
        <v>24485.88</v>
      </c>
      <c r="Q555" s="110">
        <v>572.07000000000005</v>
      </c>
      <c r="R555" s="102">
        <f t="shared" si="59"/>
        <v>0</v>
      </c>
      <c r="S555" s="102">
        <f t="shared" si="59"/>
        <v>-4.7185887052652399E-4</v>
      </c>
    </row>
    <row r="556" spans="2:59" x14ac:dyDescent="0.3">
      <c r="B556" s="101">
        <v>39157</v>
      </c>
      <c r="C556" s="54">
        <v>1109.76</v>
      </c>
      <c r="D556" s="102">
        <f t="shared" si="61"/>
        <v>-3.9734182472656809E-2</v>
      </c>
      <c r="E556" s="102"/>
      <c r="F556" s="54">
        <v>1386.95</v>
      </c>
      <c r="G556" s="102">
        <f t="shared" si="61"/>
        <v>-1.1334069929072821E-2</v>
      </c>
      <c r="O556" s="101">
        <v>42256</v>
      </c>
      <c r="P556" s="110">
        <v>24485.88</v>
      </c>
      <c r="Q556" s="110">
        <v>572.34</v>
      </c>
      <c r="R556" s="102">
        <f t="shared" si="59"/>
        <v>-3.4071763800571767E-3</v>
      </c>
      <c r="S556" s="102">
        <f t="shared" si="59"/>
        <v>9.8678657907030568E-3</v>
      </c>
    </row>
    <row r="557" spans="2:59" x14ac:dyDescent="0.3">
      <c r="B557" s="101">
        <v>39150</v>
      </c>
      <c r="C557" s="54">
        <v>1155.68</v>
      </c>
      <c r="D557" s="102">
        <f t="shared" si="61"/>
        <v>6.9881323736995515E-3</v>
      </c>
      <c r="E557" s="102"/>
      <c r="F557" s="54">
        <v>1402.85</v>
      </c>
      <c r="G557" s="102">
        <f t="shared" si="61"/>
        <v>1.1303589322144925E-2</v>
      </c>
      <c r="O557" s="101">
        <v>42255</v>
      </c>
      <c r="P557" s="110">
        <v>24569.45</v>
      </c>
      <c r="Q557" s="110">
        <v>566.72</v>
      </c>
      <c r="R557" s="102">
        <f t="shared" si="59"/>
        <v>3.4071763800571655E-3</v>
      </c>
      <c r="S557" s="102">
        <f t="shared" si="59"/>
        <v>2.1023374928729195E-2</v>
      </c>
    </row>
    <row r="558" spans="2:59" x14ac:dyDescent="0.3">
      <c r="B558" s="101">
        <v>39143</v>
      </c>
      <c r="C558" s="54">
        <v>1147.6600000000001</v>
      </c>
      <c r="D558" s="102">
        <f t="shared" si="61"/>
        <v>1.6509893535987086E-2</v>
      </c>
      <c r="E558" s="102"/>
      <c r="F558" s="54">
        <v>1387.17</v>
      </c>
      <c r="G558" s="102">
        <f t="shared" si="61"/>
        <v>-4.4115518987865143E-2</v>
      </c>
      <c r="O558" s="101">
        <v>42254</v>
      </c>
      <c r="P558" s="110">
        <v>24485.88</v>
      </c>
      <c r="Q558" s="110">
        <v>554.92999999999995</v>
      </c>
      <c r="R558" s="102">
        <f t="shared" si="59"/>
        <v>0</v>
      </c>
      <c r="S558" s="102">
        <f t="shared" si="59"/>
        <v>-3.3820889633103977E-3</v>
      </c>
    </row>
    <row r="559" spans="2:59" x14ac:dyDescent="0.3">
      <c r="B559" s="101">
        <v>39136</v>
      </c>
      <c r="C559" s="111">
        <v>1129.02</v>
      </c>
      <c r="D559" s="102">
        <f t="shared" si="61"/>
        <v>4.2252480960073946E-2</v>
      </c>
      <c r="E559" s="102"/>
      <c r="F559" s="54">
        <v>1451.19</v>
      </c>
      <c r="G559" s="102">
        <f t="shared" si="61"/>
        <v>-2.9885815573600372E-3</v>
      </c>
      <c r="O559" s="101">
        <v>42251</v>
      </c>
      <c r="P559" s="110">
        <v>24485.88</v>
      </c>
      <c r="Q559" s="110">
        <v>556.80999999999995</v>
      </c>
      <c r="R559" s="102">
        <f t="shared" si="59"/>
        <v>1.3745994388129524E-2</v>
      </c>
      <c r="S559" s="102">
        <f t="shared" si="59"/>
        <v>4.5180122032910369E-3</v>
      </c>
    </row>
    <row r="560" spans="2:59" x14ac:dyDescent="0.3">
      <c r="B560" s="101">
        <v>39129</v>
      </c>
      <c r="C560" s="54">
        <v>1083.25</v>
      </c>
      <c r="D560" s="102">
        <f t="shared" si="61"/>
        <v>5.0780871083519141E-2</v>
      </c>
      <c r="E560" s="102"/>
      <c r="F560" s="54">
        <v>1455.54</v>
      </c>
      <c r="G560" s="102">
        <f t="shared" si="61"/>
        <v>1.2155264731652293E-2</v>
      </c>
      <c r="O560" s="101">
        <v>42250</v>
      </c>
      <c r="P560" s="110">
        <v>24151.599999999999</v>
      </c>
      <c r="Q560" s="110">
        <v>554.29999999999995</v>
      </c>
      <c r="R560" s="102">
        <f t="shared" si="59"/>
        <v>-1.374599438812963E-2</v>
      </c>
      <c r="S560" s="102">
        <f t="shared" si="59"/>
        <v>-1.4347242815275434E-2</v>
      </c>
    </row>
    <row r="561" spans="2:19" x14ac:dyDescent="0.3">
      <c r="B561" s="101">
        <v>39122</v>
      </c>
      <c r="C561" s="54">
        <v>1030.9000000000001</v>
      </c>
      <c r="D561" s="102">
        <f t="shared" si="61"/>
        <v>-4.0621655576752902E-2</v>
      </c>
      <c r="E561" s="102"/>
      <c r="F561" s="54">
        <v>1438.06</v>
      </c>
      <c r="G561" s="102">
        <f t="shared" si="61"/>
        <v>-7.1320569736053052E-3</v>
      </c>
      <c r="O561" s="101">
        <v>42248</v>
      </c>
      <c r="P561" s="110">
        <v>24485.88</v>
      </c>
      <c r="Q561" s="110">
        <v>562.30999999999995</v>
      </c>
      <c r="R561" s="102">
        <f t="shared" si="59"/>
        <v>0</v>
      </c>
      <c r="S561" s="102">
        <f t="shared" si="59"/>
        <v>-4.3298561070782837E-3</v>
      </c>
    </row>
    <row r="562" spans="2:19" x14ac:dyDescent="0.3">
      <c r="B562" s="101">
        <v>39115</v>
      </c>
      <c r="C562" s="54">
        <v>1074.55</v>
      </c>
      <c r="D562" s="102">
        <f t="shared" si="61"/>
        <v>0.10237391768230131</v>
      </c>
      <c r="E562" s="102"/>
      <c r="F562" s="54">
        <v>1448.39</v>
      </c>
      <c r="G562" s="102">
        <f t="shared" si="61"/>
        <v>1.8429453374397164E-2</v>
      </c>
      <c r="O562" s="101">
        <v>42247</v>
      </c>
      <c r="P562" s="110">
        <v>24485.88</v>
      </c>
      <c r="Q562" s="110">
        <v>564.75</v>
      </c>
      <c r="R562" s="102">
        <f t="shared" si="59"/>
        <v>1.0291740959124503E-2</v>
      </c>
      <c r="S562" s="102">
        <f t="shared" si="59"/>
        <v>-1.077835763391252E-2</v>
      </c>
    </row>
    <row r="563" spans="2:19" x14ac:dyDescent="0.3">
      <c r="B563" s="101">
        <v>39108</v>
      </c>
      <c r="C563" s="54">
        <v>974.76</v>
      </c>
      <c r="D563" s="102">
        <f t="shared" si="61"/>
        <v>-4.7201994037437078E-2</v>
      </c>
      <c r="E563" s="102"/>
      <c r="F563" s="54">
        <v>1422.18</v>
      </c>
      <c r="G563" s="102">
        <f t="shared" si="61"/>
        <v>-5.816148199930038E-3</v>
      </c>
      <c r="O563" s="101">
        <v>42244</v>
      </c>
      <c r="P563" s="110">
        <v>24235.17</v>
      </c>
      <c r="Q563" s="110">
        <v>570.87</v>
      </c>
      <c r="R563" s="102">
        <f t="shared" si="59"/>
        <v>0</v>
      </c>
      <c r="S563" s="102">
        <f t="shared" si="59"/>
        <v>2.6735003751994189E-2</v>
      </c>
    </row>
    <row r="564" spans="2:19" x14ac:dyDescent="0.3">
      <c r="B564" s="101">
        <v>39101</v>
      </c>
      <c r="C564" s="54">
        <v>1023.05</v>
      </c>
      <c r="D564" s="102">
        <f t="shared" si="61"/>
        <v>0.11834410083188485</v>
      </c>
      <c r="E564" s="102"/>
      <c r="F564" s="54">
        <v>1430.5</v>
      </c>
      <c r="G564" s="102">
        <f t="shared" si="61"/>
        <v>-1.6075709602791921E-4</v>
      </c>
      <c r="O564" s="101">
        <v>42243</v>
      </c>
      <c r="P564" s="110">
        <v>24235.17</v>
      </c>
      <c r="Q564" s="110">
        <v>555.80999999999995</v>
      </c>
      <c r="R564" s="102">
        <f t="shared" si="59"/>
        <v>0</v>
      </c>
      <c r="S564" s="102">
        <f t="shared" si="59"/>
        <v>1.8009018983430884E-2</v>
      </c>
    </row>
    <row r="565" spans="2:19" x14ac:dyDescent="0.3">
      <c r="B565" s="101">
        <v>39094</v>
      </c>
      <c r="C565" s="54">
        <v>914.79</v>
      </c>
      <c r="D565" s="102">
        <f t="shared" si="61"/>
        <v>0.12036594775324239</v>
      </c>
      <c r="E565" s="102"/>
      <c r="F565" s="54">
        <v>1430.73</v>
      </c>
      <c r="G565" s="102">
        <f t="shared" si="61"/>
        <v>1.4910868192748783E-2</v>
      </c>
      <c r="O565" s="101">
        <v>42242</v>
      </c>
      <c r="P565" s="110">
        <v>24235.17</v>
      </c>
      <c r="Q565" s="110">
        <v>545.89</v>
      </c>
      <c r="R565" s="102">
        <f t="shared" si="59"/>
        <v>1.3889187183119428E-2</v>
      </c>
      <c r="S565" s="102">
        <f t="shared" si="59"/>
        <v>2.9578220261504029E-2</v>
      </c>
    </row>
    <row r="566" spans="2:19" x14ac:dyDescent="0.3">
      <c r="B566" s="101">
        <v>39087</v>
      </c>
      <c r="C566" s="54">
        <v>816.51</v>
      </c>
      <c r="D566" s="102">
        <f t="shared" ref="D566:G581" si="62">C566/C567-1</f>
        <v>8.6116764435931303E-2</v>
      </c>
      <c r="E566" s="102"/>
      <c r="F566" s="54">
        <v>1409.71</v>
      </c>
      <c r="G566" s="102">
        <f t="shared" si="62"/>
        <v>-6.0565465698371179E-3</v>
      </c>
      <c r="O566" s="101">
        <v>42241</v>
      </c>
      <c r="P566" s="110">
        <v>23900.89</v>
      </c>
      <c r="Q566" s="110">
        <v>529.98</v>
      </c>
      <c r="R566" s="102">
        <f t="shared" si="59"/>
        <v>2.1202324203352434E-2</v>
      </c>
      <c r="S566" s="102">
        <f t="shared" si="59"/>
        <v>5.7715575905420494E-3</v>
      </c>
    </row>
    <row r="567" spans="2:19" x14ac:dyDescent="0.3">
      <c r="B567" s="101">
        <v>39080</v>
      </c>
      <c r="C567" s="54">
        <v>751.77</v>
      </c>
      <c r="D567" s="102">
        <f t="shared" si="62"/>
        <v>1.0239870993751232E-2</v>
      </c>
      <c r="E567" s="102"/>
      <c r="F567" s="54">
        <v>1418.3</v>
      </c>
      <c r="G567" s="102">
        <f t="shared" si="62"/>
        <v>5.3446369332841304E-3</v>
      </c>
      <c r="O567" s="101">
        <v>42240</v>
      </c>
      <c r="P567" s="110">
        <v>23399.47</v>
      </c>
      <c r="Q567" s="110">
        <v>526.92999999999995</v>
      </c>
      <c r="R567" s="102">
        <f t="shared" si="59"/>
        <v>-4.1964427414679581E-2</v>
      </c>
      <c r="S567" s="102">
        <f t="shared" si="59"/>
        <v>-5.4240004686693731E-2</v>
      </c>
    </row>
    <row r="568" spans="2:19" x14ac:dyDescent="0.3">
      <c r="B568" s="101">
        <v>39073</v>
      </c>
      <c r="C568" s="54">
        <v>744.15</v>
      </c>
      <c r="D568" s="102">
        <f t="shared" si="62"/>
        <v>-4.0499767909639495E-2</v>
      </c>
      <c r="E568" s="102"/>
      <c r="F568" s="54">
        <v>1410.76</v>
      </c>
      <c r="G568" s="102">
        <f t="shared" si="62"/>
        <v>-1.1442866252303618E-2</v>
      </c>
      <c r="O568" s="101">
        <v>42237</v>
      </c>
      <c r="P568" s="110">
        <v>24402.31</v>
      </c>
      <c r="Q568" s="110">
        <v>556.29999999999995</v>
      </c>
      <c r="R568" s="102">
        <f t="shared" si="59"/>
        <v>-1.3605319787667299E-2</v>
      </c>
      <c r="S568" s="102">
        <f t="shared" si="59"/>
        <v>-1.850469991781109E-2</v>
      </c>
    </row>
    <row r="569" spans="2:19" x14ac:dyDescent="0.3">
      <c r="B569" s="101">
        <v>39066</v>
      </c>
      <c r="C569" s="54">
        <v>775.56</v>
      </c>
      <c r="D569" s="102">
        <f t="shared" si="62"/>
        <v>0.1141182554731941</v>
      </c>
      <c r="E569" s="102"/>
      <c r="F569" s="54">
        <v>1427.09</v>
      </c>
      <c r="G569" s="102">
        <f t="shared" si="62"/>
        <v>1.2235430970890304E-2</v>
      </c>
      <c r="O569" s="101">
        <v>42236</v>
      </c>
      <c r="P569" s="110">
        <v>24736.58</v>
      </c>
      <c r="Q569" s="110">
        <v>566.69000000000005</v>
      </c>
      <c r="R569" s="102">
        <f t="shared" si="59"/>
        <v>0</v>
      </c>
      <c r="S569" s="102">
        <f t="shared" si="59"/>
        <v>-1.9449984487329621E-2</v>
      </c>
    </row>
    <row r="570" spans="2:19" x14ac:dyDescent="0.3">
      <c r="B570" s="101">
        <v>39059</v>
      </c>
      <c r="C570" s="54">
        <v>696.12</v>
      </c>
      <c r="D570" s="102">
        <f t="shared" si="62"/>
        <v>0.10269448272584714</v>
      </c>
      <c r="E570" s="102"/>
      <c r="F570" s="54">
        <v>1409.84</v>
      </c>
      <c r="G570" s="102">
        <f t="shared" si="62"/>
        <v>9.4006629865899249E-3</v>
      </c>
      <c r="O570" s="101">
        <v>42235</v>
      </c>
      <c r="P570" s="110">
        <v>24736.58</v>
      </c>
      <c r="Q570" s="110">
        <v>577.82000000000005</v>
      </c>
      <c r="R570" s="102">
        <f t="shared" si="59"/>
        <v>0</v>
      </c>
      <c r="S570" s="102">
        <f t="shared" si="59"/>
        <v>-4.1449404789218368E-3</v>
      </c>
    </row>
    <row r="571" spans="2:19" x14ac:dyDescent="0.3">
      <c r="B571" s="101">
        <v>39052</v>
      </c>
      <c r="C571" s="54">
        <v>631.29</v>
      </c>
      <c r="D571" s="102">
        <f t="shared" si="62"/>
        <v>-5.144771835980344E-2</v>
      </c>
      <c r="E571" s="102"/>
      <c r="F571" s="54">
        <v>1396.71</v>
      </c>
      <c r="G571" s="102">
        <f t="shared" si="62"/>
        <v>-3.0265177201185267E-3</v>
      </c>
      <c r="O571" s="101">
        <v>42234</v>
      </c>
      <c r="P571" s="110">
        <v>24736.58</v>
      </c>
      <c r="Q571" s="110">
        <v>580.22</v>
      </c>
      <c r="R571" s="102">
        <f t="shared" si="59"/>
        <v>0</v>
      </c>
      <c r="S571" s="102">
        <f t="shared" si="59"/>
        <v>1.2259879404291341E-2</v>
      </c>
    </row>
    <row r="572" spans="2:19" x14ac:dyDescent="0.3">
      <c r="B572" s="101">
        <v>39045</v>
      </c>
      <c r="C572" s="54">
        <v>665.53</v>
      </c>
      <c r="D572" s="102">
        <f t="shared" si="62"/>
        <v>0.15988427822025475</v>
      </c>
      <c r="E572" s="102"/>
      <c r="F572" s="54">
        <v>1400.95</v>
      </c>
      <c r="G572" s="102">
        <f t="shared" si="62"/>
        <v>-1.7841849842992197E-4</v>
      </c>
      <c r="O572" s="101">
        <v>42233</v>
      </c>
      <c r="P572" s="110">
        <v>24736.58</v>
      </c>
      <c r="Q572" s="110">
        <v>573.15</v>
      </c>
      <c r="R572" s="102">
        <f t="shared" si="59"/>
        <v>0</v>
      </c>
      <c r="S572" s="102">
        <f t="shared" si="59"/>
        <v>-2.7329653579564947E-2</v>
      </c>
    </row>
    <row r="573" spans="2:19" x14ac:dyDescent="0.3">
      <c r="B573" s="101">
        <v>39038</v>
      </c>
      <c r="C573" s="54">
        <v>573.79</v>
      </c>
      <c r="D573" s="102">
        <f t="shared" si="62"/>
        <v>8.0970592113939199E-2</v>
      </c>
      <c r="E573" s="102"/>
      <c r="F573" s="54">
        <v>1401.2</v>
      </c>
      <c r="G573" s="102">
        <f t="shared" si="62"/>
        <v>1.4700557607357556E-2</v>
      </c>
      <c r="O573" s="101">
        <v>42230</v>
      </c>
      <c r="P573" s="110">
        <v>24736.58</v>
      </c>
      <c r="Q573" s="110">
        <v>589.03</v>
      </c>
      <c r="R573" s="102">
        <f t="shared" si="59"/>
        <v>0</v>
      </c>
      <c r="S573" s="102">
        <f t="shared" si="59"/>
        <v>-8.8398178925027746E-3</v>
      </c>
    </row>
    <row r="574" spans="2:19" x14ac:dyDescent="0.3">
      <c r="B574" s="101">
        <v>39031</v>
      </c>
      <c r="C574" s="54">
        <v>530.80999999999995</v>
      </c>
      <c r="D574" s="102">
        <f t="shared" si="62"/>
        <v>3.3226924125043578E-2</v>
      </c>
      <c r="E574" s="102"/>
      <c r="F574" s="54">
        <v>1380.9</v>
      </c>
      <c r="G574" s="102">
        <f t="shared" si="62"/>
        <v>1.2167411859561827E-2</v>
      </c>
      <c r="O574" s="101">
        <v>42229</v>
      </c>
      <c r="P574" s="110">
        <v>24736.58</v>
      </c>
      <c r="Q574" s="110">
        <v>594.26</v>
      </c>
      <c r="R574" s="102">
        <f t="shared" si="59"/>
        <v>-6.7340701654671088E-3</v>
      </c>
      <c r="S574" s="102">
        <f t="shared" si="59"/>
        <v>-1.6654535972106265E-2</v>
      </c>
    </row>
    <row r="575" spans="2:19" x14ac:dyDescent="0.3">
      <c r="B575" s="101">
        <v>39024</v>
      </c>
      <c r="C575" s="54">
        <v>513.74</v>
      </c>
      <c r="D575" s="102">
        <f t="shared" si="62"/>
        <v>-1.4010440657147183E-2</v>
      </c>
      <c r="E575" s="102"/>
      <c r="F575" s="54">
        <v>1364.3</v>
      </c>
      <c r="G575" s="102">
        <f t="shared" si="62"/>
        <v>-9.4675243585461422E-3</v>
      </c>
      <c r="O575" s="101">
        <v>42228</v>
      </c>
      <c r="P575" s="110">
        <v>24903.72</v>
      </c>
      <c r="Q575" s="110">
        <v>604.24</v>
      </c>
      <c r="R575" s="102">
        <f t="shared" si="59"/>
        <v>3.3613666308198171E-3</v>
      </c>
      <c r="S575" s="102">
        <f t="shared" si="59"/>
        <v>-1.4475028673203386E-2</v>
      </c>
    </row>
    <row r="576" spans="2:19" x14ac:dyDescent="0.3">
      <c r="B576" s="101">
        <v>39017</v>
      </c>
      <c r="C576" s="54">
        <v>521.04</v>
      </c>
      <c r="D576" s="102">
        <f t="shared" si="62"/>
        <v>-1.3966163279209742E-2</v>
      </c>
      <c r="E576" s="102"/>
      <c r="F576" s="54">
        <v>1377.34</v>
      </c>
      <c r="G576" s="102">
        <f t="shared" si="62"/>
        <v>6.386087973111243E-3</v>
      </c>
      <c r="O576" s="101">
        <v>42227</v>
      </c>
      <c r="P576" s="110">
        <v>24820.15</v>
      </c>
      <c r="Q576" s="110">
        <v>613.04999999999995</v>
      </c>
      <c r="R576" s="102">
        <f t="shared" si="59"/>
        <v>-3.3613666308197764E-3</v>
      </c>
      <c r="S576" s="102">
        <f t="shared" si="59"/>
        <v>-2.4112493150346575E-3</v>
      </c>
    </row>
    <row r="577" spans="2:19" x14ac:dyDescent="0.3">
      <c r="B577" s="101">
        <v>39010</v>
      </c>
      <c r="C577" s="54">
        <v>528.41999999999996</v>
      </c>
      <c r="D577" s="102">
        <f t="shared" si="62"/>
        <v>4.7344703667788757E-3</v>
      </c>
      <c r="E577" s="102"/>
      <c r="F577" s="54">
        <v>1368.6</v>
      </c>
      <c r="G577" s="102">
        <f t="shared" si="62"/>
        <v>2.1821590193464857E-3</v>
      </c>
      <c r="O577" s="101">
        <v>42226</v>
      </c>
      <c r="P577" s="110">
        <v>24903.72</v>
      </c>
      <c r="Q577" s="110">
        <v>614.53</v>
      </c>
      <c r="R577" s="102">
        <f t="shared" si="59"/>
        <v>-6.6890256284631794E-3</v>
      </c>
      <c r="S577" s="102">
        <f t="shared" si="59"/>
        <v>1.7680980016817748E-2</v>
      </c>
    </row>
    <row r="578" spans="2:19" x14ac:dyDescent="0.3">
      <c r="B578" s="101">
        <v>39003</v>
      </c>
      <c r="C578" s="54">
        <v>525.92999999999995</v>
      </c>
      <c r="D578" s="102">
        <f t="shared" si="62"/>
        <v>-1.9665225171488387E-2</v>
      </c>
      <c r="E578" s="102"/>
      <c r="F578" s="54">
        <v>1365.62</v>
      </c>
      <c r="G578" s="102">
        <f t="shared" si="62"/>
        <v>1.1885179092754772E-2</v>
      </c>
      <c r="O578" s="101">
        <v>42223</v>
      </c>
      <c r="P578" s="110">
        <v>25070.86</v>
      </c>
      <c r="Q578" s="110">
        <v>603.76</v>
      </c>
      <c r="R578" s="102">
        <f t="shared" si="59"/>
        <v>0</v>
      </c>
      <c r="S578" s="102">
        <f t="shared" si="59"/>
        <v>4.5152799157077454E-3</v>
      </c>
    </row>
    <row r="579" spans="2:19" x14ac:dyDescent="0.3">
      <c r="B579" s="101">
        <v>38996</v>
      </c>
      <c r="C579" s="54">
        <v>536.48</v>
      </c>
      <c r="D579" s="102">
        <f t="shared" si="62"/>
        <v>1.8510432289787992E-2</v>
      </c>
      <c r="E579" s="102"/>
      <c r="F579" s="54">
        <v>1349.58</v>
      </c>
      <c r="G579" s="102">
        <f t="shared" si="62"/>
        <v>1.0278100086087427E-2</v>
      </c>
      <c r="O579" s="101">
        <v>42222</v>
      </c>
      <c r="P579" s="110">
        <v>25070.86</v>
      </c>
      <c r="Q579" s="110">
        <v>601.04</v>
      </c>
      <c r="R579" s="102">
        <f t="shared" si="59"/>
        <v>0</v>
      </c>
      <c r="S579" s="102">
        <f t="shared" si="59"/>
        <v>-9.9990900309400305E-3</v>
      </c>
    </row>
    <row r="580" spans="2:19" x14ac:dyDescent="0.3">
      <c r="B580" s="101">
        <v>38989</v>
      </c>
      <c r="C580" s="54">
        <v>526.73</v>
      </c>
      <c r="D580" s="102">
        <f t="shared" si="62"/>
        <v>2.5265206812652208E-2</v>
      </c>
      <c r="E580" s="102"/>
      <c r="F580" s="54">
        <v>1335.85</v>
      </c>
      <c r="G580" s="102">
        <f t="shared" si="62"/>
        <v>1.6025494759579484E-2</v>
      </c>
      <c r="O580" s="101">
        <v>42221</v>
      </c>
      <c r="P580" s="110">
        <v>25070.86</v>
      </c>
      <c r="Q580" s="110">
        <v>607.08000000000004</v>
      </c>
      <c r="R580" s="102">
        <f t="shared" si="59"/>
        <v>0</v>
      </c>
      <c r="S580" s="102">
        <f t="shared" si="59"/>
        <v>1.0465057754465056E-2</v>
      </c>
    </row>
    <row r="581" spans="2:19" x14ac:dyDescent="0.3">
      <c r="B581" s="101">
        <v>38982</v>
      </c>
      <c r="C581" s="54">
        <v>513.75</v>
      </c>
      <c r="D581" s="102">
        <f t="shared" si="62"/>
        <v>8.6978716720333971E-3</v>
      </c>
      <c r="E581" s="102"/>
      <c r="F581" s="54">
        <v>1314.78</v>
      </c>
      <c r="G581" s="102">
        <f t="shared" si="62"/>
        <v>-3.8564404070097202E-3</v>
      </c>
      <c r="O581" s="101">
        <v>42220</v>
      </c>
      <c r="P581" s="110">
        <v>25070.86</v>
      </c>
      <c r="Q581" s="110">
        <v>600.76</v>
      </c>
      <c r="R581" s="102">
        <f t="shared" si="59"/>
        <v>0</v>
      </c>
      <c r="S581" s="102">
        <f t="shared" si="59"/>
        <v>-1.4394206699886674E-2</v>
      </c>
    </row>
    <row r="582" spans="2:19" x14ac:dyDescent="0.3">
      <c r="B582" s="101">
        <v>38975</v>
      </c>
      <c r="C582" s="54">
        <v>509.32</v>
      </c>
      <c r="D582" s="102">
        <f t="shared" ref="D582:G593" si="63">C582/C583-1</f>
        <v>-7.2508966162482258E-3</v>
      </c>
      <c r="E582" s="102"/>
      <c r="F582" s="54">
        <v>1319.87</v>
      </c>
      <c r="G582" s="102">
        <f t="shared" si="63"/>
        <v>1.6128783912789046E-2</v>
      </c>
      <c r="O582" s="101">
        <v>42219</v>
      </c>
      <c r="P582" s="110">
        <v>25070.86</v>
      </c>
      <c r="Q582" s="110">
        <v>609.47</v>
      </c>
      <c r="R582" s="102">
        <f t="shared" si="59"/>
        <v>6.6890256284631413E-3</v>
      </c>
      <c r="S582" s="102">
        <f t="shared" si="59"/>
        <v>-1.8837968586447092E-2</v>
      </c>
    </row>
    <row r="583" spans="2:19" x14ac:dyDescent="0.3">
      <c r="B583" s="101">
        <v>38968</v>
      </c>
      <c r="C583" s="54">
        <v>513.04</v>
      </c>
      <c r="D583" s="102">
        <f t="shared" si="63"/>
        <v>2.9766564300194753E-2</v>
      </c>
      <c r="E583" s="102"/>
      <c r="F583" s="54">
        <v>1298.92</v>
      </c>
      <c r="G583" s="102">
        <f t="shared" si="63"/>
        <v>-9.2218976209181847E-3</v>
      </c>
      <c r="O583" s="101">
        <v>42216</v>
      </c>
      <c r="P583" s="110">
        <v>24903.72</v>
      </c>
      <c r="Q583" s="110">
        <v>621.05999999999995</v>
      </c>
      <c r="R583" s="102">
        <f t="shared" si="59"/>
        <v>-6.6890256284631794E-3</v>
      </c>
      <c r="S583" s="102">
        <f t="shared" si="59"/>
        <v>-8.8328043144472023E-3</v>
      </c>
    </row>
    <row r="584" spans="2:19" x14ac:dyDescent="0.3">
      <c r="B584" s="101">
        <v>38961</v>
      </c>
      <c r="C584" s="54">
        <v>498.21</v>
      </c>
      <c r="D584" s="102">
        <f t="shared" si="63"/>
        <v>4.3524705192384161E-2</v>
      </c>
      <c r="E584" s="102"/>
      <c r="F584" s="54">
        <v>1311.01</v>
      </c>
      <c r="G584" s="102">
        <f t="shared" si="63"/>
        <v>1.2292581982719319E-2</v>
      </c>
      <c r="O584" s="101">
        <v>42215</v>
      </c>
      <c r="P584" s="110">
        <v>25070.86</v>
      </c>
      <c r="Q584" s="110">
        <v>626.57000000000005</v>
      </c>
      <c r="R584" s="102">
        <f t="shared" si="59"/>
        <v>6.6890256284631413E-3</v>
      </c>
      <c r="S584" s="102">
        <f t="shared" si="59"/>
        <v>2.9889654386365994E-3</v>
      </c>
    </row>
    <row r="585" spans="2:19" x14ac:dyDescent="0.3">
      <c r="B585" s="101">
        <v>38954</v>
      </c>
      <c r="C585" s="54">
        <v>477.43</v>
      </c>
      <c r="D585" s="102">
        <f t="shared" si="63"/>
        <v>-1.0117973917190159E-2</v>
      </c>
      <c r="E585" s="102"/>
      <c r="F585" s="54">
        <v>1295.0899999999999</v>
      </c>
      <c r="G585" s="102">
        <f t="shared" si="63"/>
        <v>-5.5363587499039912E-3</v>
      </c>
      <c r="O585" s="101">
        <v>42214</v>
      </c>
      <c r="P585" s="110">
        <v>24903.72</v>
      </c>
      <c r="Q585" s="110">
        <v>624.70000000000005</v>
      </c>
      <c r="R585" s="102">
        <f t="shared" si="59"/>
        <v>-6.6890256284631794E-3</v>
      </c>
      <c r="S585" s="102">
        <f t="shared" si="59"/>
        <v>-1.0778900224336446E-2</v>
      </c>
    </row>
    <row r="586" spans="2:19" x14ac:dyDescent="0.3">
      <c r="B586" s="101">
        <v>38947</v>
      </c>
      <c r="C586" s="54">
        <v>482.31</v>
      </c>
      <c r="D586" s="102">
        <f t="shared" si="63"/>
        <v>8.7631074529259223E-2</v>
      </c>
      <c r="E586" s="102"/>
      <c r="F586" s="54">
        <v>1302.3</v>
      </c>
      <c r="G586" s="102">
        <f t="shared" si="63"/>
        <v>2.8072058986058579E-2</v>
      </c>
      <c r="O586" s="101">
        <v>42213</v>
      </c>
      <c r="P586" s="110">
        <v>25070.86</v>
      </c>
      <c r="Q586" s="110">
        <v>631.47</v>
      </c>
      <c r="R586" s="102">
        <f t="shared" si="59"/>
        <v>0</v>
      </c>
      <c r="S586" s="102">
        <f t="shared" si="59"/>
        <v>-6.2987113597721429E-3</v>
      </c>
    </row>
    <row r="587" spans="2:19" x14ac:dyDescent="0.3">
      <c r="B587" s="101">
        <v>38940</v>
      </c>
      <c r="C587" s="54">
        <v>443.45</v>
      </c>
      <c r="D587" s="102">
        <f t="shared" si="63"/>
        <v>1.8254879448909245E-2</v>
      </c>
      <c r="E587" s="102"/>
      <c r="F587" s="54">
        <v>1266.74</v>
      </c>
      <c r="G587" s="102">
        <f t="shared" si="63"/>
        <v>-9.864307153576668E-3</v>
      </c>
      <c r="O587" s="101">
        <v>42212</v>
      </c>
      <c r="P587" s="110">
        <v>25070.86</v>
      </c>
      <c r="Q587" s="110">
        <v>635.46</v>
      </c>
      <c r="R587" s="102">
        <f t="shared" si="59"/>
        <v>0</v>
      </c>
      <c r="S587" s="102">
        <f t="shared" si="59"/>
        <v>6.6313240353816031E-3</v>
      </c>
    </row>
    <row r="588" spans="2:19" x14ac:dyDescent="0.3">
      <c r="B588" s="101">
        <v>38933</v>
      </c>
      <c r="C588" s="54">
        <v>435.5</v>
      </c>
      <c r="D588" s="102">
        <f t="shared" si="63"/>
        <v>-9.2590486156926E-3</v>
      </c>
      <c r="E588" s="102"/>
      <c r="F588" s="54">
        <v>1279.3599999999999</v>
      </c>
      <c r="G588" s="102">
        <f t="shared" si="63"/>
        <v>6.3353017089662345E-4</v>
      </c>
      <c r="O588" s="101">
        <v>42209</v>
      </c>
      <c r="P588" s="110">
        <v>25070.86</v>
      </c>
      <c r="Q588" s="110">
        <v>631.26</v>
      </c>
      <c r="R588" s="102">
        <f t="shared" si="59"/>
        <v>0</v>
      </c>
      <c r="S588" s="102">
        <f t="shared" si="59"/>
        <v>-1.1873947582371404E-3</v>
      </c>
    </row>
    <row r="589" spans="2:19" x14ac:dyDescent="0.3">
      <c r="B589" s="101">
        <v>38926</v>
      </c>
      <c r="C589" s="54">
        <v>439.57</v>
      </c>
      <c r="D589" s="102">
        <f t="shared" si="63"/>
        <v>-7.040138730279577E-2</v>
      </c>
      <c r="E589" s="102"/>
      <c r="F589" s="54">
        <v>1278.55</v>
      </c>
      <c r="G589" s="102">
        <f t="shared" si="63"/>
        <v>3.0847624345919034E-2</v>
      </c>
      <c r="O589" s="101">
        <v>42208</v>
      </c>
      <c r="P589" s="110">
        <v>25070.86</v>
      </c>
      <c r="Q589" s="110">
        <v>632.01</v>
      </c>
      <c r="R589" s="102">
        <f t="shared" si="59"/>
        <v>6.6890256284631413E-3</v>
      </c>
      <c r="S589" s="102">
        <f t="shared" si="59"/>
        <v>3.4235210081766001E-3</v>
      </c>
    </row>
    <row r="590" spans="2:19" x14ac:dyDescent="0.3">
      <c r="B590" s="101">
        <v>38919</v>
      </c>
      <c r="C590" s="54">
        <v>472.86</v>
      </c>
      <c r="D590" s="102">
        <f t="shared" si="63"/>
        <v>-6.5678719620628323E-2</v>
      </c>
      <c r="E590" s="102"/>
      <c r="F590" s="54">
        <v>1240.29</v>
      </c>
      <c r="G590" s="102">
        <f t="shared" si="63"/>
        <v>3.3085261284582224E-3</v>
      </c>
      <c r="O590" s="101">
        <v>42207</v>
      </c>
      <c r="P590" s="110">
        <v>24903.72</v>
      </c>
      <c r="Q590" s="110">
        <v>629.85</v>
      </c>
      <c r="R590" s="102">
        <f t="shared" si="59"/>
        <v>-6.6890256284631794E-3</v>
      </c>
      <c r="S590" s="102">
        <f t="shared" si="59"/>
        <v>2.1244962508261737E-2</v>
      </c>
    </row>
    <row r="591" spans="2:19" x14ac:dyDescent="0.3">
      <c r="B591" s="101">
        <v>38912</v>
      </c>
      <c r="C591" s="54">
        <v>506.1</v>
      </c>
      <c r="D591" s="102">
        <f t="shared" si="63"/>
        <v>-4.3477405520252477E-3</v>
      </c>
      <c r="E591" s="102"/>
      <c r="F591" s="54">
        <v>1236.2</v>
      </c>
      <c r="G591" s="102">
        <f t="shared" si="63"/>
        <v>-2.3137465625691411E-2</v>
      </c>
      <c r="O591" s="101">
        <v>42206</v>
      </c>
      <c r="P591" s="110">
        <v>25070.86</v>
      </c>
      <c r="Q591" s="110">
        <v>616.61</v>
      </c>
      <c r="R591" s="102">
        <f t="shared" si="59"/>
        <v>6.6890256284631413E-3</v>
      </c>
      <c r="S591" s="102">
        <f t="shared" si="59"/>
        <v>-6.3533334187090978E-3</v>
      </c>
    </row>
    <row r="592" spans="2:19" x14ac:dyDescent="0.3">
      <c r="B592" s="101">
        <v>38905</v>
      </c>
      <c r="C592" s="54">
        <v>508.31</v>
      </c>
      <c r="D592" s="102">
        <f t="shared" si="63"/>
        <v>-1.4119746310052639E-2</v>
      </c>
      <c r="E592" s="102"/>
      <c r="F592" s="54">
        <v>1265.48</v>
      </c>
      <c r="G592" s="102">
        <f t="shared" si="63"/>
        <v>-3.715950244056021E-3</v>
      </c>
      <c r="O592" s="101">
        <v>42205</v>
      </c>
      <c r="P592" s="110">
        <v>24903.72</v>
      </c>
      <c r="Q592" s="110">
        <v>620.54</v>
      </c>
      <c r="R592" s="102">
        <f t="shared" si="59"/>
        <v>-3.3501056867870911E-3</v>
      </c>
      <c r="S592" s="102">
        <f t="shared" si="59"/>
        <v>-1.2952781619305654E-2</v>
      </c>
    </row>
    <row r="593" spans="2:19" x14ac:dyDescent="0.3">
      <c r="B593" s="101">
        <v>38898</v>
      </c>
      <c r="C593" s="54">
        <v>515.59</v>
      </c>
      <c r="D593" s="102">
        <f t="shared" si="63"/>
        <v>9.733265442011696E-3</v>
      </c>
      <c r="E593" s="102"/>
      <c r="F593" s="54">
        <v>1270.2</v>
      </c>
      <c r="G593" s="102">
        <f t="shared" si="63"/>
        <v>2.0650863800723229E-2</v>
      </c>
      <c r="O593" s="101">
        <v>42202</v>
      </c>
      <c r="P593" s="110">
        <v>24987.29</v>
      </c>
      <c r="Q593" s="110">
        <v>628.63</v>
      </c>
      <c r="R593" s="102">
        <f t="shared" si="59"/>
        <v>-3.3389199416760593E-3</v>
      </c>
      <c r="S593" s="102">
        <f t="shared" si="59"/>
        <v>2.7558100481423187E-3</v>
      </c>
    </row>
    <row r="594" spans="2:19" x14ac:dyDescent="0.3">
      <c r="B594" s="101">
        <v>38891</v>
      </c>
      <c r="C594" s="54">
        <v>510.62</v>
      </c>
      <c r="D594" s="102"/>
      <c r="E594" s="102"/>
      <c r="F594" s="54">
        <v>1244.5</v>
      </c>
      <c r="G594" s="102"/>
      <c r="O594" s="101">
        <v>42201</v>
      </c>
      <c r="P594" s="110">
        <v>25070.86</v>
      </c>
      <c r="Q594" s="110">
        <v>626.9</v>
      </c>
      <c r="R594" s="102">
        <f t="shared" si="59"/>
        <v>0</v>
      </c>
      <c r="S594" s="102">
        <f t="shared" si="59"/>
        <v>-6.3444825987387706E-3</v>
      </c>
    </row>
    <row r="595" spans="2:19" x14ac:dyDescent="0.3">
      <c r="O595" s="101">
        <v>42200</v>
      </c>
      <c r="P595" s="110">
        <v>25070.86</v>
      </c>
      <c r="Q595" s="110">
        <v>630.89</v>
      </c>
      <c r="R595" s="102">
        <f t="shared" si="59"/>
        <v>0</v>
      </c>
      <c r="S595" s="102">
        <f t="shared" si="59"/>
        <v>-1.228768276343219E-2</v>
      </c>
    </row>
    <row r="596" spans="2:19" x14ac:dyDescent="0.3">
      <c r="O596" s="101">
        <v>42199</v>
      </c>
      <c r="P596" s="110">
        <v>25070.86</v>
      </c>
      <c r="Q596" s="110">
        <v>638.69000000000005</v>
      </c>
      <c r="R596" s="102">
        <f t="shared" si="59"/>
        <v>-3.3278086447417112E-3</v>
      </c>
      <c r="S596" s="102">
        <f t="shared" si="59"/>
        <v>7.2756164587125718E-3</v>
      </c>
    </row>
    <row r="597" spans="2:19" x14ac:dyDescent="0.3">
      <c r="O597" s="101">
        <v>42198</v>
      </c>
      <c r="P597" s="110">
        <v>25154.43</v>
      </c>
      <c r="Q597" s="110">
        <v>634.05999999999995</v>
      </c>
      <c r="R597" s="102">
        <f t="shared" si="59"/>
        <v>6.6667285864176551E-3</v>
      </c>
      <c r="S597" s="102">
        <f t="shared" si="59"/>
        <v>1.0750575260714589E-2</v>
      </c>
    </row>
    <row r="598" spans="2:19" x14ac:dyDescent="0.3">
      <c r="O598" s="101">
        <v>42195</v>
      </c>
      <c r="P598" s="110">
        <v>24987.29</v>
      </c>
      <c r="Q598" s="110">
        <v>627.28</v>
      </c>
      <c r="R598" s="102">
        <f t="shared" si="59"/>
        <v>-3.3389199416760593E-3</v>
      </c>
      <c r="S598" s="102">
        <f t="shared" si="59"/>
        <v>8.2921604016924343E-3</v>
      </c>
    </row>
    <row r="599" spans="2:19" x14ac:dyDescent="0.3">
      <c r="O599" s="101">
        <v>42194</v>
      </c>
      <c r="P599" s="110">
        <v>25070.86</v>
      </c>
      <c r="Q599" s="110">
        <v>622.1</v>
      </c>
      <c r="R599" s="102">
        <f t="shared" si="59"/>
        <v>0</v>
      </c>
      <c r="S599" s="102">
        <f t="shared" si="59"/>
        <v>-1.7185032375817266E-3</v>
      </c>
    </row>
    <row r="600" spans="2:19" x14ac:dyDescent="0.3">
      <c r="O600" s="101">
        <v>42193</v>
      </c>
      <c r="P600" s="110">
        <v>25070.86</v>
      </c>
      <c r="Q600" s="110">
        <v>623.16999999999996</v>
      </c>
      <c r="R600" s="102">
        <f t="shared" si="59"/>
        <v>6.6890256284631413E-3</v>
      </c>
      <c r="S600" s="102">
        <f t="shared" si="59"/>
        <v>-1.1328944245089899E-2</v>
      </c>
    </row>
    <row r="601" spans="2:19" x14ac:dyDescent="0.3">
      <c r="O601" s="101">
        <v>42192</v>
      </c>
      <c r="P601" s="110">
        <v>24903.72</v>
      </c>
      <c r="Q601" s="110">
        <v>630.27</v>
      </c>
      <c r="R601" s="102">
        <f t="shared" si="59"/>
        <v>2.0339389953134359E-2</v>
      </c>
      <c r="S601" s="102">
        <f t="shared" si="59"/>
        <v>8.0447112047099915E-3</v>
      </c>
    </row>
    <row r="602" spans="2:19" x14ac:dyDescent="0.3">
      <c r="O602" s="101">
        <v>42191</v>
      </c>
      <c r="P602" s="110">
        <v>24402.31</v>
      </c>
      <c r="Q602" s="110">
        <v>625.22</v>
      </c>
      <c r="R602" s="102">
        <f t="shared" si="59"/>
        <v>6.8729160282076547E-3</v>
      </c>
      <c r="S602" s="102">
        <f t="shared" si="59"/>
        <v>1.4158815842303211E-2</v>
      </c>
    </row>
    <row r="603" spans="2:19" x14ac:dyDescent="0.3">
      <c r="O603" s="101">
        <v>42188</v>
      </c>
      <c r="P603" s="110">
        <v>24235.17</v>
      </c>
      <c r="Q603" s="110">
        <v>616.42999999999995</v>
      </c>
      <c r="R603" s="102">
        <f t="shared" si="59"/>
        <v>0</v>
      </c>
      <c r="S603" s="102">
        <f t="shared" si="59"/>
        <v>1.7559957969731185E-2</v>
      </c>
    </row>
    <row r="604" spans="2:19" x14ac:dyDescent="0.3">
      <c r="O604" s="101">
        <v>42187</v>
      </c>
      <c r="P604" s="110">
        <v>24235.17</v>
      </c>
      <c r="Q604" s="110">
        <v>605.70000000000005</v>
      </c>
      <c r="R604" s="102">
        <f t="shared" si="59"/>
        <v>-3.4423626243237689E-3</v>
      </c>
      <c r="S604" s="102">
        <f t="shared" si="59"/>
        <v>2.3723130568460021E-2</v>
      </c>
    </row>
    <row r="605" spans="2:19" x14ac:dyDescent="0.3">
      <c r="O605" s="101">
        <v>42186</v>
      </c>
      <c r="P605" s="110">
        <v>24318.74</v>
      </c>
      <c r="Q605" s="110">
        <v>591.5</v>
      </c>
      <c r="R605" s="102">
        <f t="shared" si="59"/>
        <v>0</v>
      </c>
      <c r="S605" s="102">
        <f t="shared" si="59"/>
        <v>-2.6170290568432448E-3</v>
      </c>
    </row>
    <row r="606" spans="2:19" x14ac:dyDescent="0.3">
      <c r="O606" s="101">
        <v>42185</v>
      </c>
      <c r="P606" s="110">
        <v>24318.74</v>
      </c>
      <c r="Q606" s="110">
        <v>593.04999999999995</v>
      </c>
      <c r="R606" s="102">
        <f t="shared" ref="R606:S669" si="64">LN(P606/P607)</f>
        <v>3.4423626243236935E-3</v>
      </c>
      <c r="S606" s="102">
        <f t="shared" si="64"/>
        <v>2.1944640811913402E-3</v>
      </c>
    </row>
    <row r="607" spans="2:19" x14ac:dyDescent="0.3">
      <c r="O607" s="101">
        <v>42184</v>
      </c>
      <c r="P607" s="110">
        <v>24235.17</v>
      </c>
      <c r="Q607" s="110">
        <v>591.75</v>
      </c>
      <c r="R607" s="102">
        <f t="shared" si="64"/>
        <v>-6.8729160282077172E-3</v>
      </c>
      <c r="S607" s="102">
        <f t="shared" si="64"/>
        <v>1.7043446211692303E-2</v>
      </c>
    </row>
    <row r="608" spans="2:19" x14ac:dyDescent="0.3">
      <c r="O608" s="101">
        <v>42181</v>
      </c>
      <c r="P608" s="110">
        <v>24402.31</v>
      </c>
      <c r="Q608" s="110">
        <v>581.75</v>
      </c>
      <c r="R608" s="102">
        <f t="shared" si="64"/>
        <v>-1.022160824812475E-2</v>
      </c>
      <c r="S608" s="102">
        <f t="shared" si="64"/>
        <v>-1.0669138768887445E-2</v>
      </c>
    </row>
    <row r="609" spans="15:19" x14ac:dyDescent="0.3">
      <c r="O609" s="101">
        <v>42180</v>
      </c>
      <c r="P609" s="110">
        <v>24653.02</v>
      </c>
      <c r="Q609" s="110">
        <v>587.99</v>
      </c>
      <c r="R609" s="102">
        <f t="shared" si="64"/>
        <v>3.3956069371507526E-3</v>
      </c>
      <c r="S609" s="102">
        <f t="shared" si="64"/>
        <v>-3.4464936790266991E-3</v>
      </c>
    </row>
    <row r="610" spans="15:19" x14ac:dyDescent="0.3">
      <c r="O610" s="101">
        <v>42179</v>
      </c>
      <c r="P610" s="110">
        <v>24569.45</v>
      </c>
      <c r="Q610" s="110">
        <v>590.02</v>
      </c>
      <c r="R610" s="102">
        <f t="shared" si="64"/>
        <v>-6.7793184766933379E-3</v>
      </c>
      <c r="S610" s="102">
        <f t="shared" si="64"/>
        <v>-5.1560012456404927E-3</v>
      </c>
    </row>
    <row r="611" spans="15:19" x14ac:dyDescent="0.3">
      <c r="O611" s="101">
        <v>42178</v>
      </c>
      <c r="P611" s="110">
        <v>24736.58</v>
      </c>
      <c r="Q611" s="110">
        <v>593.07000000000005</v>
      </c>
      <c r="R611" s="102">
        <f t="shared" si="64"/>
        <v>0</v>
      </c>
      <c r="S611" s="102">
        <f t="shared" si="64"/>
        <v>-1.7015545528142656E-3</v>
      </c>
    </row>
    <row r="612" spans="15:19" x14ac:dyDescent="0.3">
      <c r="O612" s="101">
        <v>42177</v>
      </c>
      <c r="P612" s="110">
        <v>24736.58</v>
      </c>
      <c r="Q612" s="110">
        <v>594.08000000000004</v>
      </c>
      <c r="R612" s="102">
        <f t="shared" si="64"/>
        <v>1.0186494856750553E-2</v>
      </c>
      <c r="S612" s="102">
        <f t="shared" si="64"/>
        <v>1.5915095247145107E-2</v>
      </c>
    </row>
    <row r="613" spans="15:19" x14ac:dyDescent="0.3">
      <c r="O613" s="101">
        <v>42174</v>
      </c>
      <c r="P613" s="110">
        <v>24485.88</v>
      </c>
      <c r="Q613" s="110">
        <v>584.70000000000005</v>
      </c>
      <c r="R613" s="102">
        <f t="shared" si="64"/>
        <v>6.5147130524597597E-3</v>
      </c>
      <c r="S613" s="102">
        <f t="shared" si="64"/>
        <v>7.4675253669931494E-3</v>
      </c>
    </row>
    <row r="614" spans="15:19" x14ac:dyDescent="0.3">
      <c r="O614" s="101">
        <v>42173</v>
      </c>
      <c r="P614" s="110">
        <v>24326.880000000001</v>
      </c>
      <c r="Q614" s="110">
        <v>580.35</v>
      </c>
      <c r="R614" s="102">
        <f t="shared" si="64"/>
        <v>-3.2626617026176932E-3</v>
      </c>
      <c r="S614" s="102">
        <f t="shared" si="64"/>
        <v>2.553442494335435E-3</v>
      </c>
    </row>
    <row r="615" spans="15:19" x14ac:dyDescent="0.3">
      <c r="O615" s="101">
        <v>42172</v>
      </c>
      <c r="P615" s="110">
        <v>24406.38</v>
      </c>
      <c r="Q615" s="110">
        <v>578.87</v>
      </c>
      <c r="R615" s="102">
        <f t="shared" si="64"/>
        <v>6.5360032207510948E-3</v>
      </c>
      <c r="S615" s="102">
        <f t="shared" si="64"/>
        <v>-2.5534424943353751E-3</v>
      </c>
    </row>
    <row r="616" spans="15:19" x14ac:dyDescent="0.3">
      <c r="O616" s="101">
        <v>42171</v>
      </c>
      <c r="P616" s="110">
        <v>24247.38</v>
      </c>
      <c r="Q616" s="110">
        <v>580.35</v>
      </c>
      <c r="R616" s="102">
        <f t="shared" si="64"/>
        <v>-3.2733415181333877E-3</v>
      </c>
      <c r="S616" s="102">
        <f t="shared" si="64"/>
        <v>-1.0507197100699439E-2</v>
      </c>
    </row>
    <row r="617" spans="15:19" x14ac:dyDescent="0.3">
      <c r="O617" s="101">
        <v>42170</v>
      </c>
      <c r="P617" s="110">
        <v>24326.880000000001</v>
      </c>
      <c r="Q617" s="110">
        <v>586.48</v>
      </c>
      <c r="R617" s="102">
        <f t="shared" si="64"/>
        <v>1.6474919143957937E-2</v>
      </c>
      <c r="S617" s="102">
        <f t="shared" si="64"/>
        <v>6.4146096227304505E-3</v>
      </c>
    </row>
    <row r="618" spans="15:19" x14ac:dyDescent="0.3">
      <c r="O618" s="101">
        <v>42167</v>
      </c>
      <c r="P618" s="110">
        <v>23929.38</v>
      </c>
      <c r="Q618" s="110">
        <v>582.73</v>
      </c>
      <c r="R618" s="102">
        <f t="shared" si="64"/>
        <v>-1.9737580846575644E-2</v>
      </c>
      <c r="S618" s="102">
        <f t="shared" si="64"/>
        <v>2.8871456237179144E-3</v>
      </c>
    </row>
    <row r="619" spans="15:19" x14ac:dyDescent="0.3">
      <c r="O619" s="101">
        <v>42166</v>
      </c>
      <c r="P619" s="110">
        <v>24406.38</v>
      </c>
      <c r="Q619" s="110">
        <v>581.04999999999995</v>
      </c>
      <c r="R619" s="102">
        <f t="shared" si="64"/>
        <v>9.8200947015080753E-3</v>
      </c>
      <c r="S619" s="102">
        <f t="shared" si="64"/>
        <v>1.2033214495291418E-2</v>
      </c>
    </row>
    <row r="620" spans="15:19" x14ac:dyDescent="0.3">
      <c r="O620" s="101">
        <v>42165</v>
      </c>
      <c r="P620" s="110">
        <v>24167.88</v>
      </c>
      <c r="Q620" s="110">
        <v>574.1</v>
      </c>
      <c r="R620" s="102">
        <f t="shared" si="64"/>
        <v>-3.2840914807568144E-3</v>
      </c>
      <c r="S620" s="102">
        <f t="shared" si="64"/>
        <v>-6.4427943059419863E-4</v>
      </c>
    </row>
    <row r="621" spans="15:19" x14ac:dyDescent="0.3">
      <c r="O621" s="101">
        <v>42164</v>
      </c>
      <c r="P621" s="110">
        <v>24247.38</v>
      </c>
      <c r="Q621" s="110">
        <v>574.47</v>
      </c>
      <c r="R621" s="102">
        <f t="shared" si="64"/>
        <v>1.320157762582439E-2</v>
      </c>
      <c r="S621" s="102">
        <f t="shared" si="64"/>
        <v>-9.2870805247928217E-3</v>
      </c>
    </row>
    <row r="622" spans="15:19" x14ac:dyDescent="0.3">
      <c r="O622" s="101">
        <v>42163</v>
      </c>
      <c r="P622" s="110">
        <v>23929.38</v>
      </c>
      <c r="Q622" s="110">
        <v>579.83000000000004</v>
      </c>
      <c r="R622" s="102">
        <f t="shared" si="64"/>
        <v>3.3278068085278926E-3</v>
      </c>
      <c r="S622" s="102">
        <f t="shared" si="64"/>
        <v>3.0399885230575252E-3</v>
      </c>
    </row>
    <row r="623" spans="15:19" x14ac:dyDescent="0.3">
      <c r="O623" s="101">
        <v>42160</v>
      </c>
      <c r="P623" s="110">
        <v>23849.88</v>
      </c>
      <c r="Q623" s="110">
        <v>578.07000000000005</v>
      </c>
      <c r="R623" s="102">
        <f t="shared" si="64"/>
        <v>0</v>
      </c>
      <c r="S623" s="102">
        <f t="shared" si="64"/>
        <v>1.583210932646929E-2</v>
      </c>
    </row>
    <row r="624" spans="15:19" x14ac:dyDescent="0.3">
      <c r="O624" s="101">
        <v>42159</v>
      </c>
      <c r="P624" s="110">
        <v>23849.88</v>
      </c>
      <c r="Q624" s="110">
        <v>568.99</v>
      </c>
      <c r="R624" s="102">
        <f t="shared" si="64"/>
        <v>0</v>
      </c>
      <c r="S624" s="102">
        <f t="shared" si="64"/>
        <v>1.9175123960645543E-3</v>
      </c>
    </row>
    <row r="625" spans="15:19" x14ac:dyDescent="0.3">
      <c r="O625" s="101">
        <v>42158</v>
      </c>
      <c r="P625" s="110">
        <v>23849.88</v>
      </c>
      <c r="Q625" s="110">
        <v>567.9</v>
      </c>
      <c r="R625" s="102">
        <f t="shared" si="64"/>
        <v>-6.6445760396736551E-3</v>
      </c>
      <c r="S625" s="102">
        <f t="shared" si="64"/>
        <v>-4.2347257562724326E-3</v>
      </c>
    </row>
    <row r="626" spans="15:19" x14ac:dyDescent="0.3">
      <c r="O626" s="101">
        <v>42157</v>
      </c>
      <c r="P626" s="110">
        <v>24008.880000000001</v>
      </c>
      <c r="Q626" s="110">
        <v>570.30999999999995</v>
      </c>
      <c r="R626" s="102">
        <f t="shared" si="64"/>
        <v>6.644576039673734E-3</v>
      </c>
      <c r="S626" s="102">
        <f t="shared" si="64"/>
        <v>-8.1551849440666593E-3</v>
      </c>
    </row>
    <row r="627" spans="15:19" x14ac:dyDescent="0.3">
      <c r="O627" s="101">
        <v>42156</v>
      </c>
      <c r="P627" s="110">
        <v>23849.88</v>
      </c>
      <c r="Q627" s="110">
        <v>574.98</v>
      </c>
      <c r="R627" s="102">
        <f t="shared" si="64"/>
        <v>-6.6445760396736551E-3</v>
      </c>
      <c r="S627" s="102">
        <f t="shared" si="64"/>
        <v>9.4711246709322048E-3</v>
      </c>
    </row>
    <row r="628" spans="15:19" x14ac:dyDescent="0.3">
      <c r="O628" s="101">
        <v>42153</v>
      </c>
      <c r="P628" s="110">
        <v>24008.880000000001</v>
      </c>
      <c r="Q628" s="110">
        <v>569.55999999999995</v>
      </c>
      <c r="R628" s="102">
        <f t="shared" si="64"/>
        <v>-9.8848083946786753E-3</v>
      </c>
      <c r="S628" s="102">
        <f t="shared" si="64"/>
        <v>-5.9692264103791024E-3</v>
      </c>
    </row>
    <row r="629" spans="15:19" x14ac:dyDescent="0.3">
      <c r="O629" s="101">
        <v>42152</v>
      </c>
      <c r="P629" s="110">
        <v>24247.38</v>
      </c>
      <c r="Q629" s="110">
        <v>572.97</v>
      </c>
      <c r="R629" s="102">
        <f t="shared" si="64"/>
        <v>3.2840914807568703E-3</v>
      </c>
      <c r="S629" s="102">
        <f t="shared" si="64"/>
        <v>1.1391583979654386E-2</v>
      </c>
    </row>
    <row r="630" spans="15:19" x14ac:dyDescent="0.3">
      <c r="O630" s="101">
        <v>42151</v>
      </c>
      <c r="P630" s="110">
        <v>24167.88</v>
      </c>
      <c r="Q630" s="110">
        <v>566.48</v>
      </c>
      <c r="R630" s="102">
        <f t="shared" si="64"/>
        <v>0</v>
      </c>
      <c r="S630" s="102">
        <f t="shared" si="64"/>
        <v>-1.2701998743992523E-3</v>
      </c>
    </row>
    <row r="631" spans="15:19" x14ac:dyDescent="0.3">
      <c r="O631" s="101">
        <v>42150</v>
      </c>
      <c r="P631" s="110">
        <v>24167.88</v>
      </c>
      <c r="Q631" s="110">
        <v>567.20000000000005</v>
      </c>
      <c r="R631" s="102">
        <f t="shared" si="64"/>
        <v>6.6007169139217703E-3</v>
      </c>
      <c r="S631" s="102">
        <f t="shared" si="64"/>
        <v>7.4323470782273453E-3</v>
      </c>
    </row>
    <row r="632" spans="15:19" x14ac:dyDescent="0.3">
      <c r="O632" s="101">
        <v>42149</v>
      </c>
      <c r="P632" s="110">
        <v>24008.880000000001</v>
      </c>
      <c r="Q632" s="110">
        <v>563</v>
      </c>
      <c r="R632" s="102">
        <f t="shared" si="64"/>
        <v>0</v>
      </c>
      <c r="S632" s="102">
        <f t="shared" si="64"/>
        <v>2.0981142456063745E-3</v>
      </c>
    </row>
    <row r="633" spans="15:19" x14ac:dyDescent="0.3">
      <c r="O633" s="101">
        <v>42146</v>
      </c>
      <c r="P633" s="110">
        <v>24008.880000000001</v>
      </c>
      <c r="Q633" s="110">
        <v>561.82000000000005</v>
      </c>
      <c r="R633" s="102">
        <f t="shared" si="64"/>
        <v>3.3167692311457447E-3</v>
      </c>
      <c r="S633" s="102">
        <f t="shared" si="64"/>
        <v>1.6619489113366765E-2</v>
      </c>
    </row>
    <row r="634" spans="15:19" x14ac:dyDescent="0.3">
      <c r="O634" s="101">
        <v>42145</v>
      </c>
      <c r="P634" s="110">
        <v>23929.38</v>
      </c>
      <c r="Q634" s="110">
        <v>552.55999999999995</v>
      </c>
      <c r="R634" s="102">
        <f t="shared" si="64"/>
        <v>-6.6225738611920063E-3</v>
      </c>
      <c r="S634" s="102">
        <f t="shared" si="64"/>
        <v>4.4619448993049662E-3</v>
      </c>
    </row>
    <row r="635" spans="15:19" x14ac:dyDescent="0.3">
      <c r="O635" s="101">
        <v>42144</v>
      </c>
      <c r="P635" s="110">
        <v>24088.38</v>
      </c>
      <c r="Q635" s="110">
        <v>550.1</v>
      </c>
      <c r="R635" s="102">
        <f t="shared" si="64"/>
        <v>0</v>
      </c>
      <c r="S635" s="102">
        <f t="shared" si="64"/>
        <v>2.4437237093852707E-2</v>
      </c>
    </row>
    <row r="636" spans="15:19" x14ac:dyDescent="0.3">
      <c r="O636" s="101">
        <v>42143</v>
      </c>
      <c r="P636" s="110">
        <v>24088.38</v>
      </c>
      <c r="Q636" s="110">
        <v>536.82000000000005</v>
      </c>
      <c r="R636" s="102">
        <f t="shared" si="64"/>
        <v>1.3289298762899769E-2</v>
      </c>
      <c r="S636" s="102">
        <f t="shared" si="64"/>
        <v>1.4768933354776073E-2</v>
      </c>
    </row>
    <row r="637" spans="15:19" x14ac:dyDescent="0.3">
      <c r="O637" s="101">
        <v>42142</v>
      </c>
      <c r="P637" s="110">
        <v>23770.38</v>
      </c>
      <c r="Q637" s="110">
        <v>528.95000000000005</v>
      </c>
      <c r="R637" s="102">
        <f t="shared" si="64"/>
        <v>-3.3389180931798655E-3</v>
      </c>
      <c r="S637" s="102">
        <f t="shared" si="64"/>
        <v>-1.5923216431199091E-2</v>
      </c>
    </row>
    <row r="638" spans="15:19" x14ac:dyDescent="0.3">
      <c r="O638" s="101">
        <v>42139</v>
      </c>
      <c r="P638" s="110">
        <v>23849.88</v>
      </c>
      <c r="Q638" s="110">
        <v>537.44000000000005</v>
      </c>
      <c r="R638" s="102">
        <f t="shared" si="64"/>
        <v>-4.5610334990283719E-2</v>
      </c>
      <c r="S638" s="102">
        <f t="shared" si="64"/>
        <v>-1.1562105622886691E-2</v>
      </c>
    </row>
    <row r="639" spans="15:19" x14ac:dyDescent="0.3">
      <c r="O639" s="101">
        <v>42138</v>
      </c>
      <c r="P639" s="110">
        <v>24962.87</v>
      </c>
      <c r="Q639" s="110">
        <v>543.69000000000005</v>
      </c>
      <c r="R639" s="102">
        <f t="shared" si="64"/>
        <v>0</v>
      </c>
      <c r="S639" s="102">
        <f t="shared" si="64"/>
        <v>1.6014582211641099E-3</v>
      </c>
    </row>
    <row r="640" spans="15:19" x14ac:dyDescent="0.3">
      <c r="O640" s="101">
        <v>42137</v>
      </c>
      <c r="P640" s="110">
        <v>24962.87</v>
      </c>
      <c r="Q640" s="110">
        <v>542.82000000000005</v>
      </c>
      <c r="R640" s="102">
        <f t="shared" si="64"/>
        <v>0</v>
      </c>
      <c r="S640" s="102">
        <f t="shared" si="64"/>
        <v>-2.9248661893368829E-3</v>
      </c>
    </row>
    <row r="641" spans="15:19" x14ac:dyDescent="0.3">
      <c r="O641" s="101">
        <v>42136</v>
      </c>
      <c r="P641" s="110">
        <v>24962.87</v>
      </c>
      <c r="Q641" s="110">
        <v>544.41</v>
      </c>
      <c r="R641" s="102">
        <f t="shared" si="64"/>
        <v>3.1898120062297751E-3</v>
      </c>
      <c r="S641" s="102">
        <f t="shared" si="64"/>
        <v>-1.3247401965829173E-2</v>
      </c>
    </row>
    <row r="642" spans="15:19" x14ac:dyDescent="0.3">
      <c r="O642" s="101">
        <v>42135</v>
      </c>
      <c r="P642" s="110">
        <v>24883.37</v>
      </c>
      <c r="Q642" s="110">
        <v>551.66999999999996</v>
      </c>
      <c r="R642" s="102">
        <f t="shared" si="64"/>
        <v>-1.2698649259809685E-2</v>
      </c>
      <c r="S642" s="102">
        <f t="shared" si="64"/>
        <v>-5.1347994720385278E-3</v>
      </c>
    </row>
    <row r="643" spans="15:19" x14ac:dyDescent="0.3">
      <c r="O643" s="101">
        <v>42132</v>
      </c>
      <c r="P643" s="110">
        <v>25201.37</v>
      </c>
      <c r="Q643" s="110">
        <v>554.51</v>
      </c>
      <c r="R643" s="102">
        <f t="shared" si="64"/>
        <v>6.3291678037098844E-3</v>
      </c>
      <c r="S643" s="102">
        <f t="shared" si="64"/>
        <v>2.7630063898741127E-3</v>
      </c>
    </row>
    <row r="644" spans="15:19" x14ac:dyDescent="0.3">
      <c r="O644" s="101">
        <v>42131</v>
      </c>
      <c r="P644" s="110">
        <v>25042.37</v>
      </c>
      <c r="Q644" s="110">
        <v>552.98</v>
      </c>
      <c r="R644" s="102">
        <f t="shared" si="64"/>
        <v>1.6000019311632464E-2</v>
      </c>
      <c r="S644" s="102">
        <f t="shared" si="64"/>
        <v>6.6770941544611051E-3</v>
      </c>
    </row>
    <row r="645" spans="15:19" x14ac:dyDescent="0.3">
      <c r="O645" s="101">
        <v>42130</v>
      </c>
      <c r="P645" s="110">
        <v>24644.880000000001</v>
      </c>
      <c r="Q645" s="110">
        <v>549.29999999999995</v>
      </c>
      <c r="R645" s="102">
        <f t="shared" si="64"/>
        <v>-1.6000019311632457E-2</v>
      </c>
      <c r="S645" s="102">
        <f t="shared" si="64"/>
        <v>-6.0801494083897022E-3</v>
      </c>
    </row>
    <row r="646" spans="15:19" x14ac:dyDescent="0.3">
      <c r="O646" s="101">
        <v>42129</v>
      </c>
      <c r="P646" s="110">
        <v>25042.37</v>
      </c>
      <c r="Q646" s="110">
        <v>552.65</v>
      </c>
      <c r="R646" s="102">
        <f t="shared" si="64"/>
        <v>0</v>
      </c>
      <c r="S646" s="102">
        <f t="shared" si="64"/>
        <v>1.3792316875344227E-2</v>
      </c>
    </row>
    <row r="647" spans="15:19" x14ac:dyDescent="0.3">
      <c r="O647" s="101">
        <v>42128</v>
      </c>
      <c r="P647" s="110">
        <v>25042.37</v>
      </c>
      <c r="Q647" s="110">
        <v>545.08000000000004</v>
      </c>
      <c r="R647" s="102">
        <f t="shared" si="64"/>
        <v>-1.2618529052650778E-2</v>
      </c>
      <c r="S647" s="102">
        <f t="shared" si="64"/>
        <v>-3.1280767614835059E-2</v>
      </c>
    </row>
    <row r="648" spans="15:19" x14ac:dyDescent="0.3">
      <c r="O648" s="101">
        <v>42121</v>
      </c>
      <c r="P648" s="110">
        <v>25360.37</v>
      </c>
      <c r="Q648" s="110">
        <v>562.4</v>
      </c>
      <c r="R648" s="102">
        <f t="shared" si="64"/>
        <v>3.1397361245048762E-3</v>
      </c>
      <c r="S648" s="102">
        <f t="shared" si="64"/>
        <v>-5.9742946959283399E-3</v>
      </c>
    </row>
    <row r="649" spans="15:19" x14ac:dyDescent="0.3">
      <c r="O649" s="101">
        <v>42118</v>
      </c>
      <c r="P649" s="110">
        <v>25280.87</v>
      </c>
      <c r="Q649" s="110">
        <v>565.77</v>
      </c>
      <c r="R649" s="102">
        <f t="shared" si="64"/>
        <v>-3.1397361245049521E-3</v>
      </c>
      <c r="S649" s="102">
        <f t="shared" si="64"/>
        <v>8.0211961359193795E-3</v>
      </c>
    </row>
    <row r="650" spans="15:19" x14ac:dyDescent="0.3">
      <c r="O650" s="101">
        <v>42117</v>
      </c>
      <c r="P650" s="110">
        <v>25360.37</v>
      </c>
      <c r="Q650" s="110">
        <v>561.25</v>
      </c>
      <c r="R650" s="102">
        <f t="shared" si="64"/>
        <v>0</v>
      </c>
      <c r="S650" s="102">
        <f t="shared" si="64"/>
        <v>-2.2424726418661029E-3</v>
      </c>
    </row>
    <row r="651" spans="15:19" x14ac:dyDescent="0.3">
      <c r="O651" s="101">
        <v>42116</v>
      </c>
      <c r="P651" s="110">
        <v>25360.37</v>
      </c>
      <c r="Q651" s="110">
        <v>562.51</v>
      </c>
      <c r="R651" s="102">
        <f t="shared" si="64"/>
        <v>3.1397361245048762E-3</v>
      </c>
      <c r="S651" s="102">
        <f t="shared" si="64"/>
        <v>4.8010669959766279E-4</v>
      </c>
    </row>
    <row r="652" spans="15:19" x14ac:dyDescent="0.3">
      <c r="O652" s="101">
        <v>42115</v>
      </c>
      <c r="P652" s="110">
        <v>25280.87</v>
      </c>
      <c r="Q652" s="110">
        <v>562.24</v>
      </c>
      <c r="R652" s="102">
        <f t="shared" si="64"/>
        <v>-3.1397361245049521E-3</v>
      </c>
      <c r="S652" s="102">
        <f t="shared" si="64"/>
        <v>-4.9677201019343326E-3</v>
      </c>
    </row>
    <row r="653" spans="15:19" x14ac:dyDescent="0.3">
      <c r="O653" s="101">
        <v>42114</v>
      </c>
      <c r="P653" s="110">
        <v>25360.37</v>
      </c>
      <c r="Q653" s="110">
        <v>565.04</v>
      </c>
      <c r="R653" s="102">
        <f t="shared" si="64"/>
        <v>0</v>
      </c>
      <c r="S653" s="102">
        <f t="shared" si="64"/>
        <v>-5.7881152630839018E-3</v>
      </c>
    </row>
    <row r="654" spans="15:19" x14ac:dyDescent="0.3">
      <c r="O654" s="101">
        <v>42111</v>
      </c>
      <c r="P654" s="110">
        <v>25360.37</v>
      </c>
      <c r="Q654" s="110">
        <v>568.32000000000005</v>
      </c>
      <c r="R654" s="102">
        <f t="shared" si="64"/>
        <v>1.2618529052650734E-2</v>
      </c>
      <c r="S654" s="102">
        <f t="shared" si="64"/>
        <v>7.038535987431844E-5</v>
      </c>
    </row>
    <row r="655" spans="15:19" x14ac:dyDescent="0.3">
      <c r="O655" s="101">
        <v>42110</v>
      </c>
      <c r="P655" s="110">
        <v>25042.37</v>
      </c>
      <c r="Q655" s="110">
        <v>568.28</v>
      </c>
      <c r="R655" s="102">
        <f t="shared" si="64"/>
        <v>0</v>
      </c>
      <c r="S655" s="102">
        <f t="shared" si="64"/>
        <v>6.6738714141594963E-3</v>
      </c>
    </row>
    <row r="656" spans="15:19" x14ac:dyDescent="0.3">
      <c r="O656" s="101">
        <v>42109</v>
      </c>
      <c r="P656" s="110">
        <v>25042.37</v>
      </c>
      <c r="Q656" s="110">
        <v>564.5</v>
      </c>
      <c r="R656" s="102">
        <f t="shared" si="64"/>
        <v>0</v>
      </c>
      <c r="S656" s="102">
        <f t="shared" si="64"/>
        <v>1.0381424646485903E-2</v>
      </c>
    </row>
    <row r="657" spans="15:19" x14ac:dyDescent="0.3">
      <c r="O657" s="101">
        <v>42108</v>
      </c>
      <c r="P657" s="110">
        <v>25042.37</v>
      </c>
      <c r="Q657" s="110">
        <v>558.66999999999996</v>
      </c>
      <c r="R657" s="102">
        <f t="shared" si="64"/>
        <v>-3.169591189133189E-3</v>
      </c>
      <c r="S657" s="102">
        <f t="shared" si="64"/>
        <v>-1.5560586572210841E-3</v>
      </c>
    </row>
    <row r="658" spans="15:19" x14ac:dyDescent="0.3">
      <c r="O658" s="101">
        <v>42107</v>
      </c>
      <c r="P658" s="110">
        <v>25121.87</v>
      </c>
      <c r="Q658" s="110">
        <v>559.54</v>
      </c>
      <c r="R658" s="102">
        <f t="shared" si="64"/>
        <v>-1.2578846891533175E-2</v>
      </c>
      <c r="S658" s="102">
        <f t="shared" si="64"/>
        <v>9.8961806947656106E-3</v>
      </c>
    </row>
    <row r="659" spans="15:19" x14ac:dyDescent="0.3">
      <c r="O659" s="101">
        <v>42104</v>
      </c>
      <c r="P659" s="110">
        <v>25439.87</v>
      </c>
      <c r="Q659" s="110">
        <v>554.03</v>
      </c>
      <c r="R659" s="102">
        <f t="shared" si="64"/>
        <v>1.5748438080666359E-2</v>
      </c>
      <c r="S659" s="102">
        <f t="shared" si="64"/>
        <v>6.3555507943545706E-3</v>
      </c>
    </row>
    <row r="660" spans="15:19" x14ac:dyDescent="0.3">
      <c r="O660" s="101">
        <v>42103</v>
      </c>
      <c r="P660" s="110">
        <v>25042.37</v>
      </c>
      <c r="Q660" s="110">
        <v>550.52</v>
      </c>
      <c r="R660" s="102">
        <f t="shared" si="64"/>
        <v>0</v>
      </c>
      <c r="S660" s="102">
        <f t="shared" si="64"/>
        <v>5.0990786472987319E-3</v>
      </c>
    </row>
    <row r="661" spans="15:19" x14ac:dyDescent="0.3">
      <c r="O661" s="101">
        <v>42102</v>
      </c>
      <c r="P661" s="110">
        <v>25042.37</v>
      </c>
      <c r="Q661" s="110">
        <v>547.72</v>
      </c>
      <c r="R661" s="102">
        <f t="shared" si="64"/>
        <v>0</v>
      </c>
      <c r="S661" s="102">
        <f t="shared" si="64"/>
        <v>-7.1178926743365324E-4</v>
      </c>
    </row>
    <row r="662" spans="15:19" x14ac:dyDescent="0.3">
      <c r="O662" s="101">
        <v>42101</v>
      </c>
      <c r="P662" s="110">
        <v>25042.37</v>
      </c>
      <c r="Q662" s="110">
        <v>548.11</v>
      </c>
      <c r="R662" s="102">
        <f t="shared" si="64"/>
        <v>-1.2618529052650778E-2</v>
      </c>
      <c r="S662" s="102">
        <f t="shared" si="64"/>
        <v>9.4219269425767759E-3</v>
      </c>
    </row>
    <row r="663" spans="15:19" x14ac:dyDescent="0.3">
      <c r="O663" s="101">
        <v>42100</v>
      </c>
      <c r="P663" s="110">
        <v>25360.37</v>
      </c>
      <c r="Q663" s="110">
        <v>542.97</v>
      </c>
      <c r="R663" s="102">
        <f t="shared" si="64"/>
        <v>-3.1299090280155818E-3</v>
      </c>
      <c r="S663" s="102">
        <f t="shared" si="64"/>
        <v>-8.9474570625125861E-3</v>
      </c>
    </row>
    <row r="664" spans="15:19" x14ac:dyDescent="0.3">
      <c r="O664" s="101">
        <v>42097</v>
      </c>
      <c r="P664" s="110">
        <v>25439.87</v>
      </c>
      <c r="Q664" s="110">
        <v>547.85</v>
      </c>
      <c r="R664" s="102">
        <f t="shared" si="64"/>
        <v>1.5748438080666359E-2</v>
      </c>
      <c r="S664" s="102">
        <f t="shared" si="64"/>
        <v>1.8269850701675204E-3</v>
      </c>
    </row>
    <row r="665" spans="15:19" x14ac:dyDescent="0.3">
      <c r="O665" s="101">
        <v>42096</v>
      </c>
      <c r="P665" s="110">
        <v>25042.37</v>
      </c>
      <c r="Q665" s="110">
        <v>546.85</v>
      </c>
      <c r="R665" s="102">
        <f t="shared" si="64"/>
        <v>1.6000019311632464E-2</v>
      </c>
      <c r="S665" s="102">
        <f t="shared" si="64"/>
        <v>1.4625960695523861E-2</v>
      </c>
    </row>
    <row r="666" spans="15:19" x14ac:dyDescent="0.3">
      <c r="O666" s="101">
        <v>42095</v>
      </c>
      <c r="P666" s="110">
        <v>24644.880000000001</v>
      </c>
      <c r="Q666" s="110">
        <v>538.91</v>
      </c>
      <c r="R666" s="102">
        <f t="shared" si="64"/>
        <v>-1.2820349861762299E-2</v>
      </c>
      <c r="S666" s="102">
        <f t="shared" si="64"/>
        <v>-2.242213490324443E-2</v>
      </c>
    </row>
    <row r="667" spans="15:19" x14ac:dyDescent="0.3">
      <c r="O667" s="101">
        <v>42094</v>
      </c>
      <c r="P667" s="110">
        <v>24962.87</v>
      </c>
      <c r="Q667" s="110">
        <v>551.13</v>
      </c>
      <c r="R667" s="102">
        <f t="shared" si="64"/>
        <v>-3.1796694498701658E-3</v>
      </c>
      <c r="S667" s="102">
        <f t="shared" si="64"/>
        <v>1.08363582276757E-2</v>
      </c>
    </row>
    <row r="668" spans="15:19" x14ac:dyDescent="0.3">
      <c r="O668" s="101">
        <v>42093</v>
      </c>
      <c r="P668" s="110">
        <v>25042.37</v>
      </c>
      <c r="Q668" s="110">
        <v>545.19000000000005</v>
      </c>
      <c r="R668" s="102">
        <f t="shared" si="64"/>
        <v>-1.2618529052650778E-2</v>
      </c>
      <c r="S668" s="102">
        <f t="shared" si="64"/>
        <v>-1.1362411480022821E-2</v>
      </c>
    </row>
    <row r="669" spans="15:19" x14ac:dyDescent="0.3">
      <c r="O669" s="101">
        <v>42090</v>
      </c>
      <c r="P669" s="110">
        <v>25360.37</v>
      </c>
      <c r="Q669" s="110">
        <v>551.41999999999996</v>
      </c>
      <c r="R669" s="102">
        <f t="shared" si="64"/>
        <v>0</v>
      </c>
      <c r="S669" s="102">
        <f t="shared" si="64"/>
        <v>-8.5592533956699475E-3</v>
      </c>
    </row>
    <row r="670" spans="15:19" x14ac:dyDescent="0.3">
      <c r="O670" s="101">
        <v>42089</v>
      </c>
      <c r="P670" s="110">
        <v>25360.37</v>
      </c>
      <c r="Q670" s="110">
        <v>556.16</v>
      </c>
      <c r="R670" s="102">
        <f t="shared" ref="R670:S733" si="65">LN(P670/P671)</f>
        <v>0</v>
      </c>
      <c r="S670" s="102">
        <f t="shared" si="65"/>
        <v>-8.5400979168026598E-3</v>
      </c>
    </row>
    <row r="671" spans="15:19" x14ac:dyDescent="0.3">
      <c r="O671" s="101">
        <v>42088</v>
      </c>
      <c r="P671" s="110">
        <v>25360.37</v>
      </c>
      <c r="Q671" s="110">
        <v>560.92999999999995</v>
      </c>
      <c r="R671" s="102">
        <f t="shared" si="65"/>
        <v>-3.1299090280155818E-3</v>
      </c>
      <c r="S671" s="102">
        <f t="shared" si="65"/>
        <v>-1.1521273176169083E-2</v>
      </c>
    </row>
    <row r="672" spans="15:19" x14ac:dyDescent="0.3">
      <c r="O672" s="101">
        <v>42087</v>
      </c>
      <c r="P672" s="110">
        <v>25439.87</v>
      </c>
      <c r="Q672" s="110">
        <v>567.42999999999995</v>
      </c>
      <c r="R672" s="102">
        <f t="shared" si="65"/>
        <v>0</v>
      </c>
      <c r="S672" s="102">
        <f t="shared" si="65"/>
        <v>-6.0791528843715265E-3</v>
      </c>
    </row>
    <row r="673" spans="15:19" x14ac:dyDescent="0.3">
      <c r="O673" s="101">
        <v>42086</v>
      </c>
      <c r="P673" s="110">
        <v>25439.87</v>
      </c>
      <c r="Q673" s="110">
        <v>570.89</v>
      </c>
      <c r="R673" s="102">
        <f t="shared" si="65"/>
        <v>0</v>
      </c>
      <c r="S673" s="102">
        <f t="shared" si="65"/>
        <v>-7.9384189447851364E-3</v>
      </c>
    </row>
    <row r="674" spans="15:19" x14ac:dyDescent="0.3">
      <c r="O674" s="101">
        <v>42083</v>
      </c>
      <c r="P674" s="110">
        <v>25439.87</v>
      </c>
      <c r="Q674" s="110">
        <v>575.44000000000005</v>
      </c>
      <c r="R674" s="102">
        <f t="shared" si="65"/>
        <v>0</v>
      </c>
      <c r="S674" s="102">
        <f t="shared" si="65"/>
        <v>2.9586335301359464E-3</v>
      </c>
    </row>
    <row r="675" spans="15:19" x14ac:dyDescent="0.3">
      <c r="O675" s="101">
        <v>42082</v>
      </c>
      <c r="P675" s="110">
        <v>25439.87</v>
      </c>
      <c r="Q675" s="110">
        <v>573.74</v>
      </c>
      <c r="R675" s="102">
        <f t="shared" si="65"/>
        <v>0</v>
      </c>
      <c r="S675" s="102">
        <f t="shared" si="65"/>
        <v>-8.5733157324244403E-3</v>
      </c>
    </row>
    <row r="676" spans="15:19" x14ac:dyDescent="0.3">
      <c r="O676" s="101">
        <v>42081</v>
      </c>
      <c r="P676" s="110">
        <v>25439.87</v>
      </c>
      <c r="Q676" s="110">
        <v>578.67999999999995</v>
      </c>
      <c r="R676" s="102">
        <f t="shared" si="65"/>
        <v>-3.1201432555238756E-3</v>
      </c>
      <c r="S676" s="102">
        <f t="shared" si="65"/>
        <v>-5.3083437876699788E-3</v>
      </c>
    </row>
    <row r="677" spans="15:19" x14ac:dyDescent="0.3">
      <c r="O677" s="101">
        <v>42080</v>
      </c>
      <c r="P677" s="110">
        <v>25519.37</v>
      </c>
      <c r="Q677" s="110">
        <v>581.76</v>
      </c>
      <c r="R677" s="102">
        <f t="shared" si="65"/>
        <v>0</v>
      </c>
      <c r="S677" s="102">
        <f t="shared" si="65"/>
        <v>1.6515280384731608E-3</v>
      </c>
    </row>
    <row r="678" spans="15:19" x14ac:dyDescent="0.3">
      <c r="O678" s="101">
        <v>42079</v>
      </c>
      <c r="P678" s="110">
        <v>25519.37</v>
      </c>
      <c r="Q678" s="110">
        <v>580.79999999999995</v>
      </c>
      <c r="R678" s="102">
        <f t="shared" si="65"/>
        <v>-3.1104382347949345E-3</v>
      </c>
      <c r="S678" s="102">
        <f t="shared" si="65"/>
        <v>-9.0839599717973448E-3</v>
      </c>
    </row>
    <row r="679" spans="15:19" x14ac:dyDescent="0.3">
      <c r="O679" s="101">
        <v>42076</v>
      </c>
      <c r="P679" s="110">
        <v>25598.87</v>
      </c>
      <c r="Q679" s="110">
        <v>586.1</v>
      </c>
      <c r="R679" s="102">
        <f t="shared" si="65"/>
        <v>0</v>
      </c>
      <c r="S679" s="102">
        <f t="shared" si="65"/>
        <v>-4.1374789789844768E-3</v>
      </c>
    </row>
    <row r="680" spans="15:19" x14ac:dyDescent="0.3">
      <c r="O680" s="101">
        <v>42075</v>
      </c>
      <c r="P680" s="110">
        <v>25598.87</v>
      </c>
      <c r="Q680" s="110">
        <v>588.53</v>
      </c>
      <c r="R680" s="102">
        <f t="shared" si="65"/>
        <v>6.2305814903188383E-3</v>
      </c>
      <c r="S680" s="102">
        <f t="shared" si="65"/>
        <v>3.387035499912823E-3</v>
      </c>
    </row>
    <row r="681" spans="15:19" x14ac:dyDescent="0.3">
      <c r="O681" s="101">
        <v>42074</v>
      </c>
      <c r="P681" s="110">
        <v>25439.87</v>
      </c>
      <c r="Q681" s="110">
        <v>586.54</v>
      </c>
      <c r="R681" s="102">
        <f t="shared" si="65"/>
        <v>0</v>
      </c>
      <c r="S681" s="102">
        <f t="shared" si="65"/>
        <v>-5.3052326438103696E-3</v>
      </c>
    </row>
    <row r="682" spans="15:19" x14ac:dyDescent="0.3">
      <c r="O682" s="101">
        <v>42073</v>
      </c>
      <c r="P682" s="110">
        <v>25439.87</v>
      </c>
      <c r="Q682" s="110">
        <v>589.66</v>
      </c>
      <c r="R682" s="102">
        <f t="shared" si="65"/>
        <v>0</v>
      </c>
      <c r="S682" s="102">
        <f t="shared" si="65"/>
        <v>2.0711322232545631E-3</v>
      </c>
    </row>
    <row r="683" spans="15:19" x14ac:dyDescent="0.3">
      <c r="O683" s="101">
        <v>42072</v>
      </c>
      <c r="P683" s="110">
        <v>25439.87</v>
      </c>
      <c r="Q683" s="110">
        <v>588.44000000000005</v>
      </c>
      <c r="R683" s="102">
        <f t="shared" si="65"/>
        <v>0</v>
      </c>
      <c r="S683" s="102">
        <f t="shared" si="65"/>
        <v>-9.3538456547057891E-3</v>
      </c>
    </row>
    <row r="684" spans="15:19" x14ac:dyDescent="0.3">
      <c r="O684" s="101">
        <v>42069</v>
      </c>
      <c r="P684" s="110">
        <v>25439.87</v>
      </c>
      <c r="Q684" s="110">
        <v>593.97</v>
      </c>
      <c r="R684" s="102">
        <f t="shared" si="65"/>
        <v>3.1299090280156355E-3</v>
      </c>
      <c r="S684" s="102">
        <f t="shared" si="65"/>
        <v>-4.937535222549346E-3</v>
      </c>
    </row>
    <row r="685" spans="15:19" x14ac:dyDescent="0.3">
      <c r="O685" s="101">
        <v>42068</v>
      </c>
      <c r="P685" s="110">
        <v>25360.37</v>
      </c>
      <c r="Q685" s="110">
        <v>596.91</v>
      </c>
      <c r="R685" s="102">
        <f t="shared" si="65"/>
        <v>3.1397361245048762E-3</v>
      </c>
      <c r="S685" s="102">
        <f t="shared" si="65"/>
        <v>-5.8130957983771976E-3</v>
      </c>
    </row>
    <row r="686" spans="15:19" x14ac:dyDescent="0.3">
      <c r="O686" s="101">
        <v>42067</v>
      </c>
      <c r="P686" s="110">
        <v>25280.87</v>
      </c>
      <c r="Q686" s="110">
        <v>600.39</v>
      </c>
      <c r="R686" s="102">
        <f t="shared" si="65"/>
        <v>0</v>
      </c>
      <c r="S686" s="102">
        <f t="shared" si="65"/>
        <v>6.1314524107354959E-3</v>
      </c>
    </row>
    <row r="687" spans="15:19" x14ac:dyDescent="0.3">
      <c r="O687" s="101">
        <v>42066</v>
      </c>
      <c r="P687" s="110">
        <v>25280.87</v>
      </c>
      <c r="Q687" s="110">
        <v>596.72</v>
      </c>
      <c r="R687" s="102">
        <f t="shared" si="65"/>
        <v>6.30920173901269E-3</v>
      </c>
      <c r="S687" s="102">
        <f t="shared" si="65"/>
        <v>1.00889314217194E-2</v>
      </c>
    </row>
    <row r="688" spans="15:19" x14ac:dyDescent="0.3">
      <c r="O688" s="101">
        <v>42065</v>
      </c>
      <c r="P688" s="110">
        <v>25121.87</v>
      </c>
      <c r="Q688" s="110">
        <v>590.73</v>
      </c>
      <c r="R688" s="102">
        <f t="shared" si="65"/>
        <v>0</v>
      </c>
      <c r="S688" s="102">
        <f t="shared" si="65"/>
        <v>-3.1099492656244984E-3</v>
      </c>
    </row>
    <row r="689" spans="15:19" x14ac:dyDescent="0.3">
      <c r="O689" s="101">
        <v>42062</v>
      </c>
      <c r="P689" s="110">
        <v>25121.87</v>
      </c>
      <c r="Q689" s="110">
        <v>592.57000000000005</v>
      </c>
      <c r="R689" s="102">
        <f t="shared" si="65"/>
        <v>0</v>
      </c>
      <c r="S689" s="102">
        <f t="shared" si="65"/>
        <v>-6.9789821560948062E-3</v>
      </c>
    </row>
    <row r="690" spans="15:19" x14ac:dyDescent="0.3">
      <c r="O690" s="101">
        <v>42061</v>
      </c>
      <c r="P690" s="110">
        <v>25121.87</v>
      </c>
      <c r="Q690" s="110">
        <v>596.72</v>
      </c>
      <c r="R690" s="102">
        <f t="shared" si="65"/>
        <v>6.3492606390033283E-3</v>
      </c>
      <c r="S690" s="102">
        <f t="shared" si="65"/>
        <v>6.8271128983592843E-3</v>
      </c>
    </row>
    <row r="691" spans="15:19" x14ac:dyDescent="0.3">
      <c r="O691" s="101">
        <v>42060</v>
      </c>
      <c r="P691" s="110">
        <v>24962.87</v>
      </c>
      <c r="Q691" s="110">
        <v>592.66</v>
      </c>
      <c r="R691" s="102">
        <f t="shared" si="65"/>
        <v>0</v>
      </c>
      <c r="S691" s="102">
        <f t="shared" si="65"/>
        <v>-7.212479042848878E-3</v>
      </c>
    </row>
    <row r="692" spans="15:19" x14ac:dyDescent="0.3">
      <c r="O692" s="101">
        <v>42059</v>
      </c>
      <c r="P692" s="110">
        <v>24962.87</v>
      </c>
      <c r="Q692" s="110">
        <v>596.95000000000005</v>
      </c>
      <c r="R692" s="102">
        <f t="shared" si="65"/>
        <v>-3.1796694498701658E-3</v>
      </c>
      <c r="S692" s="102">
        <f t="shared" si="65"/>
        <v>1.6399762920137763E-2</v>
      </c>
    </row>
    <row r="693" spans="15:19" x14ac:dyDescent="0.3">
      <c r="O693" s="101">
        <v>42048</v>
      </c>
      <c r="P693" s="110">
        <v>25042.37</v>
      </c>
      <c r="Q693" s="110">
        <v>587.24</v>
      </c>
      <c r="R693" s="102">
        <f t="shared" si="65"/>
        <v>6.3694814560999033E-3</v>
      </c>
      <c r="S693" s="102">
        <f t="shared" si="65"/>
        <v>4.3860093692172381E-3</v>
      </c>
    </row>
    <row r="694" spans="15:19" x14ac:dyDescent="0.3">
      <c r="O694" s="101">
        <v>42047</v>
      </c>
      <c r="P694" s="110">
        <v>24883.37</v>
      </c>
      <c r="Q694" s="110">
        <v>584.66999999999996</v>
      </c>
      <c r="R694" s="102">
        <f t="shared" si="65"/>
        <v>1.2861574194796409E-2</v>
      </c>
      <c r="S694" s="102">
        <f t="shared" si="65"/>
        <v>4.989593952983133E-3</v>
      </c>
    </row>
    <row r="695" spans="15:19" x14ac:dyDescent="0.3">
      <c r="O695" s="101">
        <v>42046</v>
      </c>
      <c r="P695" s="110">
        <v>24565.38</v>
      </c>
      <c r="Q695" s="110">
        <v>581.76</v>
      </c>
      <c r="R695" s="102">
        <f t="shared" si="65"/>
        <v>-3.2310363392638142E-3</v>
      </c>
      <c r="S695" s="102">
        <f t="shared" si="65"/>
        <v>1.2523081985437421E-2</v>
      </c>
    </row>
    <row r="696" spans="15:19" x14ac:dyDescent="0.3">
      <c r="O696" s="101">
        <v>42045</v>
      </c>
      <c r="P696" s="110">
        <v>24644.880000000001</v>
      </c>
      <c r="Q696" s="110">
        <v>574.52</v>
      </c>
      <c r="R696" s="102">
        <f t="shared" si="65"/>
        <v>6.4725461235758397E-3</v>
      </c>
      <c r="S696" s="102">
        <f t="shared" si="65"/>
        <v>1.6897928363454053E-3</v>
      </c>
    </row>
    <row r="697" spans="15:19" x14ac:dyDescent="0.3">
      <c r="O697" s="101">
        <v>42044</v>
      </c>
      <c r="P697" s="110">
        <v>24485.88</v>
      </c>
      <c r="Q697" s="110">
        <v>573.54999999999995</v>
      </c>
      <c r="R697" s="102">
        <f t="shared" si="65"/>
        <v>0</v>
      </c>
      <c r="S697" s="102">
        <f t="shared" si="65"/>
        <v>-1.0107347856137725E-3</v>
      </c>
    </row>
    <row r="698" spans="15:19" x14ac:dyDescent="0.3">
      <c r="O698" s="101">
        <v>42041</v>
      </c>
      <c r="P698" s="110">
        <v>24485.88</v>
      </c>
      <c r="Q698" s="110">
        <v>574.13</v>
      </c>
      <c r="R698" s="102">
        <f t="shared" si="65"/>
        <v>3.2520513498421094E-3</v>
      </c>
      <c r="S698" s="102">
        <f t="shared" si="65"/>
        <v>1.2196769090104764E-2</v>
      </c>
    </row>
    <row r="699" spans="15:19" x14ac:dyDescent="0.3">
      <c r="O699" s="101">
        <v>42040</v>
      </c>
      <c r="P699" s="110">
        <v>24406.38</v>
      </c>
      <c r="Q699" s="110">
        <v>567.16999999999996</v>
      </c>
      <c r="R699" s="102">
        <f t="shared" si="65"/>
        <v>0</v>
      </c>
      <c r="S699" s="102">
        <f t="shared" si="65"/>
        <v>1.0136359404237853E-2</v>
      </c>
    </row>
    <row r="700" spans="15:19" x14ac:dyDescent="0.3">
      <c r="O700" s="101">
        <v>42039</v>
      </c>
      <c r="P700" s="110">
        <v>24406.38</v>
      </c>
      <c r="Q700" s="110">
        <v>561.45000000000005</v>
      </c>
      <c r="R700" s="102">
        <f t="shared" si="65"/>
        <v>0</v>
      </c>
      <c r="S700" s="102">
        <f t="shared" si="65"/>
        <v>7.1140327913659504E-3</v>
      </c>
    </row>
    <row r="701" spans="15:19" x14ac:dyDescent="0.3">
      <c r="O701" s="101">
        <v>42038</v>
      </c>
      <c r="P701" s="110">
        <v>24406.38</v>
      </c>
      <c r="Q701" s="110">
        <v>557.47</v>
      </c>
      <c r="R701" s="102">
        <f t="shared" si="65"/>
        <v>0</v>
      </c>
      <c r="S701" s="102">
        <f t="shared" si="65"/>
        <v>-2.287658281934948E-2</v>
      </c>
    </row>
    <row r="702" spans="15:19" x14ac:dyDescent="0.3">
      <c r="O702" s="101">
        <v>42037</v>
      </c>
      <c r="P702" s="110">
        <v>24406.38</v>
      </c>
      <c r="Q702" s="110">
        <v>570.37</v>
      </c>
      <c r="R702" s="102">
        <f t="shared" si="65"/>
        <v>6.5360032207510948E-3</v>
      </c>
      <c r="S702" s="102">
        <f t="shared" si="65"/>
        <v>-9.9439080432356768E-3</v>
      </c>
    </row>
    <row r="703" spans="15:19" x14ac:dyDescent="0.3">
      <c r="O703" s="101">
        <v>42034</v>
      </c>
      <c r="P703" s="110">
        <v>24247.38</v>
      </c>
      <c r="Q703" s="110">
        <v>576.07000000000005</v>
      </c>
      <c r="R703" s="102">
        <f t="shared" si="65"/>
        <v>-1.302956435490525E-2</v>
      </c>
      <c r="S703" s="102">
        <f t="shared" si="65"/>
        <v>-1.243816440840788E-2</v>
      </c>
    </row>
    <row r="704" spans="15:19" x14ac:dyDescent="0.3">
      <c r="O704" s="101">
        <v>42033</v>
      </c>
      <c r="P704" s="110">
        <v>24565.38</v>
      </c>
      <c r="Q704" s="110">
        <v>583.28</v>
      </c>
      <c r="R704" s="102">
        <f t="shared" si="65"/>
        <v>0</v>
      </c>
      <c r="S704" s="102">
        <f t="shared" si="65"/>
        <v>-8.225939591897909E-4</v>
      </c>
    </row>
    <row r="705" spans="15:19" x14ac:dyDescent="0.3">
      <c r="O705" s="101">
        <v>42032</v>
      </c>
      <c r="P705" s="110">
        <v>24565.38</v>
      </c>
      <c r="Q705" s="110">
        <v>583.76</v>
      </c>
      <c r="R705" s="102">
        <f t="shared" si="65"/>
        <v>1.302956435490539E-2</v>
      </c>
      <c r="S705" s="102">
        <f t="shared" si="65"/>
        <v>7.6694613547863477E-3</v>
      </c>
    </row>
    <row r="706" spans="15:19" x14ac:dyDescent="0.3">
      <c r="O706" s="101">
        <v>42031</v>
      </c>
      <c r="P706" s="110">
        <v>24247.38</v>
      </c>
      <c r="Q706" s="110">
        <v>579.29999999999995</v>
      </c>
      <c r="R706" s="102">
        <f t="shared" si="65"/>
        <v>-6.5360032207511581E-3</v>
      </c>
      <c r="S706" s="102">
        <f t="shared" si="65"/>
        <v>-2.3104653621817592E-3</v>
      </c>
    </row>
    <row r="707" spans="15:19" x14ac:dyDescent="0.3">
      <c r="O707" s="101">
        <v>42030</v>
      </c>
      <c r="P707" s="110">
        <v>24406.38</v>
      </c>
      <c r="Q707" s="110">
        <v>580.64</v>
      </c>
      <c r="R707" s="102">
        <f t="shared" si="65"/>
        <v>9.8200947015080753E-3</v>
      </c>
      <c r="S707" s="102">
        <f t="shared" si="65"/>
        <v>-2.9922121687214502E-3</v>
      </c>
    </row>
    <row r="708" spans="15:19" x14ac:dyDescent="0.3">
      <c r="O708" s="101">
        <v>42027</v>
      </c>
      <c r="P708" s="110">
        <v>24167.88</v>
      </c>
      <c r="Q708" s="110">
        <v>582.38</v>
      </c>
      <c r="R708" s="102">
        <f t="shared" si="65"/>
        <v>1.2422566547945334E-2</v>
      </c>
      <c r="S708" s="102">
        <f t="shared" si="65"/>
        <v>1.3553435006900275E-2</v>
      </c>
    </row>
    <row r="709" spans="15:19" x14ac:dyDescent="0.3">
      <c r="O709" s="101">
        <v>42026</v>
      </c>
      <c r="P709" s="110">
        <v>23869.51</v>
      </c>
      <c r="Q709" s="110">
        <v>574.54</v>
      </c>
      <c r="R709" s="102">
        <f t="shared" si="65"/>
        <v>-1.5504141418864002E-2</v>
      </c>
      <c r="S709" s="102">
        <f t="shared" si="65"/>
        <v>9.4784124264361315E-3</v>
      </c>
    </row>
    <row r="710" spans="15:19" x14ac:dyDescent="0.3">
      <c r="O710" s="101">
        <v>42025</v>
      </c>
      <c r="P710" s="110">
        <v>24242.47</v>
      </c>
      <c r="Q710" s="110">
        <v>569.12</v>
      </c>
      <c r="R710" s="102">
        <f t="shared" si="65"/>
        <v>0</v>
      </c>
      <c r="S710" s="102">
        <f t="shared" si="65"/>
        <v>-5.4322246187310051E-3</v>
      </c>
    </row>
    <row r="711" spans="15:19" x14ac:dyDescent="0.3">
      <c r="O711" s="101">
        <v>42024</v>
      </c>
      <c r="P711" s="110">
        <v>24242.47</v>
      </c>
      <c r="Q711" s="110">
        <v>572.22</v>
      </c>
      <c r="R711" s="102">
        <f t="shared" si="65"/>
        <v>-2.7315813117018087E-2</v>
      </c>
      <c r="S711" s="102">
        <f t="shared" si="65"/>
        <v>1.2415519243223812E-3</v>
      </c>
    </row>
    <row r="712" spans="15:19" x14ac:dyDescent="0.3">
      <c r="O712" s="101">
        <v>42023</v>
      </c>
      <c r="P712" s="110">
        <v>24913.8</v>
      </c>
      <c r="Q712" s="110">
        <v>571.51</v>
      </c>
      <c r="R712" s="102">
        <f t="shared" si="65"/>
        <v>0</v>
      </c>
      <c r="S712" s="102">
        <f t="shared" si="65"/>
        <v>-5.7575705145857092E-3</v>
      </c>
    </row>
    <row r="713" spans="15:19" x14ac:dyDescent="0.3">
      <c r="O713" s="101">
        <v>42020</v>
      </c>
      <c r="P713" s="110">
        <v>24913.8</v>
      </c>
      <c r="Q713" s="110">
        <v>574.80999999999995</v>
      </c>
      <c r="R713" s="102">
        <f t="shared" si="65"/>
        <v>0</v>
      </c>
      <c r="S713" s="102">
        <f t="shared" si="65"/>
        <v>-5.084389071108089E-3</v>
      </c>
    </row>
    <row r="714" spans="15:19" x14ac:dyDescent="0.3">
      <c r="O714" s="101">
        <v>42019</v>
      </c>
      <c r="P714" s="110">
        <v>24913.8</v>
      </c>
      <c r="Q714" s="110">
        <v>577.74</v>
      </c>
      <c r="R714" s="102">
        <f t="shared" si="65"/>
        <v>2.4243705184174534E-2</v>
      </c>
      <c r="S714" s="102">
        <f t="shared" si="65"/>
        <v>1.2643430997981366E-3</v>
      </c>
    </row>
    <row r="715" spans="15:19" x14ac:dyDescent="0.3">
      <c r="O715" s="101">
        <v>42018</v>
      </c>
      <c r="P715" s="110">
        <v>24317.06</v>
      </c>
      <c r="Q715" s="110">
        <v>577.01</v>
      </c>
      <c r="R715" s="102">
        <f t="shared" si="65"/>
        <v>3.0721079328433838E-3</v>
      </c>
      <c r="S715" s="102">
        <f t="shared" si="65"/>
        <v>-6.2024542100801569E-3</v>
      </c>
    </row>
    <row r="716" spans="15:19" x14ac:dyDescent="0.3">
      <c r="O716" s="101">
        <v>42017</v>
      </c>
      <c r="P716" s="110">
        <v>24242.47</v>
      </c>
      <c r="Q716" s="110">
        <v>580.6</v>
      </c>
      <c r="R716" s="102">
        <f t="shared" si="65"/>
        <v>2.1773988936013546E-2</v>
      </c>
      <c r="S716" s="102">
        <f t="shared" si="65"/>
        <v>1.087531932230193E-2</v>
      </c>
    </row>
    <row r="717" spans="15:19" x14ac:dyDescent="0.3">
      <c r="O717" s="101">
        <v>42016</v>
      </c>
      <c r="P717" s="110">
        <v>23720.32</v>
      </c>
      <c r="Q717" s="110">
        <v>574.32000000000005</v>
      </c>
      <c r="R717" s="102">
        <f t="shared" si="65"/>
        <v>0</v>
      </c>
      <c r="S717" s="102">
        <f t="shared" si="65"/>
        <v>8.0241678739642417E-3</v>
      </c>
    </row>
    <row r="718" spans="15:19" x14ac:dyDescent="0.3">
      <c r="O718" s="101">
        <v>42013</v>
      </c>
      <c r="P718" s="110">
        <v>23720.32</v>
      </c>
      <c r="Q718" s="110">
        <v>569.73</v>
      </c>
      <c r="R718" s="102">
        <f t="shared" si="65"/>
        <v>9.4784629016014064E-3</v>
      </c>
      <c r="S718" s="102">
        <f t="shared" si="65"/>
        <v>2.8955014256479561E-2</v>
      </c>
    </row>
    <row r="719" spans="15:19" x14ac:dyDescent="0.3">
      <c r="O719" s="101">
        <v>42012</v>
      </c>
      <c r="P719" s="110">
        <v>23496.55</v>
      </c>
      <c r="Q719" s="110">
        <v>553.47</v>
      </c>
      <c r="R719" s="102">
        <f t="shared" si="65"/>
        <v>-3.1694804840350175E-3</v>
      </c>
      <c r="S719" s="102">
        <f t="shared" si="65"/>
        <v>2.5689282526378319E-3</v>
      </c>
    </row>
    <row r="720" spans="15:19" x14ac:dyDescent="0.3">
      <c r="O720" s="101">
        <v>42011</v>
      </c>
      <c r="P720" s="110">
        <v>23571.14</v>
      </c>
      <c r="Q720" s="110">
        <v>552.04999999999995</v>
      </c>
      <c r="R720" s="102">
        <f t="shared" si="65"/>
        <v>1.2739074729079078E-2</v>
      </c>
      <c r="S720" s="102">
        <f t="shared" si="65"/>
        <v>4.3387166299737453E-3</v>
      </c>
    </row>
    <row r="721" spans="15:19" x14ac:dyDescent="0.3">
      <c r="O721" s="101">
        <v>42010</v>
      </c>
      <c r="P721" s="110">
        <v>23272.77</v>
      </c>
      <c r="Q721" s="110">
        <v>549.66</v>
      </c>
      <c r="R721" s="102">
        <f t="shared" si="65"/>
        <v>-9.5695942450441072E-3</v>
      </c>
      <c r="S721" s="102">
        <f t="shared" si="65"/>
        <v>9.52379446310226E-3</v>
      </c>
    </row>
    <row r="722" spans="15:19" x14ac:dyDescent="0.3">
      <c r="O722" s="101">
        <v>42009</v>
      </c>
      <c r="P722" s="110">
        <v>23496.55</v>
      </c>
      <c r="Q722" s="110">
        <v>544.45000000000005</v>
      </c>
      <c r="R722" s="102">
        <f t="shared" si="65"/>
        <v>-2.817087696669645E-2</v>
      </c>
      <c r="S722" s="102">
        <f t="shared" si="65"/>
        <v>-2.1649795627874079E-3</v>
      </c>
    </row>
    <row r="723" spans="15:19" x14ac:dyDescent="0.3">
      <c r="O723" s="101">
        <v>42004</v>
      </c>
      <c r="P723" s="110">
        <v>24167.88</v>
      </c>
      <c r="Q723" s="110">
        <v>545.63</v>
      </c>
      <c r="R723" s="102">
        <f t="shared" si="65"/>
        <v>2.8170876966696439E-2</v>
      </c>
      <c r="S723" s="102">
        <f t="shared" si="65"/>
        <v>1.4882106274423433E-2</v>
      </c>
    </row>
    <row r="724" spans="15:19" x14ac:dyDescent="0.3">
      <c r="O724" s="101">
        <v>42003</v>
      </c>
      <c r="P724" s="110">
        <v>23496.55</v>
      </c>
      <c r="Q724" s="110">
        <v>537.57000000000005</v>
      </c>
      <c r="R724" s="102">
        <f t="shared" si="65"/>
        <v>0</v>
      </c>
      <c r="S724" s="102">
        <f t="shared" si="65"/>
        <v>9.1381154464899687E-3</v>
      </c>
    </row>
    <row r="725" spans="15:19" x14ac:dyDescent="0.3">
      <c r="O725" s="101">
        <v>42002</v>
      </c>
      <c r="P725" s="110">
        <v>23496.55</v>
      </c>
      <c r="Q725" s="110">
        <v>532.67999999999995</v>
      </c>
      <c r="R725" s="102">
        <f t="shared" si="65"/>
        <v>-1.5748310418751008E-2</v>
      </c>
      <c r="S725" s="102">
        <f t="shared" si="65"/>
        <v>-1.2944985626459193E-3</v>
      </c>
    </row>
    <row r="726" spans="15:19" x14ac:dyDescent="0.3">
      <c r="O726" s="101">
        <v>41999</v>
      </c>
      <c r="P726" s="110">
        <v>23869.51</v>
      </c>
      <c r="Q726" s="110">
        <v>533.37</v>
      </c>
      <c r="R726" s="102">
        <f t="shared" si="65"/>
        <v>0</v>
      </c>
      <c r="S726" s="102">
        <f t="shared" si="65"/>
        <v>2.5530810391255891E-3</v>
      </c>
    </row>
    <row r="727" spans="15:19" x14ac:dyDescent="0.3">
      <c r="O727" s="101">
        <v>41998</v>
      </c>
      <c r="P727" s="110">
        <v>23869.51</v>
      </c>
      <c r="Q727" s="110">
        <v>532.01</v>
      </c>
      <c r="R727" s="102">
        <f t="shared" si="65"/>
        <v>-1.5504141418864002E-2</v>
      </c>
      <c r="S727" s="102">
        <f t="shared" si="65"/>
        <v>-1.3869278268862337E-2</v>
      </c>
    </row>
    <row r="728" spans="15:19" x14ac:dyDescent="0.3">
      <c r="O728" s="101">
        <v>41997</v>
      </c>
      <c r="P728" s="110">
        <v>24242.47</v>
      </c>
      <c r="Q728" s="110">
        <v>539.44000000000005</v>
      </c>
      <c r="R728" s="102">
        <f t="shared" si="65"/>
        <v>0</v>
      </c>
      <c r="S728" s="102">
        <f t="shared" si="65"/>
        <v>2.8960774706574708E-3</v>
      </c>
    </row>
    <row r="729" spans="15:19" x14ac:dyDescent="0.3">
      <c r="O729" s="101">
        <v>41996</v>
      </c>
      <c r="P729" s="110">
        <v>24242.47</v>
      </c>
      <c r="Q729" s="110">
        <v>537.88</v>
      </c>
      <c r="R729" s="102">
        <f t="shared" si="65"/>
        <v>0</v>
      </c>
      <c r="S729" s="102">
        <f t="shared" si="65"/>
        <v>6.3231111812725633E-4</v>
      </c>
    </row>
    <row r="730" spans="15:19" x14ac:dyDescent="0.3">
      <c r="O730" s="101">
        <v>41995</v>
      </c>
      <c r="P730" s="110">
        <v>24242.47</v>
      </c>
      <c r="Q730" s="110">
        <v>537.54</v>
      </c>
      <c r="R730" s="102">
        <f t="shared" si="65"/>
        <v>2.1773988936013546E-2</v>
      </c>
      <c r="S730" s="102">
        <f t="shared" si="65"/>
        <v>2.7249642447375322E-2</v>
      </c>
    </row>
    <row r="731" spans="15:19" x14ac:dyDescent="0.3">
      <c r="O731" s="101">
        <v>41992</v>
      </c>
      <c r="P731" s="110">
        <v>23720.32</v>
      </c>
      <c r="Q731" s="110">
        <v>523.09</v>
      </c>
      <c r="R731" s="102">
        <f t="shared" si="65"/>
        <v>9.4784629016014064E-3</v>
      </c>
      <c r="S731" s="102">
        <f t="shared" si="65"/>
        <v>-1.0194660065189803E-2</v>
      </c>
    </row>
    <row r="732" spans="15:19" x14ac:dyDescent="0.3">
      <c r="O732" s="101">
        <v>41991</v>
      </c>
      <c r="P732" s="110">
        <v>23496.55</v>
      </c>
      <c r="Q732" s="110">
        <v>528.45000000000005</v>
      </c>
      <c r="R732" s="102">
        <f t="shared" si="65"/>
        <v>2.572498827950789E-2</v>
      </c>
      <c r="S732" s="102">
        <f t="shared" si="65"/>
        <v>1.9548330935107161E-2</v>
      </c>
    </row>
    <row r="733" spans="15:19" x14ac:dyDescent="0.3">
      <c r="O733" s="101">
        <v>41990</v>
      </c>
      <c r="P733" s="110">
        <v>22899.81</v>
      </c>
      <c r="Q733" s="110">
        <v>518.22</v>
      </c>
      <c r="R733" s="102">
        <f t="shared" si="65"/>
        <v>-3.205393537146782E-2</v>
      </c>
      <c r="S733" s="102">
        <f t="shared" si="65"/>
        <v>-3.2128532385921761E-2</v>
      </c>
    </row>
    <row r="734" spans="15:19" x14ac:dyDescent="0.3">
      <c r="O734" s="101">
        <v>41989</v>
      </c>
      <c r="P734" s="110">
        <v>23645.73</v>
      </c>
      <c r="Q734" s="110">
        <v>535.14</v>
      </c>
      <c r="R734" s="102">
        <f t="shared" ref="R734:S797" si="66">LN(P734/P735)</f>
        <v>-1.5649728325486559E-2</v>
      </c>
      <c r="S734" s="102">
        <f t="shared" si="66"/>
        <v>-2.3619146656472811E-2</v>
      </c>
    </row>
    <row r="735" spans="15:19" x14ac:dyDescent="0.3">
      <c r="O735" s="101">
        <v>41988</v>
      </c>
      <c r="P735" s="110">
        <v>24018.69</v>
      </c>
      <c r="Q735" s="110">
        <v>547.92999999999995</v>
      </c>
      <c r="R735" s="102">
        <f t="shared" si="66"/>
        <v>-4.2559579723591985E-2</v>
      </c>
      <c r="S735" s="102">
        <f t="shared" si="66"/>
        <v>-1.0890783410713544E-2</v>
      </c>
    </row>
    <row r="736" spans="15:19" x14ac:dyDescent="0.3">
      <c r="O736" s="101">
        <v>41985</v>
      </c>
      <c r="P736" s="110">
        <v>25062.98</v>
      </c>
      <c r="Q736" s="110">
        <v>553.92999999999995</v>
      </c>
      <c r="R736" s="102">
        <f t="shared" si="66"/>
        <v>8.9684039862276219E-3</v>
      </c>
      <c r="S736" s="102">
        <f t="shared" si="66"/>
        <v>6.9200667441743297E-3</v>
      </c>
    </row>
    <row r="737" spans="15:19" x14ac:dyDescent="0.3">
      <c r="O737" s="101">
        <v>41984</v>
      </c>
      <c r="P737" s="110">
        <v>24839.21</v>
      </c>
      <c r="Q737" s="110">
        <v>550.11</v>
      </c>
      <c r="R737" s="102">
        <f t="shared" si="66"/>
        <v>6.0243396155490311E-3</v>
      </c>
      <c r="S737" s="102">
        <f t="shared" si="66"/>
        <v>-1.2788036638177302E-2</v>
      </c>
    </row>
    <row r="738" spans="15:19" x14ac:dyDescent="0.3">
      <c r="O738" s="101">
        <v>41983</v>
      </c>
      <c r="P738" s="110">
        <v>24690.02</v>
      </c>
      <c r="Q738" s="110">
        <v>557.19000000000005</v>
      </c>
      <c r="R738" s="102">
        <f t="shared" si="66"/>
        <v>1.5220951768803262E-2</v>
      </c>
      <c r="S738" s="102">
        <f t="shared" si="66"/>
        <v>3.3797784981353801E-3</v>
      </c>
    </row>
    <row r="739" spans="15:19" x14ac:dyDescent="0.3">
      <c r="O739" s="101">
        <v>41982</v>
      </c>
      <c r="P739" s="110">
        <v>24317.06</v>
      </c>
      <c r="Q739" s="110">
        <v>555.30999999999995</v>
      </c>
      <c r="R739" s="102">
        <f t="shared" si="66"/>
        <v>-5.3744285570270264E-2</v>
      </c>
      <c r="S739" s="102">
        <f t="shared" si="66"/>
        <v>-2.9052877905874797E-2</v>
      </c>
    </row>
    <row r="740" spans="15:19" x14ac:dyDescent="0.3">
      <c r="O740" s="101">
        <v>41981</v>
      </c>
      <c r="P740" s="110">
        <v>25659.72</v>
      </c>
      <c r="Q740" s="110">
        <v>571.67999999999995</v>
      </c>
      <c r="R740" s="102">
        <f t="shared" si="66"/>
        <v>-1.1560867196002028E-2</v>
      </c>
      <c r="S740" s="102">
        <f t="shared" si="66"/>
        <v>-1.2308489593781195E-2</v>
      </c>
    </row>
    <row r="741" spans="15:19" x14ac:dyDescent="0.3">
      <c r="O741" s="101">
        <v>41978</v>
      </c>
      <c r="P741" s="110">
        <v>25958.09</v>
      </c>
      <c r="Q741" s="110">
        <v>578.76</v>
      </c>
      <c r="R741" s="102">
        <f t="shared" si="66"/>
        <v>-8.583872103501802E-3</v>
      </c>
      <c r="S741" s="102">
        <f t="shared" si="66"/>
        <v>6.5679176877517459E-4</v>
      </c>
    </row>
    <row r="742" spans="15:19" x14ac:dyDescent="0.3">
      <c r="O742" s="101">
        <v>41977</v>
      </c>
      <c r="P742" s="110">
        <v>26181.87</v>
      </c>
      <c r="Q742" s="110">
        <v>578.38</v>
      </c>
      <c r="R742" s="102">
        <f t="shared" si="66"/>
        <v>1.4347405356686297E-2</v>
      </c>
      <c r="S742" s="102">
        <f t="shared" si="66"/>
        <v>6.0697687348970882E-3</v>
      </c>
    </row>
    <row r="743" spans="15:19" x14ac:dyDescent="0.3">
      <c r="O743" s="101">
        <v>41976</v>
      </c>
      <c r="P743" s="110">
        <v>25808.91</v>
      </c>
      <c r="Q743" s="110">
        <v>574.88</v>
      </c>
      <c r="R743" s="102">
        <f t="shared" si="66"/>
        <v>-1.1494421493155316E-2</v>
      </c>
      <c r="S743" s="102">
        <f t="shared" si="66"/>
        <v>9.5254628701963908E-3</v>
      </c>
    </row>
    <row r="744" spans="15:19" x14ac:dyDescent="0.3">
      <c r="O744" s="101">
        <v>41975</v>
      </c>
      <c r="P744" s="110">
        <v>26107.279999999999</v>
      </c>
      <c r="Q744" s="110">
        <v>569.42999999999995</v>
      </c>
      <c r="R744" s="102">
        <f t="shared" si="66"/>
        <v>2.8615308068624273E-3</v>
      </c>
      <c r="S744" s="102">
        <f t="shared" si="66"/>
        <v>2.4968362950353955E-3</v>
      </c>
    </row>
    <row r="745" spans="15:19" x14ac:dyDescent="0.3">
      <c r="O745" s="101">
        <v>41974</v>
      </c>
      <c r="P745" s="110">
        <v>26032.68</v>
      </c>
      <c r="Q745" s="110">
        <v>568.01</v>
      </c>
      <c r="R745" s="102">
        <f t="shared" si="66"/>
        <v>-1.1396179346831542E-2</v>
      </c>
      <c r="S745" s="102">
        <f t="shared" si="66"/>
        <v>2.5207356969439176E-3</v>
      </c>
    </row>
    <row r="746" spans="15:19" x14ac:dyDescent="0.3">
      <c r="O746" s="101">
        <v>41971</v>
      </c>
      <c r="P746" s="110">
        <v>26331.05</v>
      </c>
      <c r="Q746" s="110">
        <v>566.58000000000004</v>
      </c>
      <c r="R746" s="102">
        <f t="shared" si="66"/>
        <v>-4.4328755898223139E-2</v>
      </c>
      <c r="S746" s="102">
        <f t="shared" si="66"/>
        <v>-1.1075437705920066E-2</v>
      </c>
    </row>
    <row r="747" spans="15:19" x14ac:dyDescent="0.3">
      <c r="O747" s="101">
        <v>41970</v>
      </c>
      <c r="P747" s="110">
        <v>27524.53</v>
      </c>
      <c r="Q747" s="110">
        <v>572.89</v>
      </c>
      <c r="R747" s="102">
        <f t="shared" si="66"/>
        <v>-5.4052579652362773E-3</v>
      </c>
      <c r="S747" s="102">
        <f t="shared" si="66"/>
        <v>-5.4833765202288685E-3</v>
      </c>
    </row>
    <row r="748" spans="15:19" x14ac:dyDescent="0.3">
      <c r="O748" s="101">
        <v>41969</v>
      </c>
      <c r="P748" s="110">
        <v>27673.71</v>
      </c>
      <c r="Q748" s="110">
        <v>576.04</v>
      </c>
      <c r="R748" s="102">
        <f t="shared" si="66"/>
        <v>-5.3761981569532694E-3</v>
      </c>
      <c r="S748" s="102">
        <f t="shared" si="66"/>
        <v>-1.6989091434911809E-2</v>
      </c>
    </row>
    <row r="749" spans="15:19" x14ac:dyDescent="0.3">
      <c r="O749" s="101">
        <v>41968</v>
      </c>
      <c r="P749" s="110">
        <v>27822.89</v>
      </c>
      <c r="Q749" s="110">
        <v>585.91</v>
      </c>
      <c r="R749" s="102">
        <f t="shared" si="66"/>
        <v>-2.6776574234619105E-3</v>
      </c>
      <c r="S749" s="102">
        <f t="shared" si="66"/>
        <v>5.7855079045052915E-3</v>
      </c>
    </row>
    <row r="750" spans="15:19" x14ac:dyDescent="0.3">
      <c r="O750" s="101">
        <v>41967</v>
      </c>
      <c r="P750" s="110">
        <v>27897.49</v>
      </c>
      <c r="Q750" s="110">
        <v>582.53</v>
      </c>
      <c r="R750" s="102">
        <f t="shared" si="66"/>
        <v>-5.3331877211981538E-3</v>
      </c>
      <c r="S750" s="102">
        <f t="shared" si="66"/>
        <v>-9.3972807457050871E-3</v>
      </c>
    </row>
    <row r="751" spans="15:19" x14ac:dyDescent="0.3">
      <c r="O751" s="101">
        <v>41964</v>
      </c>
      <c r="P751" s="110">
        <v>28046.67</v>
      </c>
      <c r="Q751" s="110">
        <v>588.03</v>
      </c>
      <c r="R751" s="102">
        <f t="shared" si="66"/>
        <v>0</v>
      </c>
      <c r="S751" s="102">
        <f t="shared" si="66"/>
        <v>-8.9559154501183038E-3</v>
      </c>
    </row>
    <row r="752" spans="15:19" x14ac:dyDescent="0.3">
      <c r="O752" s="101">
        <v>41963</v>
      </c>
      <c r="P752" s="110">
        <v>28046.67</v>
      </c>
      <c r="Q752" s="110">
        <v>593.32000000000005</v>
      </c>
      <c r="R752" s="102">
        <f t="shared" si="66"/>
        <v>2.6630385034038268E-3</v>
      </c>
      <c r="S752" s="102">
        <f t="shared" si="66"/>
        <v>8.4118735454736769E-3</v>
      </c>
    </row>
    <row r="753" spans="15:19" x14ac:dyDescent="0.3">
      <c r="O753" s="101">
        <v>41962</v>
      </c>
      <c r="P753" s="110">
        <v>27972.080000000002</v>
      </c>
      <c r="Q753" s="110">
        <v>588.35</v>
      </c>
      <c r="R753" s="102">
        <f t="shared" si="66"/>
        <v>-5.3190040640870946E-3</v>
      </c>
      <c r="S753" s="102">
        <f t="shared" si="66"/>
        <v>-9.9780973303653583E-3</v>
      </c>
    </row>
    <row r="754" spans="15:19" x14ac:dyDescent="0.3">
      <c r="O754" s="101">
        <v>41961</v>
      </c>
      <c r="P754" s="110">
        <v>28121.26</v>
      </c>
      <c r="Q754" s="110">
        <v>594.25</v>
      </c>
      <c r="R754" s="102">
        <f t="shared" si="66"/>
        <v>-2.6492847515275798E-3</v>
      </c>
      <c r="S754" s="102">
        <f t="shared" si="66"/>
        <v>-1.1178348965693474E-2</v>
      </c>
    </row>
    <row r="755" spans="15:19" x14ac:dyDescent="0.3">
      <c r="O755" s="101">
        <v>41960</v>
      </c>
      <c r="P755" s="110">
        <v>28195.86</v>
      </c>
      <c r="Q755" s="110">
        <v>600.92999999999995</v>
      </c>
      <c r="R755" s="102">
        <f t="shared" si="66"/>
        <v>7.9682888156147897E-3</v>
      </c>
      <c r="S755" s="102">
        <f t="shared" si="66"/>
        <v>9.4897991788264627E-4</v>
      </c>
    </row>
    <row r="756" spans="15:19" x14ac:dyDescent="0.3">
      <c r="O756" s="101">
        <v>41957</v>
      </c>
      <c r="P756" s="110">
        <v>27972.080000000002</v>
      </c>
      <c r="Q756" s="110">
        <v>600.36</v>
      </c>
      <c r="R756" s="102">
        <f t="shared" si="66"/>
        <v>-2.6630385034037965E-3</v>
      </c>
      <c r="S756" s="102">
        <f t="shared" si="66"/>
        <v>-4.6530262094807125E-3</v>
      </c>
    </row>
    <row r="757" spans="15:19" x14ac:dyDescent="0.3">
      <c r="O757" s="101">
        <v>41956</v>
      </c>
      <c r="P757" s="110">
        <v>28046.67</v>
      </c>
      <c r="Q757" s="110">
        <v>603.16</v>
      </c>
      <c r="R757" s="102">
        <f t="shared" si="66"/>
        <v>-7.9471811692214053E-3</v>
      </c>
      <c r="S757" s="102">
        <f t="shared" si="66"/>
        <v>-1.4082525915570217E-3</v>
      </c>
    </row>
    <row r="758" spans="15:19" x14ac:dyDescent="0.3">
      <c r="O758" s="101">
        <v>41955</v>
      </c>
      <c r="P758" s="110">
        <v>28270.45</v>
      </c>
      <c r="Q758" s="110">
        <v>604.01</v>
      </c>
      <c r="R758" s="102">
        <f t="shared" si="66"/>
        <v>0</v>
      </c>
      <c r="S758" s="102">
        <f t="shared" si="66"/>
        <v>-3.6416606374780789E-4</v>
      </c>
    </row>
    <row r="759" spans="15:19" x14ac:dyDescent="0.3">
      <c r="O759" s="101">
        <v>41954</v>
      </c>
      <c r="P759" s="110">
        <v>28270.45</v>
      </c>
      <c r="Q759" s="110">
        <v>604.23</v>
      </c>
      <c r="R759" s="102">
        <f t="shared" si="66"/>
        <v>2.641930857010566E-3</v>
      </c>
      <c r="S759" s="102">
        <f t="shared" si="66"/>
        <v>3.4981591605963633E-3</v>
      </c>
    </row>
    <row r="760" spans="15:19" x14ac:dyDescent="0.3">
      <c r="O760" s="101">
        <v>41953</v>
      </c>
      <c r="P760" s="110">
        <v>28195.86</v>
      </c>
      <c r="Q760" s="110">
        <v>602.12</v>
      </c>
      <c r="R760" s="102">
        <f t="shared" si="66"/>
        <v>-2.6419308570104542E-3</v>
      </c>
      <c r="S760" s="102">
        <f t="shared" si="66"/>
        <v>-7.8027081014619157E-4</v>
      </c>
    </row>
    <row r="761" spans="15:19" x14ac:dyDescent="0.3">
      <c r="O761" s="101">
        <v>41950</v>
      </c>
      <c r="P761" s="110">
        <v>28270.45</v>
      </c>
      <c r="Q761" s="110">
        <v>602.59</v>
      </c>
      <c r="R761" s="102">
        <f t="shared" si="66"/>
        <v>-2.6349694458857194E-3</v>
      </c>
      <c r="S761" s="102">
        <f t="shared" si="66"/>
        <v>7.897145436860202E-3</v>
      </c>
    </row>
    <row r="762" spans="15:19" x14ac:dyDescent="0.3">
      <c r="O762" s="101">
        <v>41949</v>
      </c>
      <c r="P762" s="110">
        <v>28345.040000000001</v>
      </c>
      <c r="Q762" s="110">
        <v>597.85</v>
      </c>
      <c r="R762" s="102">
        <f t="shared" si="66"/>
        <v>2.6349694458856557E-3</v>
      </c>
      <c r="S762" s="102">
        <f t="shared" si="66"/>
        <v>1.4060226945131029E-3</v>
      </c>
    </row>
    <row r="763" spans="15:19" x14ac:dyDescent="0.3">
      <c r="O763" s="101">
        <v>41948</v>
      </c>
      <c r="P763" s="110">
        <v>28270.45</v>
      </c>
      <c r="Q763" s="110">
        <v>597.01</v>
      </c>
      <c r="R763" s="102">
        <f t="shared" si="66"/>
        <v>5.2912156085381185E-3</v>
      </c>
      <c r="S763" s="102">
        <f t="shared" si="66"/>
        <v>-2.3088516196109114E-3</v>
      </c>
    </row>
    <row r="764" spans="15:19" x14ac:dyDescent="0.3">
      <c r="O764" s="101">
        <v>41947</v>
      </c>
      <c r="P764" s="110">
        <v>28121.26</v>
      </c>
      <c r="Q764" s="110">
        <v>598.39</v>
      </c>
      <c r="R764" s="102">
        <f t="shared" si="66"/>
        <v>-2.6492847515275798E-3</v>
      </c>
      <c r="S764" s="102">
        <f t="shared" si="66"/>
        <v>-7.923206720705905E-3</v>
      </c>
    </row>
    <row r="765" spans="15:19" x14ac:dyDescent="0.3">
      <c r="O765" s="101">
        <v>41946</v>
      </c>
      <c r="P765" s="110">
        <v>28195.86</v>
      </c>
      <c r="Q765" s="110">
        <v>603.15</v>
      </c>
      <c r="R765" s="102">
        <f t="shared" si="66"/>
        <v>7.9682888156147897E-3</v>
      </c>
      <c r="S765" s="102">
        <f t="shared" si="66"/>
        <v>3.8372458815389299E-3</v>
      </c>
    </row>
    <row r="766" spans="15:19" x14ac:dyDescent="0.3">
      <c r="O766" s="101">
        <v>41943</v>
      </c>
      <c r="P766" s="110">
        <v>27972.080000000002</v>
      </c>
      <c r="Q766" s="110">
        <v>600.84</v>
      </c>
      <c r="R766" s="102">
        <f t="shared" si="66"/>
        <v>5.3478066412561975E-3</v>
      </c>
      <c r="S766" s="102">
        <f t="shared" si="66"/>
        <v>1.966482972060005E-2</v>
      </c>
    </row>
    <row r="767" spans="15:19" x14ac:dyDescent="0.3">
      <c r="O767" s="101">
        <v>41942</v>
      </c>
      <c r="P767" s="110">
        <v>27822.89</v>
      </c>
      <c r="Q767" s="110">
        <v>589.14</v>
      </c>
      <c r="R767" s="102">
        <f t="shared" si="66"/>
        <v>-8.0108451446600903E-3</v>
      </c>
      <c r="S767" s="102">
        <f t="shared" si="66"/>
        <v>-3.4905232247382741E-3</v>
      </c>
    </row>
    <row r="768" spans="15:19" x14ac:dyDescent="0.3">
      <c r="O768" s="101">
        <v>41941</v>
      </c>
      <c r="P768" s="110">
        <v>28046.67</v>
      </c>
      <c r="Q768" s="110">
        <v>591.20000000000005</v>
      </c>
      <c r="R768" s="102">
        <f t="shared" si="66"/>
        <v>1.8792301266849682E-2</v>
      </c>
      <c r="S768" s="102">
        <f t="shared" si="66"/>
        <v>1.3744223578254975E-2</v>
      </c>
    </row>
    <row r="769" spans="15:19" x14ac:dyDescent="0.3">
      <c r="O769" s="101">
        <v>41940</v>
      </c>
      <c r="P769" s="110">
        <v>27524.53</v>
      </c>
      <c r="Q769" s="110">
        <v>583.13</v>
      </c>
      <c r="R769" s="102">
        <f t="shared" si="66"/>
        <v>0</v>
      </c>
      <c r="S769" s="102">
        <f t="shared" si="66"/>
        <v>4.0036825451508504E-3</v>
      </c>
    </row>
    <row r="770" spans="15:19" x14ac:dyDescent="0.3">
      <c r="O770" s="101">
        <v>41939</v>
      </c>
      <c r="P770" s="110">
        <v>27524.53</v>
      </c>
      <c r="Q770" s="110">
        <v>580.79999999999995</v>
      </c>
      <c r="R770" s="102">
        <f t="shared" si="66"/>
        <v>-8.0969699776896574E-3</v>
      </c>
      <c r="S770" s="102">
        <f t="shared" si="66"/>
        <v>-1.8272125935699879E-2</v>
      </c>
    </row>
    <row r="771" spans="15:19" x14ac:dyDescent="0.3">
      <c r="O771" s="101">
        <v>41936</v>
      </c>
      <c r="P771" s="110">
        <v>27748.3</v>
      </c>
      <c r="Q771" s="110">
        <v>591.51</v>
      </c>
      <c r="R771" s="102">
        <f t="shared" si="66"/>
        <v>5.3906888978086992E-3</v>
      </c>
      <c r="S771" s="102">
        <f t="shared" si="66"/>
        <v>-3.4091709249387601E-3</v>
      </c>
    </row>
    <row r="772" spans="15:19" x14ac:dyDescent="0.3">
      <c r="O772" s="101">
        <v>41935</v>
      </c>
      <c r="P772" s="110">
        <v>27599.119999999999</v>
      </c>
      <c r="Q772" s="110">
        <v>593.53</v>
      </c>
      <c r="R772" s="102">
        <f t="shared" si="66"/>
        <v>2.7062810798811261E-3</v>
      </c>
      <c r="S772" s="102">
        <f t="shared" si="66"/>
        <v>-1.348838978582707E-2</v>
      </c>
    </row>
    <row r="773" spans="15:19" x14ac:dyDescent="0.3">
      <c r="O773" s="101">
        <v>41934</v>
      </c>
      <c r="P773" s="110">
        <v>27524.53</v>
      </c>
      <c r="Q773" s="110">
        <v>601.59</v>
      </c>
      <c r="R773" s="102">
        <f t="shared" si="66"/>
        <v>-8.0969699776896574E-3</v>
      </c>
      <c r="S773" s="102">
        <f t="shared" si="66"/>
        <v>1.7302481565528026E-3</v>
      </c>
    </row>
    <row r="774" spans="15:19" x14ac:dyDescent="0.3">
      <c r="O774" s="101">
        <v>41933</v>
      </c>
      <c r="P774" s="110">
        <v>27748.3</v>
      </c>
      <c r="Q774" s="110">
        <v>600.54999999999995</v>
      </c>
      <c r="R774" s="102">
        <f t="shared" si="66"/>
        <v>-2.6844861444998806E-3</v>
      </c>
      <c r="S774" s="102">
        <f t="shared" si="66"/>
        <v>1.9012331053761634E-2</v>
      </c>
    </row>
    <row r="775" spans="15:19" x14ac:dyDescent="0.3">
      <c r="O775" s="101">
        <v>41932</v>
      </c>
      <c r="P775" s="110">
        <v>27822.89</v>
      </c>
      <c r="Q775" s="110">
        <v>589.24</v>
      </c>
      <c r="R775" s="102">
        <f t="shared" si="66"/>
        <v>1.3495445337920974E-2</v>
      </c>
      <c r="S775" s="102">
        <f t="shared" si="66"/>
        <v>6.7432057442367915E-3</v>
      </c>
    </row>
    <row r="776" spans="15:19" x14ac:dyDescent="0.3">
      <c r="O776" s="101">
        <v>41929</v>
      </c>
      <c r="P776" s="110">
        <v>27449.93</v>
      </c>
      <c r="Q776" s="110">
        <v>585.28</v>
      </c>
      <c r="R776" s="102">
        <f t="shared" si="66"/>
        <v>-5.4202702956124031E-3</v>
      </c>
      <c r="S776" s="102">
        <f t="shared" si="66"/>
        <v>-3.2240208744145002E-3</v>
      </c>
    </row>
    <row r="777" spans="15:19" x14ac:dyDescent="0.3">
      <c r="O777" s="101">
        <v>41928</v>
      </c>
      <c r="P777" s="110">
        <v>27599.119999999999</v>
      </c>
      <c r="Q777" s="110">
        <v>587.16999999999996</v>
      </c>
      <c r="R777" s="102">
        <f t="shared" si="66"/>
        <v>-2.1391270499179528E-2</v>
      </c>
      <c r="S777" s="102">
        <f t="shared" si="66"/>
        <v>-2.8739829081527068E-2</v>
      </c>
    </row>
    <row r="778" spans="15:19" x14ac:dyDescent="0.3">
      <c r="O778" s="101">
        <v>41927</v>
      </c>
      <c r="P778" s="110">
        <v>28195.86</v>
      </c>
      <c r="Q778" s="110">
        <v>604.29</v>
      </c>
      <c r="R778" s="102">
        <f t="shared" si="66"/>
        <v>-5.2769003028962378E-3</v>
      </c>
      <c r="S778" s="102">
        <f t="shared" si="66"/>
        <v>-2.4791762003987289E-3</v>
      </c>
    </row>
    <row r="779" spans="15:19" x14ac:dyDescent="0.3">
      <c r="O779" s="101">
        <v>41926</v>
      </c>
      <c r="P779" s="110">
        <v>28345.040000000001</v>
      </c>
      <c r="Q779" s="110">
        <v>605.79</v>
      </c>
      <c r="R779" s="102">
        <f t="shared" si="66"/>
        <v>-1.8253597107297872E-2</v>
      </c>
      <c r="S779" s="102">
        <f t="shared" si="66"/>
        <v>-1.3819778800893414E-2</v>
      </c>
    </row>
    <row r="780" spans="15:19" x14ac:dyDescent="0.3">
      <c r="O780" s="101">
        <v>41925</v>
      </c>
      <c r="P780" s="110">
        <v>28867.19</v>
      </c>
      <c r="Q780" s="110">
        <v>614.22</v>
      </c>
      <c r="R780" s="102">
        <f t="shared" si="66"/>
        <v>2.5875936961453228E-3</v>
      </c>
      <c r="S780" s="102">
        <f t="shared" si="66"/>
        <v>-5.6821101950657472E-3</v>
      </c>
    </row>
    <row r="781" spans="15:19" x14ac:dyDescent="0.3">
      <c r="O781" s="101">
        <v>41922</v>
      </c>
      <c r="P781" s="110">
        <v>28792.59</v>
      </c>
      <c r="Q781" s="110">
        <v>617.72</v>
      </c>
      <c r="R781" s="102">
        <f t="shared" si="66"/>
        <v>2.5939584978690263E-3</v>
      </c>
      <c r="S781" s="102">
        <f t="shared" si="66"/>
        <v>-1.0659811420762241E-2</v>
      </c>
    </row>
    <row r="782" spans="15:19" x14ac:dyDescent="0.3">
      <c r="O782" s="101">
        <v>41921</v>
      </c>
      <c r="P782" s="110">
        <v>28718</v>
      </c>
      <c r="Q782" s="110">
        <v>624.34</v>
      </c>
      <c r="R782" s="102">
        <f t="shared" si="66"/>
        <v>0</v>
      </c>
      <c r="S782" s="102">
        <f t="shared" si="66"/>
        <v>1.1404762790457764E-2</v>
      </c>
    </row>
    <row r="783" spans="15:19" x14ac:dyDescent="0.3">
      <c r="O783" s="101">
        <v>41920</v>
      </c>
      <c r="P783" s="110">
        <v>28718</v>
      </c>
      <c r="Q783" s="110">
        <v>617.26</v>
      </c>
      <c r="R783" s="102">
        <f t="shared" si="66"/>
        <v>0</v>
      </c>
      <c r="S783" s="102">
        <f t="shared" si="66"/>
        <v>5.1651161657696636E-3</v>
      </c>
    </row>
    <row r="784" spans="15:19" x14ac:dyDescent="0.3">
      <c r="O784" s="101">
        <v>41919</v>
      </c>
      <c r="P784" s="110">
        <v>28718</v>
      </c>
      <c r="Q784" s="110">
        <v>614.08000000000004</v>
      </c>
      <c r="R784" s="102">
        <f t="shared" si="66"/>
        <v>-2.5939584978690619E-3</v>
      </c>
      <c r="S784" s="102">
        <f t="shared" si="66"/>
        <v>-5.5352056765297546E-4</v>
      </c>
    </row>
    <row r="785" spans="15:19" x14ac:dyDescent="0.3">
      <c r="O785" s="101">
        <v>41918</v>
      </c>
      <c r="P785" s="110">
        <v>28792.59</v>
      </c>
      <c r="Q785" s="110">
        <v>614.41999999999996</v>
      </c>
      <c r="R785" s="102">
        <f t="shared" si="66"/>
        <v>1.0416802681117167E-2</v>
      </c>
      <c r="S785" s="102">
        <f t="shared" si="66"/>
        <v>4.6820154536161068E-3</v>
      </c>
    </row>
    <row r="786" spans="15:19" x14ac:dyDescent="0.3">
      <c r="O786" s="101">
        <v>41915</v>
      </c>
      <c r="P786" s="110">
        <v>28494.22</v>
      </c>
      <c r="Q786" s="110">
        <v>611.54999999999995</v>
      </c>
      <c r="R786" s="102">
        <f t="shared" si="66"/>
        <v>-7.8228441832482367E-3</v>
      </c>
      <c r="S786" s="102">
        <f t="shared" si="66"/>
        <v>-1.8134148621295717E-3</v>
      </c>
    </row>
    <row r="787" spans="15:19" x14ac:dyDescent="0.3">
      <c r="O787" s="101">
        <v>41914</v>
      </c>
      <c r="P787" s="110">
        <v>28718</v>
      </c>
      <c r="Q787" s="110">
        <v>612.66</v>
      </c>
      <c r="R787" s="102">
        <f t="shared" si="66"/>
        <v>-2.5939584978690619E-3</v>
      </c>
      <c r="S787" s="102">
        <f t="shared" si="66"/>
        <v>5.5486135823734958E-3</v>
      </c>
    </row>
    <row r="788" spans="15:19" x14ac:dyDescent="0.3">
      <c r="O788" s="101">
        <v>41913</v>
      </c>
      <c r="P788" s="110">
        <v>28792.59</v>
      </c>
      <c r="Q788" s="110">
        <v>609.27</v>
      </c>
      <c r="R788" s="102">
        <f t="shared" si="66"/>
        <v>5.1946631193839753E-3</v>
      </c>
      <c r="S788" s="102">
        <f t="shared" si="66"/>
        <v>1.7333866667654779E-2</v>
      </c>
    </row>
    <row r="789" spans="15:19" x14ac:dyDescent="0.3">
      <c r="O789" s="101">
        <v>41912</v>
      </c>
      <c r="P789" s="110">
        <v>28643.41</v>
      </c>
      <c r="Q789" s="110">
        <v>598.79999999999995</v>
      </c>
      <c r="R789" s="102">
        <f t="shared" si="66"/>
        <v>0</v>
      </c>
      <c r="S789" s="102">
        <f t="shared" si="66"/>
        <v>-1.6352687653475662E-3</v>
      </c>
    </row>
    <row r="790" spans="15:19" x14ac:dyDescent="0.3">
      <c r="O790" s="101">
        <v>41911</v>
      </c>
      <c r="P790" s="110">
        <v>28643.41</v>
      </c>
      <c r="Q790" s="110">
        <v>599.78</v>
      </c>
      <c r="R790" s="102">
        <f t="shared" si="66"/>
        <v>2.6074859260454579E-3</v>
      </c>
      <c r="S790" s="102">
        <f t="shared" si="66"/>
        <v>-8.6324783223582138E-3</v>
      </c>
    </row>
    <row r="791" spans="15:19" x14ac:dyDescent="0.3">
      <c r="O791" s="101">
        <v>41908</v>
      </c>
      <c r="P791" s="110">
        <v>28568.82</v>
      </c>
      <c r="Q791" s="110">
        <v>604.98</v>
      </c>
      <c r="R791" s="102">
        <f t="shared" si="66"/>
        <v>2.614653635687796E-3</v>
      </c>
      <c r="S791" s="102">
        <f t="shared" si="66"/>
        <v>-1.9833399509684948E-4</v>
      </c>
    </row>
    <row r="792" spans="15:19" x14ac:dyDescent="0.3">
      <c r="O792" s="101">
        <v>41907</v>
      </c>
      <c r="P792" s="110">
        <v>28494.22</v>
      </c>
      <c r="Q792" s="110">
        <v>605.1</v>
      </c>
      <c r="R792" s="102">
        <f t="shared" si="66"/>
        <v>5.2492007300353255E-3</v>
      </c>
      <c r="S792" s="102">
        <f t="shared" si="66"/>
        <v>2.4985741349085838E-3</v>
      </c>
    </row>
    <row r="793" spans="15:19" x14ac:dyDescent="0.3">
      <c r="O793" s="101">
        <v>41906</v>
      </c>
      <c r="P793" s="110">
        <v>28345.040000000001</v>
      </c>
      <c r="Q793" s="110">
        <v>603.59</v>
      </c>
      <c r="R793" s="102">
        <f t="shared" si="66"/>
        <v>0</v>
      </c>
      <c r="S793" s="102">
        <f t="shared" si="66"/>
        <v>-1.1202937642813257E-2</v>
      </c>
    </row>
    <row r="794" spans="15:19" x14ac:dyDescent="0.3">
      <c r="O794" s="101">
        <v>41905</v>
      </c>
      <c r="P794" s="110">
        <v>28345.040000000001</v>
      </c>
      <c r="Q794" s="110">
        <v>610.39</v>
      </c>
      <c r="R794" s="102">
        <f t="shared" si="66"/>
        <v>1.3245189118510923E-2</v>
      </c>
      <c r="S794" s="102">
        <f t="shared" si="66"/>
        <v>-2.5197997493918729E-3</v>
      </c>
    </row>
    <row r="795" spans="15:19" x14ac:dyDescent="0.3">
      <c r="O795" s="101">
        <v>41904</v>
      </c>
      <c r="P795" s="110">
        <v>27972.080000000002</v>
      </c>
      <c r="Q795" s="110">
        <v>611.92999999999995</v>
      </c>
      <c r="R795" s="102">
        <f t="shared" si="66"/>
        <v>-2.6630385034037965E-3</v>
      </c>
      <c r="S795" s="102">
        <f t="shared" si="66"/>
        <v>-2.2200103794538461E-3</v>
      </c>
    </row>
    <row r="796" spans="15:19" x14ac:dyDescent="0.3">
      <c r="O796" s="101">
        <v>41901</v>
      </c>
      <c r="P796" s="110">
        <v>28046.67</v>
      </c>
      <c r="Q796" s="110">
        <v>613.29</v>
      </c>
      <c r="R796" s="102">
        <f t="shared" si="66"/>
        <v>-5.3052503122109325E-3</v>
      </c>
      <c r="S796" s="102">
        <f t="shared" si="66"/>
        <v>-4.0843282253738645E-3</v>
      </c>
    </row>
    <row r="797" spans="15:19" x14ac:dyDescent="0.3">
      <c r="O797" s="101">
        <v>41900</v>
      </c>
      <c r="P797" s="110">
        <v>28195.86</v>
      </c>
      <c r="Q797" s="110">
        <v>615.79999999999995</v>
      </c>
      <c r="R797" s="102">
        <f t="shared" si="66"/>
        <v>-1.834894521617968E-2</v>
      </c>
      <c r="S797" s="102">
        <f t="shared" si="66"/>
        <v>-1.588485707021876E-2</v>
      </c>
    </row>
    <row r="798" spans="15:19" x14ac:dyDescent="0.3">
      <c r="O798" s="101">
        <v>41899</v>
      </c>
      <c r="P798" s="110">
        <v>28718</v>
      </c>
      <c r="Q798" s="110">
        <v>625.66</v>
      </c>
      <c r="R798" s="102">
        <f t="shared" ref="R798:S861" si="67">LN(P798/P799)</f>
        <v>-1.5464114376071533E-2</v>
      </c>
      <c r="S798" s="102">
        <f t="shared" si="67"/>
        <v>-3.191526023105685E-3</v>
      </c>
    </row>
    <row r="799" spans="15:19" x14ac:dyDescent="0.3">
      <c r="O799" s="101">
        <v>41898</v>
      </c>
      <c r="P799" s="110">
        <v>29165.55</v>
      </c>
      <c r="Q799" s="110">
        <v>627.66</v>
      </c>
      <c r="R799" s="102">
        <f t="shared" si="67"/>
        <v>-1.2706956042641569E-2</v>
      </c>
      <c r="S799" s="102">
        <f t="shared" si="67"/>
        <v>-4.2607377652889959E-3</v>
      </c>
    </row>
    <row r="800" spans="15:19" x14ac:dyDescent="0.3">
      <c r="O800" s="101">
        <v>41897</v>
      </c>
      <c r="P800" s="110">
        <v>29538.52</v>
      </c>
      <c r="Q800" s="110">
        <v>630.34</v>
      </c>
      <c r="R800" s="102">
        <f t="shared" si="67"/>
        <v>1.52677012970279E-2</v>
      </c>
      <c r="S800" s="102">
        <f t="shared" si="67"/>
        <v>-3.4208642526618229E-3</v>
      </c>
    </row>
    <row r="801" spans="15:19" x14ac:dyDescent="0.3">
      <c r="O801" s="101">
        <v>41894</v>
      </c>
      <c r="P801" s="110">
        <v>29090.959999999999</v>
      </c>
      <c r="Q801" s="110">
        <v>632.5</v>
      </c>
      <c r="R801" s="102">
        <f t="shared" si="67"/>
        <v>2.3347369410367514E-2</v>
      </c>
      <c r="S801" s="102">
        <f t="shared" si="67"/>
        <v>5.5648622788056585E-3</v>
      </c>
    </row>
    <row r="802" spans="15:19" x14ac:dyDescent="0.3">
      <c r="O802" s="101">
        <v>41893</v>
      </c>
      <c r="P802" s="110">
        <v>28419.63</v>
      </c>
      <c r="Q802" s="110">
        <v>628.99</v>
      </c>
      <c r="R802" s="102">
        <f t="shared" si="67"/>
        <v>2.6280446246013784E-3</v>
      </c>
      <c r="S802" s="102">
        <f t="shared" si="67"/>
        <v>3.0211720787300252E-4</v>
      </c>
    </row>
    <row r="803" spans="15:19" x14ac:dyDescent="0.3">
      <c r="O803" s="101">
        <v>41892</v>
      </c>
      <c r="P803" s="110">
        <v>28345.040000000001</v>
      </c>
      <c r="Q803" s="110">
        <v>628.79999999999995</v>
      </c>
      <c r="R803" s="102">
        <f t="shared" si="67"/>
        <v>0</v>
      </c>
      <c r="S803" s="102">
        <f t="shared" si="67"/>
        <v>2.9943003291294282E-3</v>
      </c>
    </row>
    <row r="804" spans="15:19" x14ac:dyDescent="0.3">
      <c r="O804" s="101">
        <v>41891</v>
      </c>
      <c r="P804" s="110">
        <v>28345.040000000001</v>
      </c>
      <c r="Q804" s="110">
        <v>626.91999999999996</v>
      </c>
      <c r="R804" s="102">
        <f t="shared" si="67"/>
        <v>-4.3765109722870683E-2</v>
      </c>
      <c r="S804" s="102">
        <f t="shared" si="67"/>
        <v>-2.041483309773769E-2</v>
      </c>
    </row>
    <row r="805" spans="15:19" x14ac:dyDescent="0.3">
      <c r="O805" s="101">
        <v>41890</v>
      </c>
      <c r="P805" s="110">
        <v>29613.11</v>
      </c>
      <c r="Q805" s="110">
        <v>639.85</v>
      </c>
      <c r="R805" s="102">
        <f t="shared" si="67"/>
        <v>-7.5280435465060304E-3</v>
      </c>
      <c r="S805" s="102">
        <f t="shared" si="67"/>
        <v>1.8772003948192551E-3</v>
      </c>
    </row>
    <row r="806" spans="15:19" x14ac:dyDescent="0.3">
      <c r="O806" s="101">
        <v>41887</v>
      </c>
      <c r="P806" s="110">
        <v>29836.880000000001</v>
      </c>
      <c r="Q806" s="110">
        <v>638.65</v>
      </c>
      <c r="R806" s="102">
        <f t="shared" si="67"/>
        <v>7.5280435465059515E-3</v>
      </c>
      <c r="S806" s="102">
        <f t="shared" si="67"/>
        <v>-2.4552937964366613E-3</v>
      </c>
    </row>
    <row r="807" spans="15:19" x14ac:dyDescent="0.3">
      <c r="O807" s="101">
        <v>41886</v>
      </c>
      <c r="P807" s="110">
        <v>29613.11</v>
      </c>
      <c r="Q807" s="110">
        <v>640.22</v>
      </c>
      <c r="R807" s="102">
        <f t="shared" si="67"/>
        <v>-2.733074970284409E-2</v>
      </c>
      <c r="S807" s="102">
        <f t="shared" si="67"/>
        <v>-8.2749795895799999E-4</v>
      </c>
    </row>
    <row r="808" spans="15:19" x14ac:dyDescent="0.3">
      <c r="O808" s="101">
        <v>41885</v>
      </c>
      <c r="P808" s="110">
        <v>30433.62</v>
      </c>
      <c r="Q808" s="110">
        <v>640.75</v>
      </c>
      <c r="R808" s="102">
        <f t="shared" si="67"/>
        <v>-9.7562132269928738E-3</v>
      </c>
      <c r="S808" s="102">
        <f t="shared" si="67"/>
        <v>6.4193112247358589E-3</v>
      </c>
    </row>
    <row r="809" spans="15:19" x14ac:dyDescent="0.3">
      <c r="O809" s="101">
        <v>41880</v>
      </c>
      <c r="P809" s="110">
        <v>30731.99</v>
      </c>
      <c r="Q809" s="110">
        <v>636.65</v>
      </c>
      <c r="R809" s="102">
        <f t="shared" si="67"/>
        <v>2.4571191118891927E-2</v>
      </c>
      <c r="S809" s="102">
        <f t="shared" si="67"/>
        <v>7.2831926447435372E-3</v>
      </c>
    </row>
    <row r="810" spans="15:19" x14ac:dyDescent="0.3">
      <c r="O810" s="101">
        <v>41879</v>
      </c>
      <c r="P810" s="110">
        <v>29986.07</v>
      </c>
      <c r="Q810" s="110">
        <v>632.03</v>
      </c>
      <c r="R810" s="102">
        <f t="shared" si="67"/>
        <v>2.7744722244460548E-2</v>
      </c>
      <c r="S810" s="102">
        <f t="shared" si="67"/>
        <v>5.1713313215230134E-3</v>
      </c>
    </row>
    <row r="811" spans="15:19" x14ac:dyDescent="0.3">
      <c r="O811" s="101">
        <v>41878</v>
      </c>
      <c r="P811" s="110">
        <v>29165.55</v>
      </c>
      <c r="Q811" s="110">
        <v>628.77</v>
      </c>
      <c r="R811" s="102">
        <f t="shared" si="67"/>
        <v>-1.5228950433515602E-2</v>
      </c>
      <c r="S811" s="102">
        <f t="shared" si="67"/>
        <v>-4.6111160512683731E-4</v>
      </c>
    </row>
    <row r="812" spans="15:19" x14ac:dyDescent="0.3">
      <c r="O812" s="101">
        <v>41877</v>
      </c>
      <c r="P812" s="110">
        <v>29613.11</v>
      </c>
      <c r="Q812" s="110">
        <v>629.05999999999995</v>
      </c>
      <c r="R812" s="102">
        <f t="shared" si="67"/>
        <v>-2.5156499325004913E-3</v>
      </c>
      <c r="S812" s="102">
        <f t="shared" si="67"/>
        <v>5.0679822244483821E-3</v>
      </c>
    </row>
    <row r="813" spans="15:19" x14ac:dyDescent="0.3">
      <c r="O813" s="101">
        <v>41876</v>
      </c>
      <c r="P813" s="110">
        <v>29687.7</v>
      </c>
      <c r="Q813" s="110">
        <v>625.88</v>
      </c>
      <c r="R813" s="102">
        <f t="shared" si="67"/>
        <v>2.0305345620402541E-2</v>
      </c>
      <c r="S813" s="102">
        <f t="shared" si="67"/>
        <v>9.2134004335459405E-3</v>
      </c>
    </row>
    <row r="814" spans="15:19" x14ac:dyDescent="0.3">
      <c r="O814" s="101">
        <v>41873</v>
      </c>
      <c r="P814" s="110">
        <v>29090.959999999999</v>
      </c>
      <c r="Q814" s="110">
        <v>620.14</v>
      </c>
      <c r="R814" s="102">
        <f t="shared" si="67"/>
        <v>1.0309410623816323E-2</v>
      </c>
      <c r="S814" s="102">
        <f t="shared" si="67"/>
        <v>1.1678207136807258E-2</v>
      </c>
    </row>
    <row r="815" spans="15:19" x14ac:dyDescent="0.3">
      <c r="O815" s="101">
        <v>41872</v>
      </c>
      <c r="P815" s="110">
        <v>28792.59</v>
      </c>
      <c r="Q815" s="110">
        <v>612.94000000000005</v>
      </c>
      <c r="R815" s="102">
        <f t="shared" si="67"/>
        <v>3.4258999170919666E-2</v>
      </c>
      <c r="S815" s="102">
        <f t="shared" si="67"/>
        <v>1.0232616915251081E-2</v>
      </c>
    </row>
    <row r="816" spans="15:19" x14ac:dyDescent="0.3">
      <c r="O816" s="101">
        <v>41871</v>
      </c>
      <c r="P816" s="110">
        <v>27822.89</v>
      </c>
      <c r="Q816" s="110">
        <v>606.70000000000005</v>
      </c>
      <c r="R816" s="102">
        <f t="shared" si="67"/>
        <v>8.0751750423085113E-3</v>
      </c>
      <c r="S816" s="102">
        <f t="shared" si="67"/>
        <v>3.4011953470734118E-3</v>
      </c>
    </row>
    <row r="817" spans="15:19" x14ac:dyDescent="0.3">
      <c r="O817" s="101">
        <v>41870</v>
      </c>
      <c r="P817" s="110">
        <v>27599.119999999999</v>
      </c>
      <c r="Q817" s="110">
        <v>604.64</v>
      </c>
      <c r="R817" s="102">
        <f t="shared" si="67"/>
        <v>-1.3422981683564726E-2</v>
      </c>
      <c r="S817" s="102">
        <f t="shared" si="67"/>
        <v>-7.2744109281977205E-4</v>
      </c>
    </row>
    <row r="818" spans="15:19" x14ac:dyDescent="0.3">
      <c r="O818" s="101">
        <v>41869</v>
      </c>
      <c r="P818" s="110">
        <v>27972.080000000002</v>
      </c>
      <c r="Q818" s="110">
        <v>605.08000000000004</v>
      </c>
      <c r="R818" s="102">
        <f t="shared" si="67"/>
        <v>2.9771998244695171E-2</v>
      </c>
      <c r="S818" s="102">
        <f t="shared" si="67"/>
        <v>1.3892106888061422E-3</v>
      </c>
    </row>
    <row r="819" spans="15:19" x14ac:dyDescent="0.3">
      <c r="O819" s="101">
        <v>41866</v>
      </c>
      <c r="P819" s="110">
        <v>27151.57</v>
      </c>
      <c r="Q819" s="110">
        <v>604.24</v>
      </c>
      <c r="R819" s="102">
        <f t="shared" si="67"/>
        <v>5.5098613280381258E-3</v>
      </c>
      <c r="S819" s="102">
        <f t="shared" si="67"/>
        <v>-1.670125812975371E-3</v>
      </c>
    </row>
    <row r="820" spans="15:19" x14ac:dyDescent="0.3">
      <c r="O820" s="101">
        <v>41865</v>
      </c>
      <c r="P820" s="110">
        <v>27002.38</v>
      </c>
      <c r="Q820" s="110">
        <v>605.25</v>
      </c>
      <c r="R820" s="102">
        <f t="shared" si="67"/>
        <v>0</v>
      </c>
      <c r="S820" s="102">
        <f t="shared" si="67"/>
        <v>4.1224882682142361E-3</v>
      </c>
    </row>
    <row r="821" spans="15:19" x14ac:dyDescent="0.3">
      <c r="O821" s="101">
        <v>41864</v>
      </c>
      <c r="P821" s="110">
        <v>27002.38</v>
      </c>
      <c r="Q821" s="110">
        <v>602.76</v>
      </c>
      <c r="R821" s="102">
        <f t="shared" si="67"/>
        <v>-8.2532655408293441E-3</v>
      </c>
      <c r="S821" s="102">
        <f t="shared" si="67"/>
        <v>1.6271775386943173E-3</v>
      </c>
    </row>
    <row r="822" spans="15:19" x14ac:dyDescent="0.3">
      <c r="O822" s="101">
        <v>41863</v>
      </c>
      <c r="P822" s="110">
        <v>27226.16</v>
      </c>
      <c r="Q822" s="110">
        <v>601.78</v>
      </c>
      <c r="R822" s="102">
        <f t="shared" si="67"/>
        <v>0</v>
      </c>
      <c r="S822" s="102">
        <f t="shared" si="67"/>
        <v>-5.814388282520173E-4</v>
      </c>
    </row>
    <row r="823" spans="15:19" x14ac:dyDescent="0.3">
      <c r="O823" s="101">
        <v>41862</v>
      </c>
      <c r="P823" s="110">
        <v>27226.16</v>
      </c>
      <c r="Q823" s="110">
        <v>602.13</v>
      </c>
      <c r="R823" s="102">
        <f t="shared" si="67"/>
        <v>-1.8996301246147644E-2</v>
      </c>
      <c r="S823" s="102">
        <f t="shared" si="67"/>
        <v>-5.4655805342223723E-3</v>
      </c>
    </row>
    <row r="824" spans="15:19" x14ac:dyDescent="0.3">
      <c r="O824" s="101">
        <v>41859</v>
      </c>
      <c r="P824" s="110">
        <v>27748.3</v>
      </c>
      <c r="Q824" s="110">
        <v>605.42999999999995</v>
      </c>
      <c r="R824" s="102">
        <f t="shared" si="67"/>
        <v>0</v>
      </c>
      <c r="S824" s="102">
        <f t="shared" si="67"/>
        <v>-3.6107371985149056E-3</v>
      </c>
    </row>
    <row r="825" spans="15:19" x14ac:dyDescent="0.3">
      <c r="O825" s="101">
        <v>41858</v>
      </c>
      <c r="P825" s="110">
        <v>27748.3</v>
      </c>
      <c r="Q825" s="110">
        <v>607.62</v>
      </c>
      <c r="R825" s="102">
        <f t="shared" si="67"/>
        <v>2.6917120124533966E-3</v>
      </c>
      <c r="S825" s="102">
        <f t="shared" si="67"/>
        <v>1.5152516239963472E-3</v>
      </c>
    </row>
    <row r="826" spans="15:19" x14ac:dyDescent="0.3">
      <c r="O826" s="101">
        <v>41857</v>
      </c>
      <c r="P826" s="110">
        <v>27673.71</v>
      </c>
      <c r="Q826" s="110">
        <v>606.70000000000005</v>
      </c>
      <c r="R826" s="102">
        <f t="shared" si="67"/>
        <v>0</v>
      </c>
      <c r="S826" s="102">
        <f t="shared" si="67"/>
        <v>-1.6962694382892604E-3</v>
      </c>
    </row>
    <row r="827" spans="15:19" x14ac:dyDescent="0.3">
      <c r="O827" s="101">
        <v>41856</v>
      </c>
      <c r="P827" s="110">
        <v>27673.71</v>
      </c>
      <c r="Q827" s="110">
        <v>607.73</v>
      </c>
      <c r="R827" s="102">
        <f t="shared" si="67"/>
        <v>-2.6917120124534282E-3</v>
      </c>
      <c r="S827" s="102">
        <f t="shared" si="67"/>
        <v>1.4402330537368948E-2</v>
      </c>
    </row>
    <row r="828" spans="15:19" x14ac:dyDescent="0.3">
      <c r="O828" s="101">
        <v>41855</v>
      </c>
      <c r="P828" s="110">
        <v>27748.3</v>
      </c>
      <c r="Q828" s="110">
        <v>599.04</v>
      </c>
      <c r="R828" s="102">
        <f t="shared" si="67"/>
        <v>2.4491025965030343E-2</v>
      </c>
      <c r="S828" s="102">
        <f t="shared" si="67"/>
        <v>8.6174188273580293E-3</v>
      </c>
    </row>
    <row r="829" spans="15:19" x14ac:dyDescent="0.3">
      <c r="O829" s="101">
        <v>41852</v>
      </c>
      <c r="P829" s="110">
        <v>27076.97</v>
      </c>
      <c r="Q829" s="110">
        <v>593.9</v>
      </c>
      <c r="R829" s="102">
        <f t="shared" si="67"/>
        <v>-2.751320506091318E-3</v>
      </c>
      <c r="S829" s="102">
        <f t="shared" si="67"/>
        <v>-3.6471548112930363E-3</v>
      </c>
    </row>
    <row r="830" spans="15:19" x14ac:dyDescent="0.3">
      <c r="O830" s="101">
        <v>41851</v>
      </c>
      <c r="P830" s="110">
        <v>27151.57</v>
      </c>
      <c r="Q830" s="110">
        <v>596.07000000000005</v>
      </c>
      <c r="R830" s="102">
        <f t="shared" si="67"/>
        <v>-5.4793027453280138E-3</v>
      </c>
      <c r="S830" s="102">
        <f t="shared" si="67"/>
        <v>1.1371811428221506E-2</v>
      </c>
    </row>
    <row r="831" spans="15:19" x14ac:dyDescent="0.3">
      <c r="O831" s="101">
        <v>41850</v>
      </c>
      <c r="P831" s="110">
        <v>27300.75</v>
      </c>
      <c r="Q831" s="110">
        <v>589.33000000000004</v>
      </c>
      <c r="R831" s="102">
        <f t="shared" si="67"/>
        <v>-8.1634327359212701E-3</v>
      </c>
      <c r="S831" s="102">
        <f t="shared" si="67"/>
        <v>-4.9256597299568742E-3</v>
      </c>
    </row>
    <row r="832" spans="15:19" x14ac:dyDescent="0.3">
      <c r="O832" s="101">
        <v>41849</v>
      </c>
      <c r="P832" s="110">
        <v>27524.53</v>
      </c>
      <c r="Q832" s="110">
        <v>592.24</v>
      </c>
      <c r="R832" s="102">
        <f t="shared" si="67"/>
        <v>1.0899331268457914E-2</v>
      </c>
      <c r="S832" s="102">
        <f t="shared" si="67"/>
        <v>4.72205939670648E-3</v>
      </c>
    </row>
    <row r="833" spans="15:19" x14ac:dyDescent="0.3">
      <c r="O833" s="101">
        <v>41848</v>
      </c>
      <c r="P833" s="110">
        <v>27226.16</v>
      </c>
      <c r="Q833" s="110">
        <v>589.45000000000005</v>
      </c>
      <c r="R833" s="102">
        <f t="shared" si="67"/>
        <v>-1.8996301246147644E-2</v>
      </c>
      <c r="S833" s="102">
        <f t="shared" si="67"/>
        <v>-1.7973062593354763E-2</v>
      </c>
    </row>
    <row r="834" spans="15:19" x14ac:dyDescent="0.3">
      <c r="O834" s="101">
        <v>41845</v>
      </c>
      <c r="P834" s="110">
        <v>27748.3</v>
      </c>
      <c r="Q834" s="110">
        <v>600.14</v>
      </c>
      <c r="R834" s="102">
        <f t="shared" si="67"/>
        <v>-8.0322927857561545E-3</v>
      </c>
      <c r="S834" s="102">
        <f t="shared" si="67"/>
        <v>-3.194146784913417E-3</v>
      </c>
    </row>
    <row r="835" spans="15:19" x14ac:dyDescent="0.3">
      <c r="O835" s="101">
        <v>41844</v>
      </c>
      <c r="P835" s="110">
        <v>27972.080000000002</v>
      </c>
      <c r="Q835" s="110">
        <v>602.05999999999995</v>
      </c>
      <c r="R835" s="102">
        <f t="shared" si="67"/>
        <v>0</v>
      </c>
      <c r="S835" s="102">
        <f t="shared" si="67"/>
        <v>7.6028243107389686E-3</v>
      </c>
    </row>
    <row r="836" spans="15:19" x14ac:dyDescent="0.3">
      <c r="O836" s="101">
        <v>41843</v>
      </c>
      <c r="P836" s="110">
        <v>27972.080000000002</v>
      </c>
      <c r="Q836" s="110">
        <v>597.5</v>
      </c>
      <c r="R836" s="102">
        <f t="shared" si="67"/>
        <v>0</v>
      </c>
      <c r="S836" s="102">
        <f t="shared" si="67"/>
        <v>-8.0302476962218819E-4</v>
      </c>
    </row>
    <row r="837" spans="15:19" x14ac:dyDescent="0.3">
      <c r="O837" s="101">
        <v>41842</v>
      </c>
      <c r="P837" s="110">
        <v>27972.080000000002</v>
      </c>
      <c r="Q837" s="110">
        <v>597.98</v>
      </c>
      <c r="R837" s="102">
        <f t="shared" si="67"/>
        <v>5.3478066412561975E-3</v>
      </c>
      <c r="S837" s="102">
        <f t="shared" si="67"/>
        <v>-5.1041794856171553E-3</v>
      </c>
    </row>
    <row r="838" spans="15:19" x14ac:dyDescent="0.3">
      <c r="O838" s="101">
        <v>41841</v>
      </c>
      <c r="P838" s="110">
        <v>27822.89</v>
      </c>
      <c r="Q838" s="110">
        <v>601.04</v>
      </c>
      <c r="R838" s="102">
        <f t="shared" si="67"/>
        <v>-8.0108451446600903E-3</v>
      </c>
      <c r="S838" s="102">
        <f t="shared" si="67"/>
        <v>7.98467451052433E-3</v>
      </c>
    </row>
    <row r="839" spans="15:19" x14ac:dyDescent="0.3">
      <c r="O839" s="101">
        <v>41838</v>
      </c>
      <c r="P839" s="110">
        <v>28046.67</v>
      </c>
      <c r="Q839" s="110">
        <v>596.26</v>
      </c>
      <c r="R839" s="102">
        <f t="shared" si="67"/>
        <v>-1.3210195239708438E-2</v>
      </c>
      <c r="S839" s="102">
        <f t="shared" si="67"/>
        <v>9.9273545632726275E-3</v>
      </c>
    </row>
    <row r="840" spans="15:19" x14ac:dyDescent="0.3">
      <c r="O840" s="101">
        <v>41837</v>
      </c>
      <c r="P840" s="110">
        <v>28419.63</v>
      </c>
      <c r="Q840" s="110">
        <v>590.37</v>
      </c>
      <c r="R840" s="102">
        <f t="shared" si="67"/>
        <v>-2.6211561054339666E-3</v>
      </c>
      <c r="S840" s="102">
        <f t="shared" si="67"/>
        <v>1.1694421060747301E-3</v>
      </c>
    </row>
    <row r="841" spans="15:19" x14ac:dyDescent="0.3">
      <c r="O841" s="101">
        <v>41836</v>
      </c>
      <c r="P841" s="110">
        <v>28494.22</v>
      </c>
      <c r="Q841" s="110">
        <v>589.67999999999995</v>
      </c>
      <c r="R841" s="102">
        <f t="shared" si="67"/>
        <v>0</v>
      </c>
      <c r="S841" s="102">
        <f t="shared" si="67"/>
        <v>6.2765589554925972E-4</v>
      </c>
    </row>
    <row r="842" spans="15:19" x14ac:dyDescent="0.3">
      <c r="O842" s="101">
        <v>41835</v>
      </c>
      <c r="P842" s="110">
        <v>28494.22</v>
      </c>
      <c r="Q842" s="110">
        <v>589.30999999999995</v>
      </c>
      <c r="R842" s="102">
        <f t="shared" si="67"/>
        <v>2.621156105433843E-3</v>
      </c>
      <c r="S842" s="102">
        <f t="shared" si="67"/>
        <v>5.2401569455221174E-3</v>
      </c>
    </row>
    <row r="843" spans="15:19" x14ac:dyDescent="0.3">
      <c r="O843" s="101">
        <v>41834</v>
      </c>
      <c r="P843" s="110">
        <v>28419.63</v>
      </c>
      <c r="Q843" s="110">
        <v>586.23</v>
      </c>
      <c r="R843" s="102">
        <f t="shared" si="67"/>
        <v>2.6280446246013784E-3</v>
      </c>
      <c r="S843" s="102">
        <f t="shared" si="67"/>
        <v>5.9196066786942839E-3</v>
      </c>
    </row>
    <row r="844" spans="15:19" x14ac:dyDescent="0.3">
      <c r="O844" s="101">
        <v>41831</v>
      </c>
      <c r="P844" s="110">
        <v>28345.040000000001</v>
      </c>
      <c r="Q844" s="110">
        <v>582.77</v>
      </c>
      <c r="R844" s="102">
        <f t="shared" si="67"/>
        <v>-2.6280446246013849E-3</v>
      </c>
      <c r="S844" s="102">
        <f t="shared" si="67"/>
        <v>-3.6141006237928128E-3</v>
      </c>
    </row>
    <row r="845" spans="15:19" x14ac:dyDescent="0.3">
      <c r="O845" s="101">
        <v>41830</v>
      </c>
      <c r="P845" s="110">
        <v>28419.63</v>
      </c>
      <c r="Q845" s="110">
        <v>584.88</v>
      </c>
      <c r="R845" s="102">
        <f t="shared" si="67"/>
        <v>-1.8206122293691056E-2</v>
      </c>
      <c r="S845" s="102">
        <f t="shared" si="67"/>
        <v>-1.1424032851584312E-2</v>
      </c>
    </row>
    <row r="846" spans="15:19" x14ac:dyDescent="0.3">
      <c r="O846" s="101">
        <v>41829</v>
      </c>
      <c r="P846" s="110">
        <v>28941.78</v>
      </c>
      <c r="Q846" s="110">
        <v>591.6</v>
      </c>
      <c r="R846" s="102">
        <f t="shared" si="67"/>
        <v>2.5805698109945983E-3</v>
      </c>
      <c r="S846" s="102">
        <f t="shared" si="67"/>
        <v>2.1976721668755844E-4</v>
      </c>
    </row>
    <row r="847" spans="15:19" x14ac:dyDescent="0.3">
      <c r="O847" s="101">
        <v>41828</v>
      </c>
      <c r="P847" s="110">
        <v>28867.19</v>
      </c>
      <c r="Q847" s="110">
        <v>591.47</v>
      </c>
      <c r="R847" s="102">
        <f t="shared" si="67"/>
        <v>1.3004396377262507E-2</v>
      </c>
      <c r="S847" s="102">
        <f t="shared" si="67"/>
        <v>1.3196185172744106E-3</v>
      </c>
    </row>
    <row r="848" spans="15:19" x14ac:dyDescent="0.3">
      <c r="O848" s="101">
        <v>41827</v>
      </c>
      <c r="P848" s="110">
        <v>28494.22</v>
      </c>
      <c r="Q848" s="110">
        <v>590.69000000000005</v>
      </c>
      <c r="R848" s="102">
        <f t="shared" si="67"/>
        <v>3.1917371532111105E-2</v>
      </c>
      <c r="S848" s="102">
        <f t="shared" si="67"/>
        <v>2.2711104301045607E-3</v>
      </c>
    </row>
    <row r="849" spans="15:19" x14ac:dyDescent="0.3">
      <c r="O849" s="101">
        <v>41824</v>
      </c>
      <c r="P849" s="110">
        <v>27599.119999999999</v>
      </c>
      <c r="Q849" s="110">
        <v>589.35</v>
      </c>
      <c r="R849" s="102">
        <f t="shared" si="67"/>
        <v>0</v>
      </c>
      <c r="S849" s="102">
        <f t="shared" si="67"/>
        <v>7.3741999909314434E-3</v>
      </c>
    </row>
    <row r="850" spans="15:19" x14ac:dyDescent="0.3">
      <c r="O850" s="101">
        <v>41823</v>
      </c>
      <c r="P850" s="110">
        <v>27599.119999999999</v>
      </c>
      <c r="Q850" s="110">
        <v>585.02</v>
      </c>
      <c r="R850" s="102">
        <f t="shared" si="67"/>
        <v>-1.075283246577045E-2</v>
      </c>
      <c r="S850" s="102">
        <f t="shared" si="67"/>
        <v>1.0689039924318296E-2</v>
      </c>
    </row>
    <row r="851" spans="15:19" x14ac:dyDescent="0.3">
      <c r="O851" s="101">
        <v>41822</v>
      </c>
      <c r="P851" s="110">
        <v>27897.49</v>
      </c>
      <c r="Q851" s="110">
        <v>578.79999999999995</v>
      </c>
      <c r="R851" s="102">
        <f t="shared" si="67"/>
        <v>1.3459113545651461E-2</v>
      </c>
      <c r="S851" s="102">
        <f t="shared" si="67"/>
        <v>1.2620261514080357E-3</v>
      </c>
    </row>
    <row r="852" spans="15:19" x14ac:dyDescent="0.3">
      <c r="O852" s="101">
        <v>41821</v>
      </c>
      <c r="P852" s="110">
        <v>27524.53</v>
      </c>
      <c r="Q852" s="110">
        <v>578.07000000000005</v>
      </c>
      <c r="R852" s="102">
        <f t="shared" si="67"/>
        <v>2.1918768232878749E-2</v>
      </c>
      <c r="S852" s="102">
        <f t="shared" si="67"/>
        <v>-1.0378827201831634E-4</v>
      </c>
    </row>
    <row r="853" spans="15:19" x14ac:dyDescent="0.3">
      <c r="O853" s="101">
        <v>41820</v>
      </c>
      <c r="P853" s="110">
        <v>26927.79</v>
      </c>
      <c r="Q853" s="110">
        <v>578.13</v>
      </c>
      <c r="R853" s="102">
        <f t="shared" si="67"/>
        <v>-3.2700224355068246E-2</v>
      </c>
      <c r="S853" s="102">
        <f t="shared" si="67"/>
        <v>-1.1927915325784194E-3</v>
      </c>
    </row>
    <row r="854" spans="15:19" x14ac:dyDescent="0.3">
      <c r="O854" s="101">
        <v>41817</v>
      </c>
      <c r="P854" s="110">
        <v>27822.89</v>
      </c>
      <c r="Q854" s="110">
        <v>578.82000000000005</v>
      </c>
      <c r="R854" s="102">
        <f t="shared" si="67"/>
        <v>0</v>
      </c>
      <c r="S854" s="102">
        <f t="shared" si="67"/>
        <v>4.1896842851503833E-3</v>
      </c>
    </row>
    <row r="855" spans="15:19" x14ac:dyDescent="0.3">
      <c r="O855" s="101">
        <v>41816</v>
      </c>
      <c r="P855" s="110">
        <v>27822.89</v>
      </c>
      <c r="Q855" s="110">
        <v>576.4</v>
      </c>
      <c r="R855" s="102">
        <f t="shared" si="67"/>
        <v>1.0781456122189677E-2</v>
      </c>
      <c r="S855" s="102">
        <f t="shared" si="67"/>
        <v>7.1909561436991664E-3</v>
      </c>
    </row>
    <row r="856" spans="15:19" x14ac:dyDescent="0.3">
      <c r="O856" s="101">
        <v>41815</v>
      </c>
      <c r="P856" s="110">
        <v>27524.53</v>
      </c>
      <c r="Q856" s="110">
        <v>572.27</v>
      </c>
      <c r="R856" s="102">
        <f t="shared" si="67"/>
        <v>0</v>
      </c>
      <c r="S856" s="102">
        <f t="shared" si="67"/>
        <v>4.43079156760527E-3</v>
      </c>
    </row>
    <row r="857" spans="15:19" x14ac:dyDescent="0.3">
      <c r="O857" s="101">
        <v>41814</v>
      </c>
      <c r="P857" s="110">
        <v>27524.53</v>
      </c>
      <c r="Q857" s="110">
        <v>569.74</v>
      </c>
      <c r="R857" s="102">
        <f t="shared" si="67"/>
        <v>-8.0969699776896574E-3</v>
      </c>
      <c r="S857" s="102">
        <f t="shared" si="67"/>
        <v>6.7273909568921911E-3</v>
      </c>
    </row>
    <row r="858" spans="15:19" x14ac:dyDescent="0.3">
      <c r="O858" s="101">
        <v>41813</v>
      </c>
      <c r="P858" s="110">
        <v>27748.3</v>
      </c>
      <c r="Q858" s="110">
        <v>565.91999999999996</v>
      </c>
      <c r="R858" s="102">
        <f t="shared" si="67"/>
        <v>-5.3621435679618423E-3</v>
      </c>
      <c r="S858" s="102">
        <f t="shared" si="67"/>
        <v>9.1240537108304882E-3</v>
      </c>
    </row>
    <row r="859" spans="15:19" x14ac:dyDescent="0.3">
      <c r="O859" s="101">
        <v>41810</v>
      </c>
      <c r="P859" s="110">
        <v>27897.49</v>
      </c>
      <c r="Q859" s="110">
        <v>560.78</v>
      </c>
      <c r="R859" s="102">
        <f t="shared" si="67"/>
        <v>0</v>
      </c>
      <c r="S859" s="102">
        <f t="shared" si="67"/>
        <v>-1.1647725490658614E-2</v>
      </c>
    </row>
    <row r="860" spans="15:19" x14ac:dyDescent="0.3">
      <c r="O860" s="101">
        <v>41809</v>
      </c>
      <c r="P860" s="110">
        <v>27897.49</v>
      </c>
      <c r="Q860" s="110">
        <v>567.35</v>
      </c>
      <c r="R860" s="102">
        <f t="shared" si="67"/>
        <v>-5.3331877211981538E-3</v>
      </c>
      <c r="S860" s="102">
        <f t="shared" si="67"/>
        <v>-4.7125937855517497E-3</v>
      </c>
    </row>
    <row r="861" spans="15:19" x14ac:dyDescent="0.3">
      <c r="O861" s="101">
        <v>41808</v>
      </c>
      <c r="P861" s="110">
        <v>28046.67</v>
      </c>
      <c r="Q861" s="110">
        <v>570.03</v>
      </c>
      <c r="R861" s="102">
        <f t="shared" si="67"/>
        <v>5.3331877211981382E-3</v>
      </c>
      <c r="S861" s="102">
        <f t="shared" si="67"/>
        <v>-3.8869678101258426E-3</v>
      </c>
    </row>
    <row r="862" spans="15:19" x14ac:dyDescent="0.3">
      <c r="O862" s="101">
        <v>41807</v>
      </c>
      <c r="P862" s="110">
        <v>27897.49</v>
      </c>
      <c r="Q862" s="110">
        <v>572.25</v>
      </c>
      <c r="R862" s="102">
        <f t="shared" ref="R862:S925" si="68">LN(P862/P863)</f>
        <v>-1.3280368890419596E-2</v>
      </c>
      <c r="S862" s="102">
        <f t="shared" si="68"/>
        <v>-2.096765746529879E-4</v>
      </c>
    </row>
    <row r="863" spans="15:19" x14ac:dyDescent="0.3">
      <c r="O863" s="101">
        <v>41806</v>
      </c>
      <c r="P863" s="110">
        <v>28270.45</v>
      </c>
      <c r="Q863" s="110">
        <v>572.37</v>
      </c>
      <c r="R863" s="102">
        <f t="shared" si="68"/>
        <v>1.0610219672625145E-2</v>
      </c>
      <c r="S863" s="102">
        <f t="shared" si="68"/>
        <v>-3.6796483947330971E-3</v>
      </c>
    </row>
    <row r="864" spans="15:19" x14ac:dyDescent="0.3">
      <c r="O864" s="101">
        <v>41803</v>
      </c>
      <c r="P864" s="110">
        <v>27972.080000000002</v>
      </c>
      <c r="Q864" s="110">
        <v>574.48</v>
      </c>
      <c r="R864" s="102">
        <f t="shared" si="68"/>
        <v>2.6701492177943482E-3</v>
      </c>
      <c r="S864" s="102">
        <f t="shared" si="68"/>
        <v>1.2366646470470658E-3</v>
      </c>
    </row>
    <row r="865" spans="15:19" x14ac:dyDescent="0.3">
      <c r="O865" s="101">
        <v>41802</v>
      </c>
      <c r="P865" s="110">
        <v>27897.49</v>
      </c>
      <c r="Q865" s="110">
        <v>573.77</v>
      </c>
      <c r="R865" s="102">
        <f t="shared" si="68"/>
        <v>-5.3331877211981538E-3</v>
      </c>
      <c r="S865" s="102">
        <f t="shared" si="68"/>
        <v>5.9608787410965029E-3</v>
      </c>
    </row>
    <row r="866" spans="15:19" x14ac:dyDescent="0.3">
      <c r="O866" s="101">
        <v>41801</v>
      </c>
      <c r="P866" s="110">
        <v>28046.67</v>
      </c>
      <c r="Q866" s="110">
        <v>570.36</v>
      </c>
      <c r="R866" s="102">
        <f t="shared" si="68"/>
        <v>2.6630385034038268E-3</v>
      </c>
      <c r="S866" s="102">
        <f t="shared" si="68"/>
        <v>6.1024590346217397E-3</v>
      </c>
    </row>
    <row r="867" spans="15:19" x14ac:dyDescent="0.3">
      <c r="O867" s="101">
        <v>41800</v>
      </c>
      <c r="P867" s="110">
        <v>27972.080000000002</v>
      </c>
      <c r="Q867" s="110">
        <v>566.89</v>
      </c>
      <c r="R867" s="102">
        <f t="shared" si="68"/>
        <v>-5.3190040640870946E-3</v>
      </c>
      <c r="S867" s="102">
        <f t="shared" si="68"/>
        <v>2.2604866137665163E-3</v>
      </c>
    </row>
    <row r="868" spans="15:19" x14ac:dyDescent="0.3">
      <c r="O868" s="101">
        <v>41799</v>
      </c>
      <c r="P868" s="110">
        <v>28121.26</v>
      </c>
      <c r="Q868" s="110">
        <v>565.61</v>
      </c>
      <c r="R868" s="102">
        <f t="shared" si="68"/>
        <v>-1.8397525346192413E-2</v>
      </c>
      <c r="S868" s="102">
        <f t="shared" si="68"/>
        <v>1.1683767819838414E-2</v>
      </c>
    </row>
    <row r="869" spans="15:19" x14ac:dyDescent="0.3">
      <c r="O869" s="101">
        <v>41796</v>
      </c>
      <c r="P869" s="110">
        <v>28643.41</v>
      </c>
      <c r="Q869" s="110">
        <v>559.04</v>
      </c>
      <c r="R869" s="102">
        <f t="shared" si="68"/>
        <v>3.7139511093844398E-2</v>
      </c>
      <c r="S869" s="102">
        <f t="shared" si="68"/>
        <v>1.4304746056501963E-2</v>
      </c>
    </row>
    <row r="870" spans="15:19" x14ac:dyDescent="0.3">
      <c r="O870" s="101">
        <v>41795</v>
      </c>
      <c r="P870" s="110">
        <v>27599.119999999999</v>
      </c>
      <c r="Q870" s="110">
        <v>551.1</v>
      </c>
      <c r="R870" s="102">
        <f t="shared" si="68"/>
        <v>0</v>
      </c>
      <c r="S870" s="102">
        <f t="shared" si="68"/>
        <v>-4.2732012587478E-3</v>
      </c>
    </row>
    <row r="871" spans="15:19" x14ac:dyDescent="0.3">
      <c r="O871" s="101">
        <v>41794</v>
      </c>
      <c r="P871" s="110">
        <v>27599.119999999999</v>
      </c>
      <c r="Q871" s="110">
        <v>553.46</v>
      </c>
      <c r="R871" s="102">
        <f t="shared" si="68"/>
        <v>-7.6628395549981406E-3</v>
      </c>
      <c r="S871" s="102">
        <f t="shared" si="68"/>
        <v>-9.5305607114126358E-3</v>
      </c>
    </row>
    <row r="872" spans="15:19" x14ac:dyDescent="0.3">
      <c r="O872" s="101">
        <v>41793</v>
      </c>
      <c r="P872" s="110">
        <v>27811.42</v>
      </c>
      <c r="Q872" s="110">
        <v>558.76</v>
      </c>
      <c r="R872" s="102">
        <f t="shared" si="68"/>
        <v>7.6628395549981181E-3</v>
      </c>
      <c r="S872" s="102">
        <f t="shared" si="68"/>
        <v>3.513933839140317E-3</v>
      </c>
    </row>
    <row r="873" spans="15:19" x14ac:dyDescent="0.3">
      <c r="O873" s="101">
        <v>41792</v>
      </c>
      <c r="P873" s="110">
        <v>27599.119999999999</v>
      </c>
      <c r="Q873" s="110">
        <v>556.79999999999995</v>
      </c>
      <c r="R873" s="102">
        <f t="shared" si="68"/>
        <v>1.2903226023521942E-2</v>
      </c>
      <c r="S873" s="102">
        <f t="shared" si="68"/>
        <v>-9.3313274288843052E-3</v>
      </c>
    </row>
    <row r="874" spans="15:19" x14ac:dyDescent="0.3">
      <c r="O874" s="101">
        <v>41789</v>
      </c>
      <c r="P874" s="110">
        <v>27245.29</v>
      </c>
      <c r="Q874" s="110">
        <v>562.02</v>
      </c>
      <c r="R874" s="102">
        <f t="shared" si="68"/>
        <v>-1.2903226023522025E-2</v>
      </c>
      <c r="S874" s="102">
        <f t="shared" si="68"/>
        <v>6.3723474622583917E-3</v>
      </c>
    </row>
    <row r="875" spans="15:19" x14ac:dyDescent="0.3">
      <c r="O875" s="101">
        <v>41788</v>
      </c>
      <c r="P875" s="110">
        <v>27599.119999999999</v>
      </c>
      <c r="Q875" s="110">
        <v>558.45000000000005</v>
      </c>
      <c r="R875" s="102">
        <f t="shared" si="68"/>
        <v>2.5675054152426735E-3</v>
      </c>
      <c r="S875" s="102">
        <f t="shared" si="68"/>
        <v>1.9896223593511612E-3</v>
      </c>
    </row>
    <row r="876" spans="15:19" x14ac:dyDescent="0.3">
      <c r="O876" s="101">
        <v>41787</v>
      </c>
      <c r="P876" s="110">
        <v>27528.35</v>
      </c>
      <c r="Q876" s="110">
        <v>557.34</v>
      </c>
      <c r="R876" s="102">
        <f t="shared" si="68"/>
        <v>-2.5675054152425468E-3</v>
      </c>
      <c r="S876" s="102">
        <f t="shared" si="68"/>
        <v>8.2696468899288705E-3</v>
      </c>
    </row>
    <row r="877" spans="15:19" x14ac:dyDescent="0.3">
      <c r="O877" s="101">
        <v>41786</v>
      </c>
      <c r="P877" s="110">
        <v>27599.119999999999</v>
      </c>
      <c r="Q877" s="110">
        <v>552.75</v>
      </c>
      <c r="R877" s="102">
        <f t="shared" si="68"/>
        <v>1.2903226023521942E-2</v>
      </c>
      <c r="S877" s="102">
        <f t="shared" si="68"/>
        <v>1.5846284845915017E-2</v>
      </c>
    </row>
    <row r="878" spans="15:19" x14ac:dyDescent="0.3">
      <c r="O878" s="101">
        <v>41785</v>
      </c>
      <c r="P878" s="110">
        <v>27245.29</v>
      </c>
      <c r="Q878" s="110">
        <v>544.05999999999995</v>
      </c>
      <c r="R878" s="102">
        <f t="shared" si="68"/>
        <v>0</v>
      </c>
      <c r="S878" s="102">
        <f t="shared" si="68"/>
        <v>4.734935841799722E-3</v>
      </c>
    </row>
    <row r="879" spans="15:19" x14ac:dyDescent="0.3">
      <c r="O879" s="101">
        <v>41782</v>
      </c>
      <c r="P879" s="110">
        <v>27245.29</v>
      </c>
      <c r="Q879" s="110">
        <v>541.49</v>
      </c>
      <c r="R879" s="102">
        <f t="shared" si="68"/>
        <v>-2.5642435259361863E-2</v>
      </c>
      <c r="S879" s="102">
        <f t="shared" si="68"/>
        <v>-4.4312328784026813E-4</v>
      </c>
    </row>
    <row r="880" spans="15:19" x14ac:dyDescent="0.3">
      <c r="O880" s="101">
        <v>41781</v>
      </c>
      <c r="P880" s="110">
        <v>27952.959999999999</v>
      </c>
      <c r="Q880" s="110">
        <v>541.73</v>
      </c>
      <c r="R880" s="102">
        <f t="shared" si="68"/>
        <v>0</v>
      </c>
      <c r="S880" s="102">
        <f t="shared" si="68"/>
        <v>-3.9609119498041287E-3</v>
      </c>
    </row>
    <row r="881" spans="15:19" x14ac:dyDescent="0.3">
      <c r="O881" s="101">
        <v>41780</v>
      </c>
      <c r="P881" s="110">
        <v>27952.959999999999</v>
      </c>
      <c r="Q881" s="110">
        <v>543.88</v>
      </c>
      <c r="R881" s="102">
        <f t="shared" si="68"/>
        <v>3.8714705174110846E-2</v>
      </c>
      <c r="S881" s="102">
        <f t="shared" si="68"/>
        <v>1.1762665675590858E-2</v>
      </c>
    </row>
    <row r="882" spans="15:19" x14ac:dyDescent="0.3">
      <c r="O882" s="101">
        <v>41779</v>
      </c>
      <c r="P882" s="110">
        <v>26891.45</v>
      </c>
      <c r="Q882" s="110">
        <v>537.52</v>
      </c>
      <c r="R882" s="102">
        <f t="shared" si="68"/>
        <v>1.3245043296436646E-2</v>
      </c>
      <c r="S882" s="102">
        <f t="shared" si="68"/>
        <v>8.3695003576128892E-3</v>
      </c>
    </row>
    <row r="883" spans="15:19" x14ac:dyDescent="0.3">
      <c r="O883" s="101">
        <v>41778</v>
      </c>
      <c r="P883" s="110">
        <v>26537.62</v>
      </c>
      <c r="Q883" s="110">
        <v>533.04</v>
      </c>
      <c r="R883" s="102">
        <f t="shared" si="68"/>
        <v>0</v>
      </c>
      <c r="S883" s="102">
        <f t="shared" si="68"/>
        <v>6.6821891324237619E-3</v>
      </c>
    </row>
    <row r="884" spans="15:19" x14ac:dyDescent="0.3">
      <c r="O884" s="101">
        <v>41775</v>
      </c>
      <c r="P884" s="110">
        <v>26537.62</v>
      </c>
      <c r="Q884" s="110">
        <v>529.49</v>
      </c>
      <c r="R884" s="102">
        <f t="shared" si="68"/>
        <v>2.4292967464945938E-2</v>
      </c>
      <c r="S884" s="102">
        <f t="shared" si="68"/>
        <v>1.0327179505671755E-2</v>
      </c>
    </row>
    <row r="885" spans="15:19" x14ac:dyDescent="0.3">
      <c r="O885" s="101">
        <v>41774</v>
      </c>
      <c r="P885" s="110">
        <v>25900.71</v>
      </c>
      <c r="Q885" s="110">
        <v>524.04999999999995</v>
      </c>
      <c r="R885" s="102">
        <f t="shared" si="68"/>
        <v>-2.961198001227499E-2</v>
      </c>
      <c r="S885" s="102">
        <f t="shared" si="68"/>
        <v>-1.0402721044111017E-2</v>
      </c>
    </row>
    <row r="886" spans="15:19" x14ac:dyDescent="0.3">
      <c r="O886" s="101">
        <v>41773</v>
      </c>
      <c r="P886" s="110">
        <v>26679.15</v>
      </c>
      <c r="Q886" s="110">
        <v>529.53</v>
      </c>
      <c r="R886" s="102">
        <f t="shared" si="68"/>
        <v>4.0601184778494025E-2</v>
      </c>
      <c r="S886" s="102">
        <f t="shared" si="68"/>
        <v>2.9941667812714529E-2</v>
      </c>
    </row>
    <row r="887" spans="15:19" x14ac:dyDescent="0.3">
      <c r="O887" s="101">
        <v>41772</v>
      </c>
      <c r="P887" s="110">
        <v>25617.64</v>
      </c>
      <c r="Q887" s="110">
        <v>513.91</v>
      </c>
      <c r="R887" s="102">
        <f t="shared" si="68"/>
        <v>-2.1858958395023779E-2</v>
      </c>
      <c r="S887" s="102">
        <f t="shared" si="68"/>
        <v>-6.0914287834012782E-3</v>
      </c>
    </row>
    <row r="888" spans="15:19" x14ac:dyDescent="0.3">
      <c r="O888" s="101">
        <v>41771</v>
      </c>
      <c r="P888" s="110">
        <v>26183.78</v>
      </c>
      <c r="Q888" s="110">
        <v>517.04999999999995</v>
      </c>
      <c r="R888" s="102">
        <f t="shared" si="68"/>
        <v>-5.0076247655606206E-2</v>
      </c>
      <c r="S888" s="102">
        <f t="shared" si="68"/>
        <v>-4.7974768346346168E-2</v>
      </c>
    </row>
    <row r="889" spans="15:19" x14ac:dyDescent="0.3">
      <c r="O889" s="101">
        <v>41768</v>
      </c>
      <c r="P889" s="110">
        <v>27528.35</v>
      </c>
      <c r="Q889" s="110">
        <v>542.46</v>
      </c>
      <c r="R889" s="102">
        <f t="shared" si="68"/>
        <v>4.4685548912436576E-2</v>
      </c>
      <c r="S889" s="102">
        <f t="shared" si="68"/>
        <v>2.8743038028253617E-2</v>
      </c>
    </row>
    <row r="890" spans="15:19" x14ac:dyDescent="0.3">
      <c r="O890" s="101">
        <v>41767</v>
      </c>
      <c r="P890" s="110">
        <v>26325.31</v>
      </c>
      <c r="Q890" s="110">
        <v>527.09</v>
      </c>
      <c r="R890" s="102">
        <f t="shared" si="68"/>
        <v>-7.2570871370228954E-2</v>
      </c>
      <c r="S890" s="102">
        <f t="shared" si="68"/>
        <v>-6.0511898916546736E-2</v>
      </c>
    </row>
    <row r="891" spans="15:19" x14ac:dyDescent="0.3">
      <c r="O891" s="101">
        <v>41766</v>
      </c>
      <c r="P891" s="110">
        <v>28306.79</v>
      </c>
      <c r="Q891" s="110">
        <v>559.97</v>
      </c>
      <c r="R891" s="102">
        <f t="shared" si="68"/>
        <v>0</v>
      </c>
      <c r="S891" s="102">
        <f t="shared" si="68"/>
        <v>8.7169185596586395E-3</v>
      </c>
    </row>
    <row r="892" spans="15:19" x14ac:dyDescent="0.3">
      <c r="O892" s="101">
        <v>41765</v>
      </c>
      <c r="P892" s="110">
        <v>28306.79</v>
      </c>
      <c r="Q892" s="110">
        <v>555.11</v>
      </c>
      <c r="R892" s="102">
        <f t="shared" si="68"/>
        <v>-4.4017035853220227E-2</v>
      </c>
      <c r="S892" s="102">
        <f t="shared" si="68"/>
        <v>-1.7393916866973155E-2</v>
      </c>
    </row>
    <row r="893" spans="15:19" x14ac:dyDescent="0.3">
      <c r="O893" s="101">
        <v>41764</v>
      </c>
      <c r="P893" s="110">
        <v>29580.6</v>
      </c>
      <c r="Q893" s="110">
        <v>564.85</v>
      </c>
      <c r="R893" s="102">
        <f t="shared" si="68"/>
        <v>-3.5256139330190735E-2</v>
      </c>
      <c r="S893" s="102">
        <f t="shared" si="68"/>
        <v>-2.301365949943962E-2</v>
      </c>
    </row>
    <row r="894" spans="15:19" x14ac:dyDescent="0.3">
      <c r="O894" s="101">
        <v>41758</v>
      </c>
      <c r="P894" s="110">
        <v>30642.1</v>
      </c>
      <c r="Q894" s="110">
        <v>578</v>
      </c>
      <c r="R894" s="102">
        <f t="shared" si="68"/>
        <v>6.9524889568924235E-3</v>
      </c>
      <c r="S894" s="102">
        <f t="shared" si="68"/>
        <v>8.5136471146857271E-3</v>
      </c>
    </row>
    <row r="895" spans="15:19" x14ac:dyDescent="0.3">
      <c r="O895" s="101">
        <v>41757</v>
      </c>
      <c r="P895" s="110">
        <v>30429.8</v>
      </c>
      <c r="Q895" s="110">
        <v>573.1</v>
      </c>
      <c r="R895" s="102">
        <f t="shared" si="68"/>
        <v>1.1696209875089153E-2</v>
      </c>
      <c r="S895" s="102">
        <f t="shared" si="68"/>
        <v>-1.0104077211711896E-2</v>
      </c>
    </row>
    <row r="896" spans="15:19" x14ac:dyDescent="0.3">
      <c r="O896" s="101">
        <v>41754</v>
      </c>
      <c r="P896" s="110">
        <v>30075.96</v>
      </c>
      <c r="Q896" s="110">
        <v>578.91999999999996</v>
      </c>
      <c r="R896" s="102">
        <f t="shared" si="68"/>
        <v>0</v>
      </c>
      <c r="S896" s="102">
        <f t="shared" si="68"/>
        <v>1.4721245860514839E-2</v>
      </c>
    </row>
    <row r="897" spans="15:19" x14ac:dyDescent="0.3">
      <c r="O897" s="101">
        <v>41753</v>
      </c>
      <c r="P897" s="110">
        <v>30075.96</v>
      </c>
      <c r="Q897" s="110">
        <v>570.46</v>
      </c>
      <c r="R897" s="102">
        <f t="shared" si="68"/>
        <v>2.3554815758029175E-3</v>
      </c>
      <c r="S897" s="102">
        <f t="shared" si="68"/>
        <v>1.9301299178732991E-3</v>
      </c>
    </row>
    <row r="898" spans="15:19" x14ac:dyDescent="0.3">
      <c r="O898" s="101">
        <v>41752</v>
      </c>
      <c r="P898" s="110">
        <v>30005.200000000001</v>
      </c>
      <c r="Q898" s="110">
        <v>569.36</v>
      </c>
      <c r="R898" s="102">
        <f t="shared" si="68"/>
        <v>4.7283433726128072E-3</v>
      </c>
      <c r="S898" s="102">
        <f t="shared" si="68"/>
        <v>-8.9534165018397623E-4</v>
      </c>
    </row>
    <row r="899" spans="15:19" x14ac:dyDescent="0.3">
      <c r="O899" s="101">
        <v>41751</v>
      </c>
      <c r="P899" s="110">
        <v>29863.66</v>
      </c>
      <c r="Q899" s="110">
        <v>569.87</v>
      </c>
      <c r="R899" s="102">
        <f t="shared" si="68"/>
        <v>4.7504704110994537E-3</v>
      </c>
      <c r="S899" s="102">
        <f t="shared" si="68"/>
        <v>2.0798437671693266E-2</v>
      </c>
    </row>
    <row r="900" spans="15:19" x14ac:dyDescent="0.3">
      <c r="O900" s="101">
        <v>41750</v>
      </c>
      <c r="P900" s="110">
        <v>29722.13</v>
      </c>
      <c r="Q900" s="110">
        <v>558.14</v>
      </c>
      <c r="R900" s="102">
        <f t="shared" si="68"/>
        <v>-3.0482994191496731E-2</v>
      </c>
      <c r="S900" s="102">
        <f t="shared" si="68"/>
        <v>-1.2799804470434545E-2</v>
      </c>
    </row>
    <row r="901" spans="15:19" x14ac:dyDescent="0.3">
      <c r="O901" s="101">
        <v>41747</v>
      </c>
      <c r="P901" s="110">
        <v>30642.1</v>
      </c>
      <c r="Q901" s="110">
        <v>565.33000000000004</v>
      </c>
      <c r="R901" s="102">
        <f t="shared" si="68"/>
        <v>6.9524889568924235E-3</v>
      </c>
      <c r="S901" s="102">
        <f t="shared" si="68"/>
        <v>-2.6152812074110278E-2</v>
      </c>
    </row>
    <row r="902" spans="15:19" x14ac:dyDescent="0.3">
      <c r="O902" s="101">
        <v>41746</v>
      </c>
      <c r="P902" s="110">
        <v>30429.8</v>
      </c>
      <c r="Q902" s="110">
        <v>580.30999999999995</v>
      </c>
      <c r="R902" s="102">
        <f t="shared" si="68"/>
        <v>1.1696209875089153E-2</v>
      </c>
      <c r="S902" s="102">
        <f t="shared" si="68"/>
        <v>1.0427948297576253E-2</v>
      </c>
    </row>
    <row r="903" spans="15:19" x14ac:dyDescent="0.3">
      <c r="O903" s="101">
        <v>41745</v>
      </c>
      <c r="P903" s="110">
        <v>30075.96</v>
      </c>
      <c r="Q903" s="110">
        <v>574.29</v>
      </c>
      <c r="R903" s="102">
        <f t="shared" si="68"/>
        <v>7.0838249484156636E-3</v>
      </c>
      <c r="S903" s="102">
        <f t="shared" si="68"/>
        <v>-2.0338866185528905E-2</v>
      </c>
    </row>
    <row r="904" spans="15:19" x14ac:dyDescent="0.3">
      <c r="O904" s="101">
        <v>41744</v>
      </c>
      <c r="P904" s="110">
        <v>29863.66</v>
      </c>
      <c r="Q904" s="110">
        <v>586.09</v>
      </c>
      <c r="R904" s="102">
        <f t="shared" si="68"/>
        <v>-6.4242423505827748E-2</v>
      </c>
      <c r="S904" s="102">
        <f t="shared" si="68"/>
        <v>-1.6951852391940234E-2</v>
      </c>
    </row>
    <row r="905" spans="15:19" x14ac:dyDescent="0.3">
      <c r="O905" s="101">
        <v>41743</v>
      </c>
      <c r="P905" s="110">
        <v>31845.14</v>
      </c>
      <c r="Q905" s="110">
        <v>596.11</v>
      </c>
      <c r="R905" s="102">
        <f t="shared" si="68"/>
        <v>8.9286969278191165E-3</v>
      </c>
      <c r="S905" s="102">
        <f t="shared" si="68"/>
        <v>-7.4539904577907348E-3</v>
      </c>
    </row>
    <row r="906" spans="15:19" x14ac:dyDescent="0.3">
      <c r="O906" s="101">
        <v>41740</v>
      </c>
      <c r="P906" s="110">
        <v>31562.07</v>
      </c>
      <c r="Q906" s="110">
        <v>600.57000000000005</v>
      </c>
      <c r="R906" s="102">
        <f t="shared" si="68"/>
        <v>-2.217386583211154E-2</v>
      </c>
      <c r="S906" s="102">
        <f t="shared" si="68"/>
        <v>-1.2646644501103043E-3</v>
      </c>
    </row>
    <row r="907" spans="15:19" x14ac:dyDescent="0.3">
      <c r="O907" s="101">
        <v>41739</v>
      </c>
      <c r="P907" s="110">
        <v>32269.74</v>
      </c>
      <c r="Q907" s="110">
        <v>601.33000000000004</v>
      </c>
      <c r="R907" s="102">
        <f t="shared" si="68"/>
        <v>2.8923018483618348E-2</v>
      </c>
      <c r="S907" s="102">
        <f t="shared" si="68"/>
        <v>-3.1878358032960677E-3</v>
      </c>
    </row>
    <row r="908" spans="15:19" x14ac:dyDescent="0.3">
      <c r="O908" s="101">
        <v>41737</v>
      </c>
      <c r="P908" s="110">
        <v>31349.77</v>
      </c>
      <c r="Q908" s="110">
        <v>603.25</v>
      </c>
      <c r="R908" s="102">
        <f t="shared" si="68"/>
        <v>0</v>
      </c>
      <c r="S908" s="102">
        <f t="shared" si="68"/>
        <v>4.4525002534064511E-3</v>
      </c>
    </row>
    <row r="909" spans="15:19" x14ac:dyDescent="0.3">
      <c r="O909" s="101">
        <v>41736</v>
      </c>
      <c r="P909" s="110">
        <v>31349.77</v>
      </c>
      <c r="Q909" s="110">
        <v>600.57000000000005</v>
      </c>
      <c r="R909" s="102">
        <f t="shared" si="68"/>
        <v>9.0704245446576581E-3</v>
      </c>
      <c r="S909" s="102">
        <f t="shared" si="68"/>
        <v>1.2617353903270357E-2</v>
      </c>
    </row>
    <row r="910" spans="15:19" x14ac:dyDescent="0.3">
      <c r="O910" s="101">
        <v>41733</v>
      </c>
      <c r="P910" s="110">
        <v>31066.7</v>
      </c>
      <c r="Q910" s="110">
        <v>593.04</v>
      </c>
      <c r="R910" s="102">
        <f t="shared" si="68"/>
        <v>-6.8104398723845992E-3</v>
      </c>
      <c r="S910" s="102">
        <f t="shared" si="68"/>
        <v>6.0889167215769386E-3</v>
      </c>
    </row>
    <row r="911" spans="15:19" x14ac:dyDescent="0.3">
      <c r="O911" s="101">
        <v>41732</v>
      </c>
      <c r="P911" s="110">
        <v>31279</v>
      </c>
      <c r="Q911" s="110">
        <v>589.44000000000005</v>
      </c>
      <c r="R911" s="102">
        <f t="shared" si="68"/>
        <v>6.8104398723846443E-3</v>
      </c>
      <c r="S911" s="102">
        <f t="shared" si="68"/>
        <v>1.3269657015863931E-2</v>
      </c>
    </row>
    <row r="912" spans="15:19" x14ac:dyDescent="0.3">
      <c r="O912" s="101">
        <v>41731</v>
      </c>
      <c r="P912" s="110">
        <v>31066.7</v>
      </c>
      <c r="Q912" s="110">
        <v>581.66999999999996</v>
      </c>
      <c r="R912" s="102">
        <f t="shared" si="68"/>
        <v>6.8571401951221236E-3</v>
      </c>
      <c r="S912" s="102">
        <f t="shared" si="68"/>
        <v>-3.7408239107005509E-3</v>
      </c>
    </row>
    <row r="913" spans="15:19" x14ac:dyDescent="0.3">
      <c r="O913" s="101">
        <v>41730</v>
      </c>
      <c r="P913" s="110">
        <v>30854.400000000001</v>
      </c>
      <c r="Q913" s="110">
        <v>583.85</v>
      </c>
      <c r="R913" s="102">
        <f t="shared" si="68"/>
        <v>-2.2910496449046963E-3</v>
      </c>
      <c r="S913" s="102">
        <f t="shared" si="68"/>
        <v>-1.3135919089980422E-2</v>
      </c>
    </row>
    <row r="914" spans="15:19" x14ac:dyDescent="0.3">
      <c r="O914" s="101">
        <v>41729</v>
      </c>
      <c r="P914" s="110">
        <v>30925.17</v>
      </c>
      <c r="Q914" s="110">
        <v>591.57000000000005</v>
      </c>
      <c r="R914" s="102">
        <f t="shared" si="68"/>
        <v>4.5873602537209535E-3</v>
      </c>
      <c r="S914" s="102">
        <f t="shared" si="68"/>
        <v>-4.5873961007497563E-3</v>
      </c>
    </row>
    <row r="915" spans="15:19" x14ac:dyDescent="0.3">
      <c r="O915" s="101">
        <v>41726</v>
      </c>
      <c r="P915" s="110">
        <v>30783.63</v>
      </c>
      <c r="Q915" s="110">
        <v>594.29</v>
      </c>
      <c r="R915" s="102">
        <f t="shared" si="68"/>
        <v>0</v>
      </c>
      <c r="S915" s="102">
        <f t="shared" si="68"/>
        <v>7.0076188254725655E-3</v>
      </c>
    </row>
    <row r="916" spans="15:19" x14ac:dyDescent="0.3">
      <c r="O916" s="101">
        <v>41725</v>
      </c>
      <c r="P916" s="110">
        <v>30783.63</v>
      </c>
      <c r="Q916" s="110">
        <v>590.14</v>
      </c>
      <c r="R916" s="102">
        <f t="shared" si="68"/>
        <v>0</v>
      </c>
      <c r="S916" s="102">
        <f t="shared" si="68"/>
        <v>3.5308133778381291E-3</v>
      </c>
    </row>
    <row r="917" spans="15:19" x14ac:dyDescent="0.3">
      <c r="O917" s="101">
        <v>41724</v>
      </c>
      <c r="P917" s="110">
        <v>30783.63</v>
      </c>
      <c r="Q917" s="110">
        <v>588.05999999999995</v>
      </c>
      <c r="R917" s="102">
        <f t="shared" si="68"/>
        <v>-2.4973028000102843E-2</v>
      </c>
      <c r="S917" s="102">
        <f t="shared" si="68"/>
        <v>-2.3179261316600454E-2</v>
      </c>
    </row>
    <row r="918" spans="15:19" x14ac:dyDescent="0.3">
      <c r="O918" s="101">
        <v>41723</v>
      </c>
      <c r="P918" s="110">
        <v>31562.07</v>
      </c>
      <c r="Q918" s="110">
        <v>601.85</v>
      </c>
      <c r="R918" s="102">
        <f t="shared" si="68"/>
        <v>-2.217386583211154E-2</v>
      </c>
      <c r="S918" s="102">
        <f t="shared" si="68"/>
        <v>-9.4262315288768037E-3</v>
      </c>
    </row>
    <row r="919" spans="15:19" x14ac:dyDescent="0.3">
      <c r="O919" s="101">
        <v>41722</v>
      </c>
      <c r="P919" s="110">
        <v>32269.74</v>
      </c>
      <c r="Q919" s="110">
        <v>607.54999999999995</v>
      </c>
      <c r="R919" s="102">
        <f t="shared" si="68"/>
        <v>2.1954845514002234E-3</v>
      </c>
      <c r="S919" s="102">
        <f t="shared" si="68"/>
        <v>9.5923996914392875E-3</v>
      </c>
    </row>
    <row r="920" spans="15:19" x14ac:dyDescent="0.3">
      <c r="O920" s="101">
        <v>41719</v>
      </c>
      <c r="P920" s="110">
        <v>32198.97</v>
      </c>
      <c r="Q920" s="110">
        <v>601.75</v>
      </c>
      <c r="R920" s="102">
        <f t="shared" si="68"/>
        <v>0</v>
      </c>
      <c r="S920" s="102">
        <f t="shared" si="68"/>
        <v>2.4791819754758069E-3</v>
      </c>
    </row>
    <row r="921" spans="15:19" x14ac:dyDescent="0.3">
      <c r="O921" s="101">
        <v>41718</v>
      </c>
      <c r="P921" s="110">
        <v>32198.97</v>
      </c>
      <c r="Q921" s="110">
        <v>600.26</v>
      </c>
      <c r="R921" s="102">
        <f t="shared" si="68"/>
        <v>-1.0929229192397283E-2</v>
      </c>
      <c r="S921" s="102">
        <f t="shared" si="68"/>
        <v>-8.8402947496623394E-3</v>
      </c>
    </row>
    <row r="922" spans="15:19" x14ac:dyDescent="0.3">
      <c r="O922" s="101">
        <v>41717</v>
      </c>
      <c r="P922" s="110">
        <v>32552.81</v>
      </c>
      <c r="Q922" s="110">
        <v>605.59</v>
      </c>
      <c r="R922" s="102">
        <f t="shared" si="68"/>
        <v>2.4203703682491338E-2</v>
      </c>
      <c r="S922" s="102">
        <f t="shared" si="68"/>
        <v>9.523565476430627E-3</v>
      </c>
    </row>
    <row r="923" spans="15:19" x14ac:dyDescent="0.3">
      <c r="O923" s="101">
        <v>41716</v>
      </c>
      <c r="P923" s="110">
        <v>31774.37</v>
      </c>
      <c r="Q923" s="110">
        <v>599.85</v>
      </c>
      <c r="R923" s="102">
        <f t="shared" si="68"/>
        <v>3.8597348308740696E-2</v>
      </c>
      <c r="S923" s="102">
        <f t="shared" si="68"/>
        <v>-8.4985132717690709E-4</v>
      </c>
    </row>
    <row r="924" spans="15:19" x14ac:dyDescent="0.3">
      <c r="O924" s="101">
        <v>41715</v>
      </c>
      <c r="P924" s="110">
        <v>30571.33</v>
      </c>
      <c r="Q924" s="110">
        <v>600.36</v>
      </c>
      <c r="R924" s="102">
        <f t="shared" si="68"/>
        <v>-1.3793586503912367E-2</v>
      </c>
      <c r="S924" s="102">
        <f t="shared" si="68"/>
        <v>5.8971595654465341E-3</v>
      </c>
    </row>
    <row r="925" spans="15:19" x14ac:dyDescent="0.3">
      <c r="O925" s="101">
        <v>41712</v>
      </c>
      <c r="P925" s="110">
        <v>30995.94</v>
      </c>
      <c r="Q925" s="110">
        <v>596.83000000000004</v>
      </c>
      <c r="R925" s="102">
        <f t="shared" si="68"/>
        <v>0</v>
      </c>
      <c r="S925" s="102">
        <f t="shared" si="68"/>
        <v>2.701230617787233E-3</v>
      </c>
    </row>
    <row r="926" spans="15:19" x14ac:dyDescent="0.3">
      <c r="O926" s="101">
        <v>41711</v>
      </c>
      <c r="P926" s="110">
        <v>30995.94</v>
      </c>
      <c r="Q926" s="110">
        <v>595.22</v>
      </c>
      <c r="R926" s="102">
        <f t="shared" ref="R926:S989" si="69">LN(P926/P927)</f>
        <v>1.379358650391233E-2</v>
      </c>
      <c r="S926" s="102">
        <f t="shared" si="69"/>
        <v>8.774650474564891E-3</v>
      </c>
    </row>
    <row r="927" spans="15:19" x14ac:dyDescent="0.3">
      <c r="O927" s="101">
        <v>41710</v>
      </c>
      <c r="P927" s="110">
        <v>30571.33</v>
      </c>
      <c r="Q927" s="110">
        <v>590.02</v>
      </c>
      <c r="R927" s="102">
        <f t="shared" si="69"/>
        <v>2.3420285059885446E-2</v>
      </c>
      <c r="S927" s="102">
        <f t="shared" si="69"/>
        <v>2.5795079299838629E-3</v>
      </c>
    </row>
    <row r="928" spans="15:19" x14ac:dyDescent="0.3">
      <c r="O928" s="101">
        <v>41709</v>
      </c>
      <c r="P928" s="110">
        <v>29863.66</v>
      </c>
      <c r="Q928" s="110">
        <v>588.5</v>
      </c>
      <c r="R928" s="102">
        <f t="shared" si="69"/>
        <v>0</v>
      </c>
      <c r="S928" s="102">
        <f t="shared" si="69"/>
        <v>8.2069067257434323E-3</v>
      </c>
    </row>
    <row r="929" spans="15:19" x14ac:dyDescent="0.3">
      <c r="O929" s="101">
        <v>41708</v>
      </c>
      <c r="P929" s="110">
        <v>29863.66</v>
      </c>
      <c r="Q929" s="110">
        <v>583.69000000000005</v>
      </c>
      <c r="R929" s="102">
        <f t="shared" si="69"/>
        <v>-4.7283433726128185E-3</v>
      </c>
      <c r="S929" s="102">
        <f t="shared" si="69"/>
        <v>6.7730438389469426E-3</v>
      </c>
    </row>
    <row r="930" spans="15:19" x14ac:dyDescent="0.3">
      <c r="O930" s="101">
        <v>41705</v>
      </c>
      <c r="P930" s="110">
        <v>30005.200000000001</v>
      </c>
      <c r="Q930" s="110">
        <v>579.75</v>
      </c>
      <c r="R930" s="102">
        <f t="shared" si="69"/>
        <v>9.4788137837122678E-3</v>
      </c>
      <c r="S930" s="102">
        <f t="shared" si="69"/>
        <v>2.0547183718840722E-3</v>
      </c>
    </row>
    <row r="931" spans="15:19" x14ac:dyDescent="0.3">
      <c r="O931" s="101">
        <v>41704</v>
      </c>
      <c r="P931" s="110">
        <v>29722.13</v>
      </c>
      <c r="Q931" s="110">
        <v>578.55999999999995</v>
      </c>
      <c r="R931" s="102">
        <f t="shared" si="69"/>
        <v>-1.41845733884989E-2</v>
      </c>
      <c r="S931" s="102">
        <f t="shared" si="69"/>
        <v>6.2765702371065865E-3</v>
      </c>
    </row>
    <row r="932" spans="15:19" x14ac:dyDescent="0.3">
      <c r="O932" s="101">
        <v>41703</v>
      </c>
      <c r="P932" s="110">
        <v>30146.73</v>
      </c>
      <c r="Q932" s="110">
        <v>574.94000000000005</v>
      </c>
      <c r="R932" s="102">
        <f t="shared" si="69"/>
        <v>-2.0906595600506454E-2</v>
      </c>
      <c r="S932" s="102">
        <f t="shared" si="69"/>
        <v>8.6819596620919953E-3</v>
      </c>
    </row>
    <row r="933" spans="15:19" x14ac:dyDescent="0.3">
      <c r="O933" s="101">
        <v>41702</v>
      </c>
      <c r="P933" s="110">
        <v>30783.63</v>
      </c>
      <c r="Q933" s="110">
        <v>569.97</v>
      </c>
      <c r="R933" s="102">
        <f t="shared" si="69"/>
        <v>1.6222546331508287E-2</v>
      </c>
      <c r="S933" s="102">
        <f t="shared" si="69"/>
        <v>-5.9649453112461635E-3</v>
      </c>
    </row>
    <row r="934" spans="15:19" x14ac:dyDescent="0.3">
      <c r="O934" s="101">
        <v>41701</v>
      </c>
      <c r="P934" s="110">
        <v>30288.27</v>
      </c>
      <c r="Q934" s="110">
        <v>573.38</v>
      </c>
      <c r="R934" s="102">
        <f t="shared" si="69"/>
        <v>-2.7651408270561284E-2</v>
      </c>
      <c r="S934" s="102">
        <f t="shared" si="69"/>
        <v>-2.2589893739526593E-2</v>
      </c>
    </row>
    <row r="935" spans="15:19" x14ac:dyDescent="0.3">
      <c r="O935" s="101">
        <v>41698</v>
      </c>
      <c r="P935" s="110">
        <v>31137.47</v>
      </c>
      <c r="Q935" s="110">
        <v>586.48</v>
      </c>
      <c r="R935" s="102">
        <f t="shared" si="69"/>
        <v>0</v>
      </c>
      <c r="S935" s="102">
        <f t="shared" si="69"/>
        <v>2.8857584891680151E-3</v>
      </c>
    </row>
    <row r="936" spans="15:19" x14ac:dyDescent="0.3">
      <c r="O936" s="101">
        <v>41697</v>
      </c>
      <c r="P936" s="110">
        <v>31137.47</v>
      </c>
      <c r="Q936" s="110">
        <v>584.79</v>
      </c>
      <c r="R936" s="102">
        <f t="shared" si="69"/>
        <v>-3.352254734176132E-2</v>
      </c>
      <c r="S936" s="102">
        <f t="shared" si="69"/>
        <v>-8.5476427112459348E-3</v>
      </c>
    </row>
    <row r="937" spans="15:19" x14ac:dyDescent="0.3">
      <c r="O937" s="101">
        <v>41696</v>
      </c>
      <c r="P937" s="110">
        <v>32198.97</v>
      </c>
      <c r="Q937" s="110">
        <v>589.80999999999995</v>
      </c>
      <c r="R937" s="102">
        <f t="shared" si="69"/>
        <v>-6.5720458958181804E-3</v>
      </c>
      <c r="S937" s="102">
        <f t="shared" si="69"/>
        <v>6.1394228606170779E-3</v>
      </c>
    </row>
    <row r="938" spans="15:19" x14ac:dyDescent="0.3">
      <c r="O938" s="101">
        <v>41695</v>
      </c>
      <c r="P938" s="110">
        <v>32411.279999999999</v>
      </c>
      <c r="Q938" s="110">
        <v>586.20000000000005</v>
      </c>
      <c r="R938" s="102">
        <f t="shared" si="69"/>
        <v>4.6936094922911557E-2</v>
      </c>
      <c r="S938" s="102">
        <f t="shared" si="69"/>
        <v>1.6546929764944221E-2</v>
      </c>
    </row>
    <row r="939" spans="15:19" x14ac:dyDescent="0.3">
      <c r="O939" s="101">
        <v>41694</v>
      </c>
      <c r="P939" s="110">
        <v>30925.17</v>
      </c>
      <c r="Q939" s="110">
        <v>576.58000000000004</v>
      </c>
      <c r="R939" s="102">
        <f t="shared" si="69"/>
        <v>4.5873602537209535E-3</v>
      </c>
      <c r="S939" s="102">
        <f t="shared" si="69"/>
        <v>1.0478237350168533E-2</v>
      </c>
    </row>
    <row r="940" spans="15:19" x14ac:dyDescent="0.3">
      <c r="O940" s="101">
        <v>41691</v>
      </c>
      <c r="P940" s="110">
        <v>30783.63</v>
      </c>
      <c r="Q940" s="110">
        <v>570.57000000000005</v>
      </c>
      <c r="R940" s="102">
        <f t="shared" si="69"/>
        <v>-4.2751405222188558E-2</v>
      </c>
      <c r="S940" s="102">
        <f t="shared" si="69"/>
        <v>-8.2339858017065667E-4</v>
      </c>
    </row>
    <row r="941" spans="15:19" x14ac:dyDescent="0.3">
      <c r="O941" s="101">
        <v>41690</v>
      </c>
      <c r="P941" s="110">
        <v>32128.21</v>
      </c>
      <c r="Q941" s="110">
        <v>571.04</v>
      </c>
      <c r="R941" s="102">
        <f t="shared" si="69"/>
        <v>-7.2218283073779199E-2</v>
      </c>
      <c r="S941" s="102">
        <f t="shared" si="69"/>
        <v>-1.2322199838791119E-2</v>
      </c>
    </row>
    <row r="942" spans="15:19" x14ac:dyDescent="0.3">
      <c r="O942" s="101">
        <v>41689</v>
      </c>
      <c r="P942" s="110">
        <v>34534.29</v>
      </c>
      <c r="Q942" s="110">
        <v>578.12</v>
      </c>
      <c r="R942" s="102">
        <f t="shared" si="69"/>
        <v>-2.0468816944278143E-3</v>
      </c>
      <c r="S942" s="102">
        <f t="shared" si="69"/>
        <v>6.1769291028687112E-3</v>
      </c>
    </row>
    <row r="943" spans="15:19" x14ac:dyDescent="0.3">
      <c r="O943" s="101">
        <v>41688</v>
      </c>
      <c r="P943" s="110">
        <v>34605.050000000003</v>
      </c>
      <c r="Q943" s="110">
        <v>574.55999999999995</v>
      </c>
      <c r="R943" s="102">
        <f t="shared" si="69"/>
        <v>2.2751854316059743E-2</v>
      </c>
      <c r="S943" s="102">
        <f t="shared" si="69"/>
        <v>7.6173539992008361E-3</v>
      </c>
    </row>
    <row r="944" spans="15:19" x14ac:dyDescent="0.3">
      <c r="O944" s="101">
        <v>41687</v>
      </c>
      <c r="P944" s="110">
        <v>33826.61</v>
      </c>
      <c r="Q944" s="110">
        <v>570.20000000000005</v>
      </c>
      <c r="R944" s="102">
        <f t="shared" si="69"/>
        <v>6.7051949392007995E-2</v>
      </c>
      <c r="S944" s="102">
        <f t="shared" si="69"/>
        <v>-3.5363563403043759E-3</v>
      </c>
    </row>
    <row r="945" spans="15:19" x14ac:dyDescent="0.3">
      <c r="O945" s="101">
        <v>41684</v>
      </c>
      <c r="P945" s="110">
        <v>31632.84</v>
      </c>
      <c r="Q945" s="110">
        <v>572.22</v>
      </c>
      <c r="R945" s="102">
        <f t="shared" si="69"/>
        <v>5.7553464860233543E-2</v>
      </c>
      <c r="S945" s="102">
        <f t="shared" si="69"/>
        <v>3.5714323675974007E-3</v>
      </c>
    </row>
    <row r="946" spans="15:19" x14ac:dyDescent="0.3">
      <c r="O946" s="101">
        <v>41683</v>
      </c>
      <c r="P946" s="110">
        <v>29863.66</v>
      </c>
      <c r="Q946" s="110">
        <v>570.17999999999995</v>
      </c>
      <c r="R946" s="102">
        <f t="shared" si="69"/>
        <v>5.3540651403013832E-2</v>
      </c>
      <c r="S946" s="102">
        <f t="shared" si="69"/>
        <v>1.0454684753633753E-2</v>
      </c>
    </row>
    <row r="947" spans="15:19" x14ac:dyDescent="0.3">
      <c r="O947" s="101">
        <v>41682</v>
      </c>
      <c r="P947" s="110">
        <v>28306.79</v>
      </c>
      <c r="Q947" s="110">
        <v>564.25</v>
      </c>
      <c r="R947" s="102">
        <f t="shared" si="69"/>
        <v>2.5317817042549689E-2</v>
      </c>
      <c r="S947" s="102">
        <f t="shared" si="69"/>
        <v>1.8513250658586798E-2</v>
      </c>
    </row>
    <row r="948" spans="15:19" x14ac:dyDescent="0.3">
      <c r="O948" s="101">
        <v>41681</v>
      </c>
      <c r="P948" s="110">
        <v>27599.119999999999</v>
      </c>
      <c r="Q948" s="110">
        <v>553.9</v>
      </c>
      <c r="R948" s="102">
        <f t="shared" si="69"/>
        <v>4.1890881643695789E-2</v>
      </c>
      <c r="S948" s="102">
        <f t="shared" si="69"/>
        <v>-3.6042569203655287E-3</v>
      </c>
    </row>
    <row r="949" spans="15:19" x14ac:dyDescent="0.3">
      <c r="O949" s="101">
        <v>41680</v>
      </c>
      <c r="P949" s="110">
        <v>26466.85</v>
      </c>
      <c r="Q949" s="110">
        <v>555.9</v>
      </c>
      <c r="R949" s="102">
        <f t="shared" si="69"/>
        <v>8.0536991626507046E-3</v>
      </c>
      <c r="S949" s="102">
        <f t="shared" si="69"/>
        <v>1.1106602603587918E-2</v>
      </c>
    </row>
    <row r="950" spans="15:19" x14ac:dyDescent="0.3">
      <c r="O950" s="101">
        <v>41677</v>
      </c>
      <c r="P950" s="110">
        <v>26254.55</v>
      </c>
      <c r="Q950" s="110">
        <v>549.76</v>
      </c>
      <c r="R950" s="102">
        <f t="shared" si="69"/>
        <v>0</v>
      </c>
      <c r="S950" s="102">
        <f t="shared" si="69"/>
        <v>-8.9095515298275724E-3</v>
      </c>
    </row>
    <row r="951" spans="15:19" x14ac:dyDescent="0.3">
      <c r="O951" s="101">
        <v>41676</v>
      </c>
      <c r="P951" s="110">
        <v>26254.55</v>
      </c>
      <c r="Q951" s="110">
        <v>554.67999999999995</v>
      </c>
      <c r="R951" s="102">
        <f t="shared" si="69"/>
        <v>2.6991722645024205E-3</v>
      </c>
      <c r="S951" s="102">
        <f t="shared" si="69"/>
        <v>-3.3117380880126014E-3</v>
      </c>
    </row>
    <row r="952" spans="15:19" x14ac:dyDescent="0.3">
      <c r="O952" s="101">
        <v>41666</v>
      </c>
      <c r="P952" s="110">
        <v>26183.78</v>
      </c>
      <c r="Q952" s="110">
        <v>556.52</v>
      </c>
      <c r="R952" s="102">
        <f t="shared" si="69"/>
        <v>5.5569872978572563E-2</v>
      </c>
      <c r="S952" s="102">
        <f t="shared" si="69"/>
        <v>-6.572902925422364E-3</v>
      </c>
    </row>
    <row r="953" spans="15:19" x14ac:dyDescent="0.3">
      <c r="O953" s="101">
        <v>41663</v>
      </c>
      <c r="P953" s="110">
        <v>24768.44</v>
      </c>
      <c r="Q953" s="110">
        <v>560.19000000000005</v>
      </c>
      <c r="R953" s="102">
        <f t="shared" si="69"/>
        <v>8.608337304130775E-3</v>
      </c>
      <c r="S953" s="102">
        <f t="shared" si="69"/>
        <v>1.1923929593622673E-2</v>
      </c>
    </row>
    <row r="954" spans="15:19" x14ac:dyDescent="0.3">
      <c r="O954" s="101">
        <v>41662</v>
      </c>
      <c r="P954" s="110">
        <v>24556.14</v>
      </c>
      <c r="Q954" s="110">
        <v>553.54999999999995</v>
      </c>
      <c r="R954" s="102">
        <f t="shared" si="69"/>
        <v>0</v>
      </c>
      <c r="S954" s="102">
        <f t="shared" si="69"/>
        <v>2.9489740676225725E-3</v>
      </c>
    </row>
    <row r="955" spans="15:19" x14ac:dyDescent="0.3">
      <c r="O955" s="101">
        <v>41661</v>
      </c>
      <c r="P955" s="110">
        <v>24556.14</v>
      </c>
      <c r="Q955" s="110">
        <v>551.91999999999996</v>
      </c>
      <c r="R955" s="102">
        <f t="shared" si="69"/>
        <v>-5.7469823973106335E-3</v>
      </c>
      <c r="S955" s="102">
        <f t="shared" si="69"/>
        <v>-1.4372948289702715E-2</v>
      </c>
    </row>
    <row r="956" spans="15:19" x14ac:dyDescent="0.3">
      <c r="O956" s="101">
        <v>41660</v>
      </c>
      <c r="P956" s="110">
        <v>24697.67</v>
      </c>
      <c r="Q956" s="110">
        <v>559.91</v>
      </c>
      <c r="R956" s="102">
        <f t="shared" si="69"/>
        <v>1.4430067088900005E-2</v>
      </c>
      <c r="S956" s="102">
        <f t="shared" si="69"/>
        <v>1.1207215130897024E-2</v>
      </c>
    </row>
    <row r="957" spans="15:19" x14ac:dyDescent="0.3">
      <c r="O957" s="101">
        <v>41659</v>
      </c>
      <c r="P957" s="110">
        <v>24343.84</v>
      </c>
      <c r="Q957" s="110">
        <v>553.66999999999996</v>
      </c>
      <c r="R957" s="102">
        <f t="shared" si="69"/>
        <v>-2.9028834877502388E-3</v>
      </c>
      <c r="S957" s="102">
        <f t="shared" si="69"/>
        <v>1.8373555168199291E-2</v>
      </c>
    </row>
    <row r="958" spans="15:19" x14ac:dyDescent="0.3">
      <c r="O958" s="101">
        <v>41656</v>
      </c>
      <c r="P958" s="110">
        <v>24414.61</v>
      </c>
      <c r="Q958" s="110">
        <v>543.59</v>
      </c>
      <c r="R958" s="102">
        <f t="shared" si="69"/>
        <v>-1.7241729417426809E-2</v>
      </c>
      <c r="S958" s="102">
        <f t="shared" si="69"/>
        <v>1.8661241727431912E-2</v>
      </c>
    </row>
    <row r="959" spans="15:19" x14ac:dyDescent="0.3">
      <c r="O959" s="101">
        <v>41655</v>
      </c>
      <c r="P959" s="110">
        <v>24839.21</v>
      </c>
      <c r="Q959" s="110">
        <v>533.54</v>
      </c>
      <c r="R959" s="102">
        <f t="shared" si="69"/>
        <v>-1.6949483885497836E-2</v>
      </c>
      <c r="S959" s="102">
        <f t="shared" si="69"/>
        <v>1.2940891012884446E-2</v>
      </c>
    </row>
    <row r="960" spans="15:19" x14ac:dyDescent="0.3">
      <c r="O960" s="101">
        <v>41654</v>
      </c>
      <c r="P960" s="110">
        <v>25263.81</v>
      </c>
      <c r="Q960" s="110">
        <v>526.67999999999995</v>
      </c>
      <c r="R960" s="102">
        <f t="shared" si="69"/>
        <v>3.1297140569624994E-2</v>
      </c>
      <c r="S960" s="102">
        <f t="shared" si="69"/>
        <v>8.3318721445480633E-3</v>
      </c>
    </row>
    <row r="961" spans="15:19" x14ac:dyDescent="0.3">
      <c r="O961" s="101">
        <v>41653</v>
      </c>
      <c r="P961" s="110">
        <v>24485.37</v>
      </c>
      <c r="Q961" s="110">
        <v>522.30999999999995</v>
      </c>
      <c r="R961" s="102">
        <f t="shared" si="69"/>
        <v>2.0438719481131067E-2</v>
      </c>
      <c r="S961" s="102">
        <f t="shared" si="69"/>
        <v>2.3001294379242396E-3</v>
      </c>
    </row>
    <row r="962" spans="15:19" x14ac:dyDescent="0.3">
      <c r="O962" s="101">
        <v>41652</v>
      </c>
      <c r="P962" s="110">
        <v>23990</v>
      </c>
      <c r="Q962" s="110">
        <v>521.11</v>
      </c>
      <c r="R962" s="102">
        <f t="shared" si="69"/>
        <v>2.6907339236198907E-2</v>
      </c>
      <c r="S962" s="102">
        <f t="shared" si="69"/>
        <v>4.1728823591949257E-3</v>
      </c>
    </row>
    <row r="963" spans="15:19" x14ac:dyDescent="0.3">
      <c r="O963" s="101">
        <v>41649</v>
      </c>
      <c r="P963" s="110">
        <v>23353.1</v>
      </c>
      <c r="Q963" s="110">
        <v>518.94000000000005</v>
      </c>
      <c r="R963" s="102">
        <f t="shared" si="69"/>
        <v>2.7651411272010176E-2</v>
      </c>
      <c r="S963" s="102">
        <f t="shared" si="69"/>
        <v>3.7840805058552674E-3</v>
      </c>
    </row>
    <row r="964" spans="15:19" x14ac:dyDescent="0.3">
      <c r="O964" s="101">
        <v>41648</v>
      </c>
      <c r="P964" s="110">
        <v>22716.2</v>
      </c>
      <c r="Q964" s="110">
        <v>516.98</v>
      </c>
      <c r="R964" s="102">
        <f t="shared" si="69"/>
        <v>2.2048189094169779E-2</v>
      </c>
      <c r="S964" s="102">
        <f t="shared" si="69"/>
        <v>5.9754950424363738E-3</v>
      </c>
    </row>
    <row r="965" spans="15:19" x14ac:dyDescent="0.3">
      <c r="O965" s="101">
        <v>41647</v>
      </c>
      <c r="P965" s="110">
        <v>22220.83</v>
      </c>
      <c r="Q965" s="110">
        <v>513.9</v>
      </c>
      <c r="R965" s="102">
        <f t="shared" si="69"/>
        <v>0</v>
      </c>
      <c r="S965" s="102">
        <f t="shared" si="69"/>
        <v>7.3827018394847085E-3</v>
      </c>
    </row>
    <row r="966" spans="15:19" x14ac:dyDescent="0.3">
      <c r="O966" s="101">
        <v>41646</v>
      </c>
      <c r="P966" s="110">
        <v>22220.83</v>
      </c>
      <c r="Q966" s="110">
        <v>510.12</v>
      </c>
      <c r="R966" s="102">
        <f t="shared" si="69"/>
        <v>-9.5087467992546974E-3</v>
      </c>
      <c r="S966" s="102">
        <f t="shared" si="69"/>
        <v>2.0015312504086296E-3</v>
      </c>
    </row>
    <row r="967" spans="15:19" x14ac:dyDescent="0.3">
      <c r="O967" s="101">
        <v>41645</v>
      </c>
      <c r="P967" s="110">
        <v>22433.13</v>
      </c>
      <c r="Q967" s="110">
        <v>509.1</v>
      </c>
      <c r="R967" s="102">
        <f t="shared" si="69"/>
        <v>1.269867875739113E-2</v>
      </c>
      <c r="S967" s="102">
        <f t="shared" si="69"/>
        <v>7.3536266396319015E-3</v>
      </c>
    </row>
    <row r="968" spans="15:19" x14ac:dyDescent="0.3">
      <c r="O968" s="101">
        <v>41642</v>
      </c>
      <c r="P968" s="110">
        <v>22150.06</v>
      </c>
      <c r="Q968" s="110">
        <v>505.37</v>
      </c>
      <c r="R968" s="102">
        <f t="shared" si="69"/>
        <v>6.4100998068399168E-3</v>
      </c>
      <c r="S968" s="102">
        <f t="shared" si="69"/>
        <v>1.7031730658901543E-3</v>
      </c>
    </row>
    <row r="969" spans="15:19" x14ac:dyDescent="0.3">
      <c r="O969" s="101">
        <v>41641</v>
      </c>
      <c r="P969" s="110">
        <v>22008.53</v>
      </c>
      <c r="Q969" s="110">
        <v>504.51</v>
      </c>
      <c r="R969" s="102">
        <f t="shared" si="69"/>
        <v>0</v>
      </c>
      <c r="S969" s="102">
        <f t="shared" si="69"/>
        <v>-2.3782626903226173E-4</v>
      </c>
    </row>
    <row r="970" spans="15:19" x14ac:dyDescent="0.3">
      <c r="O970" s="101">
        <v>41639</v>
      </c>
      <c r="P970" s="110">
        <v>22008.53</v>
      </c>
      <c r="Q970" s="110">
        <v>504.63</v>
      </c>
      <c r="R970" s="102">
        <f t="shared" si="69"/>
        <v>9.6930864241371942E-3</v>
      </c>
      <c r="S970" s="102">
        <f t="shared" si="69"/>
        <v>8.5176339353354915E-3</v>
      </c>
    </row>
    <row r="971" spans="15:19" x14ac:dyDescent="0.3">
      <c r="O971" s="101">
        <v>41638</v>
      </c>
      <c r="P971" s="110">
        <v>21796.23</v>
      </c>
      <c r="Q971" s="110">
        <v>500.35</v>
      </c>
      <c r="R971" s="102">
        <f t="shared" si="69"/>
        <v>-1.6103186230977024E-2</v>
      </c>
      <c r="S971" s="102">
        <f t="shared" si="69"/>
        <v>-1.2038764333914298E-2</v>
      </c>
    </row>
    <row r="972" spans="15:19" x14ac:dyDescent="0.3">
      <c r="O972" s="101">
        <v>41635</v>
      </c>
      <c r="P972" s="110">
        <v>22150.06</v>
      </c>
      <c r="Q972" s="110">
        <v>506.41</v>
      </c>
      <c r="R972" s="102">
        <f t="shared" si="69"/>
        <v>9.6308522833839262E-3</v>
      </c>
      <c r="S972" s="102">
        <f t="shared" si="69"/>
        <v>-2.7641762930700651E-4</v>
      </c>
    </row>
    <row r="973" spans="15:19" x14ac:dyDescent="0.3">
      <c r="O973" s="101">
        <v>41634</v>
      </c>
      <c r="P973" s="110">
        <v>21937.759999999998</v>
      </c>
      <c r="Q973" s="110">
        <v>506.55</v>
      </c>
      <c r="R973" s="102">
        <f t="shared" si="69"/>
        <v>-9.1887693203784506E-3</v>
      </c>
      <c r="S973" s="102">
        <f t="shared" si="69"/>
        <v>4.2137811244259953E-3</v>
      </c>
    </row>
    <row r="974" spans="15:19" x14ac:dyDescent="0.3">
      <c r="O974" s="101">
        <v>41633</v>
      </c>
      <c r="P974" s="110">
        <v>22140.27</v>
      </c>
      <c r="Q974" s="110">
        <v>504.42</v>
      </c>
      <c r="R974" s="102">
        <f t="shared" si="69"/>
        <v>-3.0441053144394901E-3</v>
      </c>
      <c r="S974" s="102">
        <f t="shared" si="69"/>
        <v>-2.3761446370565067E-3</v>
      </c>
    </row>
    <row r="975" spans="15:19" x14ac:dyDescent="0.3">
      <c r="O975" s="101">
        <v>41632</v>
      </c>
      <c r="P975" s="110">
        <v>22207.77</v>
      </c>
      <c r="Q975" s="110">
        <v>505.62</v>
      </c>
      <c r="R975" s="102">
        <f t="shared" si="69"/>
        <v>-9.0771082905061317E-3</v>
      </c>
      <c r="S975" s="102">
        <f t="shared" si="69"/>
        <v>-6.0337361402290424E-3</v>
      </c>
    </row>
    <row r="976" spans="15:19" x14ac:dyDescent="0.3">
      <c r="O976" s="101">
        <v>41631</v>
      </c>
      <c r="P976" s="110">
        <v>22410.27</v>
      </c>
      <c r="Q976" s="110">
        <v>508.68</v>
      </c>
      <c r="R976" s="102">
        <f t="shared" si="69"/>
        <v>3.0165571404908421E-3</v>
      </c>
      <c r="S976" s="102">
        <f t="shared" si="69"/>
        <v>8.350408298157759E-3</v>
      </c>
    </row>
    <row r="977" spans="15:19" x14ac:dyDescent="0.3">
      <c r="O977" s="101">
        <v>41628</v>
      </c>
      <c r="P977" s="110">
        <v>22342.77</v>
      </c>
      <c r="Q977" s="110">
        <v>504.45</v>
      </c>
      <c r="R977" s="102">
        <f t="shared" si="69"/>
        <v>6.0605511500151444E-3</v>
      </c>
      <c r="S977" s="102">
        <f t="shared" si="69"/>
        <v>-3.62114906985927E-3</v>
      </c>
    </row>
    <row r="978" spans="15:19" x14ac:dyDescent="0.3">
      <c r="O978" s="101">
        <v>41627</v>
      </c>
      <c r="P978" s="110">
        <v>22207.77</v>
      </c>
      <c r="Q978" s="110">
        <v>506.28</v>
      </c>
      <c r="R978" s="102">
        <f t="shared" si="69"/>
        <v>1.2232874634817948E-2</v>
      </c>
      <c r="S978" s="102">
        <f t="shared" si="69"/>
        <v>2.0365196405170974E-3</v>
      </c>
    </row>
    <row r="979" spans="15:19" x14ac:dyDescent="0.3">
      <c r="O979" s="101">
        <v>41626</v>
      </c>
      <c r="P979" s="110">
        <v>21937.759999999998</v>
      </c>
      <c r="Q979" s="110">
        <v>505.25</v>
      </c>
      <c r="R979" s="102">
        <f t="shared" si="69"/>
        <v>0</v>
      </c>
      <c r="S979" s="102">
        <f t="shared" si="69"/>
        <v>-8.3092633277681073E-4</v>
      </c>
    </row>
    <row r="980" spans="15:19" x14ac:dyDescent="0.3">
      <c r="O980" s="101">
        <v>41625</v>
      </c>
      <c r="P980" s="110">
        <v>21937.759999999998</v>
      </c>
      <c r="Q980" s="110">
        <v>505.67</v>
      </c>
      <c r="R980" s="102">
        <f t="shared" si="69"/>
        <v>-9.1887693203784506E-3</v>
      </c>
      <c r="S980" s="102">
        <f t="shared" si="69"/>
        <v>7.2044848242618347E-3</v>
      </c>
    </row>
    <row r="981" spans="15:19" x14ac:dyDescent="0.3">
      <c r="O981" s="101">
        <v>41624</v>
      </c>
      <c r="P981" s="110">
        <v>22140.27</v>
      </c>
      <c r="Q981" s="110">
        <v>502.04</v>
      </c>
      <c r="R981" s="102">
        <f t="shared" si="69"/>
        <v>1.5361555042252331E-2</v>
      </c>
      <c r="S981" s="102">
        <f t="shared" si="69"/>
        <v>-7.9754415406131929E-3</v>
      </c>
    </row>
    <row r="982" spans="15:19" x14ac:dyDescent="0.3">
      <c r="O982" s="101">
        <v>41621</v>
      </c>
      <c r="P982" s="110">
        <v>21802.76</v>
      </c>
      <c r="Q982" s="110">
        <v>506.06</v>
      </c>
      <c r="R982" s="102">
        <f t="shared" si="69"/>
        <v>9.3312156311182049E-3</v>
      </c>
      <c r="S982" s="102">
        <f t="shared" si="69"/>
        <v>-1.6979608810048065E-3</v>
      </c>
    </row>
    <row r="983" spans="15:19" x14ac:dyDescent="0.3">
      <c r="O983" s="101">
        <v>41620</v>
      </c>
      <c r="P983" s="110">
        <v>21600.26</v>
      </c>
      <c r="Q983" s="110">
        <v>506.92</v>
      </c>
      <c r="R983" s="102">
        <f t="shared" si="69"/>
        <v>0</v>
      </c>
      <c r="S983" s="102">
        <f t="shared" si="69"/>
        <v>3.1810978881948288E-3</v>
      </c>
    </row>
    <row r="984" spans="15:19" x14ac:dyDescent="0.3">
      <c r="O984" s="101">
        <v>41619</v>
      </c>
      <c r="P984" s="110">
        <v>21600.26</v>
      </c>
      <c r="Q984" s="110">
        <v>505.31</v>
      </c>
      <c r="R984" s="102">
        <f t="shared" si="69"/>
        <v>-6.2304749873280472E-3</v>
      </c>
      <c r="S984" s="102">
        <f t="shared" si="69"/>
        <v>-1.237096737901911E-2</v>
      </c>
    </row>
    <row r="985" spans="15:19" x14ac:dyDescent="0.3">
      <c r="O985" s="101">
        <v>41618</v>
      </c>
      <c r="P985" s="110">
        <v>21735.26</v>
      </c>
      <c r="Q985" s="110">
        <v>511.6</v>
      </c>
      <c r="R985" s="102">
        <f t="shared" si="69"/>
        <v>3.1103851491914285E-3</v>
      </c>
      <c r="S985" s="102">
        <f t="shared" si="69"/>
        <v>7.2348291727666707E-4</v>
      </c>
    </row>
    <row r="986" spans="15:19" x14ac:dyDescent="0.3">
      <c r="O986" s="101">
        <v>41617</v>
      </c>
      <c r="P986" s="110">
        <v>21667.759999999998</v>
      </c>
      <c r="Q986" s="110">
        <v>511.23</v>
      </c>
      <c r="R986" s="102">
        <f t="shared" si="69"/>
        <v>-6.2111257929815819E-3</v>
      </c>
      <c r="S986" s="102">
        <f t="shared" si="69"/>
        <v>2.1735946287120369E-3</v>
      </c>
    </row>
    <row r="987" spans="15:19" x14ac:dyDescent="0.3">
      <c r="O987" s="101">
        <v>41614</v>
      </c>
      <c r="P987" s="110">
        <v>21802.76</v>
      </c>
      <c r="Q987" s="110">
        <v>510.12</v>
      </c>
      <c r="R987" s="102">
        <f t="shared" si="69"/>
        <v>-3.0911557638212128E-3</v>
      </c>
      <c r="S987" s="102">
        <f t="shared" si="69"/>
        <v>1.7644464095180527E-4</v>
      </c>
    </row>
    <row r="988" spans="15:19" x14ac:dyDescent="0.3">
      <c r="O988" s="101">
        <v>41613</v>
      </c>
      <c r="P988" s="110">
        <v>21870.26</v>
      </c>
      <c r="Q988" s="110">
        <v>510.03</v>
      </c>
      <c r="R988" s="102">
        <f t="shared" si="69"/>
        <v>-3.0816299580526734E-3</v>
      </c>
      <c r="S988" s="102">
        <f t="shared" si="69"/>
        <v>-1.6651814487246336E-3</v>
      </c>
    </row>
    <row r="989" spans="15:19" x14ac:dyDescent="0.3">
      <c r="O989" s="101">
        <v>41612</v>
      </c>
      <c r="P989" s="110">
        <v>21937.759999999998</v>
      </c>
      <c r="Q989" s="110">
        <v>510.88</v>
      </c>
      <c r="R989" s="102">
        <f t="shared" si="69"/>
        <v>-3.0721626820266407E-3</v>
      </c>
      <c r="S989" s="102">
        <f t="shared" si="69"/>
        <v>-1.4474330155413476E-3</v>
      </c>
    </row>
    <row r="990" spans="15:19" x14ac:dyDescent="0.3">
      <c r="O990" s="101">
        <v>41611</v>
      </c>
      <c r="P990" s="110">
        <v>22005.26</v>
      </c>
      <c r="Q990" s="110">
        <v>511.62</v>
      </c>
      <c r="R990" s="102">
        <f t="shared" ref="R990:S1053" si="70">LN(P990/P991)</f>
        <v>-9.1607119527913391E-3</v>
      </c>
      <c r="S990" s="102">
        <f t="shared" si="70"/>
        <v>6.0579511835086551E-3</v>
      </c>
    </row>
    <row r="991" spans="15:19" x14ac:dyDescent="0.3">
      <c r="O991" s="101">
        <v>41610</v>
      </c>
      <c r="P991" s="110">
        <v>22207.77</v>
      </c>
      <c r="Q991" s="110">
        <v>508.53</v>
      </c>
      <c r="R991" s="102">
        <f t="shared" si="70"/>
        <v>4.3485041894187289E-2</v>
      </c>
      <c r="S991" s="102">
        <f t="shared" si="70"/>
        <v>1.4759278884350442E-3</v>
      </c>
    </row>
    <row r="992" spans="15:19" x14ac:dyDescent="0.3">
      <c r="O992" s="101">
        <v>41607</v>
      </c>
      <c r="P992" s="110">
        <v>21262.76</v>
      </c>
      <c r="Q992" s="110">
        <v>507.78</v>
      </c>
      <c r="R992" s="102">
        <f t="shared" si="70"/>
        <v>6.3698434626614734E-3</v>
      </c>
      <c r="S992" s="102">
        <f t="shared" si="70"/>
        <v>1.3786447943535445E-4</v>
      </c>
    </row>
    <row r="993" spans="15:19" x14ac:dyDescent="0.3">
      <c r="O993" s="101">
        <v>41606</v>
      </c>
      <c r="P993" s="110">
        <v>21127.75</v>
      </c>
      <c r="Q993" s="110">
        <v>507.71</v>
      </c>
      <c r="R993" s="102">
        <f t="shared" si="70"/>
        <v>6.410202265879115E-3</v>
      </c>
      <c r="S993" s="102">
        <f t="shared" si="70"/>
        <v>-1.417127798325259E-3</v>
      </c>
    </row>
    <row r="994" spans="15:19" x14ac:dyDescent="0.3">
      <c r="O994" s="101">
        <v>41605</v>
      </c>
      <c r="P994" s="110">
        <v>20992.75</v>
      </c>
      <c r="Q994" s="110">
        <v>508.43</v>
      </c>
      <c r="R994" s="102">
        <f t="shared" si="70"/>
        <v>3.2205762843227244E-3</v>
      </c>
      <c r="S994" s="102">
        <f t="shared" si="70"/>
        <v>-1.4347627732742927E-3</v>
      </c>
    </row>
    <row r="995" spans="15:19" x14ac:dyDescent="0.3">
      <c r="O995" s="101">
        <v>41604</v>
      </c>
      <c r="P995" s="110">
        <v>20925.25</v>
      </c>
      <c r="Q995" s="110">
        <v>509.16</v>
      </c>
      <c r="R995" s="102">
        <f t="shared" si="70"/>
        <v>6.4724369258246459E-3</v>
      </c>
      <c r="S995" s="102">
        <f t="shared" si="70"/>
        <v>5.3169617785502749E-3</v>
      </c>
    </row>
    <row r="996" spans="15:19" x14ac:dyDescent="0.3">
      <c r="O996" s="101">
        <v>41603</v>
      </c>
      <c r="P996" s="110">
        <v>20790.25</v>
      </c>
      <c r="Q996" s="110">
        <v>506.46</v>
      </c>
      <c r="R996" s="102">
        <f t="shared" si="70"/>
        <v>-9.6930132101472194E-3</v>
      </c>
      <c r="S996" s="102">
        <f t="shared" si="70"/>
        <v>1.6203935963266742E-3</v>
      </c>
    </row>
    <row r="997" spans="15:19" x14ac:dyDescent="0.3">
      <c r="O997" s="101">
        <v>41600</v>
      </c>
      <c r="P997" s="110">
        <v>20992.75</v>
      </c>
      <c r="Q997" s="110">
        <v>505.64</v>
      </c>
      <c r="R997" s="102">
        <f t="shared" si="70"/>
        <v>1.2945009427576136E-2</v>
      </c>
      <c r="S997" s="102">
        <f t="shared" si="70"/>
        <v>4.161800731488037E-3</v>
      </c>
    </row>
    <row r="998" spans="15:19" x14ac:dyDescent="0.3">
      <c r="O998" s="101">
        <v>41599</v>
      </c>
      <c r="P998" s="110">
        <v>20722.75</v>
      </c>
      <c r="Q998" s="110">
        <v>503.54</v>
      </c>
      <c r="R998" s="102">
        <f t="shared" si="70"/>
        <v>0</v>
      </c>
      <c r="S998" s="102">
        <f t="shared" si="70"/>
        <v>-3.9244495693309244E-3</v>
      </c>
    </row>
    <row r="999" spans="15:19" x14ac:dyDescent="0.3">
      <c r="O999" s="101">
        <v>41598</v>
      </c>
      <c r="P999" s="110">
        <v>20722.75</v>
      </c>
      <c r="Q999" s="110">
        <v>505.52</v>
      </c>
      <c r="R999" s="102">
        <f t="shared" si="70"/>
        <v>3.2626062098632864E-3</v>
      </c>
      <c r="S999" s="102">
        <f t="shared" si="70"/>
        <v>1.6035955645297886E-3</v>
      </c>
    </row>
    <row r="1000" spans="15:19" x14ac:dyDescent="0.3">
      <c r="O1000" s="101">
        <v>41597</v>
      </c>
      <c r="P1000" s="110">
        <v>20655.25</v>
      </c>
      <c r="Q1000" s="110">
        <v>504.71</v>
      </c>
      <c r="R1000" s="102">
        <f t="shared" si="70"/>
        <v>6.5573209181335355E-3</v>
      </c>
      <c r="S1000" s="102">
        <f t="shared" si="70"/>
        <v>-3.5008293352012374E-3</v>
      </c>
    </row>
    <row r="1001" spans="15:19" x14ac:dyDescent="0.3">
      <c r="O1001" s="101">
        <v>41596</v>
      </c>
      <c r="P1001" s="110">
        <v>20520.25</v>
      </c>
      <c r="Q1001" s="110">
        <v>506.48</v>
      </c>
      <c r="R1001" s="102">
        <f t="shared" si="70"/>
        <v>1.324555813005388E-2</v>
      </c>
      <c r="S1001" s="102">
        <f t="shared" si="70"/>
        <v>1.0200322610271312E-2</v>
      </c>
    </row>
    <row r="1002" spans="15:19" x14ac:dyDescent="0.3">
      <c r="O1002" s="101">
        <v>41593</v>
      </c>
      <c r="P1002" s="110">
        <v>20250.240000000002</v>
      </c>
      <c r="Q1002" s="110">
        <v>501.34</v>
      </c>
      <c r="R1002" s="102">
        <f t="shared" si="70"/>
        <v>0</v>
      </c>
      <c r="S1002" s="102">
        <f t="shared" si="70"/>
        <v>6.9856867915065145E-3</v>
      </c>
    </row>
    <row r="1003" spans="15:19" x14ac:dyDescent="0.3">
      <c r="O1003" s="101">
        <v>41592</v>
      </c>
      <c r="P1003" s="110">
        <v>20250.240000000002</v>
      </c>
      <c r="Q1003" s="110">
        <v>497.85</v>
      </c>
      <c r="R1003" s="102">
        <f t="shared" si="70"/>
        <v>-2.9558936484220873E-2</v>
      </c>
      <c r="S1003" s="102">
        <f t="shared" si="70"/>
        <v>3.4809938869644654E-3</v>
      </c>
    </row>
    <row r="1004" spans="15:19" x14ac:dyDescent="0.3">
      <c r="O1004" s="101">
        <v>41591</v>
      </c>
      <c r="P1004" s="110">
        <v>20857.75</v>
      </c>
      <c r="Q1004" s="110">
        <v>496.12</v>
      </c>
      <c r="R1004" s="102">
        <f t="shared" si="70"/>
        <v>0</v>
      </c>
      <c r="S1004" s="102">
        <f t="shared" si="70"/>
        <v>-3.0791857449437394E-3</v>
      </c>
    </row>
    <row r="1005" spans="15:19" x14ac:dyDescent="0.3">
      <c r="O1005" s="101">
        <v>41590</v>
      </c>
      <c r="P1005" s="110">
        <v>20857.75</v>
      </c>
      <c r="Q1005" s="110">
        <v>497.65</v>
      </c>
      <c r="R1005" s="102">
        <f t="shared" si="70"/>
        <v>-6.4515582014055464E-3</v>
      </c>
      <c r="S1005" s="102">
        <f t="shared" si="70"/>
        <v>-6.8687502839186072E-3</v>
      </c>
    </row>
    <row r="1006" spans="15:19" x14ac:dyDescent="0.3">
      <c r="O1006" s="101">
        <v>41589</v>
      </c>
      <c r="P1006" s="110">
        <v>20992.75</v>
      </c>
      <c r="Q1006" s="110">
        <v>501.08</v>
      </c>
      <c r="R1006" s="102">
        <f t="shared" si="70"/>
        <v>6.4515582014054692E-3</v>
      </c>
      <c r="S1006" s="102">
        <f t="shared" si="70"/>
        <v>4.9415419304153036E-3</v>
      </c>
    </row>
    <row r="1007" spans="15:19" x14ac:dyDescent="0.3">
      <c r="O1007" s="101">
        <v>41586</v>
      </c>
      <c r="P1007" s="110">
        <v>20857.75</v>
      </c>
      <c r="Q1007" s="110">
        <v>498.61</v>
      </c>
      <c r="R1007" s="102">
        <f t="shared" si="70"/>
        <v>-3.2309819170829334E-3</v>
      </c>
      <c r="S1007" s="102">
        <f t="shared" si="70"/>
        <v>-2.5038321692970899E-3</v>
      </c>
    </row>
    <row r="1008" spans="15:19" x14ac:dyDescent="0.3">
      <c r="O1008" s="101">
        <v>41585</v>
      </c>
      <c r="P1008" s="110">
        <v>20925.25</v>
      </c>
      <c r="Q1008" s="110">
        <v>499.86</v>
      </c>
      <c r="R1008" s="102">
        <f t="shared" si="70"/>
        <v>-6.4308137451044092E-3</v>
      </c>
      <c r="S1008" s="102">
        <f t="shared" si="70"/>
        <v>-5.3073809213441169E-3</v>
      </c>
    </row>
    <row r="1009" spans="15:19" x14ac:dyDescent="0.3">
      <c r="O1009" s="101">
        <v>41584</v>
      </c>
      <c r="P1009" s="110">
        <v>21060.25</v>
      </c>
      <c r="Q1009" s="110">
        <v>502.52</v>
      </c>
      <c r="R1009" s="102">
        <f t="shared" si="70"/>
        <v>0</v>
      </c>
      <c r="S1009" s="102">
        <f t="shared" si="70"/>
        <v>5.4474299387291631E-3</v>
      </c>
    </row>
    <row r="1010" spans="15:19" x14ac:dyDescent="0.3">
      <c r="O1010" s="101">
        <v>41583</v>
      </c>
      <c r="P1010" s="110">
        <v>21060.25</v>
      </c>
      <c r="Q1010" s="110">
        <v>499.79</v>
      </c>
      <c r="R1010" s="102">
        <f t="shared" si="70"/>
        <v>6.4308137451043962E-3</v>
      </c>
      <c r="S1010" s="102">
        <f t="shared" si="70"/>
        <v>5.4571489481725233E-3</v>
      </c>
    </row>
    <row r="1011" spans="15:19" x14ac:dyDescent="0.3">
      <c r="O1011" s="101">
        <v>41582</v>
      </c>
      <c r="P1011" s="110">
        <v>20925.25</v>
      </c>
      <c r="Q1011" s="110">
        <v>497.07</v>
      </c>
      <c r="R1011" s="102">
        <f t="shared" si="70"/>
        <v>-1.6000622012863192E-2</v>
      </c>
      <c r="S1011" s="102">
        <f t="shared" si="70"/>
        <v>-2.0117688478302432E-5</v>
      </c>
    </row>
    <row r="1012" spans="15:19" x14ac:dyDescent="0.3">
      <c r="O1012" s="101">
        <v>41579</v>
      </c>
      <c r="P1012" s="110">
        <v>21262.76</v>
      </c>
      <c r="Q1012" s="110">
        <v>497.08</v>
      </c>
      <c r="R1012" s="102">
        <f t="shared" si="70"/>
        <v>0</v>
      </c>
      <c r="S1012" s="102">
        <f t="shared" si="70"/>
        <v>-6.6365677304382024E-4</v>
      </c>
    </row>
    <row r="1013" spans="15:19" x14ac:dyDescent="0.3">
      <c r="O1013" s="101">
        <v>41578</v>
      </c>
      <c r="P1013" s="110">
        <v>21262.76</v>
      </c>
      <c r="Q1013" s="110">
        <v>497.41</v>
      </c>
      <c r="R1013" s="102">
        <f t="shared" si="70"/>
        <v>3.1800857785719812E-3</v>
      </c>
      <c r="S1013" s="102">
        <f t="shared" si="70"/>
        <v>-3.3317307634054892E-3</v>
      </c>
    </row>
    <row r="1014" spans="15:19" x14ac:dyDescent="0.3">
      <c r="O1014" s="101">
        <v>41577</v>
      </c>
      <c r="P1014" s="110">
        <v>21195.25</v>
      </c>
      <c r="Q1014" s="110">
        <v>499.07</v>
      </c>
      <c r="R1014" s="102">
        <f t="shared" si="70"/>
        <v>6.3897224891867064E-3</v>
      </c>
      <c r="S1014" s="102">
        <f t="shared" si="70"/>
        <v>3.9953875364492153E-3</v>
      </c>
    </row>
    <row r="1015" spans="15:19" x14ac:dyDescent="0.3">
      <c r="O1015" s="101">
        <v>41576</v>
      </c>
      <c r="P1015" s="110">
        <v>21060.25</v>
      </c>
      <c r="Q1015" s="110">
        <v>497.08</v>
      </c>
      <c r="R1015" s="102">
        <f t="shared" si="70"/>
        <v>9.6617956621874324E-3</v>
      </c>
      <c r="S1015" s="102">
        <f t="shared" si="70"/>
        <v>1.2480626456491937E-3</v>
      </c>
    </row>
    <row r="1016" spans="15:19" x14ac:dyDescent="0.3">
      <c r="O1016" s="101">
        <v>41575</v>
      </c>
      <c r="P1016" s="110">
        <v>20857.75</v>
      </c>
      <c r="Q1016" s="110">
        <v>496.46</v>
      </c>
      <c r="R1016" s="102">
        <f t="shared" si="70"/>
        <v>-1.2861760467284631E-2</v>
      </c>
      <c r="S1016" s="102">
        <f t="shared" si="70"/>
        <v>-8.6040582537829837E-3</v>
      </c>
    </row>
    <row r="1017" spans="15:19" x14ac:dyDescent="0.3">
      <c r="O1017" s="101">
        <v>41572</v>
      </c>
      <c r="P1017" s="110">
        <v>21127.75</v>
      </c>
      <c r="Q1017" s="110">
        <v>500.75</v>
      </c>
      <c r="R1017" s="102">
        <f t="shared" si="70"/>
        <v>-9.5393795278903692E-3</v>
      </c>
      <c r="S1017" s="102">
        <f t="shared" si="70"/>
        <v>-8.3839033975060878E-4</v>
      </c>
    </row>
    <row r="1018" spans="15:19" x14ac:dyDescent="0.3">
      <c r="O1018" s="101">
        <v>41571</v>
      </c>
      <c r="P1018" s="110">
        <v>21330.26</v>
      </c>
      <c r="Q1018" s="110">
        <v>501.17</v>
      </c>
      <c r="R1018" s="102">
        <f t="shared" si="70"/>
        <v>-3.1595218384560158E-3</v>
      </c>
      <c r="S1018" s="102">
        <f t="shared" si="70"/>
        <v>-5.7301046142723012E-3</v>
      </c>
    </row>
    <row r="1019" spans="15:19" x14ac:dyDescent="0.3">
      <c r="O1019" s="101">
        <v>41570</v>
      </c>
      <c r="P1019" s="110">
        <v>21397.759999999998</v>
      </c>
      <c r="Q1019" s="110">
        <v>504.05</v>
      </c>
      <c r="R1019" s="102">
        <f t="shared" si="70"/>
        <v>-6.2892527269681406E-3</v>
      </c>
      <c r="S1019" s="102">
        <f t="shared" si="70"/>
        <v>6.9280203843327722E-3</v>
      </c>
    </row>
    <row r="1020" spans="15:19" x14ac:dyDescent="0.3">
      <c r="O1020" s="101">
        <v>41569</v>
      </c>
      <c r="P1020" s="110">
        <v>21532.76</v>
      </c>
      <c r="Q1020" s="110">
        <v>500.57</v>
      </c>
      <c r="R1020" s="102">
        <f t="shared" si="70"/>
        <v>3.1396820341498288E-3</v>
      </c>
      <c r="S1020" s="102">
        <f t="shared" si="70"/>
        <v>-1.9957298020464695E-3</v>
      </c>
    </row>
    <row r="1021" spans="15:19" x14ac:dyDescent="0.3">
      <c r="O1021" s="101">
        <v>41568</v>
      </c>
      <c r="P1021" s="110">
        <v>21465.26</v>
      </c>
      <c r="Q1021" s="110">
        <v>501.57</v>
      </c>
      <c r="R1021" s="102">
        <f t="shared" si="70"/>
        <v>2.5479250609366271E-2</v>
      </c>
      <c r="S1021" s="102">
        <f t="shared" si="70"/>
        <v>1.4764567726032267E-3</v>
      </c>
    </row>
    <row r="1022" spans="15:19" x14ac:dyDescent="0.3">
      <c r="O1022" s="101">
        <v>41565</v>
      </c>
      <c r="P1022" s="110">
        <v>20925.25</v>
      </c>
      <c r="Q1022" s="110">
        <v>500.83</v>
      </c>
      <c r="R1022" s="102">
        <f t="shared" si="70"/>
        <v>0</v>
      </c>
      <c r="S1022" s="102">
        <f t="shared" si="70"/>
        <v>2.4789601067719872E-3</v>
      </c>
    </row>
    <row r="1023" spans="15:19" x14ac:dyDescent="0.3">
      <c r="O1023" s="101">
        <v>41564</v>
      </c>
      <c r="P1023" s="110">
        <v>20925.25</v>
      </c>
      <c r="Q1023" s="110">
        <v>499.59</v>
      </c>
      <c r="R1023" s="102">
        <f t="shared" si="70"/>
        <v>-1.2820536234291116E-2</v>
      </c>
      <c r="S1023" s="102">
        <f t="shared" si="70"/>
        <v>1.2618298204221654E-3</v>
      </c>
    </row>
    <row r="1024" spans="15:19" x14ac:dyDescent="0.3">
      <c r="O1024" s="101">
        <v>41563</v>
      </c>
      <c r="P1024" s="110">
        <v>21195.25</v>
      </c>
      <c r="Q1024" s="110">
        <v>498.96</v>
      </c>
      <c r="R1024" s="102">
        <f t="shared" si="70"/>
        <v>1.6051518151374049E-2</v>
      </c>
      <c r="S1024" s="102">
        <f t="shared" si="70"/>
        <v>6.5146810211936723E-3</v>
      </c>
    </row>
    <row r="1025" spans="15:19" x14ac:dyDescent="0.3">
      <c r="O1025" s="101">
        <v>41562</v>
      </c>
      <c r="P1025" s="110">
        <v>20857.75</v>
      </c>
      <c r="Q1025" s="110">
        <v>495.72</v>
      </c>
      <c r="R1025" s="102">
        <f t="shared" si="70"/>
        <v>-9.6617956621873492E-3</v>
      </c>
      <c r="S1025" s="102">
        <f t="shared" si="70"/>
        <v>4.2452607877795211E-3</v>
      </c>
    </row>
    <row r="1026" spans="15:19" x14ac:dyDescent="0.3">
      <c r="O1026" s="101">
        <v>41561</v>
      </c>
      <c r="P1026" s="110">
        <v>21060.25</v>
      </c>
      <c r="Q1026" s="110">
        <v>493.62</v>
      </c>
      <c r="R1026" s="102">
        <f t="shared" si="70"/>
        <v>-3.1999648050973807E-3</v>
      </c>
      <c r="S1026" s="102">
        <f t="shared" si="70"/>
        <v>-1.8418261544322855E-3</v>
      </c>
    </row>
    <row r="1027" spans="15:19" x14ac:dyDescent="0.3">
      <c r="O1027" s="101">
        <v>41558</v>
      </c>
      <c r="P1027" s="110">
        <v>21127.75</v>
      </c>
      <c r="Q1027" s="110">
        <v>494.53</v>
      </c>
      <c r="R1027" s="102">
        <f t="shared" si="70"/>
        <v>3.1999648050972289E-3</v>
      </c>
      <c r="S1027" s="102">
        <f t="shared" si="70"/>
        <v>-5.6603393671717883E-4</v>
      </c>
    </row>
    <row r="1028" spans="15:19" x14ac:dyDescent="0.3">
      <c r="O1028" s="101">
        <v>41557</v>
      </c>
      <c r="P1028" s="110">
        <v>21060.25</v>
      </c>
      <c r="Q1028" s="110">
        <v>494.81</v>
      </c>
      <c r="R1028" s="102">
        <f t="shared" si="70"/>
        <v>0</v>
      </c>
      <c r="S1028" s="102">
        <f t="shared" si="70"/>
        <v>-1.1773350923377758E-2</v>
      </c>
    </row>
    <row r="1029" spans="15:19" x14ac:dyDescent="0.3">
      <c r="O1029" s="101">
        <v>41556</v>
      </c>
      <c r="P1029" s="110">
        <v>21060.25</v>
      </c>
      <c r="Q1029" s="110">
        <v>500.67</v>
      </c>
      <c r="R1029" s="102">
        <f t="shared" si="70"/>
        <v>4.9692032013703702E-2</v>
      </c>
      <c r="S1029" s="102">
        <f t="shared" si="70"/>
        <v>-3.0910692780858526E-3</v>
      </c>
    </row>
    <row r="1030" spans="15:19" x14ac:dyDescent="0.3">
      <c r="O1030" s="101">
        <v>41555</v>
      </c>
      <c r="P1030" s="110">
        <v>20039.3</v>
      </c>
      <c r="Q1030" s="110">
        <v>502.22</v>
      </c>
      <c r="R1030" s="102">
        <f t="shared" si="70"/>
        <v>-8.2758311607048496E-3</v>
      </c>
      <c r="S1030" s="102">
        <f t="shared" si="70"/>
        <v>3.4906138026490228E-3</v>
      </c>
    </row>
    <row r="1031" spans="15:19" x14ac:dyDescent="0.3">
      <c r="O1031" s="101">
        <v>41554</v>
      </c>
      <c r="P1031" s="110">
        <v>20205.830000000002</v>
      </c>
      <c r="Q1031" s="110">
        <v>500.47</v>
      </c>
      <c r="R1031" s="102">
        <f t="shared" si="70"/>
        <v>2.7510074676845436E-3</v>
      </c>
      <c r="S1031" s="102">
        <f t="shared" si="70"/>
        <v>5.9521003002106481E-3</v>
      </c>
    </row>
    <row r="1032" spans="15:19" x14ac:dyDescent="0.3">
      <c r="O1032" s="101">
        <v>41551</v>
      </c>
      <c r="P1032" s="110">
        <v>20150.32</v>
      </c>
      <c r="Q1032" s="110">
        <v>497.5</v>
      </c>
      <c r="R1032" s="102">
        <f t="shared" si="70"/>
        <v>2.7585963917578392E-3</v>
      </c>
      <c r="S1032" s="102">
        <f t="shared" si="70"/>
        <v>1.0507269834492553E-2</v>
      </c>
    </row>
    <row r="1033" spans="15:19" x14ac:dyDescent="0.3">
      <c r="O1033" s="101">
        <v>41550</v>
      </c>
      <c r="P1033" s="110">
        <v>20094.810000000001</v>
      </c>
      <c r="Q1033" s="110">
        <v>492.3</v>
      </c>
      <c r="R1033" s="102">
        <f t="shared" si="70"/>
        <v>-8.2535575935780182E-3</v>
      </c>
      <c r="S1033" s="102">
        <f t="shared" si="70"/>
        <v>-4.2363926375500148E-3</v>
      </c>
    </row>
    <row r="1034" spans="15:19" x14ac:dyDescent="0.3">
      <c r="O1034" s="101">
        <v>41549</v>
      </c>
      <c r="P1034" s="110">
        <v>20261.349999999999</v>
      </c>
      <c r="Q1034" s="110">
        <v>494.39</v>
      </c>
      <c r="R1034" s="102">
        <f t="shared" si="70"/>
        <v>2.2161855214260544E-2</v>
      </c>
      <c r="S1034" s="102">
        <f t="shared" si="70"/>
        <v>4.3582769694701104E-3</v>
      </c>
    </row>
    <row r="1035" spans="15:19" x14ac:dyDescent="0.3">
      <c r="O1035" s="101">
        <v>41548</v>
      </c>
      <c r="P1035" s="110">
        <v>19817.259999999998</v>
      </c>
      <c r="Q1035" s="110">
        <v>492.24</v>
      </c>
      <c r="R1035" s="102">
        <f t="shared" si="70"/>
        <v>-5.5865532958143437E-3</v>
      </c>
      <c r="S1035" s="102">
        <f t="shared" si="70"/>
        <v>-7.9198273962080817E-4</v>
      </c>
    </row>
    <row r="1036" spans="15:19" x14ac:dyDescent="0.3">
      <c r="O1036" s="101">
        <v>41547</v>
      </c>
      <c r="P1036" s="110">
        <v>19928.28</v>
      </c>
      <c r="Q1036" s="110">
        <v>492.63</v>
      </c>
      <c r="R1036" s="102">
        <f t="shared" si="70"/>
        <v>0</v>
      </c>
      <c r="S1036" s="102">
        <f t="shared" si="70"/>
        <v>1.2295404273219302E-2</v>
      </c>
    </row>
    <row r="1037" spans="15:19" x14ac:dyDescent="0.3">
      <c r="O1037" s="101">
        <v>41544</v>
      </c>
      <c r="P1037" s="110">
        <v>19928.28</v>
      </c>
      <c r="Q1037" s="110">
        <v>486.61</v>
      </c>
      <c r="R1037" s="102">
        <f t="shared" si="70"/>
        <v>-2.7816164780165892E-3</v>
      </c>
      <c r="S1037" s="102">
        <f t="shared" si="70"/>
        <v>3.0873115536089036E-3</v>
      </c>
    </row>
    <row r="1038" spans="15:19" x14ac:dyDescent="0.3">
      <c r="O1038" s="101">
        <v>41543</v>
      </c>
      <c r="P1038" s="110">
        <v>19983.79</v>
      </c>
      <c r="Q1038" s="110">
        <v>485.11</v>
      </c>
      <c r="R1038" s="102">
        <f t="shared" si="70"/>
        <v>-8.298724238609341E-3</v>
      </c>
      <c r="S1038" s="102">
        <f t="shared" si="70"/>
        <v>-2.2855270262137311E-3</v>
      </c>
    </row>
    <row r="1039" spans="15:19" x14ac:dyDescent="0.3">
      <c r="O1039" s="101">
        <v>41542</v>
      </c>
      <c r="P1039" s="110">
        <v>20150.32</v>
      </c>
      <c r="Q1039" s="110">
        <v>486.22</v>
      </c>
      <c r="R1039" s="102">
        <f t="shared" si="70"/>
        <v>1.3869716172390183E-2</v>
      </c>
      <c r="S1039" s="102">
        <f t="shared" si="70"/>
        <v>7.0172829851448794E-3</v>
      </c>
    </row>
    <row r="1040" spans="15:19" x14ac:dyDescent="0.3">
      <c r="O1040" s="101">
        <v>41541</v>
      </c>
      <c r="P1040" s="110">
        <v>19872.77</v>
      </c>
      <c r="Q1040" s="110">
        <v>482.82</v>
      </c>
      <c r="R1040" s="102">
        <f t="shared" si="70"/>
        <v>2.8330231890023375E-2</v>
      </c>
      <c r="S1040" s="102">
        <f t="shared" si="70"/>
        <v>7.7554421840662887E-3</v>
      </c>
    </row>
    <row r="1041" spans="15:19" x14ac:dyDescent="0.3">
      <c r="O1041" s="101">
        <v>41540</v>
      </c>
      <c r="P1041" s="110">
        <v>19317.669999999998</v>
      </c>
      <c r="Q1041" s="110">
        <v>479.09</v>
      </c>
      <c r="R1041" s="102">
        <f t="shared" si="70"/>
        <v>0</v>
      </c>
      <c r="S1041" s="102">
        <f t="shared" si="70"/>
        <v>3.9737367720231549E-3</v>
      </c>
    </row>
    <row r="1042" spans="15:19" x14ac:dyDescent="0.3">
      <c r="O1042" s="101">
        <v>41537</v>
      </c>
      <c r="P1042" s="110">
        <v>19317.669999999998</v>
      </c>
      <c r="Q1042" s="110">
        <v>477.19</v>
      </c>
      <c r="R1042" s="102">
        <f t="shared" si="70"/>
        <v>0</v>
      </c>
      <c r="S1042" s="102">
        <f t="shared" si="70"/>
        <v>2.3078224408792773E-3</v>
      </c>
    </row>
    <row r="1043" spans="15:19" x14ac:dyDescent="0.3">
      <c r="O1043" s="101">
        <v>41536</v>
      </c>
      <c r="P1043" s="110">
        <v>19317.669999999998</v>
      </c>
      <c r="Q1043" s="110">
        <v>476.09</v>
      </c>
      <c r="R1043" s="102">
        <f t="shared" si="70"/>
        <v>5.7641685169727694E-3</v>
      </c>
      <c r="S1043" s="102">
        <f t="shared" si="70"/>
        <v>3.8512174711644088E-3</v>
      </c>
    </row>
    <row r="1044" spans="15:19" x14ac:dyDescent="0.3">
      <c r="O1044" s="101">
        <v>41535</v>
      </c>
      <c r="P1044" s="110">
        <v>19206.64</v>
      </c>
      <c r="Q1044" s="110">
        <v>474.26</v>
      </c>
      <c r="R1044" s="102">
        <f t="shared" si="70"/>
        <v>-1.149478702278655E-2</v>
      </c>
      <c r="S1044" s="102">
        <f t="shared" si="70"/>
        <v>-7.2900248271375789E-3</v>
      </c>
    </row>
    <row r="1045" spans="15:19" x14ac:dyDescent="0.3">
      <c r="O1045" s="101">
        <v>41534</v>
      </c>
      <c r="P1045" s="110">
        <v>19428.689999999999</v>
      </c>
      <c r="Q1045" s="110">
        <v>477.73</v>
      </c>
      <c r="R1045" s="102">
        <f t="shared" si="70"/>
        <v>0</v>
      </c>
      <c r="S1045" s="102">
        <f t="shared" si="70"/>
        <v>4.5316347349778794E-3</v>
      </c>
    </row>
    <row r="1046" spans="15:19" x14ac:dyDescent="0.3">
      <c r="O1046" s="101">
        <v>41533</v>
      </c>
      <c r="P1046" s="110">
        <v>19428.689999999999</v>
      </c>
      <c r="Q1046" s="110">
        <v>475.57</v>
      </c>
      <c r="R1046" s="102">
        <f t="shared" si="70"/>
        <v>2.8612042599663674E-3</v>
      </c>
      <c r="S1046" s="102">
        <f t="shared" si="70"/>
        <v>-1.7857335179496769E-3</v>
      </c>
    </row>
    <row r="1047" spans="15:19" x14ac:dyDescent="0.3">
      <c r="O1047" s="101">
        <v>41530</v>
      </c>
      <c r="P1047" s="110">
        <v>19373.18</v>
      </c>
      <c r="Q1047" s="110">
        <v>476.42</v>
      </c>
      <c r="R1047" s="102">
        <f t="shared" si="70"/>
        <v>5.7470857289248015E-3</v>
      </c>
      <c r="S1047" s="102">
        <f t="shared" si="70"/>
        <v>1.7436796048268374E-3</v>
      </c>
    </row>
    <row r="1048" spans="15:19" x14ac:dyDescent="0.3">
      <c r="O1048" s="101">
        <v>41529</v>
      </c>
      <c r="P1048" s="110">
        <v>19262.16</v>
      </c>
      <c r="Q1048" s="110">
        <v>475.59</v>
      </c>
      <c r="R1048" s="102">
        <f t="shared" si="70"/>
        <v>-8.608289988891198E-3</v>
      </c>
      <c r="S1048" s="102">
        <f t="shared" si="70"/>
        <v>-1.701698957898934E-3</v>
      </c>
    </row>
    <row r="1049" spans="15:19" x14ac:dyDescent="0.3">
      <c r="O1049" s="101">
        <v>41528</v>
      </c>
      <c r="P1049" s="110">
        <v>19428.689999999999</v>
      </c>
      <c r="Q1049" s="110">
        <v>476.4</v>
      </c>
      <c r="R1049" s="102">
        <f t="shared" si="70"/>
        <v>-2.5388988839974019E-2</v>
      </c>
      <c r="S1049" s="102">
        <f t="shared" si="70"/>
        <v>3.9329969829574665E-3</v>
      </c>
    </row>
    <row r="1050" spans="15:19" x14ac:dyDescent="0.3">
      <c r="O1050" s="101">
        <v>41527</v>
      </c>
      <c r="P1050" s="110">
        <v>19928.28</v>
      </c>
      <c r="Q1050" s="110">
        <v>474.53</v>
      </c>
      <c r="R1050" s="102">
        <f t="shared" si="70"/>
        <v>-2.7816164780165892E-3</v>
      </c>
      <c r="S1050" s="102">
        <f t="shared" si="70"/>
        <v>9.2517781937923628E-3</v>
      </c>
    </row>
    <row r="1051" spans="15:19" x14ac:dyDescent="0.3">
      <c r="O1051" s="101">
        <v>41526</v>
      </c>
      <c r="P1051" s="110">
        <v>19983.79</v>
      </c>
      <c r="Q1051" s="110">
        <v>470.16</v>
      </c>
      <c r="R1051" s="102">
        <f t="shared" si="70"/>
        <v>-1.9258126119533803E-2</v>
      </c>
      <c r="S1051" s="102">
        <f t="shared" si="70"/>
        <v>-2.0775539644497888E-2</v>
      </c>
    </row>
    <row r="1052" spans="15:19" x14ac:dyDescent="0.3">
      <c r="O1052" s="101">
        <v>41523</v>
      </c>
      <c r="P1052" s="110">
        <v>20372.37</v>
      </c>
      <c r="Q1052" s="110">
        <v>480.03</v>
      </c>
      <c r="R1052" s="102">
        <f t="shared" si="70"/>
        <v>0</v>
      </c>
      <c r="S1052" s="102">
        <f t="shared" si="70"/>
        <v>5.1378559137388157E-3</v>
      </c>
    </row>
    <row r="1053" spans="15:19" x14ac:dyDescent="0.3">
      <c r="O1053" s="101">
        <v>41522</v>
      </c>
      <c r="P1053" s="110">
        <v>20372.37</v>
      </c>
      <c r="Q1053" s="110">
        <v>477.57</v>
      </c>
      <c r="R1053" s="102">
        <f t="shared" si="70"/>
        <v>1.6484225573944709E-2</v>
      </c>
      <c r="S1053" s="102">
        <f t="shared" si="70"/>
        <v>1.2897694123467895E-2</v>
      </c>
    </row>
    <row r="1054" spans="15:19" x14ac:dyDescent="0.3">
      <c r="O1054" s="101">
        <v>41521</v>
      </c>
      <c r="P1054" s="110">
        <v>20039.3</v>
      </c>
      <c r="Q1054" s="110">
        <v>471.45</v>
      </c>
      <c r="R1054" s="102">
        <f t="shared" ref="R1054:S1117" si="71">LN(P1054/P1055)</f>
        <v>8.3448924793698837E-3</v>
      </c>
      <c r="S1054" s="102">
        <f t="shared" si="71"/>
        <v>-1.5260383199330405E-3</v>
      </c>
    </row>
    <row r="1055" spans="15:19" x14ac:dyDescent="0.3">
      <c r="O1055" s="101">
        <v>41520</v>
      </c>
      <c r="P1055" s="110">
        <v>19872.77</v>
      </c>
      <c r="Q1055" s="110">
        <v>472.17</v>
      </c>
      <c r="R1055" s="102">
        <f t="shared" si="71"/>
        <v>-1.1111119780632412E-2</v>
      </c>
      <c r="S1055" s="102">
        <f t="shared" si="71"/>
        <v>-1.1218475675713719E-3</v>
      </c>
    </row>
    <row r="1056" spans="15:19" x14ac:dyDescent="0.3">
      <c r="O1056" s="101">
        <v>41516</v>
      </c>
      <c r="P1056" s="110">
        <v>20094.810000000001</v>
      </c>
      <c r="Q1056" s="110">
        <v>472.7</v>
      </c>
      <c r="R1056" s="102">
        <f t="shared" si="71"/>
        <v>2.7662273012625865E-3</v>
      </c>
      <c r="S1056" s="102">
        <f t="shared" si="71"/>
        <v>8.8181182293579023E-3</v>
      </c>
    </row>
    <row r="1057" spans="15:19" x14ac:dyDescent="0.3">
      <c r="O1057" s="101">
        <v>41515</v>
      </c>
      <c r="P1057" s="110">
        <v>20039.3</v>
      </c>
      <c r="Q1057" s="110">
        <v>468.55</v>
      </c>
      <c r="R1057" s="102">
        <f t="shared" si="71"/>
        <v>-2.7662273012625553E-3</v>
      </c>
      <c r="S1057" s="102">
        <f t="shared" si="71"/>
        <v>-1.0086617342369623E-2</v>
      </c>
    </row>
    <row r="1058" spans="15:19" x14ac:dyDescent="0.3">
      <c r="O1058" s="101">
        <v>41514</v>
      </c>
      <c r="P1058" s="110">
        <v>20094.810000000001</v>
      </c>
      <c r="Q1058" s="110">
        <v>473.3</v>
      </c>
      <c r="R1058" s="102">
        <f t="shared" si="71"/>
        <v>-1.0989510442478275E-2</v>
      </c>
      <c r="S1058" s="102">
        <f t="shared" si="71"/>
        <v>-2.5594021682495586E-2</v>
      </c>
    </row>
    <row r="1059" spans="15:19" x14ac:dyDescent="0.3">
      <c r="O1059" s="101">
        <v>41513</v>
      </c>
      <c r="P1059" s="110">
        <v>20316.86</v>
      </c>
      <c r="Q1059" s="110">
        <v>485.57</v>
      </c>
      <c r="R1059" s="102">
        <f t="shared" si="71"/>
        <v>-1.8944901501719055E-2</v>
      </c>
      <c r="S1059" s="102">
        <f t="shared" si="71"/>
        <v>-1.0183366525092821E-2</v>
      </c>
    </row>
    <row r="1060" spans="15:19" x14ac:dyDescent="0.3">
      <c r="O1060" s="101">
        <v>41512</v>
      </c>
      <c r="P1060" s="110">
        <v>20705.43</v>
      </c>
      <c r="Q1060" s="110">
        <v>490.54</v>
      </c>
      <c r="R1060" s="102">
        <f t="shared" si="71"/>
        <v>0</v>
      </c>
      <c r="S1060" s="102">
        <f t="shared" si="71"/>
        <v>7.6123802160222897E-3</v>
      </c>
    </row>
    <row r="1061" spans="15:19" x14ac:dyDescent="0.3">
      <c r="O1061" s="101">
        <v>41509</v>
      </c>
      <c r="P1061" s="110">
        <v>20705.43</v>
      </c>
      <c r="Q1061" s="110">
        <v>486.82</v>
      </c>
      <c r="R1061" s="102">
        <f t="shared" si="71"/>
        <v>8.0753356868841462E-3</v>
      </c>
      <c r="S1061" s="102">
        <f t="shared" si="71"/>
        <v>-1.8923388043360394E-2</v>
      </c>
    </row>
    <row r="1062" spans="15:19" x14ac:dyDescent="0.3">
      <c r="O1062" s="101">
        <v>41508</v>
      </c>
      <c r="P1062" s="110">
        <v>20538.900000000001</v>
      </c>
      <c r="Q1062" s="110">
        <v>496.12</v>
      </c>
      <c r="R1062" s="102">
        <f t="shared" si="71"/>
        <v>5.4200145474935955E-3</v>
      </c>
      <c r="S1062" s="102">
        <f t="shared" si="71"/>
        <v>-1.3175737751400685E-2</v>
      </c>
    </row>
    <row r="1063" spans="15:19" x14ac:dyDescent="0.3">
      <c r="O1063" s="101">
        <v>41507</v>
      </c>
      <c r="P1063" s="110">
        <v>20427.88</v>
      </c>
      <c r="Q1063" s="110">
        <v>502.7</v>
      </c>
      <c r="R1063" s="102">
        <f t="shared" si="71"/>
        <v>1.3680465318061642E-2</v>
      </c>
      <c r="S1063" s="102">
        <f t="shared" si="71"/>
        <v>-4.1885501579353836E-3</v>
      </c>
    </row>
    <row r="1064" spans="15:19" x14ac:dyDescent="0.3">
      <c r="O1064" s="101">
        <v>41506</v>
      </c>
      <c r="P1064" s="110">
        <v>20150.32</v>
      </c>
      <c r="Q1064" s="110">
        <v>504.81</v>
      </c>
      <c r="R1064" s="102">
        <f t="shared" si="71"/>
        <v>3.6469329556600032E-2</v>
      </c>
      <c r="S1064" s="102">
        <f t="shared" si="71"/>
        <v>-1.222660752457953E-2</v>
      </c>
    </row>
    <row r="1065" spans="15:19" x14ac:dyDescent="0.3">
      <c r="O1065" s="101">
        <v>41505</v>
      </c>
      <c r="P1065" s="110">
        <v>19428.689999999999</v>
      </c>
      <c r="Q1065" s="110">
        <v>511.02</v>
      </c>
      <c r="R1065" s="102">
        <f t="shared" si="71"/>
        <v>1.4389117884632791E-2</v>
      </c>
      <c r="S1065" s="102">
        <f t="shared" si="71"/>
        <v>6.3407520968100295E-3</v>
      </c>
    </row>
    <row r="1066" spans="15:19" x14ac:dyDescent="0.3">
      <c r="O1066" s="101">
        <v>41502</v>
      </c>
      <c r="P1066" s="110">
        <v>19151.13</v>
      </c>
      <c r="Q1066" s="110">
        <v>507.79</v>
      </c>
      <c r="R1066" s="102">
        <f t="shared" si="71"/>
        <v>-5.7808278957415873E-3</v>
      </c>
      <c r="S1066" s="102">
        <f t="shared" si="71"/>
        <v>-8.464484122669881E-4</v>
      </c>
    </row>
    <row r="1067" spans="15:19" x14ac:dyDescent="0.3">
      <c r="O1067" s="101">
        <v>41501</v>
      </c>
      <c r="P1067" s="110">
        <v>19262.16</v>
      </c>
      <c r="Q1067" s="110">
        <v>508.22</v>
      </c>
      <c r="R1067" s="102">
        <f t="shared" si="71"/>
        <v>1.1594742956946092E-2</v>
      </c>
      <c r="S1067" s="102">
        <f t="shared" si="71"/>
        <v>9.1916953889023736E-3</v>
      </c>
    </row>
    <row r="1068" spans="15:19" x14ac:dyDescent="0.3">
      <c r="O1068" s="101">
        <v>41500</v>
      </c>
      <c r="P1068" s="110">
        <v>19040.11</v>
      </c>
      <c r="Q1068" s="110">
        <v>503.57</v>
      </c>
      <c r="R1068" s="102">
        <f t="shared" si="71"/>
        <v>8.7847461404989887E-3</v>
      </c>
      <c r="S1068" s="102">
        <f t="shared" si="71"/>
        <v>1.1664967984225519E-2</v>
      </c>
    </row>
    <row r="1069" spans="15:19" x14ac:dyDescent="0.3">
      <c r="O1069" s="101">
        <v>41499</v>
      </c>
      <c r="P1069" s="110">
        <v>18873.580000000002</v>
      </c>
      <c r="Q1069" s="110">
        <v>497.73</v>
      </c>
      <c r="R1069" s="102">
        <f t="shared" si="71"/>
        <v>-5.8650636796400025E-3</v>
      </c>
      <c r="S1069" s="102">
        <f t="shared" si="71"/>
        <v>-3.4697534785735869E-3</v>
      </c>
    </row>
    <row r="1070" spans="15:19" x14ac:dyDescent="0.3">
      <c r="O1070" s="101">
        <v>41498</v>
      </c>
      <c r="P1070" s="110">
        <v>18984.599999999999</v>
      </c>
      <c r="Q1070" s="110">
        <v>499.46</v>
      </c>
      <c r="R1070" s="102">
        <f t="shared" si="71"/>
        <v>-2.9196824608589381E-3</v>
      </c>
      <c r="S1070" s="102">
        <f t="shared" si="71"/>
        <v>-2.3198154551953196E-3</v>
      </c>
    </row>
    <row r="1071" spans="15:19" x14ac:dyDescent="0.3">
      <c r="O1071" s="101">
        <v>41495</v>
      </c>
      <c r="P1071" s="110">
        <v>19040.11</v>
      </c>
      <c r="Q1071" s="110">
        <v>500.62</v>
      </c>
      <c r="R1071" s="102">
        <f t="shared" si="71"/>
        <v>8.7847461404989887E-3</v>
      </c>
      <c r="S1071" s="102">
        <f t="shared" si="71"/>
        <v>4.8055837145592004E-3</v>
      </c>
    </row>
    <row r="1072" spans="15:19" x14ac:dyDescent="0.3">
      <c r="O1072" s="101">
        <v>41494</v>
      </c>
      <c r="P1072" s="110">
        <v>18873.580000000002</v>
      </c>
      <c r="Q1072" s="110">
        <v>498.22</v>
      </c>
      <c r="R1072" s="102">
        <f t="shared" si="71"/>
        <v>-8.784746140498961E-3</v>
      </c>
      <c r="S1072" s="102">
        <f t="shared" si="71"/>
        <v>-3.7663318822746192E-3</v>
      </c>
    </row>
    <row r="1073" spans="15:19" x14ac:dyDescent="0.3">
      <c r="O1073" s="101">
        <v>41493</v>
      </c>
      <c r="P1073" s="110">
        <v>19040.11</v>
      </c>
      <c r="Q1073" s="110">
        <v>500.1</v>
      </c>
      <c r="R1073" s="102">
        <f t="shared" si="71"/>
        <v>-1.7341828685870815E-2</v>
      </c>
      <c r="S1073" s="102">
        <f t="shared" si="71"/>
        <v>7.1037563194607549E-3</v>
      </c>
    </row>
    <row r="1074" spans="15:19" x14ac:dyDescent="0.3">
      <c r="O1074" s="101">
        <v>41492</v>
      </c>
      <c r="P1074" s="110">
        <v>19373.18</v>
      </c>
      <c r="Q1074" s="110">
        <v>496.56</v>
      </c>
      <c r="R1074" s="102">
        <f t="shared" si="71"/>
        <v>4.3931028133998795E-2</v>
      </c>
      <c r="S1074" s="102">
        <f t="shared" si="71"/>
        <v>5.8573009858195711E-3</v>
      </c>
    </row>
    <row r="1075" spans="15:19" x14ac:dyDescent="0.3">
      <c r="O1075" s="101">
        <v>41491</v>
      </c>
      <c r="P1075" s="110">
        <v>18540.52</v>
      </c>
      <c r="Q1075" s="110">
        <v>493.66</v>
      </c>
      <c r="R1075" s="102">
        <f t="shared" si="71"/>
        <v>2.9984738417057812E-3</v>
      </c>
      <c r="S1075" s="102">
        <f t="shared" si="71"/>
        <v>-2.0236367598728648E-3</v>
      </c>
    </row>
    <row r="1076" spans="15:19" x14ac:dyDescent="0.3">
      <c r="O1076" s="101">
        <v>41488</v>
      </c>
      <c r="P1076" s="110">
        <v>18485.009999999998</v>
      </c>
      <c r="Q1076" s="110">
        <v>494.66</v>
      </c>
      <c r="R1076" s="102">
        <f t="shared" si="71"/>
        <v>2.1245452118789133E-2</v>
      </c>
      <c r="S1076" s="102">
        <f t="shared" si="71"/>
        <v>4.5183393487093935E-3</v>
      </c>
    </row>
    <row r="1077" spans="15:19" x14ac:dyDescent="0.3">
      <c r="O1077" s="101">
        <v>41487</v>
      </c>
      <c r="P1077" s="110">
        <v>18096.43</v>
      </c>
      <c r="Q1077" s="110">
        <v>492.43</v>
      </c>
      <c r="R1077" s="102">
        <f t="shared" si="71"/>
        <v>-6.1167189618048529E-3</v>
      </c>
      <c r="S1077" s="102">
        <f t="shared" si="71"/>
        <v>1.1785265719742165E-3</v>
      </c>
    </row>
    <row r="1078" spans="15:19" x14ac:dyDescent="0.3">
      <c r="O1078" s="101">
        <v>41486</v>
      </c>
      <c r="P1078" s="110">
        <v>18207.46</v>
      </c>
      <c r="Q1078" s="110">
        <v>491.85</v>
      </c>
      <c r="R1078" s="102">
        <f t="shared" si="71"/>
        <v>0</v>
      </c>
      <c r="S1078" s="102">
        <f t="shared" si="71"/>
        <v>6.7524405119109027E-3</v>
      </c>
    </row>
    <row r="1079" spans="15:19" x14ac:dyDescent="0.3">
      <c r="O1079" s="101">
        <v>41485</v>
      </c>
      <c r="P1079" s="110">
        <v>18207.46</v>
      </c>
      <c r="Q1079" s="110">
        <v>488.54</v>
      </c>
      <c r="R1079" s="102">
        <f t="shared" si="71"/>
        <v>1.8462438086992321E-2</v>
      </c>
      <c r="S1079" s="102">
        <f t="shared" si="71"/>
        <v>5.850791147958263E-3</v>
      </c>
    </row>
    <row r="1080" spans="15:19" x14ac:dyDescent="0.3">
      <c r="O1080" s="101">
        <v>41484</v>
      </c>
      <c r="P1080" s="110">
        <v>17874.39</v>
      </c>
      <c r="Q1080" s="110">
        <v>485.69</v>
      </c>
      <c r="R1080" s="102">
        <f t="shared" si="71"/>
        <v>1.880915137243493E-2</v>
      </c>
      <c r="S1080" s="102">
        <f t="shared" si="71"/>
        <v>-1.6823246443715613E-2</v>
      </c>
    </row>
    <row r="1081" spans="15:19" x14ac:dyDescent="0.3">
      <c r="O1081" s="101">
        <v>41481</v>
      </c>
      <c r="P1081" s="110">
        <v>17541.330000000002</v>
      </c>
      <c r="Q1081" s="110">
        <v>493.93</v>
      </c>
      <c r="R1081" s="102">
        <f t="shared" si="71"/>
        <v>9.5389301579703843E-3</v>
      </c>
      <c r="S1081" s="102">
        <f t="shared" si="71"/>
        <v>4.3623447252231955E-3</v>
      </c>
    </row>
    <row r="1082" spans="15:19" x14ac:dyDescent="0.3">
      <c r="O1082" s="101">
        <v>41480</v>
      </c>
      <c r="P1082" s="110">
        <v>17374.8</v>
      </c>
      <c r="Q1082" s="110">
        <v>491.78</v>
      </c>
      <c r="R1082" s="102">
        <f t="shared" si="71"/>
        <v>0</v>
      </c>
      <c r="S1082" s="102">
        <f t="shared" si="71"/>
        <v>-4.8683612726407874E-3</v>
      </c>
    </row>
    <row r="1083" spans="15:19" x14ac:dyDescent="0.3">
      <c r="O1083" s="101">
        <v>41479</v>
      </c>
      <c r="P1083" s="110">
        <v>17374.8</v>
      </c>
      <c r="Q1083" s="110">
        <v>494.18</v>
      </c>
      <c r="R1083" s="102">
        <f t="shared" si="71"/>
        <v>-9.538930157970341E-3</v>
      </c>
      <c r="S1083" s="102">
        <f t="shared" si="71"/>
        <v>-2.0251676129454874E-2</v>
      </c>
    </row>
    <row r="1084" spans="15:19" x14ac:dyDescent="0.3">
      <c r="O1084" s="101">
        <v>41478</v>
      </c>
      <c r="P1084" s="110">
        <v>17541.330000000002</v>
      </c>
      <c r="Q1084" s="110">
        <v>504.29</v>
      </c>
      <c r="R1084" s="102">
        <f t="shared" si="71"/>
        <v>3.1695439949385841E-3</v>
      </c>
      <c r="S1084" s="102">
        <f t="shared" si="71"/>
        <v>-3.7013254191430255E-3</v>
      </c>
    </row>
    <row r="1085" spans="15:19" x14ac:dyDescent="0.3">
      <c r="O1085" s="101">
        <v>41477</v>
      </c>
      <c r="P1085" s="110">
        <v>17485.82</v>
      </c>
      <c r="Q1085" s="110">
        <v>506.16</v>
      </c>
      <c r="R1085" s="102">
        <f t="shared" si="71"/>
        <v>-4.3485245786786086E-2</v>
      </c>
      <c r="S1085" s="102">
        <f t="shared" si="71"/>
        <v>4.7528606581417766E-3</v>
      </c>
    </row>
    <row r="1086" spans="15:19" x14ac:dyDescent="0.3">
      <c r="O1086" s="101">
        <v>41474</v>
      </c>
      <c r="P1086" s="110">
        <v>18262.97</v>
      </c>
      <c r="Q1086" s="110">
        <v>503.76</v>
      </c>
      <c r="R1086" s="102">
        <f t="shared" si="71"/>
        <v>6.0975195867186711E-3</v>
      </c>
      <c r="S1086" s="102">
        <f t="shared" si="71"/>
        <v>1.3831921504494324E-2</v>
      </c>
    </row>
    <row r="1087" spans="15:19" x14ac:dyDescent="0.3">
      <c r="O1087" s="101">
        <v>41473</v>
      </c>
      <c r="P1087" s="110">
        <v>18151.95</v>
      </c>
      <c r="Q1087" s="110">
        <v>496.84</v>
      </c>
      <c r="R1087" s="102">
        <f t="shared" si="71"/>
        <v>2.1639521140743828E-2</v>
      </c>
      <c r="S1087" s="102">
        <f t="shared" si="71"/>
        <v>-1.3275139226544763E-3</v>
      </c>
    </row>
    <row r="1088" spans="15:19" x14ac:dyDescent="0.3">
      <c r="O1088" s="101">
        <v>41472</v>
      </c>
      <c r="P1088" s="110">
        <v>17763.37</v>
      </c>
      <c r="Q1088" s="110">
        <v>497.5</v>
      </c>
      <c r="R1088" s="102">
        <f t="shared" si="71"/>
        <v>4.8009339160648541E-2</v>
      </c>
      <c r="S1088" s="102">
        <f t="shared" si="71"/>
        <v>2.5761798251314198E-3</v>
      </c>
    </row>
    <row r="1089" spans="15:19" x14ac:dyDescent="0.3">
      <c r="O1089" s="101">
        <v>41471</v>
      </c>
      <c r="P1089" s="110">
        <v>16930.71</v>
      </c>
      <c r="Q1089" s="110">
        <v>496.22</v>
      </c>
      <c r="R1089" s="102">
        <f t="shared" si="71"/>
        <v>6.5789087199392615E-3</v>
      </c>
      <c r="S1089" s="102">
        <f t="shared" si="71"/>
        <v>4.281450921811712E-3</v>
      </c>
    </row>
    <row r="1090" spans="15:19" x14ac:dyDescent="0.3">
      <c r="O1090" s="101">
        <v>41470</v>
      </c>
      <c r="P1090" s="110">
        <v>16819.689999999999</v>
      </c>
      <c r="Q1090" s="110">
        <v>494.1</v>
      </c>
      <c r="R1090" s="102">
        <f t="shared" si="71"/>
        <v>-6.5789087199391565E-3</v>
      </c>
      <c r="S1090" s="102">
        <f t="shared" si="71"/>
        <v>2.2265178365217045E-4</v>
      </c>
    </row>
    <row r="1091" spans="15:19" x14ac:dyDescent="0.3">
      <c r="O1091" s="101">
        <v>41467</v>
      </c>
      <c r="P1091" s="110">
        <v>16930.71</v>
      </c>
      <c r="Q1091" s="110">
        <v>493.99</v>
      </c>
      <c r="R1091" s="102">
        <f t="shared" si="71"/>
        <v>3.2840441147333373E-3</v>
      </c>
      <c r="S1091" s="102">
        <f t="shared" si="71"/>
        <v>1.9459764158966896E-2</v>
      </c>
    </row>
    <row r="1092" spans="15:19" x14ac:dyDescent="0.3">
      <c r="O1092" s="101">
        <v>41466</v>
      </c>
      <c r="P1092" s="110">
        <v>16875.2</v>
      </c>
      <c r="Q1092" s="110">
        <v>484.47</v>
      </c>
      <c r="R1092" s="102">
        <f t="shared" si="71"/>
        <v>2.6667990828975124E-2</v>
      </c>
      <c r="S1092" s="102">
        <f t="shared" si="71"/>
        <v>8.2567860507256499E-5</v>
      </c>
    </row>
    <row r="1093" spans="15:19" x14ac:dyDescent="0.3">
      <c r="O1093" s="101">
        <v>41465</v>
      </c>
      <c r="P1093" s="110">
        <v>16431.12</v>
      </c>
      <c r="Q1093" s="110">
        <v>484.43</v>
      </c>
      <c r="R1093" s="102">
        <f t="shared" si="71"/>
        <v>-2.995203494370835E-2</v>
      </c>
      <c r="S1093" s="102">
        <f t="shared" si="71"/>
        <v>-2.2063456828015503E-3</v>
      </c>
    </row>
    <row r="1094" spans="15:19" x14ac:dyDescent="0.3">
      <c r="O1094" s="101">
        <v>41464</v>
      </c>
      <c r="P1094" s="110">
        <v>16930.71</v>
      </c>
      <c r="Q1094" s="110">
        <v>485.5</v>
      </c>
      <c r="R1094" s="102">
        <f t="shared" si="71"/>
        <v>-1.3029960953292057E-2</v>
      </c>
      <c r="S1094" s="102">
        <f t="shared" si="71"/>
        <v>5.6389379696882846E-3</v>
      </c>
    </row>
    <row r="1095" spans="15:19" x14ac:dyDescent="0.3">
      <c r="O1095" s="101">
        <v>41463</v>
      </c>
      <c r="P1095" s="110">
        <v>17152.759999999998</v>
      </c>
      <c r="Q1095" s="110">
        <v>482.77</v>
      </c>
      <c r="R1095" s="102">
        <f t="shared" si="71"/>
        <v>-3.2309886106671971E-3</v>
      </c>
      <c r="S1095" s="102">
        <f t="shared" si="71"/>
        <v>-5.9684408352257603E-3</v>
      </c>
    </row>
    <row r="1096" spans="15:19" x14ac:dyDescent="0.3">
      <c r="O1096" s="101">
        <v>41460</v>
      </c>
      <c r="P1096" s="110">
        <v>17208.27</v>
      </c>
      <c r="Q1096" s="110">
        <v>485.66</v>
      </c>
      <c r="R1096" s="102">
        <f t="shared" si="71"/>
        <v>1.9544993678692443E-2</v>
      </c>
      <c r="S1096" s="102">
        <f t="shared" si="71"/>
        <v>-3.2069758593249154E-3</v>
      </c>
    </row>
    <row r="1097" spans="15:19" x14ac:dyDescent="0.3">
      <c r="O1097" s="101">
        <v>41459</v>
      </c>
      <c r="P1097" s="110">
        <v>16875.2</v>
      </c>
      <c r="Q1097" s="110">
        <v>487.22</v>
      </c>
      <c r="R1097" s="102">
        <f t="shared" si="71"/>
        <v>3.344761157204415E-2</v>
      </c>
      <c r="S1097" s="102">
        <f t="shared" si="71"/>
        <v>-2.667843269770747E-4</v>
      </c>
    </row>
    <row r="1098" spans="15:19" x14ac:dyDescent="0.3">
      <c r="O1098" s="101">
        <v>41458</v>
      </c>
      <c r="P1098" s="110">
        <v>16320.1</v>
      </c>
      <c r="Q1098" s="110">
        <v>487.35</v>
      </c>
      <c r="R1098" s="102">
        <f t="shared" si="71"/>
        <v>0</v>
      </c>
      <c r="S1098" s="102">
        <f t="shared" si="71"/>
        <v>-5.0962563864799379E-3</v>
      </c>
    </row>
    <row r="1099" spans="15:19" x14ac:dyDescent="0.3">
      <c r="O1099" s="101">
        <v>41457</v>
      </c>
      <c r="P1099" s="110">
        <v>16320.1</v>
      </c>
      <c r="Q1099" s="110">
        <v>489.84</v>
      </c>
      <c r="R1099" s="102">
        <f t="shared" si="71"/>
        <v>3.407124861336827E-3</v>
      </c>
      <c r="S1099" s="102">
        <f t="shared" si="71"/>
        <v>2.02093734064583E-2</v>
      </c>
    </row>
    <row r="1100" spans="15:19" x14ac:dyDescent="0.3">
      <c r="O1100" s="101">
        <v>41456</v>
      </c>
      <c r="P1100" s="110">
        <v>16264.59</v>
      </c>
      <c r="Q1100" s="110">
        <v>480.04</v>
      </c>
      <c r="R1100" s="102">
        <f t="shared" si="71"/>
        <v>1.0292205464215814E-2</v>
      </c>
      <c r="S1100" s="102">
        <f t="shared" si="71"/>
        <v>-2.2680700963606387E-3</v>
      </c>
    </row>
    <row r="1101" spans="15:19" x14ac:dyDescent="0.3">
      <c r="O1101" s="101">
        <v>41453</v>
      </c>
      <c r="P1101" s="110">
        <v>16098.05</v>
      </c>
      <c r="Q1101" s="110">
        <v>481.13</v>
      </c>
      <c r="R1101" s="102">
        <f t="shared" si="71"/>
        <v>3.454202626223798E-3</v>
      </c>
      <c r="S1101" s="102">
        <f t="shared" si="71"/>
        <v>-3.7756247657035383E-3</v>
      </c>
    </row>
    <row r="1102" spans="15:19" x14ac:dyDescent="0.3">
      <c r="O1102" s="101">
        <v>41452</v>
      </c>
      <c r="P1102" s="110">
        <v>16042.54</v>
      </c>
      <c r="Q1102" s="110">
        <v>482.95</v>
      </c>
      <c r="R1102" s="102">
        <f t="shared" si="71"/>
        <v>3.8805204452282763E-2</v>
      </c>
      <c r="S1102" s="102">
        <f t="shared" si="71"/>
        <v>1.9697860033658716E-2</v>
      </c>
    </row>
    <row r="1103" spans="15:19" x14ac:dyDescent="0.3">
      <c r="O1103" s="101">
        <v>41451</v>
      </c>
      <c r="P1103" s="110">
        <v>15431.93</v>
      </c>
      <c r="Q1103" s="110">
        <v>473.53</v>
      </c>
      <c r="R1103" s="102">
        <f t="shared" si="71"/>
        <v>3.6035724126628212E-3</v>
      </c>
      <c r="S1103" s="102">
        <f t="shared" si="71"/>
        <v>1.0775976955294511E-3</v>
      </c>
    </row>
    <row r="1104" spans="15:19" x14ac:dyDescent="0.3">
      <c r="O1104" s="101">
        <v>41450</v>
      </c>
      <c r="P1104" s="110">
        <v>15376.42</v>
      </c>
      <c r="Q1104" s="110">
        <v>473.02</v>
      </c>
      <c r="R1104" s="102">
        <f t="shared" si="71"/>
        <v>-2.1429184631921692E-2</v>
      </c>
      <c r="S1104" s="102">
        <f t="shared" si="71"/>
        <v>-3.4736967139162751E-2</v>
      </c>
    </row>
    <row r="1105" spans="15:19" x14ac:dyDescent="0.3">
      <c r="O1105" s="101">
        <v>41449</v>
      </c>
      <c r="P1105" s="110">
        <v>15709.48</v>
      </c>
      <c r="Q1105" s="110">
        <v>489.74</v>
      </c>
      <c r="R1105" s="102">
        <f t="shared" si="71"/>
        <v>-1.7513416722302118E-2</v>
      </c>
      <c r="S1105" s="102">
        <f t="shared" si="71"/>
        <v>-1.8410765017266895E-2</v>
      </c>
    </row>
    <row r="1106" spans="15:19" x14ac:dyDescent="0.3">
      <c r="O1106" s="101">
        <v>41446</v>
      </c>
      <c r="P1106" s="110">
        <v>15987.03</v>
      </c>
      <c r="Q1106" s="110">
        <v>498.84</v>
      </c>
      <c r="R1106" s="102">
        <f t="shared" si="71"/>
        <v>1.0471201103028988E-2</v>
      </c>
      <c r="S1106" s="102">
        <f t="shared" si="71"/>
        <v>-1.3422148556840045E-3</v>
      </c>
    </row>
    <row r="1107" spans="15:19" x14ac:dyDescent="0.3">
      <c r="O1107" s="101">
        <v>41445</v>
      </c>
      <c r="P1107" s="110">
        <v>15820.5</v>
      </c>
      <c r="Q1107" s="110">
        <v>499.51</v>
      </c>
      <c r="R1107" s="102">
        <f t="shared" si="71"/>
        <v>-1.3937376613750758E-2</v>
      </c>
      <c r="S1107" s="102">
        <f t="shared" si="71"/>
        <v>-7.6978682614856613E-3</v>
      </c>
    </row>
    <row r="1108" spans="15:19" x14ac:dyDescent="0.3">
      <c r="O1108" s="101">
        <v>41444</v>
      </c>
      <c r="P1108" s="110">
        <v>16042.54</v>
      </c>
      <c r="Q1108" s="110">
        <v>503.37</v>
      </c>
      <c r="R1108" s="102">
        <f t="shared" si="71"/>
        <v>1.7452285336093356E-2</v>
      </c>
      <c r="S1108" s="102">
        <f t="shared" si="71"/>
        <v>8.9599003003043697E-3</v>
      </c>
    </row>
    <row r="1109" spans="15:19" x14ac:dyDescent="0.3">
      <c r="O1109" s="101">
        <v>41443</v>
      </c>
      <c r="P1109" s="110">
        <v>15764.99</v>
      </c>
      <c r="Q1109" s="110">
        <v>498.88</v>
      </c>
      <c r="R1109" s="102">
        <f t="shared" si="71"/>
        <v>-3.5149087223425137E-3</v>
      </c>
      <c r="S1109" s="102">
        <f t="shared" si="71"/>
        <v>7.2187691123571133E-4</v>
      </c>
    </row>
    <row r="1110" spans="15:19" x14ac:dyDescent="0.3">
      <c r="O1110" s="101">
        <v>41442</v>
      </c>
      <c r="P1110" s="110">
        <v>15820.5</v>
      </c>
      <c r="Q1110" s="110">
        <v>498.52</v>
      </c>
      <c r="R1110" s="102">
        <f t="shared" si="71"/>
        <v>-1.7391579239974628E-2</v>
      </c>
      <c r="S1110" s="102">
        <f t="shared" si="71"/>
        <v>-2.0863244951773517E-2</v>
      </c>
    </row>
    <row r="1111" spans="15:19" x14ac:dyDescent="0.3">
      <c r="O1111" s="101">
        <v>41439</v>
      </c>
      <c r="P1111" s="110">
        <v>16098.05</v>
      </c>
      <c r="Q1111" s="110">
        <v>509.03</v>
      </c>
      <c r="R1111" s="102">
        <f t="shared" si="71"/>
        <v>0</v>
      </c>
      <c r="S1111" s="102">
        <f t="shared" si="71"/>
        <v>-1.1834688767065102E-2</v>
      </c>
    </row>
    <row r="1112" spans="15:19" x14ac:dyDescent="0.3">
      <c r="O1112" s="101">
        <v>41438</v>
      </c>
      <c r="P1112" s="110">
        <v>16098.05</v>
      </c>
      <c r="Q1112" s="110">
        <v>515.09</v>
      </c>
      <c r="R1112" s="102">
        <f t="shared" si="71"/>
        <v>0</v>
      </c>
      <c r="S1112" s="102">
        <f t="shared" si="71"/>
        <v>-6.0968127460044597E-3</v>
      </c>
    </row>
    <row r="1113" spans="15:19" x14ac:dyDescent="0.3">
      <c r="O1113" s="101">
        <v>41437</v>
      </c>
      <c r="P1113" s="110">
        <v>16098.05</v>
      </c>
      <c r="Q1113" s="110">
        <v>518.24</v>
      </c>
      <c r="R1113" s="102">
        <f t="shared" si="71"/>
        <v>3.454202626223798E-3</v>
      </c>
      <c r="S1113" s="102">
        <f t="shared" si="71"/>
        <v>-7.1333424312882664E-3</v>
      </c>
    </row>
    <row r="1114" spans="15:19" x14ac:dyDescent="0.3">
      <c r="O1114" s="101">
        <v>41436</v>
      </c>
      <c r="P1114" s="110">
        <v>16042.54</v>
      </c>
      <c r="Q1114" s="110">
        <v>521.95000000000005</v>
      </c>
      <c r="R1114" s="102">
        <f t="shared" si="71"/>
        <v>-3.4542026262237894E-3</v>
      </c>
      <c r="S1114" s="102">
        <f t="shared" si="71"/>
        <v>-4.9880181010563338E-3</v>
      </c>
    </row>
    <row r="1115" spans="15:19" x14ac:dyDescent="0.3">
      <c r="O1115" s="101">
        <v>41435</v>
      </c>
      <c r="P1115" s="110">
        <v>16098.05</v>
      </c>
      <c r="Q1115" s="110">
        <v>524.55999999999995</v>
      </c>
      <c r="R1115" s="102">
        <f t="shared" si="71"/>
        <v>0</v>
      </c>
      <c r="S1115" s="102">
        <f t="shared" si="71"/>
        <v>-6.4796479548654869E-3</v>
      </c>
    </row>
    <row r="1116" spans="15:19" x14ac:dyDescent="0.3">
      <c r="O1116" s="101">
        <v>41432</v>
      </c>
      <c r="P1116" s="110">
        <v>16098.05</v>
      </c>
      <c r="Q1116" s="110">
        <v>527.97</v>
      </c>
      <c r="R1116" s="102">
        <f t="shared" si="71"/>
        <v>-1.3699330325552494E-2</v>
      </c>
      <c r="S1116" s="102">
        <f t="shared" si="71"/>
        <v>1.3481379159083456E-2</v>
      </c>
    </row>
    <row r="1117" spans="15:19" x14ac:dyDescent="0.3">
      <c r="O1117" s="101">
        <v>41431</v>
      </c>
      <c r="P1117" s="110">
        <v>16320.1</v>
      </c>
      <c r="Q1117" s="110">
        <v>520.9</v>
      </c>
      <c r="R1117" s="102">
        <f t="shared" si="71"/>
        <v>3.407124861336827E-3</v>
      </c>
      <c r="S1117" s="102">
        <f t="shared" si="71"/>
        <v>1.2090457648400851E-2</v>
      </c>
    </row>
    <row r="1118" spans="15:19" x14ac:dyDescent="0.3">
      <c r="O1118" s="101">
        <v>41430</v>
      </c>
      <c r="P1118" s="110">
        <v>16264.59</v>
      </c>
      <c r="Q1118" s="110">
        <v>514.64</v>
      </c>
      <c r="R1118" s="102">
        <f t="shared" ref="R1118:S1181" si="72">LN(P1118/P1119)</f>
        <v>2.4181187304629138E-2</v>
      </c>
      <c r="S1118" s="102">
        <f t="shared" si="72"/>
        <v>7.704874608156111E-3</v>
      </c>
    </row>
    <row r="1119" spans="15:19" x14ac:dyDescent="0.3">
      <c r="O1119" s="101">
        <v>41429</v>
      </c>
      <c r="P1119" s="110">
        <v>15876.01</v>
      </c>
      <c r="Q1119" s="110">
        <v>510.69</v>
      </c>
      <c r="R1119" s="102">
        <f t="shared" si="72"/>
        <v>-1.3888981840413333E-2</v>
      </c>
      <c r="S1119" s="102">
        <f t="shared" si="72"/>
        <v>-1.2338147409638093E-2</v>
      </c>
    </row>
    <row r="1120" spans="15:19" x14ac:dyDescent="0.3">
      <c r="O1120" s="101">
        <v>41428</v>
      </c>
      <c r="P1120" s="110">
        <v>16098.05</v>
      </c>
      <c r="Q1120" s="110">
        <v>517.03</v>
      </c>
      <c r="R1120" s="102">
        <f t="shared" si="72"/>
        <v>-1.7094886093261315E-2</v>
      </c>
      <c r="S1120" s="102">
        <f t="shared" si="72"/>
        <v>-2.6269548243243734E-3</v>
      </c>
    </row>
    <row r="1121" spans="15:19" x14ac:dyDescent="0.3">
      <c r="O1121" s="101">
        <v>41425</v>
      </c>
      <c r="P1121" s="110">
        <v>16375.61</v>
      </c>
      <c r="Q1121" s="110">
        <v>518.39</v>
      </c>
      <c r="R1121" s="102">
        <f t="shared" si="72"/>
        <v>-1.680695547256144E-2</v>
      </c>
      <c r="S1121" s="102">
        <f t="shared" si="72"/>
        <v>-5.8855378386706448E-3</v>
      </c>
    </row>
    <row r="1122" spans="15:19" x14ac:dyDescent="0.3">
      <c r="O1122" s="101">
        <v>41424</v>
      </c>
      <c r="P1122" s="110">
        <v>16653.16</v>
      </c>
      <c r="Q1122" s="110">
        <v>521.45000000000005</v>
      </c>
      <c r="R1122" s="102">
        <f t="shared" si="72"/>
        <v>2.0202511240270182E-2</v>
      </c>
      <c r="S1122" s="102">
        <f t="shared" si="72"/>
        <v>1.2271749890207309E-2</v>
      </c>
    </row>
    <row r="1123" spans="15:19" x14ac:dyDescent="0.3">
      <c r="O1123" s="101">
        <v>41423</v>
      </c>
      <c r="P1123" s="110">
        <v>16320.1</v>
      </c>
      <c r="Q1123" s="110">
        <v>515.09</v>
      </c>
      <c r="R1123" s="102">
        <f t="shared" si="72"/>
        <v>3.2417485699564367E-3</v>
      </c>
      <c r="S1123" s="102">
        <f t="shared" si="72"/>
        <v>-2.4044532729844345E-3</v>
      </c>
    </row>
    <row r="1124" spans="15:19" x14ac:dyDescent="0.3">
      <c r="O1124" s="101">
        <v>41422</v>
      </c>
      <c r="P1124" s="110">
        <v>16267.28</v>
      </c>
      <c r="Q1124" s="110">
        <v>516.33000000000004</v>
      </c>
      <c r="R1124" s="102">
        <f t="shared" si="72"/>
        <v>-3.2417485699565811E-3</v>
      </c>
      <c r="S1124" s="102">
        <f t="shared" si="72"/>
        <v>7.6210101147322238E-3</v>
      </c>
    </row>
    <row r="1125" spans="15:19" x14ac:dyDescent="0.3">
      <c r="O1125" s="101">
        <v>41421</v>
      </c>
      <c r="P1125" s="110">
        <v>16320.1</v>
      </c>
      <c r="Q1125" s="110">
        <v>512.41</v>
      </c>
      <c r="R1125" s="102">
        <f t="shared" si="72"/>
        <v>-3.2306628195012408E-3</v>
      </c>
      <c r="S1125" s="102">
        <f t="shared" si="72"/>
        <v>2.4037102576224371E-2</v>
      </c>
    </row>
    <row r="1126" spans="15:19" x14ac:dyDescent="0.3">
      <c r="O1126" s="101">
        <v>41418</v>
      </c>
      <c r="P1126" s="110">
        <v>16372.91</v>
      </c>
      <c r="Q1126" s="110">
        <v>500.24</v>
      </c>
      <c r="R1126" s="102">
        <f t="shared" si="72"/>
        <v>-3.220868039823761E-3</v>
      </c>
      <c r="S1126" s="102">
        <f t="shared" si="72"/>
        <v>4.0462367164591888E-3</v>
      </c>
    </row>
    <row r="1127" spans="15:19" x14ac:dyDescent="0.3">
      <c r="O1127" s="101">
        <v>41417</v>
      </c>
      <c r="P1127" s="110">
        <v>16425.73</v>
      </c>
      <c r="Q1127" s="110">
        <v>498.22</v>
      </c>
      <c r="R1127" s="102">
        <f t="shared" si="72"/>
        <v>-9.6002210821042305E-3</v>
      </c>
      <c r="S1127" s="102">
        <f t="shared" si="72"/>
        <v>-8.0164355532196946E-3</v>
      </c>
    </row>
    <row r="1128" spans="15:19" x14ac:dyDescent="0.3">
      <c r="O1128" s="101">
        <v>41416</v>
      </c>
      <c r="P1128" s="110">
        <v>16584.18</v>
      </c>
      <c r="Q1128" s="110">
        <v>502.23</v>
      </c>
      <c r="R1128" s="102">
        <f t="shared" si="72"/>
        <v>2.9081660056412498E-2</v>
      </c>
      <c r="S1128" s="102">
        <f t="shared" si="72"/>
        <v>4.0901484580636626E-3</v>
      </c>
    </row>
    <row r="1129" spans="15:19" x14ac:dyDescent="0.3">
      <c r="O1129" s="101">
        <v>41415</v>
      </c>
      <c r="P1129" s="110">
        <v>16108.83</v>
      </c>
      <c r="Q1129" s="110">
        <v>500.18</v>
      </c>
      <c r="R1129" s="102">
        <f t="shared" si="72"/>
        <v>6.5788666107377903E-3</v>
      </c>
      <c r="S1129" s="102">
        <f t="shared" si="72"/>
        <v>1.594068718257087E-2</v>
      </c>
    </row>
    <row r="1130" spans="15:19" x14ac:dyDescent="0.3">
      <c r="O1130" s="101">
        <v>41414</v>
      </c>
      <c r="P1130" s="110">
        <v>16003.2</v>
      </c>
      <c r="Q1130" s="110">
        <v>492.27</v>
      </c>
      <c r="R1130" s="102">
        <f t="shared" si="72"/>
        <v>2.0000344801405591E-2</v>
      </c>
      <c r="S1130" s="102">
        <f t="shared" si="72"/>
        <v>9.5319488480522102E-3</v>
      </c>
    </row>
    <row r="1131" spans="15:19" x14ac:dyDescent="0.3">
      <c r="O1131" s="101">
        <v>41411</v>
      </c>
      <c r="P1131" s="110">
        <v>15686.31</v>
      </c>
      <c r="Q1131" s="110">
        <v>487.6</v>
      </c>
      <c r="R1131" s="102">
        <f t="shared" si="72"/>
        <v>-1.0049857729468967E-2</v>
      </c>
      <c r="S1131" s="102">
        <f t="shared" si="72"/>
        <v>-5.6036304268497995E-3</v>
      </c>
    </row>
    <row r="1132" spans="15:19" x14ac:dyDescent="0.3">
      <c r="O1132" s="101">
        <v>41410</v>
      </c>
      <c r="P1132" s="110">
        <v>15844.75</v>
      </c>
      <c r="Q1132" s="110">
        <v>490.34</v>
      </c>
      <c r="R1132" s="102">
        <f t="shared" si="72"/>
        <v>3.3385318787001734E-3</v>
      </c>
      <c r="S1132" s="102">
        <f t="shared" si="72"/>
        <v>8.9521344338099537E-3</v>
      </c>
    </row>
    <row r="1133" spans="15:19" x14ac:dyDescent="0.3">
      <c r="O1133" s="101">
        <v>41409</v>
      </c>
      <c r="P1133" s="110">
        <v>15791.94</v>
      </c>
      <c r="Q1133" s="110">
        <v>485.97</v>
      </c>
      <c r="R1133" s="102">
        <f t="shared" si="72"/>
        <v>1.0084275235938413E-2</v>
      </c>
      <c r="S1133" s="102">
        <f t="shared" si="72"/>
        <v>4.3719522732047992E-3</v>
      </c>
    </row>
    <row r="1134" spans="15:19" x14ac:dyDescent="0.3">
      <c r="O1134" s="101">
        <v>41408</v>
      </c>
      <c r="P1134" s="110">
        <v>15633.49</v>
      </c>
      <c r="Q1134" s="110">
        <v>483.85</v>
      </c>
      <c r="R1134" s="102">
        <f t="shared" si="72"/>
        <v>-2.0067872286708463E-2</v>
      </c>
      <c r="S1134" s="102">
        <f t="shared" si="72"/>
        <v>-1.0444388616830249E-2</v>
      </c>
    </row>
    <row r="1135" spans="15:19" x14ac:dyDescent="0.3">
      <c r="O1135" s="101">
        <v>41407</v>
      </c>
      <c r="P1135" s="110">
        <v>15950.39</v>
      </c>
      <c r="Q1135" s="110">
        <v>488.93</v>
      </c>
      <c r="R1135" s="102">
        <f t="shared" si="72"/>
        <v>-6.6005767909393508E-3</v>
      </c>
      <c r="S1135" s="102">
        <f t="shared" si="72"/>
        <v>5.8049658923719797E-3</v>
      </c>
    </row>
    <row r="1136" spans="15:19" x14ac:dyDescent="0.3">
      <c r="O1136" s="101">
        <v>41404</v>
      </c>
      <c r="P1136" s="110">
        <v>16056.02</v>
      </c>
      <c r="Q1136" s="110">
        <v>486.1</v>
      </c>
      <c r="R1136" s="102">
        <f t="shared" si="72"/>
        <v>9.9175897757370346E-3</v>
      </c>
      <c r="S1136" s="102">
        <f t="shared" si="72"/>
        <v>-2.4683231983142751E-4</v>
      </c>
    </row>
    <row r="1137" spans="15:19" x14ac:dyDescent="0.3">
      <c r="O1137" s="101">
        <v>41403</v>
      </c>
      <c r="P1137" s="110">
        <v>15897.57</v>
      </c>
      <c r="Q1137" s="110">
        <v>486.22</v>
      </c>
      <c r="R1137" s="102">
        <f t="shared" si="72"/>
        <v>2.0135223988728961E-2</v>
      </c>
      <c r="S1137" s="102">
        <f t="shared" si="72"/>
        <v>2.3679859514084867E-3</v>
      </c>
    </row>
    <row r="1138" spans="15:19" x14ac:dyDescent="0.3">
      <c r="O1138" s="101">
        <v>41402</v>
      </c>
      <c r="P1138" s="110">
        <v>15580.67</v>
      </c>
      <c r="Q1138" s="110">
        <v>485.07</v>
      </c>
      <c r="R1138" s="102">
        <f t="shared" si="72"/>
        <v>2.0548341764895277E-2</v>
      </c>
      <c r="S1138" s="102">
        <f t="shared" si="72"/>
        <v>-1.0508423158326044E-3</v>
      </c>
    </row>
    <row r="1139" spans="15:19" x14ac:dyDescent="0.3">
      <c r="O1139" s="101">
        <v>41401</v>
      </c>
      <c r="P1139" s="110">
        <v>15263.78</v>
      </c>
      <c r="Q1139" s="110">
        <v>485.58</v>
      </c>
      <c r="R1139" s="102">
        <f t="shared" si="72"/>
        <v>3.4664809539031371E-3</v>
      </c>
      <c r="S1139" s="102">
        <f t="shared" si="72"/>
        <v>-5.6268759203720372E-3</v>
      </c>
    </row>
    <row r="1140" spans="15:19" x14ac:dyDescent="0.3">
      <c r="O1140" s="101">
        <v>41400</v>
      </c>
      <c r="P1140" s="110">
        <v>15210.96</v>
      </c>
      <c r="Q1140" s="110">
        <v>488.32</v>
      </c>
      <c r="R1140" s="102">
        <f t="shared" si="72"/>
        <v>-6.9209869167309104E-3</v>
      </c>
      <c r="S1140" s="102">
        <f t="shared" si="72"/>
        <v>2.7150989065950898E-2</v>
      </c>
    </row>
    <row r="1141" spans="15:19" x14ac:dyDescent="0.3">
      <c r="O1141" s="101">
        <v>41397</v>
      </c>
      <c r="P1141" s="110">
        <v>15316.6</v>
      </c>
      <c r="Q1141" s="110">
        <v>475.24</v>
      </c>
      <c r="R1141" s="102">
        <f t="shared" si="72"/>
        <v>-6.8727674921374351E-3</v>
      </c>
      <c r="S1141" s="102">
        <f t="shared" si="72"/>
        <v>4.6822686939699577E-3</v>
      </c>
    </row>
    <row r="1142" spans="15:19" x14ac:dyDescent="0.3">
      <c r="O1142" s="101">
        <v>41396</v>
      </c>
      <c r="P1142" s="110">
        <v>15422.23</v>
      </c>
      <c r="Q1142" s="110">
        <v>473.02</v>
      </c>
      <c r="R1142" s="102">
        <f t="shared" si="72"/>
        <v>3.4308047125426932E-3</v>
      </c>
      <c r="S1142" s="102">
        <f t="shared" si="72"/>
        <v>-3.1450217473904078E-3</v>
      </c>
    </row>
    <row r="1143" spans="15:19" x14ac:dyDescent="0.3">
      <c r="O1143" s="101">
        <v>41390</v>
      </c>
      <c r="P1143" s="110">
        <v>15369.41</v>
      </c>
      <c r="Q1143" s="110">
        <v>474.51</v>
      </c>
      <c r="R1143" s="102">
        <f t="shared" si="72"/>
        <v>-3.4308047125426624E-3</v>
      </c>
      <c r="S1143" s="102">
        <f t="shared" si="72"/>
        <v>-4.3738898454920528E-3</v>
      </c>
    </row>
    <row r="1144" spans="15:19" x14ac:dyDescent="0.3">
      <c r="O1144" s="101">
        <v>41389</v>
      </c>
      <c r="P1144" s="110">
        <v>15422.23</v>
      </c>
      <c r="Q1144" s="110">
        <v>476.59</v>
      </c>
      <c r="R1144" s="102">
        <f t="shared" si="72"/>
        <v>3.4308047125426932E-3</v>
      </c>
      <c r="S1144" s="102">
        <f t="shared" si="72"/>
        <v>7.7937791824384149E-3</v>
      </c>
    </row>
    <row r="1145" spans="15:19" x14ac:dyDescent="0.3">
      <c r="O1145" s="101">
        <v>41388</v>
      </c>
      <c r="P1145" s="110">
        <v>15369.41</v>
      </c>
      <c r="Q1145" s="110">
        <v>472.89</v>
      </c>
      <c r="R1145" s="102">
        <f t="shared" si="72"/>
        <v>3.4419627795946577E-3</v>
      </c>
      <c r="S1145" s="102">
        <f t="shared" si="72"/>
        <v>-1.6902959928867154E-3</v>
      </c>
    </row>
    <row r="1146" spans="15:19" x14ac:dyDescent="0.3">
      <c r="O1146" s="101">
        <v>41387</v>
      </c>
      <c r="P1146" s="110">
        <v>15316.6</v>
      </c>
      <c r="Q1146" s="110">
        <v>473.69</v>
      </c>
      <c r="R1146" s="102">
        <f t="shared" si="72"/>
        <v>3.1526741569121636E-2</v>
      </c>
      <c r="S1146" s="102">
        <f t="shared" si="72"/>
        <v>1.1166421804485266E-2</v>
      </c>
    </row>
    <row r="1147" spans="15:19" x14ac:dyDescent="0.3">
      <c r="O1147" s="101">
        <v>41386</v>
      </c>
      <c r="P1147" s="110">
        <v>14841.25</v>
      </c>
      <c r="Q1147" s="110">
        <v>468.43</v>
      </c>
      <c r="R1147" s="102">
        <f t="shared" si="72"/>
        <v>3.5646715116399272E-3</v>
      </c>
      <c r="S1147" s="102">
        <f t="shared" si="72"/>
        <v>-1.0152587099417316E-2</v>
      </c>
    </row>
    <row r="1148" spans="15:19" x14ac:dyDescent="0.3">
      <c r="O1148" s="101">
        <v>41382</v>
      </c>
      <c r="P1148" s="110">
        <v>14788.44</v>
      </c>
      <c r="Q1148" s="110">
        <v>473.21</v>
      </c>
      <c r="R1148" s="102">
        <f t="shared" si="72"/>
        <v>7.1683727239985782E-3</v>
      </c>
      <c r="S1148" s="102">
        <f t="shared" si="72"/>
        <v>-2.252498075178283E-2</v>
      </c>
    </row>
    <row r="1149" spans="15:19" x14ac:dyDescent="0.3">
      <c r="O1149" s="101">
        <v>41381</v>
      </c>
      <c r="P1149" s="110">
        <v>14682.81</v>
      </c>
      <c r="Q1149" s="110">
        <v>483.99</v>
      </c>
      <c r="R1149" s="102">
        <f t="shared" si="72"/>
        <v>-7.1683727239985721E-3</v>
      </c>
      <c r="S1149" s="102">
        <f t="shared" si="72"/>
        <v>1.2307080061866716E-2</v>
      </c>
    </row>
    <row r="1150" spans="15:19" x14ac:dyDescent="0.3">
      <c r="O1150" s="101">
        <v>41380</v>
      </c>
      <c r="P1150" s="110">
        <v>14788.44</v>
      </c>
      <c r="Q1150" s="110">
        <v>478.07</v>
      </c>
      <c r="R1150" s="102">
        <f t="shared" si="72"/>
        <v>-3.5646715116399532E-3</v>
      </c>
      <c r="S1150" s="102">
        <f t="shared" si="72"/>
        <v>-4.0706044162762385E-3</v>
      </c>
    </row>
    <row r="1151" spans="15:19" x14ac:dyDescent="0.3">
      <c r="O1151" s="101">
        <v>41379</v>
      </c>
      <c r="P1151" s="110">
        <v>14841.25</v>
      </c>
      <c r="Q1151" s="110">
        <v>480.02</v>
      </c>
      <c r="R1151" s="102">
        <f t="shared" si="72"/>
        <v>-1.413495304066124E-2</v>
      </c>
      <c r="S1151" s="102">
        <f t="shared" si="72"/>
        <v>-2.9254156882996995E-2</v>
      </c>
    </row>
    <row r="1152" spans="15:19" x14ac:dyDescent="0.3">
      <c r="O1152" s="101">
        <v>41376</v>
      </c>
      <c r="P1152" s="110">
        <v>15052.52</v>
      </c>
      <c r="Q1152" s="110">
        <v>494.27</v>
      </c>
      <c r="R1152" s="102">
        <f t="shared" si="72"/>
        <v>-6.9929220669611436E-3</v>
      </c>
      <c r="S1152" s="102">
        <f t="shared" si="72"/>
        <v>-1.9633220732519958E-2</v>
      </c>
    </row>
    <row r="1153" spans="15:19" x14ac:dyDescent="0.3">
      <c r="O1153" s="101">
        <v>41375</v>
      </c>
      <c r="P1153" s="110">
        <v>15158.15</v>
      </c>
      <c r="Q1153" s="110">
        <v>504.07</v>
      </c>
      <c r="R1153" s="102">
        <f t="shared" si="72"/>
        <v>0</v>
      </c>
      <c r="S1153" s="102">
        <f t="shared" si="72"/>
        <v>1.5131663830861557E-2</v>
      </c>
    </row>
    <row r="1154" spans="15:19" x14ac:dyDescent="0.3">
      <c r="O1154" s="101">
        <v>41374</v>
      </c>
      <c r="P1154" s="110">
        <v>15158.15</v>
      </c>
      <c r="Q1154" s="110">
        <v>496.5</v>
      </c>
      <c r="R1154" s="102">
        <f t="shared" si="72"/>
        <v>0</v>
      </c>
      <c r="S1154" s="102">
        <f t="shared" si="72"/>
        <v>-2.7787565289043522E-2</v>
      </c>
    </row>
    <row r="1155" spans="15:19" x14ac:dyDescent="0.3">
      <c r="O1155" s="101">
        <v>41373</v>
      </c>
      <c r="P1155" s="110">
        <v>15158.15</v>
      </c>
      <c r="Q1155" s="110">
        <v>510.49</v>
      </c>
      <c r="R1155" s="102">
        <f t="shared" si="72"/>
        <v>-2.0690062276048408E-2</v>
      </c>
      <c r="S1155" s="102">
        <f t="shared" si="72"/>
        <v>7.5308815833609313E-3</v>
      </c>
    </row>
    <row r="1156" spans="15:19" x14ac:dyDescent="0.3">
      <c r="O1156" s="101">
        <v>41372</v>
      </c>
      <c r="P1156" s="110">
        <v>15475.04</v>
      </c>
      <c r="Q1156" s="110">
        <v>506.66</v>
      </c>
      <c r="R1156" s="102">
        <f t="shared" si="72"/>
        <v>3.4184283224116163E-3</v>
      </c>
      <c r="S1156" s="102">
        <f t="shared" si="72"/>
        <v>8.0853359491880987E-3</v>
      </c>
    </row>
    <row r="1157" spans="15:19" x14ac:dyDescent="0.3">
      <c r="O1157" s="101">
        <v>41369</v>
      </c>
      <c r="P1157" s="110">
        <v>15422.23</v>
      </c>
      <c r="Q1157" s="110">
        <v>502.58</v>
      </c>
      <c r="R1157" s="102">
        <f t="shared" si="72"/>
        <v>6.8727674921373761E-3</v>
      </c>
      <c r="S1157" s="102">
        <f t="shared" si="72"/>
        <v>1.0460827643298563E-2</v>
      </c>
    </row>
    <row r="1158" spans="15:19" x14ac:dyDescent="0.3">
      <c r="O1158" s="101">
        <v>41368</v>
      </c>
      <c r="P1158" s="110">
        <v>15316.6</v>
      </c>
      <c r="Q1158" s="110">
        <v>497.35</v>
      </c>
      <c r="R1158" s="102">
        <f t="shared" si="72"/>
        <v>3.1526741569121636E-2</v>
      </c>
      <c r="S1158" s="102">
        <f t="shared" si="72"/>
        <v>-1.7104316198244492E-2</v>
      </c>
    </row>
    <row r="1159" spans="15:19" x14ac:dyDescent="0.3">
      <c r="O1159" s="101">
        <v>41367</v>
      </c>
      <c r="P1159" s="110">
        <v>14841.25</v>
      </c>
      <c r="Q1159" s="110">
        <v>505.93</v>
      </c>
      <c r="R1159" s="102">
        <f t="shared" si="72"/>
        <v>3.5646715116399272E-3</v>
      </c>
      <c r="S1159" s="102">
        <f t="shared" si="72"/>
        <v>-6.8941338296519862E-3</v>
      </c>
    </row>
    <row r="1160" spans="15:19" x14ac:dyDescent="0.3">
      <c r="O1160" s="101">
        <v>41366</v>
      </c>
      <c r="P1160" s="110">
        <v>14788.44</v>
      </c>
      <c r="Q1160" s="110">
        <v>509.43</v>
      </c>
      <c r="R1160" s="102">
        <f t="shared" si="72"/>
        <v>-3.5646715116399532E-3</v>
      </c>
      <c r="S1160" s="102">
        <f t="shared" si="72"/>
        <v>7.1313489255515738E-3</v>
      </c>
    </row>
    <row r="1161" spans="15:19" x14ac:dyDescent="0.3">
      <c r="O1161" s="101">
        <v>41365</v>
      </c>
      <c r="P1161" s="110">
        <v>14841.25</v>
      </c>
      <c r="Q1161" s="110">
        <v>505.81</v>
      </c>
      <c r="R1161" s="102">
        <f t="shared" si="72"/>
        <v>1.0733044235638638E-2</v>
      </c>
      <c r="S1161" s="102">
        <f t="shared" si="72"/>
        <v>2.963551382934174E-2</v>
      </c>
    </row>
    <row r="1162" spans="15:19" x14ac:dyDescent="0.3">
      <c r="O1162" s="101">
        <v>41362</v>
      </c>
      <c r="P1162" s="110">
        <v>14682.81</v>
      </c>
      <c r="Q1162" s="110">
        <v>491.04</v>
      </c>
      <c r="R1162" s="102">
        <f t="shared" si="72"/>
        <v>1.4493459691262726E-2</v>
      </c>
      <c r="S1162" s="102">
        <f t="shared" si="72"/>
        <v>7.5378679552884408E-4</v>
      </c>
    </row>
    <row r="1163" spans="15:19" x14ac:dyDescent="0.3">
      <c r="O1163" s="101">
        <v>41361</v>
      </c>
      <c r="P1163" s="110">
        <v>14471.54</v>
      </c>
      <c r="Q1163" s="110">
        <v>490.67</v>
      </c>
      <c r="R1163" s="102">
        <f t="shared" si="72"/>
        <v>-3.6432777341202653E-3</v>
      </c>
      <c r="S1163" s="102">
        <f t="shared" si="72"/>
        <v>-1.2017151344851371E-3</v>
      </c>
    </row>
    <row r="1164" spans="15:19" x14ac:dyDescent="0.3">
      <c r="O1164" s="101">
        <v>41360</v>
      </c>
      <c r="P1164" s="110">
        <v>14524.36</v>
      </c>
      <c r="Q1164" s="110">
        <v>491.26</v>
      </c>
      <c r="R1164" s="102">
        <f t="shared" si="72"/>
        <v>3.6432777341202779E-3</v>
      </c>
      <c r="S1164" s="102">
        <f t="shared" si="72"/>
        <v>3.6707766155267894E-3</v>
      </c>
    </row>
    <row r="1165" spans="15:19" x14ac:dyDescent="0.3">
      <c r="O1165" s="101">
        <v>41359</v>
      </c>
      <c r="P1165" s="110">
        <v>14471.54</v>
      </c>
      <c r="Q1165" s="110">
        <v>489.46</v>
      </c>
      <c r="R1165" s="102">
        <f t="shared" si="72"/>
        <v>0</v>
      </c>
      <c r="S1165" s="102">
        <f t="shared" si="72"/>
        <v>-8.3619501914069527E-3</v>
      </c>
    </row>
    <row r="1166" spans="15:19" x14ac:dyDescent="0.3">
      <c r="O1166" s="101">
        <v>41358</v>
      </c>
      <c r="P1166" s="110">
        <v>14471.54</v>
      </c>
      <c r="Q1166" s="110">
        <v>493.57</v>
      </c>
      <c r="R1166" s="102">
        <f t="shared" si="72"/>
        <v>-3.6432777341202653E-3</v>
      </c>
      <c r="S1166" s="102">
        <f t="shared" si="72"/>
        <v>7.2797100531049336E-3</v>
      </c>
    </row>
    <row r="1167" spans="15:19" x14ac:dyDescent="0.3">
      <c r="O1167" s="101">
        <v>41355</v>
      </c>
      <c r="P1167" s="110">
        <v>14524.36</v>
      </c>
      <c r="Q1167" s="110">
        <v>489.99</v>
      </c>
      <c r="R1167" s="102">
        <f t="shared" si="72"/>
        <v>0</v>
      </c>
      <c r="S1167" s="102">
        <f t="shared" si="72"/>
        <v>-3.6668133733170822E-3</v>
      </c>
    </row>
    <row r="1168" spans="15:19" x14ac:dyDescent="0.3">
      <c r="O1168" s="101">
        <v>41354</v>
      </c>
      <c r="P1168" s="110">
        <v>14524.36</v>
      </c>
      <c r="Q1168" s="110">
        <v>491.79</v>
      </c>
      <c r="R1168" s="102">
        <f t="shared" si="72"/>
        <v>7.2991839489106366E-3</v>
      </c>
      <c r="S1168" s="102">
        <f t="shared" si="72"/>
        <v>9.7055408732083879E-3</v>
      </c>
    </row>
    <row r="1169" spans="15:19" x14ac:dyDescent="0.3">
      <c r="O1169" s="101">
        <v>41353</v>
      </c>
      <c r="P1169" s="110">
        <v>14418.73</v>
      </c>
      <c r="Q1169" s="110">
        <v>487.04</v>
      </c>
      <c r="R1169" s="102">
        <f t="shared" si="72"/>
        <v>3.6700170150570136E-3</v>
      </c>
      <c r="S1169" s="102">
        <f t="shared" si="72"/>
        <v>1.3560650998246271E-2</v>
      </c>
    </row>
    <row r="1170" spans="15:19" x14ac:dyDescent="0.3">
      <c r="O1170" s="101">
        <v>41352</v>
      </c>
      <c r="P1170" s="110">
        <v>14365.91</v>
      </c>
      <c r="Q1170" s="110">
        <v>480.48</v>
      </c>
      <c r="R1170" s="102">
        <f t="shared" si="72"/>
        <v>-2.5409653151500244E-2</v>
      </c>
      <c r="S1170" s="102">
        <f t="shared" si="72"/>
        <v>2.8136448986924257E-3</v>
      </c>
    </row>
    <row r="1171" spans="15:19" x14ac:dyDescent="0.3">
      <c r="O1171" s="101">
        <v>41351</v>
      </c>
      <c r="P1171" s="110">
        <v>14735.62</v>
      </c>
      <c r="Q1171" s="110">
        <v>479.13</v>
      </c>
      <c r="R1171" s="102">
        <f t="shared" si="72"/>
        <v>1.8083729921652955E-2</v>
      </c>
      <c r="S1171" s="102">
        <f t="shared" si="72"/>
        <v>-4.622696887647929E-3</v>
      </c>
    </row>
    <row r="1172" spans="15:19" x14ac:dyDescent="0.3">
      <c r="O1172" s="101">
        <v>41348</v>
      </c>
      <c r="P1172" s="110">
        <v>14471.54</v>
      </c>
      <c r="Q1172" s="110">
        <v>481.35</v>
      </c>
      <c r="R1172" s="102">
        <f t="shared" si="72"/>
        <v>0</v>
      </c>
      <c r="S1172" s="102">
        <f t="shared" si="72"/>
        <v>1.4122312222312408E-2</v>
      </c>
    </row>
    <row r="1173" spans="15:19" x14ac:dyDescent="0.3">
      <c r="O1173" s="101">
        <v>41347</v>
      </c>
      <c r="P1173" s="110">
        <v>14471.54</v>
      </c>
      <c r="Q1173" s="110">
        <v>474.6</v>
      </c>
      <c r="R1173" s="102">
        <f t="shared" si="72"/>
        <v>-1.8083729921652834E-2</v>
      </c>
      <c r="S1173" s="102">
        <f t="shared" si="72"/>
        <v>2.996478217520747E-3</v>
      </c>
    </row>
    <row r="1174" spans="15:19" x14ac:dyDescent="0.3">
      <c r="O1174" s="101">
        <v>41346</v>
      </c>
      <c r="P1174" s="110">
        <v>14735.62</v>
      </c>
      <c r="Q1174" s="110">
        <v>473.18</v>
      </c>
      <c r="R1174" s="102">
        <f t="shared" si="72"/>
        <v>-3.5781024936084762E-3</v>
      </c>
      <c r="S1174" s="102">
        <f t="shared" si="72"/>
        <v>-4.5544716690778357E-3</v>
      </c>
    </row>
    <row r="1175" spans="15:19" x14ac:dyDescent="0.3">
      <c r="O1175" s="101">
        <v>41345</v>
      </c>
      <c r="P1175" s="110">
        <v>14788.44</v>
      </c>
      <c r="Q1175" s="110">
        <v>475.34</v>
      </c>
      <c r="R1175" s="102">
        <f t="shared" si="72"/>
        <v>0</v>
      </c>
      <c r="S1175" s="102">
        <f t="shared" si="72"/>
        <v>-2.4373856410363033E-3</v>
      </c>
    </row>
    <row r="1176" spans="15:19" x14ac:dyDescent="0.3">
      <c r="O1176" s="101">
        <v>41344</v>
      </c>
      <c r="P1176" s="110">
        <v>14788.44</v>
      </c>
      <c r="Q1176" s="110">
        <v>476.5</v>
      </c>
      <c r="R1176" s="102">
        <f t="shared" si="72"/>
        <v>7.1683727239985782E-3</v>
      </c>
      <c r="S1176" s="102">
        <f t="shared" si="72"/>
        <v>1.2289265498528637E-2</v>
      </c>
    </row>
    <row r="1177" spans="15:19" x14ac:dyDescent="0.3">
      <c r="O1177" s="101">
        <v>41341</v>
      </c>
      <c r="P1177" s="110">
        <v>14682.81</v>
      </c>
      <c r="Q1177" s="110">
        <v>470.68</v>
      </c>
      <c r="R1177" s="102">
        <f t="shared" si="72"/>
        <v>3.6038902574263535E-3</v>
      </c>
      <c r="S1177" s="102">
        <f t="shared" si="72"/>
        <v>8.641805175955657E-3</v>
      </c>
    </row>
    <row r="1178" spans="15:19" x14ac:dyDescent="0.3">
      <c r="O1178" s="101">
        <v>41340</v>
      </c>
      <c r="P1178" s="110">
        <v>14629.99</v>
      </c>
      <c r="Q1178" s="110">
        <v>466.63</v>
      </c>
      <c r="R1178" s="102">
        <f t="shared" si="72"/>
        <v>2.1899028332550537E-2</v>
      </c>
      <c r="S1178" s="102">
        <f t="shared" si="72"/>
        <v>-9.5125061451995993E-3</v>
      </c>
    </row>
    <row r="1179" spans="15:19" x14ac:dyDescent="0.3">
      <c r="O1179" s="101">
        <v>41339</v>
      </c>
      <c r="P1179" s="110">
        <v>14313.09</v>
      </c>
      <c r="Q1179" s="110">
        <v>471.09</v>
      </c>
      <c r="R1179" s="102">
        <f t="shared" si="72"/>
        <v>-1.8282103059210349E-2</v>
      </c>
      <c r="S1179" s="102">
        <f t="shared" si="72"/>
        <v>1.9224560950154151E-2</v>
      </c>
    </row>
    <row r="1180" spans="15:19" x14ac:dyDescent="0.3">
      <c r="O1180" s="101">
        <v>41338</v>
      </c>
      <c r="P1180" s="110">
        <v>14577.17</v>
      </c>
      <c r="Q1180" s="110">
        <v>462.12</v>
      </c>
      <c r="R1180" s="102">
        <f t="shared" si="72"/>
        <v>-7.2208155307665204E-3</v>
      </c>
      <c r="S1180" s="102">
        <f t="shared" si="72"/>
        <v>-1.4223646108910673E-2</v>
      </c>
    </row>
    <row r="1181" spans="15:19" x14ac:dyDescent="0.3">
      <c r="O1181" s="101">
        <v>41337</v>
      </c>
      <c r="P1181" s="110">
        <v>14682.81</v>
      </c>
      <c r="Q1181" s="110">
        <v>468.74</v>
      </c>
      <c r="R1181" s="102">
        <f t="shared" si="72"/>
        <v>-3.5902702303901796E-3</v>
      </c>
      <c r="S1181" s="102">
        <f t="shared" si="72"/>
        <v>-1.7782663139534343E-2</v>
      </c>
    </row>
    <row r="1182" spans="15:19" x14ac:dyDescent="0.3">
      <c r="O1182" s="101">
        <v>41334</v>
      </c>
      <c r="P1182" s="110">
        <v>14735.62</v>
      </c>
      <c r="Q1182" s="110">
        <v>477.15</v>
      </c>
      <c r="R1182" s="102">
        <f t="shared" ref="R1182:S1245" si="73">LN(P1182/P1183)</f>
        <v>3.5902702303901176E-3</v>
      </c>
      <c r="S1182" s="102">
        <f t="shared" si="73"/>
        <v>5.4428479136955227E-3</v>
      </c>
    </row>
    <row r="1183" spans="15:19" x14ac:dyDescent="0.3">
      <c r="O1183" s="101">
        <v>41333</v>
      </c>
      <c r="P1183" s="110">
        <v>14682.81</v>
      </c>
      <c r="Q1183" s="110">
        <v>474.56</v>
      </c>
      <c r="R1183" s="102">
        <f t="shared" si="73"/>
        <v>7.2208155307663816E-3</v>
      </c>
      <c r="S1183" s="102">
        <f t="shared" si="73"/>
        <v>1.8803463780751935E-2</v>
      </c>
    </row>
    <row r="1184" spans="15:19" x14ac:dyDescent="0.3">
      <c r="O1184" s="101">
        <v>41332</v>
      </c>
      <c r="P1184" s="110">
        <v>14577.17</v>
      </c>
      <c r="Q1184" s="110">
        <v>465.72</v>
      </c>
      <c r="R1184" s="102">
        <f t="shared" si="73"/>
        <v>3.6293664263759365E-3</v>
      </c>
      <c r="S1184" s="102">
        <f t="shared" si="73"/>
        <v>1.4396684803393938E-3</v>
      </c>
    </row>
    <row r="1185" spans="15:19" x14ac:dyDescent="0.3">
      <c r="O1185" s="101">
        <v>41331</v>
      </c>
      <c r="P1185" s="110">
        <v>14524.36</v>
      </c>
      <c r="Q1185" s="110">
        <v>465.05</v>
      </c>
      <c r="R1185" s="102">
        <f t="shared" si="73"/>
        <v>-1.44404521875326E-2</v>
      </c>
      <c r="S1185" s="102">
        <f t="shared" si="73"/>
        <v>-3.9299278955282138E-2</v>
      </c>
    </row>
    <row r="1186" spans="15:19" x14ac:dyDescent="0.3">
      <c r="O1186" s="101">
        <v>41330</v>
      </c>
      <c r="P1186" s="110">
        <v>14735.62</v>
      </c>
      <c r="Q1186" s="110">
        <v>483.69</v>
      </c>
      <c r="R1186" s="102">
        <f t="shared" si="73"/>
        <v>3.5902702303901176E-3</v>
      </c>
      <c r="S1186" s="102">
        <f t="shared" si="73"/>
        <v>1.248221910731361E-2</v>
      </c>
    </row>
    <row r="1187" spans="15:19" x14ac:dyDescent="0.3">
      <c r="O1187" s="101">
        <v>41327</v>
      </c>
      <c r="P1187" s="110">
        <v>14682.81</v>
      </c>
      <c r="Q1187" s="110">
        <v>477.69</v>
      </c>
      <c r="R1187" s="102">
        <f t="shared" si="73"/>
        <v>7.2208155307663816E-3</v>
      </c>
      <c r="S1187" s="102">
        <f t="shared" si="73"/>
        <v>2.0116936437896363E-3</v>
      </c>
    </row>
    <row r="1188" spans="15:19" x14ac:dyDescent="0.3">
      <c r="O1188" s="101">
        <v>41326</v>
      </c>
      <c r="P1188" s="110">
        <v>14577.17</v>
      </c>
      <c r="Q1188" s="110">
        <v>476.73</v>
      </c>
      <c r="R1188" s="102">
        <f t="shared" si="73"/>
        <v>-2.5045976173093648E-2</v>
      </c>
      <c r="S1188" s="102">
        <f t="shared" si="73"/>
        <v>-3.7263976345521276E-2</v>
      </c>
    </row>
    <row r="1189" spans="15:19" x14ac:dyDescent="0.3">
      <c r="O1189" s="101">
        <v>41325</v>
      </c>
      <c r="P1189" s="110">
        <v>14946.88</v>
      </c>
      <c r="Q1189" s="110">
        <v>494.83</v>
      </c>
      <c r="R1189" s="102">
        <f t="shared" si="73"/>
        <v>1.0656787918328527E-2</v>
      </c>
      <c r="S1189" s="102">
        <f t="shared" si="73"/>
        <v>8.2183070279662606E-3</v>
      </c>
    </row>
    <row r="1190" spans="15:19" x14ac:dyDescent="0.3">
      <c r="O1190" s="101">
        <v>41324</v>
      </c>
      <c r="P1190" s="110">
        <v>14788.44</v>
      </c>
      <c r="Q1190" s="110">
        <v>490.78</v>
      </c>
      <c r="R1190" s="102">
        <f t="shared" si="73"/>
        <v>-7.1173526703303481E-3</v>
      </c>
      <c r="S1190" s="102">
        <f t="shared" si="73"/>
        <v>-6.4383352802731501E-3</v>
      </c>
    </row>
    <row r="1191" spans="15:19" x14ac:dyDescent="0.3">
      <c r="O1191" s="101">
        <v>41323</v>
      </c>
      <c r="P1191" s="110">
        <v>14894.07</v>
      </c>
      <c r="Q1191" s="110">
        <v>493.95</v>
      </c>
      <c r="R1191" s="102">
        <f t="shared" si="73"/>
        <v>-1.0582271881970917E-2</v>
      </c>
      <c r="S1191" s="102">
        <f t="shared" si="73"/>
        <v>-1.6194659846323806E-4</v>
      </c>
    </row>
    <row r="1192" spans="15:19" x14ac:dyDescent="0.3">
      <c r="O1192" s="101">
        <v>41313</v>
      </c>
      <c r="P1192" s="110">
        <v>15052.52</v>
      </c>
      <c r="Q1192" s="110">
        <v>494.03</v>
      </c>
      <c r="R1192" s="102">
        <f t="shared" si="73"/>
        <v>0</v>
      </c>
      <c r="S1192" s="102">
        <f t="shared" si="73"/>
        <v>6.926346687005298E-3</v>
      </c>
    </row>
    <row r="1193" spans="15:19" x14ac:dyDescent="0.3">
      <c r="O1193" s="101">
        <v>41312</v>
      </c>
      <c r="P1193" s="110">
        <v>15052.52</v>
      </c>
      <c r="Q1193" s="110">
        <v>490.62</v>
      </c>
      <c r="R1193" s="102">
        <f t="shared" si="73"/>
        <v>6.5240842841995411E-2</v>
      </c>
      <c r="S1193" s="102">
        <f t="shared" si="73"/>
        <v>4.6170586012862398E-3</v>
      </c>
    </row>
    <row r="1194" spans="15:19" x14ac:dyDescent="0.3">
      <c r="O1194" s="101">
        <v>41311</v>
      </c>
      <c r="P1194" s="110">
        <v>14101.83</v>
      </c>
      <c r="Q1194" s="110">
        <v>488.36</v>
      </c>
      <c r="R1194" s="102">
        <f t="shared" si="73"/>
        <v>3.7519337391620001E-3</v>
      </c>
      <c r="S1194" s="102">
        <f t="shared" si="73"/>
        <v>2.2781915586828308E-2</v>
      </c>
    </row>
    <row r="1195" spans="15:19" x14ac:dyDescent="0.3">
      <c r="O1195" s="101">
        <v>41310</v>
      </c>
      <c r="P1195" s="110">
        <v>14049.02</v>
      </c>
      <c r="Q1195" s="110">
        <v>477.36</v>
      </c>
      <c r="R1195" s="102">
        <f t="shared" si="73"/>
        <v>7.5477987967425527E-3</v>
      </c>
      <c r="S1195" s="102">
        <f t="shared" si="73"/>
        <v>-1.0461261969868145E-2</v>
      </c>
    </row>
    <row r="1196" spans="15:19" x14ac:dyDescent="0.3">
      <c r="O1196" s="101">
        <v>41309</v>
      </c>
      <c r="P1196" s="110">
        <v>13943.38</v>
      </c>
      <c r="Q1196" s="110">
        <v>482.38</v>
      </c>
      <c r="R1196" s="102">
        <f t="shared" si="73"/>
        <v>3.0771165601348769E-2</v>
      </c>
      <c r="S1196" s="102">
        <f t="shared" si="73"/>
        <v>-2.15365583346489E-3</v>
      </c>
    </row>
    <row r="1197" spans="15:19" x14ac:dyDescent="0.3">
      <c r="O1197" s="101">
        <v>41306</v>
      </c>
      <c r="P1197" s="110">
        <v>13520.86</v>
      </c>
      <c r="Q1197" s="110">
        <v>483.42</v>
      </c>
      <c r="R1197" s="102">
        <f t="shared" si="73"/>
        <v>0</v>
      </c>
      <c r="S1197" s="102">
        <f t="shared" si="73"/>
        <v>7.5373328462705978E-3</v>
      </c>
    </row>
    <row r="1198" spans="15:19" x14ac:dyDescent="0.3">
      <c r="O1198" s="101">
        <v>41305</v>
      </c>
      <c r="P1198" s="110">
        <v>13520.86</v>
      </c>
      <c r="Q1198" s="110">
        <v>479.79</v>
      </c>
      <c r="R1198" s="102">
        <f t="shared" si="73"/>
        <v>-1.5503936210482402E-2</v>
      </c>
      <c r="S1198" s="102">
        <f t="shared" si="73"/>
        <v>-1.6146889436227392E-2</v>
      </c>
    </row>
    <row r="1199" spans="15:19" x14ac:dyDescent="0.3">
      <c r="O1199" s="101">
        <v>41304</v>
      </c>
      <c r="P1199" s="110">
        <v>13732.12</v>
      </c>
      <c r="Q1199" s="110">
        <v>487.6</v>
      </c>
      <c r="R1199" s="102">
        <f t="shared" si="73"/>
        <v>-1.5267229390866359E-2</v>
      </c>
      <c r="S1199" s="102">
        <f t="shared" si="73"/>
        <v>7.3898299468988255E-3</v>
      </c>
    </row>
    <row r="1200" spans="15:19" x14ac:dyDescent="0.3">
      <c r="O1200" s="101">
        <v>41303</v>
      </c>
      <c r="P1200" s="110">
        <v>13943.38</v>
      </c>
      <c r="Q1200" s="110">
        <v>484.01</v>
      </c>
      <c r="R1200" s="102">
        <f t="shared" si="73"/>
        <v>1.1428151751465542E-2</v>
      </c>
      <c r="S1200" s="102">
        <f t="shared" si="73"/>
        <v>9.1531445068585016E-3</v>
      </c>
    </row>
    <row r="1201" spans="15:19" x14ac:dyDescent="0.3">
      <c r="O1201" s="101">
        <v>41302</v>
      </c>
      <c r="P1201" s="110">
        <v>13784.94</v>
      </c>
      <c r="Q1201" s="110">
        <v>479.6</v>
      </c>
      <c r="R1201" s="102">
        <f t="shared" si="73"/>
        <v>0</v>
      </c>
      <c r="S1201" s="102">
        <f t="shared" si="73"/>
        <v>2.4291838032158876E-2</v>
      </c>
    </row>
    <row r="1202" spans="15:19" x14ac:dyDescent="0.3">
      <c r="O1202" s="101">
        <v>41299</v>
      </c>
      <c r="P1202" s="110">
        <v>13784.94</v>
      </c>
      <c r="Q1202" s="110">
        <v>468.09</v>
      </c>
      <c r="R1202" s="102">
        <f t="shared" si="73"/>
        <v>4.3059907307837278E-2</v>
      </c>
      <c r="S1202" s="102">
        <f t="shared" si="73"/>
        <v>3.4093840879234991E-2</v>
      </c>
    </row>
    <row r="1203" spans="15:19" x14ac:dyDescent="0.3">
      <c r="O1203" s="101">
        <v>41298</v>
      </c>
      <c r="P1203" s="110">
        <v>13203.96</v>
      </c>
      <c r="Q1203" s="110">
        <v>452.4</v>
      </c>
      <c r="R1203" s="102">
        <f t="shared" si="73"/>
        <v>4.0075773298111992E-3</v>
      </c>
      <c r="S1203" s="102">
        <f t="shared" si="73"/>
        <v>2.0162108347374374E-2</v>
      </c>
    </row>
    <row r="1204" spans="15:19" x14ac:dyDescent="0.3">
      <c r="O1204" s="101">
        <v>41297</v>
      </c>
      <c r="P1204" s="110">
        <v>13151.15</v>
      </c>
      <c r="Q1204" s="110">
        <v>443.37</v>
      </c>
      <c r="R1204" s="102">
        <f t="shared" si="73"/>
        <v>-2.3810264025875712E-2</v>
      </c>
      <c r="S1204" s="102">
        <f t="shared" si="73"/>
        <v>1.1735236389989975E-3</v>
      </c>
    </row>
    <row r="1205" spans="15:19" x14ac:dyDescent="0.3">
      <c r="O1205" s="101">
        <v>41296</v>
      </c>
      <c r="P1205" s="110">
        <v>13468.04</v>
      </c>
      <c r="Q1205" s="110">
        <v>442.85</v>
      </c>
      <c r="R1205" s="102">
        <f t="shared" si="73"/>
        <v>-1.9418142972372043E-2</v>
      </c>
      <c r="S1205" s="102">
        <f t="shared" si="73"/>
        <v>-1.10932602617676E-2</v>
      </c>
    </row>
    <row r="1206" spans="15:19" x14ac:dyDescent="0.3">
      <c r="O1206" s="101">
        <v>41295</v>
      </c>
      <c r="P1206" s="110">
        <v>13732.12</v>
      </c>
      <c r="Q1206" s="110">
        <v>447.79</v>
      </c>
      <c r="R1206" s="102">
        <f t="shared" si="73"/>
        <v>-1.8018154396700663E-2</v>
      </c>
      <c r="S1206" s="102">
        <f t="shared" si="73"/>
        <v>-1.4125186345111182E-2</v>
      </c>
    </row>
    <row r="1207" spans="15:19" x14ac:dyDescent="0.3">
      <c r="O1207" s="101">
        <v>41292</v>
      </c>
      <c r="P1207" s="110">
        <v>13981.79</v>
      </c>
      <c r="Q1207" s="110">
        <v>454.16</v>
      </c>
      <c r="R1207" s="102">
        <f t="shared" si="73"/>
        <v>4.3801907442642736E-2</v>
      </c>
      <c r="S1207" s="102">
        <f t="shared" si="73"/>
        <v>-5.708529970976416E-3</v>
      </c>
    </row>
    <row r="1208" spans="15:19" x14ac:dyDescent="0.3">
      <c r="O1208" s="101">
        <v>41291</v>
      </c>
      <c r="P1208" s="110">
        <v>13382.58</v>
      </c>
      <c r="Q1208" s="110">
        <v>456.76</v>
      </c>
      <c r="R1208" s="102">
        <f t="shared" si="73"/>
        <v>-5.092009042725687E-2</v>
      </c>
      <c r="S1208" s="102">
        <f t="shared" si="73"/>
        <v>-1.8416806688912903E-2</v>
      </c>
    </row>
    <row r="1209" spans="15:19" x14ac:dyDescent="0.3">
      <c r="O1209" s="101">
        <v>41290</v>
      </c>
      <c r="P1209" s="110">
        <v>14081.67</v>
      </c>
      <c r="Q1209" s="110">
        <v>465.25</v>
      </c>
      <c r="R1209" s="102">
        <f t="shared" si="73"/>
        <v>4.3485111939738676E-2</v>
      </c>
      <c r="S1209" s="102">
        <f t="shared" si="73"/>
        <v>8.2662043848976009E-3</v>
      </c>
    </row>
    <row r="1210" spans="15:19" x14ac:dyDescent="0.3">
      <c r="O1210" s="101">
        <v>41289</v>
      </c>
      <c r="P1210" s="110">
        <v>13482.45</v>
      </c>
      <c r="Q1210" s="110">
        <v>461.42</v>
      </c>
      <c r="R1210" s="102">
        <f t="shared" si="73"/>
        <v>3.0078219590006991E-2</v>
      </c>
      <c r="S1210" s="102">
        <f t="shared" si="73"/>
        <v>5.3238426900650742E-3</v>
      </c>
    </row>
    <row r="1211" spans="15:19" x14ac:dyDescent="0.3">
      <c r="O1211" s="101">
        <v>41288</v>
      </c>
      <c r="P1211" s="110">
        <v>13082.96</v>
      </c>
      <c r="Q1211" s="110">
        <v>458.97</v>
      </c>
      <c r="R1211" s="102">
        <f t="shared" si="73"/>
        <v>2.3166294928805283E-2</v>
      </c>
      <c r="S1211" s="102">
        <f t="shared" si="73"/>
        <v>-8.0724349562353269E-3</v>
      </c>
    </row>
    <row r="1212" spans="15:19" x14ac:dyDescent="0.3">
      <c r="O1212" s="101">
        <v>41285</v>
      </c>
      <c r="P1212" s="110">
        <v>12783.36</v>
      </c>
      <c r="Q1212" s="110">
        <v>462.69</v>
      </c>
      <c r="R1212" s="102">
        <f t="shared" si="73"/>
        <v>0</v>
      </c>
      <c r="S1212" s="102">
        <f t="shared" si="73"/>
        <v>5.5699583758231468E-3</v>
      </c>
    </row>
    <row r="1213" spans="15:19" x14ac:dyDescent="0.3">
      <c r="O1213" s="101">
        <v>41284</v>
      </c>
      <c r="P1213" s="110">
        <v>12783.36</v>
      </c>
      <c r="Q1213" s="110">
        <v>460.12</v>
      </c>
      <c r="R1213" s="102">
        <f t="shared" si="73"/>
        <v>1.178835152354047E-2</v>
      </c>
      <c r="S1213" s="102">
        <f t="shared" si="73"/>
        <v>2.4976817973330342E-2</v>
      </c>
    </row>
    <row r="1214" spans="15:19" x14ac:dyDescent="0.3">
      <c r="O1214" s="101">
        <v>41283</v>
      </c>
      <c r="P1214" s="110">
        <v>12633.55</v>
      </c>
      <c r="Q1214" s="110">
        <v>448.77</v>
      </c>
      <c r="R1214" s="102">
        <f t="shared" si="73"/>
        <v>-1.9570491965595401E-2</v>
      </c>
      <c r="S1214" s="102">
        <f t="shared" si="73"/>
        <v>3.5940346523541532E-3</v>
      </c>
    </row>
    <row r="1215" spans="15:19" x14ac:dyDescent="0.3">
      <c r="O1215" s="101">
        <v>41282</v>
      </c>
      <c r="P1215" s="110">
        <v>12883.23</v>
      </c>
      <c r="Q1215" s="110">
        <v>447.16</v>
      </c>
      <c r="R1215" s="102">
        <f t="shared" si="73"/>
        <v>-3.8680901748757101E-3</v>
      </c>
      <c r="S1215" s="102">
        <f t="shared" si="73"/>
        <v>2.9434246084502055E-2</v>
      </c>
    </row>
    <row r="1216" spans="15:19" x14ac:dyDescent="0.3">
      <c r="O1216" s="101">
        <v>41281</v>
      </c>
      <c r="P1216" s="110">
        <v>12933.16</v>
      </c>
      <c r="Q1216" s="110">
        <v>434.19</v>
      </c>
      <c r="R1216" s="102">
        <f t="shared" si="73"/>
        <v>1.9493408077956388E-2</v>
      </c>
      <c r="S1216" s="102">
        <f t="shared" si="73"/>
        <v>1.8902044895565715E-2</v>
      </c>
    </row>
    <row r="1217" spans="15:19" x14ac:dyDescent="0.3">
      <c r="O1217" s="101">
        <v>41278</v>
      </c>
      <c r="P1217" s="110">
        <v>12683.49</v>
      </c>
      <c r="Q1217" s="110">
        <v>426.06</v>
      </c>
      <c r="R1217" s="102">
        <f t="shared" si="73"/>
        <v>4.8396540861850031E-2</v>
      </c>
      <c r="S1217" s="102">
        <f t="shared" si="73"/>
        <v>1.6065077622799202E-2</v>
      </c>
    </row>
    <row r="1218" spans="15:19" x14ac:dyDescent="0.3">
      <c r="O1218" s="101">
        <v>41277</v>
      </c>
      <c r="P1218" s="110">
        <v>12084.27</v>
      </c>
      <c r="Q1218" s="110">
        <v>419.27</v>
      </c>
      <c r="R1218" s="102">
        <f t="shared" si="73"/>
        <v>-4.1233051254675945E-3</v>
      </c>
      <c r="S1218" s="102">
        <f t="shared" si="73"/>
        <v>2.1967010576505355E-3</v>
      </c>
    </row>
    <row r="1219" spans="15:19" x14ac:dyDescent="0.3">
      <c r="O1219" s="101">
        <v>41276</v>
      </c>
      <c r="P1219" s="110">
        <v>12134.2</v>
      </c>
      <c r="Q1219" s="110">
        <v>418.35</v>
      </c>
      <c r="R1219" s="102">
        <f t="shared" si="73"/>
        <v>0</v>
      </c>
      <c r="S1219" s="102">
        <f t="shared" si="73"/>
        <v>1.1104815587251579E-2</v>
      </c>
    </row>
    <row r="1220" spans="15:19" x14ac:dyDescent="0.3">
      <c r="O1220" s="101">
        <v>41271</v>
      </c>
      <c r="P1220" s="110">
        <v>12134.2</v>
      </c>
      <c r="Q1220" s="110">
        <v>413.73</v>
      </c>
      <c r="R1220" s="102">
        <f t="shared" si="73"/>
        <v>2.0790357610679346E-2</v>
      </c>
      <c r="S1220" s="102">
        <f t="shared" si="73"/>
        <v>9.129600864818347E-3</v>
      </c>
    </row>
    <row r="1221" spans="15:19" x14ac:dyDescent="0.3">
      <c r="O1221" s="101">
        <v>41270</v>
      </c>
      <c r="P1221" s="110">
        <v>11884.53</v>
      </c>
      <c r="Q1221" s="110">
        <v>409.97</v>
      </c>
      <c r="R1221" s="102">
        <f t="shared" si="73"/>
        <v>0</v>
      </c>
      <c r="S1221" s="102">
        <f t="shared" si="73"/>
        <v>9.4845515972855638E-3</v>
      </c>
    </row>
    <row r="1222" spans="15:19" x14ac:dyDescent="0.3">
      <c r="O1222" s="101">
        <v>41269</v>
      </c>
      <c r="P1222" s="110">
        <v>11884.53</v>
      </c>
      <c r="Q1222" s="110">
        <v>406.1</v>
      </c>
      <c r="R1222" s="102">
        <f t="shared" si="73"/>
        <v>4.2109550265983691E-3</v>
      </c>
      <c r="S1222" s="102">
        <f t="shared" si="73"/>
        <v>1.1790486333880574E-2</v>
      </c>
    </row>
    <row r="1223" spans="15:19" x14ac:dyDescent="0.3">
      <c r="O1223" s="101">
        <v>41268</v>
      </c>
      <c r="P1223" s="110">
        <v>11834.59</v>
      </c>
      <c r="Q1223" s="110">
        <v>401.34</v>
      </c>
      <c r="R1223" s="102">
        <f t="shared" si="73"/>
        <v>0</v>
      </c>
      <c r="S1223" s="102">
        <f t="shared" si="73"/>
        <v>4.0696641899848124E-3</v>
      </c>
    </row>
    <row r="1224" spans="15:19" x14ac:dyDescent="0.3">
      <c r="O1224" s="101">
        <v>41267</v>
      </c>
      <c r="P1224" s="110">
        <v>11834.59</v>
      </c>
      <c r="Q1224" s="110">
        <v>399.71</v>
      </c>
      <c r="R1224" s="102">
        <f t="shared" si="73"/>
        <v>0</v>
      </c>
      <c r="S1224" s="102">
        <f t="shared" si="73"/>
        <v>7.3573132537608872E-3</v>
      </c>
    </row>
    <row r="1225" spans="15:19" x14ac:dyDescent="0.3">
      <c r="O1225" s="101">
        <v>41264</v>
      </c>
      <c r="P1225" s="110">
        <v>11834.59</v>
      </c>
      <c r="Q1225" s="110">
        <v>396.78</v>
      </c>
      <c r="R1225" s="102">
        <f t="shared" si="73"/>
        <v>-4.2109550265982355E-3</v>
      </c>
      <c r="S1225" s="102">
        <f t="shared" si="73"/>
        <v>-7.2822560225868794E-3</v>
      </c>
    </row>
    <row r="1226" spans="15:19" x14ac:dyDescent="0.3">
      <c r="O1226" s="101">
        <v>41263</v>
      </c>
      <c r="P1226" s="110">
        <v>11884.53</v>
      </c>
      <c r="Q1226" s="110">
        <v>399.68</v>
      </c>
      <c r="R1226" s="102">
        <f t="shared" si="73"/>
        <v>-4.1924593052651369E-3</v>
      </c>
      <c r="S1226" s="102">
        <f t="shared" si="73"/>
        <v>2.7309072805486181E-3</v>
      </c>
    </row>
    <row r="1227" spans="15:19" x14ac:dyDescent="0.3">
      <c r="O1227" s="101">
        <v>41262</v>
      </c>
      <c r="P1227" s="110">
        <v>11934.46</v>
      </c>
      <c r="Q1227" s="110">
        <v>398.59</v>
      </c>
      <c r="R1227" s="102">
        <f t="shared" si="73"/>
        <v>0</v>
      </c>
      <c r="S1227" s="102">
        <f t="shared" si="73"/>
        <v>1.3131833445221897E-2</v>
      </c>
    </row>
    <row r="1228" spans="15:19" x14ac:dyDescent="0.3">
      <c r="O1228" s="101">
        <v>41261</v>
      </c>
      <c r="P1228" s="110">
        <v>11934.46</v>
      </c>
      <c r="Q1228" s="110">
        <v>393.39</v>
      </c>
      <c r="R1228" s="102">
        <f t="shared" si="73"/>
        <v>1.2631327951129761E-2</v>
      </c>
      <c r="S1228" s="102">
        <f t="shared" si="73"/>
        <v>-6.0989557429155946E-4</v>
      </c>
    </row>
    <row r="1229" spans="15:19" x14ac:dyDescent="0.3">
      <c r="O1229" s="101">
        <v>41260</v>
      </c>
      <c r="P1229" s="110">
        <v>11784.66</v>
      </c>
      <c r="Q1229" s="110">
        <v>393.63</v>
      </c>
      <c r="R1229" s="102">
        <f t="shared" si="73"/>
        <v>-1.6807118316381174E-2</v>
      </c>
      <c r="S1229" s="102">
        <f t="shared" si="73"/>
        <v>3.6139711532277132E-3</v>
      </c>
    </row>
    <row r="1230" spans="15:19" x14ac:dyDescent="0.3">
      <c r="O1230" s="101">
        <v>41257</v>
      </c>
      <c r="P1230" s="110">
        <v>11984.4</v>
      </c>
      <c r="Q1230" s="110">
        <v>392.21</v>
      </c>
      <c r="R1230" s="102">
        <f t="shared" si="73"/>
        <v>-4.1575946706967756E-3</v>
      </c>
      <c r="S1230" s="102">
        <f t="shared" si="73"/>
        <v>2.6040351707553059E-3</v>
      </c>
    </row>
    <row r="1231" spans="15:19" x14ac:dyDescent="0.3">
      <c r="O1231" s="101">
        <v>41256</v>
      </c>
      <c r="P1231" s="110">
        <v>12034.33</v>
      </c>
      <c r="Q1231" s="110">
        <v>391.19</v>
      </c>
      <c r="R1231" s="102">
        <f t="shared" si="73"/>
        <v>-8.2645132694659767E-3</v>
      </c>
      <c r="S1231" s="102">
        <f t="shared" si="73"/>
        <v>2.8123282428074085E-4</v>
      </c>
    </row>
    <row r="1232" spans="15:19" x14ac:dyDescent="0.3">
      <c r="O1232" s="101">
        <v>41255</v>
      </c>
      <c r="P1232" s="110">
        <v>12134.2</v>
      </c>
      <c r="Q1232" s="110">
        <v>391.08</v>
      </c>
      <c r="R1232" s="102">
        <f t="shared" si="73"/>
        <v>1.6597898305414204E-2</v>
      </c>
      <c r="S1232" s="102">
        <f t="shared" si="73"/>
        <v>4.382094269693191E-3</v>
      </c>
    </row>
    <row r="1233" spans="15:19" x14ac:dyDescent="0.3">
      <c r="O1233" s="101">
        <v>41254</v>
      </c>
      <c r="P1233" s="110">
        <v>11934.46</v>
      </c>
      <c r="Q1233" s="110">
        <v>389.37</v>
      </c>
      <c r="R1233" s="102">
        <f t="shared" si="73"/>
        <v>0</v>
      </c>
      <c r="S1233" s="102">
        <f t="shared" si="73"/>
        <v>6.9067099285662296E-3</v>
      </c>
    </row>
    <row r="1234" spans="15:19" x14ac:dyDescent="0.3">
      <c r="O1234" s="101">
        <v>41253</v>
      </c>
      <c r="P1234" s="110">
        <v>11934.46</v>
      </c>
      <c r="Q1234" s="110">
        <v>386.69</v>
      </c>
      <c r="R1234" s="102">
        <f t="shared" si="73"/>
        <v>1.2631327951129761E-2</v>
      </c>
      <c r="S1234" s="102">
        <f t="shared" si="73"/>
        <v>7.5017548656113832E-3</v>
      </c>
    </row>
    <row r="1235" spans="15:19" x14ac:dyDescent="0.3">
      <c r="O1235" s="101">
        <v>41250</v>
      </c>
      <c r="P1235" s="110">
        <v>11784.66</v>
      </c>
      <c r="Q1235" s="110">
        <v>383.8</v>
      </c>
      <c r="R1235" s="102">
        <f t="shared" si="73"/>
        <v>8.5106896679086105E-3</v>
      </c>
      <c r="S1235" s="102">
        <f t="shared" si="73"/>
        <v>-4.9123544182940841E-3</v>
      </c>
    </row>
    <row r="1236" spans="15:19" x14ac:dyDescent="0.3">
      <c r="O1236" s="101">
        <v>41249</v>
      </c>
      <c r="P1236" s="110">
        <v>11684.79</v>
      </c>
      <c r="Q1236" s="110">
        <v>385.69</v>
      </c>
      <c r="R1236" s="102">
        <f t="shared" si="73"/>
        <v>-2.1142017619038347E-2</v>
      </c>
      <c r="S1236" s="102">
        <f t="shared" si="73"/>
        <v>0</v>
      </c>
    </row>
    <row r="1237" spans="15:19" x14ac:dyDescent="0.3">
      <c r="O1237" s="101">
        <v>41248</v>
      </c>
      <c r="P1237" s="110">
        <v>11934.46</v>
      </c>
      <c r="Q1237" s="110">
        <v>385.69</v>
      </c>
      <c r="R1237" s="102">
        <f t="shared" si="73"/>
        <v>2.5425109154347102E-2</v>
      </c>
      <c r="S1237" s="102">
        <f t="shared" si="73"/>
        <v>9.3515835390393688E-3</v>
      </c>
    </row>
    <row r="1238" spans="15:19" x14ac:dyDescent="0.3">
      <c r="O1238" s="101">
        <v>41247</v>
      </c>
      <c r="P1238" s="110">
        <v>11634.85</v>
      </c>
      <c r="Q1238" s="110">
        <v>382.1</v>
      </c>
      <c r="R1238" s="102">
        <f t="shared" si="73"/>
        <v>1.2958714899197419E-2</v>
      </c>
      <c r="S1238" s="102">
        <f t="shared" si="73"/>
        <v>7.4340019521971111E-3</v>
      </c>
    </row>
    <row r="1239" spans="15:19" x14ac:dyDescent="0.3">
      <c r="O1239" s="101">
        <v>41246</v>
      </c>
      <c r="P1239" s="110">
        <v>11485.05</v>
      </c>
      <c r="Q1239" s="110">
        <v>379.27</v>
      </c>
      <c r="R1239" s="102">
        <f t="shared" si="73"/>
        <v>0</v>
      </c>
      <c r="S1239" s="102">
        <f t="shared" si="73"/>
        <v>3.8304607719508036E-3</v>
      </c>
    </row>
    <row r="1240" spans="15:19" x14ac:dyDescent="0.3">
      <c r="O1240" s="101">
        <v>41243</v>
      </c>
      <c r="P1240" s="110">
        <v>11485.05</v>
      </c>
      <c r="Q1240" s="110">
        <v>377.82</v>
      </c>
      <c r="R1240" s="102">
        <f t="shared" si="73"/>
        <v>0</v>
      </c>
      <c r="S1240" s="102">
        <f t="shared" si="73"/>
        <v>-1.0052644956508204E-3</v>
      </c>
    </row>
    <row r="1241" spans="15:19" x14ac:dyDescent="0.3">
      <c r="O1241" s="101">
        <v>41242</v>
      </c>
      <c r="P1241" s="110">
        <v>11485.05</v>
      </c>
      <c r="Q1241" s="110">
        <v>378.2</v>
      </c>
      <c r="R1241" s="102">
        <f t="shared" si="73"/>
        <v>8.7336799687544112E-3</v>
      </c>
      <c r="S1241" s="102">
        <f t="shared" si="73"/>
        <v>6.392679497924143E-3</v>
      </c>
    </row>
    <row r="1242" spans="15:19" x14ac:dyDescent="0.3">
      <c r="O1242" s="101">
        <v>41241</v>
      </c>
      <c r="P1242" s="110">
        <v>11385.18</v>
      </c>
      <c r="Q1242" s="110">
        <v>375.79</v>
      </c>
      <c r="R1242" s="102">
        <f t="shared" si="73"/>
        <v>-8.7336799687545534E-3</v>
      </c>
      <c r="S1242" s="102">
        <f t="shared" si="73"/>
        <v>-2.9228909580031829E-3</v>
      </c>
    </row>
    <row r="1243" spans="15:19" x14ac:dyDescent="0.3">
      <c r="O1243" s="101">
        <v>41240</v>
      </c>
      <c r="P1243" s="110">
        <v>11485.05</v>
      </c>
      <c r="Q1243" s="110">
        <v>376.89</v>
      </c>
      <c r="R1243" s="102">
        <f t="shared" si="73"/>
        <v>4.3577426186984097E-3</v>
      </c>
      <c r="S1243" s="102">
        <f t="shared" si="73"/>
        <v>-2.6762426710071306E-3</v>
      </c>
    </row>
    <row r="1244" spans="15:19" x14ac:dyDescent="0.3">
      <c r="O1244" s="101">
        <v>41239</v>
      </c>
      <c r="P1244" s="110">
        <v>11435.11</v>
      </c>
      <c r="Q1244" s="110">
        <v>377.9</v>
      </c>
      <c r="R1244" s="102">
        <f t="shared" si="73"/>
        <v>-4.357742618698473E-3</v>
      </c>
      <c r="S1244" s="102">
        <f t="shared" si="73"/>
        <v>-1.0031547637840263E-2</v>
      </c>
    </row>
    <row r="1245" spans="15:19" x14ac:dyDescent="0.3">
      <c r="O1245" s="101">
        <v>41236</v>
      </c>
      <c r="P1245" s="110">
        <v>11485.05</v>
      </c>
      <c r="Q1245" s="110">
        <v>381.71</v>
      </c>
      <c r="R1245" s="102">
        <f t="shared" si="73"/>
        <v>4.3577426186984097E-3</v>
      </c>
      <c r="S1245" s="102">
        <f t="shared" si="73"/>
        <v>-3.9480788082694408E-3</v>
      </c>
    </row>
    <row r="1246" spans="15:19" x14ac:dyDescent="0.3">
      <c r="O1246" s="101">
        <v>41235</v>
      </c>
      <c r="P1246" s="110">
        <v>11435.11</v>
      </c>
      <c r="Q1246" s="110">
        <v>383.22</v>
      </c>
      <c r="R1246" s="102">
        <f t="shared" ref="R1246:S1309" si="74">LN(P1246/P1247)</f>
        <v>-4.357742618698473E-3</v>
      </c>
      <c r="S1246" s="102">
        <f t="shared" si="74"/>
        <v>-1.6947168013405317E-3</v>
      </c>
    </row>
    <row r="1247" spans="15:19" x14ac:dyDescent="0.3">
      <c r="O1247" s="101">
        <v>41234</v>
      </c>
      <c r="P1247" s="110">
        <v>11485.05</v>
      </c>
      <c r="Q1247" s="110">
        <v>383.87</v>
      </c>
      <c r="R1247" s="102">
        <f t="shared" si="74"/>
        <v>-4.3379681345682821E-3</v>
      </c>
      <c r="S1247" s="102">
        <f t="shared" si="74"/>
        <v>-3.1990872179698975E-3</v>
      </c>
    </row>
    <row r="1248" spans="15:19" x14ac:dyDescent="0.3">
      <c r="O1248" s="101">
        <v>41233</v>
      </c>
      <c r="P1248" s="110">
        <v>11534.98</v>
      </c>
      <c r="Q1248" s="110">
        <v>385.1</v>
      </c>
      <c r="R1248" s="102">
        <f t="shared" si="74"/>
        <v>2.1882277785477675E-2</v>
      </c>
      <c r="S1248" s="102">
        <f t="shared" si="74"/>
        <v>4.6328913453018697E-3</v>
      </c>
    </row>
    <row r="1249" spans="15:19" x14ac:dyDescent="0.3">
      <c r="O1249" s="101">
        <v>41232</v>
      </c>
      <c r="P1249" s="110">
        <v>11285.31</v>
      </c>
      <c r="Q1249" s="110">
        <v>383.32</v>
      </c>
      <c r="R1249" s="102">
        <f t="shared" si="74"/>
        <v>0</v>
      </c>
      <c r="S1249" s="102">
        <f t="shared" si="74"/>
        <v>-6.2156422887056448E-3</v>
      </c>
    </row>
    <row r="1250" spans="15:19" x14ac:dyDescent="0.3">
      <c r="O1250" s="101">
        <v>41229</v>
      </c>
      <c r="P1250" s="110">
        <v>11285.31</v>
      </c>
      <c r="Q1250" s="110">
        <v>385.71</v>
      </c>
      <c r="R1250" s="102">
        <f t="shared" si="74"/>
        <v>4.4350420909390472E-3</v>
      </c>
      <c r="S1250" s="102">
        <f t="shared" si="74"/>
        <v>-3.1063160801424465E-3</v>
      </c>
    </row>
    <row r="1251" spans="15:19" x14ac:dyDescent="0.3">
      <c r="O1251" s="101">
        <v>41228</v>
      </c>
      <c r="P1251" s="110">
        <v>11235.37</v>
      </c>
      <c r="Q1251" s="110">
        <v>386.91</v>
      </c>
      <c r="R1251" s="102">
        <f t="shared" si="74"/>
        <v>-8.8496191978914146E-3</v>
      </c>
      <c r="S1251" s="102">
        <f t="shared" si="74"/>
        <v>-2.0655296388614598E-3</v>
      </c>
    </row>
    <row r="1252" spans="15:19" x14ac:dyDescent="0.3">
      <c r="O1252" s="101">
        <v>41227</v>
      </c>
      <c r="P1252" s="110">
        <v>11335.24</v>
      </c>
      <c r="Q1252" s="110">
        <v>387.71</v>
      </c>
      <c r="R1252" s="102">
        <f t="shared" si="74"/>
        <v>4.4145771069524099E-3</v>
      </c>
      <c r="S1252" s="102">
        <f t="shared" si="74"/>
        <v>6.4430378271947818E-3</v>
      </c>
    </row>
    <row r="1253" spans="15:19" x14ac:dyDescent="0.3">
      <c r="O1253" s="101">
        <v>41226</v>
      </c>
      <c r="P1253" s="110">
        <v>11285.31</v>
      </c>
      <c r="Q1253" s="110">
        <v>385.22</v>
      </c>
      <c r="R1253" s="102">
        <f t="shared" si="74"/>
        <v>-4.4145771069524688E-3</v>
      </c>
      <c r="S1253" s="102">
        <f t="shared" si="74"/>
        <v>-8.7874027668042379E-3</v>
      </c>
    </row>
    <row r="1254" spans="15:19" x14ac:dyDescent="0.3">
      <c r="O1254" s="101">
        <v>41225</v>
      </c>
      <c r="P1254" s="110">
        <v>11335.24</v>
      </c>
      <c r="Q1254" s="110">
        <v>388.62</v>
      </c>
      <c r="R1254" s="102">
        <f t="shared" si="74"/>
        <v>8.8496191978913435E-3</v>
      </c>
      <c r="S1254" s="102">
        <f t="shared" si="74"/>
        <v>4.9269443043203432E-3</v>
      </c>
    </row>
    <row r="1255" spans="15:19" x14ac:dyDescent="0.3">
      <c r="O1255" s="101">
        <v>41222</v>
      </c>
      <c r="P1255" s="110">
        <v>11235.37</v>
      </c>
      <c r="Q1255" s="110">
        <v>386.71</v>
      </c>
      <c r="R1255" s="102">
        <f t="shared" si="74"/>
        <v>8.928634735540673E-3</v>
      </c>
      <c r="S1255" s="102">
        <f t="shared" si="74"/>
        <v>2.8744953821698296E-3</v>
      </c>
    </row>
    <row r="1256" spans="15:19" x14ac:dyDescent="0.3">
      <c r="O1256" s="101">
        <v>41221</v>
      </c>
      <c r="P1256" s="110">
        <v>11135.5</v>
      </c>
      <c r="Q1256" s="110">
        <v>385.6</v>
      </c>
      <c r="R1256" s="102">
        <f t="shared" si="74"/>
        <v>0</v>
      </c>
      <c r="S1256" s="102">
        <f t="shared" si="74"/>
        <v>1.2263689251832339E-2</v>
      </c>
    </row>
    <row r="1257" spans="15:19" x14ac:dyDescent="0.3">
      <c r="O1257" s="101">
        <v>41220</v>
      </c>
      <c r="P1257" s="110">
        <v>11135.5</v>
      </c>
      <c r="Q1257" s="110">
        <v>380.9</v>
      </c>
      <c r="R1257" s="102">
        <f t="shared" si="74"/>
        <v>1.3543776093444645E-2</v>
      </c>
      <c r="S1257" s="102">
        <f t="shared" si="74"/>
        <v>1.0424320826847503E-2</v>
      </c>
    </row>
    <row r="1258" spans="15:19" x14ac:dyDescent="0.3">
      <c r="O1258" s="101">
        <v>41219</v>
      </c>
      <c r="P1258" s="110">
        <v>10985.7</v>
      </c>
      <c r="Q1258" s="110">
        <v>376.95</v>
      </c>
      <c r="R1258" s="102">
        <f t="shared" si="74"/>
        <v>0</v>
      </c>
      <c r="S1258" s="102">
        <f t="shared" si="74"/>
        <v>-8.4855882687115435E-4</v>
      </c>
    </row>
    <row r="1259" spans="15:19" x14ac:dyDescent="0.3">
      <c r="O1259" s="101">
        <v>41218</v>
      </c>
      <c r="P1259" s="110">
        <v>10985.7</v>
      </c>
      <c r="Q1259" s="110">
        <v>377.27</v>
      </c>
      <c r="R1259" s="102">
        <f t="shared" si="74"/>
        <v>-4.5347020875997728E-3</v>
      </c>
      <c r="S1259" s="102">
        <f t="shared" si="74"/>
        <v>5.3419924253533839E-3</v>
      </c>
    </row>
    <row r="1260" spans="15:19" x14ac:dyDescent="0.3">
      <c r="O1260" s="101">
        <v>41215</v>
      </c>
      <c r="P1260" s="110">
        <v>11035.63</v>
      </c>
      <c r="Q1260" s="110">
        <v>375.26</v>
      </c>
      <c r="R1260" s="102">
        <f t="shared" si="74"/>
        <v>-4.857512322634866E-2</v>
      </c>
      <c r="S1260" s="102">
        <f t="shared" si="74"/>
        <v>-3.3257346280729724E-2</v>
      </c>
    </row>
    <row r="1261" spans="15:19" x14ac:dyDescent="0.3">
      <c r="O1261" s="101">
        <v>41214</v>
      </c>
      <c r="P1261" s="110">
        <v>11584.92</v>
      </c>
      <c r="Q1261" s="110">
        <v>387.95</v>
      </c>
      <c r="R1261" s="102">
        <f t="shared" si="74"/>
        <v>-4.3006521560827564E-3</v>
      </c>
      <c r="S1261" s="102">
        <f t="shared" si="74"/>
        <v>-1.2107630573471165E-3</v>
      </c>
    </row>
    <row r="1262" spans="15:19" x14ac:dyDescent="0.3">
      <c r="O1262" s="101">
        <v>41213</v>
      </c>
      <c r="P1262" s="110">
        <v>11634.85</v>
      </c>
      <c r="Q1262" s="110">
        <v>388.42</v>
      </c>
      <c r="R1262" s="102">
        <f t="shared" si="74"/>
        <v>-1.2793781203217348E-2</v>
      </c>
      <c r="S1262" s="102">
        <f t="shared" si="74"/>
        <v>-3.7004719206936271E-3</v>
      </c>
    </row>
    <row r="1263" spans="15:19" x14ac:dyDescent="0.3">
      <c r="O1263" s="101">
        <v>41212</v>
      </c>
      <c r="P1263" s="110">
        <v>11784.66</v>
      </c>
      <c r="Q1263" s="110">
        <v>389.86</v>
      </c>
      <c r="R1263" s="102">
        <f t="shared" si="74"/>
        <v>-1.2631327951129848E-2</v>
      </c>
      <c r="S1263" s="102">
        <f t="shared" si="74"/>
        <v>-3.8401521808085854E-3</v>
      </c>
    </row>
    <row r="1264" spans="15:19" x14ac:dyDescent="0.3">
      <c r="O1264" s="101">
        <v>41211</v>
      </c>
      <c r="P1264" s="110">
        <v>11934.46</v>
      </c>
      <c r="Q1264" s="110">
        <v>391.36</v>
      </c>
      <c r="R1264" s="102">
        <f t="shared" si="74"/>
        <v>0</v>
      </c>
      <c r="S1264" s="102">
        <f t="shared" si="74"/>
        <v>-8.6838817297798165E-4</v>
      </c>
    </row>
    <row r="1265" spans="15:19" x14ac:dyDescent="0.3">
      <c r="O1265" s="101">
        <v>41208</v>
      </c>
      <c r="P1265" s="110">
        <v>11934.46</v>
      </c>
      <c r="Q1265" s="110">
        <v>391.7</v>
      </c>
      <c r="R1265" s="102">
        <f t="shared" si="74"/>
        <v>-4.1757903652513235E-3</v>
      </c>
      <c r="S1265" s="102">
        <f t="shared" si="74"/>
        <v>4.5546507948894454E-3</v>
      </c>
    </row>
    <row r="1266" spans="15:19" x14ac:dyDescent="0.3">
      <c r="O1266" s="101">
        <v>41207</v>
      </c>
      <c r="P1266" s="110">
        <v>11984.4</v>
      </c>
      <c r="Q1266" s="110">
        <v>389.92</v>
      </c>
      <c r="R1266" s="102">
        <f t="shared" si="74"/>
        <v>4.1757903652513339E-3</v>
      </c>
      <c r="S1266" s="102">
        <f t="shared" si="74"/>
        <v>-1.4082767088530119E-2</v>
      </c>
    </row>
    <row r="1267" spans="15:19" x14ac:dyDescent="0.3">
      <c r="O1267" s="101">
        <v>41206</v>
      </c>
      <c r="P1267" s="110">
        <v>11934.46</v>
      </c>
      <c r="Q1267" s="110">
        <v>395.45</v>
      </c>
      <c r="R1267" s="102">
        <f t="shared" si="74"/>
        <v>-8.3333850359481512E-3</v>
      </c>
      <c r="S1267" s="102">
        <f t="shared" si="74"/>
        <v>-5.6987395134417296E-3</v>
      </c>
    </row>
    <row r="1268" spans="15:19" x14ac:dyDescent="0.3">
      <c r="O1268" s="101">
        <v>41205</v>
      </c>
      <c r="P1268" s="110">
        <v>12034.33</v>
      </c>
      <c r="Q1268" s="110">
        <v>397.71</v>
      </c>
      <c r="R1268" s="102">
        <f t="shared" si="74"/>
        <v>4.1575946706967739E-3</v>
      </c>
      <c r="S1268" s="102">
        <f t="shared" si="74"/>
        <v>1.7868157916774174E-3</v>
      </c>
    </row>
    <row r="1269" spans="15:19" x14ac:dyDescent="0.3">
      <c r="O1269" s="101">
        <v>41204</v>
      </c>
      <c r="P1269" s="110">
        <v>11984.4</v>
      </c>
      <c r="Q1269" s="110">
        <v>397</v>
      </c>
      <c r="R1269" s="102">
        <f t="shared" si="74"/>
        <v>-4.4813616864736082E-2</v>
      </c>
      <c r="S1269" s="102">
        <f t="shared" si="74"/>
        <v>-3.0934471306789803E-3</v>
      </c>
    </row>
    <row r="1270" spans="15:19" x14ac:dyDescent="0.3">
      <c r="O1270" s="101">
        <v>41201</v>
      </c>
      <c r="P1270" s="110">
        <v>12533.68</v>
      </c>
      <c r="Q1270" s="110">
        <v>398.23</v>
      </c>
      <c r="R1270" s="102">
        <f t="shared" si="74"/>
        <v>-1.9724904272835114E-2</v>
      </c>
      <c r="S1270" s="102">
        <f t="shared" si="74"/>
        <v>-7.0286420043437936E-4</v>
      </c>
    </row>
    <row r="1271" spans="15:19" x14ac:dyDescent="0.3">
      <c r="O1271" s="101">
        <v>41200</v>
      </c>
      <c r="P1271" s="110">
        <v>12783.36</v>
      </c>
      <c r="Q1271" s="110">
        <v>398.51</v>
      </c>
      <c r="R1271" s="102">
        <f t="shared" si="74"/>
        <v>0</v>
      </c>
      <c r="S1271" s="102">
        <f t="shared" si="74"/>
        <v>3.7459347662807726E-3</v>
      </c>
    </row>
    <row r="1272" spans="15:19" x14ac:dyDescent="0.3">
      <c r="O1272" s="101">
        <v>41199</v>
      </c>
      <c r="P1272" s="110">
        <v>12783.36</v>
      </c>
      <c r="Q1272" s="110">
        <v>397.02</v>
      </c>
      <c r="R1272" s="102">
        <f t="shared" si="74"/>
        <v>-1.9342579202562233E-2</v>
      </c>
      <c r="S1272" s="102">
        <f t="shared" si="74"/>
        <v>-5.5259861307136353E-3</v>
      </c>
    </row>
    <row r="1273" spans="15:19" x14ac:dyDescent="0.3">
      <c r="O1273" s="101">
        <v>41198</v>
      </c>
      <c r="P1273" s="110">
        <v>13033.03</v>
      </c>
      <c r="Q1273" s="110">
        <v>399.22</v>
      </c>
      <c r="R1273" s="102">
        <f t="shared" si="74"/>
        <v>7.6923485856317869E-3</v>
      </c>
      <c r="S1273" s="102">
        <f t="shared" si="74"/>
        <v>1.9373882989507173E-2</v>
      </c>
    </row>
    <row r="1274" spans="15:19" x14ac:dyDescent="0.3">
      <c r="O1274" s="101">
        <v>41197</v>
      </c>
      <c r="P1274" s="110">
        <v>12933.16</v>
      </c>
      <c r="Q1274" s="110">
        <v>391.56</v>
      </c>
      <c r="R1274" s="102">
        <f t="shared" si="74"/>
        <v>-3.6428900587702055E-3</v>
      </c>
      <c r="S1274" s="102">
        <f t="shared" si="74"/>
        <v>-2.4996824647034407E-3</v>
      </c>
    </row>
    <row r="1275" spans="15:19" x14ac:dyDescent="0.3">
      <c r="O1275" s="101">
        <v>41194</v>
      </c>
      <c r="P1275" s="110">
        <v>12980.36</v>
      </c>
      <c r="Q1275" s="110">
        <v>392.54</v>
      </c>
      <c r="R1275" s="102">
        <f t="shared" si="74"/>
        <v>-3.6296675643138787E-3</v>
      </c>
      <c r="S1275" s="102">
        <f t="shared" si="74"/>
        <v>-4.1945837053308649E-3</v>
      </c>
    </row>
    <row r="1276" spans="15:19" x14ac:dyDescent="0.3">
      <c r="O1276" s="101">
        <v>41193</v>
      </c>
      <c r="P1276" s="110">
        <v>13027.56</v>
      </c>
      <c r="Q1276" s="110">
        <v>394.19</v>
      </c>
      <c r="R1276" s="102">
        <f t="shared" si="74"/>
        <v>1.0928766864937451E-2</v>
      </c>
      <c r="S1276" s="102">
        <f t="shared" si="74"/>
        <v>-1.1916081780159579E-3</v>
      </c>
    </row>
    <row r="1277" spans="15:19" x14ac:dyDescent="0.3">
      <c r="O1277" s="101">
        <v>41192</v>
      </c>
      <c r="P1277" s="110">
        <v>12885.96</v>
      </c>
      <c r="Q1277" s="110">
        <v>394.66</v>
      </c>
      <c r="R1277" s="102">
        <f t="shared" si="74"/>
        <v>0</v>
      </c>
      <c r="S1277" s="102">
        <f t="shared" si="74"/>
        <v>2.5116398473674253E-3</v>
      </c>
    </row>
    <row r="1278" spans="15:19" x14ac:dyDescent="0.3">
      <c r="O1278" s="101">
        <v>41191</v>
      </c>
      <c r="P1278" s="110">
        <v>12885.96</v>
      </c>
      <c r="Q1278" s="110">
        <v>393.67</v>
      </c>
      <c r="R1278" s="102">
        <f t="shared" si="74"/>
        <v>0</v>
      </c>
      <c r="S1278" s="102">
        <f t="shared" si="74"/>
        <v>5.5899991292006096E-4</v>
      </c>
    </row>
    <row r="1279" spans="15:19" x14ac:dyDescent="0.3">
      <c r="O1279" s="101">
        <v>41190</v>
      </c>
      <c r="P1279" s="110">
        <v>12885.96</v>
      </c>
      <c r="Q1279" s="110">
        <v>393.45</v>
      </c>
      <c r="R1279" s="102">
        <f t="shared" si="74"/>
        <v>0</v>
      </c>
      <c r="S1279" s="102">
        <f t="shared" si="74"/>
        <v>1.353636922530697E-2</v>
      </c>
    </row>
    <row r="1280" spans="15:19" x14ac:dyDescent="0.3">
      <c r="O1280" s="101">
        <v>41187</v>
      </c>
      <c r="P1280" s="110">
        <v>12885.96</v>
      </c>
      <c r="Q1280" s="110">
        <v>388.16</v>
      </c>
      <c r="R1280" s="102">
        <f t="shared" si="74"/>
        <v>3.6696261780005909E-3</v>
      </c>
      <c r="S1280" s="102">
        <f t="shared" si="74"/>
        <v>9.4478293458430344E-3</v>
      </c>
    </row>
    <row r="1281" spans="15:19" x14ac:dyDescent="0.3">
      <c r="O1281" s="101">
        <v>41186</v>
      </c>
      <c r="P1281" s="110">
        <v>12838.76</v>
      </c>
      <c r="Q1281" s="110">
        <v>384.51</v>
      </c>
      <c r="R1281" s="102">
        <f t="shared" si="74"/>
        <v>-3.6696261780006763E-3</v>
      </c>
      <c r="S1281" s="102">
        <f t="shared" si="74"/>
        <v>-2.2341153366959646E-3</v>
      </c>
    </row>
    <row r="1282" spans="15:19" x14ac:dyDescent="0.3">
      <c r="O1282" s="101">
        <v>41185</v>
      </c>
      <c r="P1282" s="110">
        <v>12885.96</v>
      </c>
      <c r="Q1282" s="110">
        <v>385.37</v>
      </c>
      <c r="R1282" s="102">
        <f t="shared" si="74"/>
        <v>0</v>
      </c>
      <c r="S1282" s="102">
        <f t="shared" si="74"/>
        <v>2.728372854919627E-3</v>
      </c>
    </row>
    <row r="1283" spans="15:19" x14ac:dyDescent="0.3">
      <c r="O1283" s="101">
        <v>41184</v>
      </c>
      <c r="P1283" s="110">
        <v>12885.96</v>
      </c>
      <c r="Q1283" s="110">
        <v>384.32</v>
      </c>
      <c r="R1283" s="102">
        <f t="shared" si="74"/>
        <v>1.4760787735441821E-2</v>
      </c>
      <c r="S1283" s="102">
        <f t="shared" si="74"/>
        <v>-5.7856868748651369E-3</v>
      </c>
    </row>
    <row r="1284" spans="15:19" x14ac:dyDescent="0.3">
      <c r="O1284" s="101">
        <v>41183</v>
      </c>
      <c r="P1284" s="110">
        <v>12697.15</v>
      </c>
      <c r="Q1284" s="110">
        <v>386.55</v>
      </c>
      <c r="R1284" s="102">
        <f t="shared" si="74"/>
        <v>0</v>
      </c>
      <c r="S1284" s="102">
        <f t="shared" si="74"/>
        <v>-1.5453639503632441E-2</v>
      </c>
    </row>
    <row r="1285" spans="15:19" x14ac:dyDescent="0.3">
      <c r="O1285" s="101">
        <v>41180</v>
      </c>
      <c r="P1285" s="110">
        <v>12697.15</v>
      </c>
      <c r="Q1285" s="110">
        <v>392.57</v>
      </c>
      <c r="R1285" s="102">
        <f t="shared" si="74"/>
        <v>0</v>
      </c>
      <c r="S1285" s="102">
        <f t="shared" si="74"/>
        <v>-1.9595125303915506E-3</v>
      </c>
    </row>
    <row r="1286" spans="15:19" x14ac:dyDescent="0.3">
      <c r="O1286" s="101">
        <v>41179</v>
      </c>
      <c r="P1286" s="110">
        <v>12697.15</v>
      </c>
      <c r="Q1286" s="110">
        <v>393.34</v>
      </c>
      <c r="R1286" s="102">
        <f t="shared" si="74"/>
        <v>0</v>
      </c>
      <c r="S1286" s="102">
        <f t="shared" si="74"/>
        <v>-4.5151384318615961E-3</v>
      </c>
    </row>
    <row r="1287" spans="15:19" x14ac:dyDescent="0.3">
      <c r="O1287" s="101">
        <v>41178</v>
      </c>
      <c r="P1287" s="110">
        <v>12697.15</v>
      </c>
      <c r="Q1287" s="110">
        <v>395.12</v>
      </c>
      <c r="R1287" s="102">
        <f t="shared" si="74"/>
        <v>3.40296092455422E-2</v>
      </c>
      <c r="S1287" s="102">
        <f t="shared" si="74"/>
        <v>8.5145833319439802E-3</v>
      </c>
    </row>
    <row r="1288" spans="15:19" x14ac:dyDescent="0.3">
      <c r="O1288" s="101">
        <v>41177</v>
      </c>
      <c r="P1288" s="110">
        <v>12272.34</v>
      </c>
      <c r="Q1288" s="110">
        <v>391.77</v>
      </c>
      <c r="R1288" s="102">
        <f t="shared" si="74"/>
        <v>0</v>
      </c>
      <c r="S1288" s="102">
        <f t="shared" si="74"/>
        <v>3.5799255764547922E-3</v>
      </c>
    </row>
    <row r="1289" spans="15:19" x14ac:dyDescent="0.3">
      <c r="O1289" s="101">
        <v>41176</v>
      </c>
      <c r="P1289" s="110">
        <v>12272.34</v>
      </c>
      <c r="Q1289" s="110">
        <v>390.37</v>
      </c>
      <c r="R1289" s="102">
        <f t="shared" si="74"/>
        <v>0</v>
      </c>
      <c r="S1289" s="102">
        <f t="shared" si="74"/>
        <v>-1.300520970496149E-2</v>
      </c>
    </row>
    <row r="1290" spans="15:19" x14ac:dyDescent="0.3">
      <c r="O1290" s="101">
        <v>41173</v>
      </c>
      <c r="P1290" s="110">
        <v>12272.34</v>
      </c>
      <c r="Q1290" s="110">
        <v>395.48</v>
      </c>
      <c r="R1290" s="102">
        <f t="shared" si="74"/>
        <v>1.1605222720617783E-2</v>
      </c>
      <c r="S1290" s="102">
        <f t="shared" si="74"/>
        <v>1.5801337993719928E-2</v>
      </c>
    </row>
    <row r="1291" spans="15:19" x14ac:dyDescent="0.3">
      <c r="O1291" s="101">
        <v>41172</v>
      </c>
      <c r="P1291" s="110">
        <v>12130.74</v>
      </c>
      <c r="Q1291" s="110">
        <v>389.28</v>
      </c>
      <c r="R1291" s="102">
        <f t="shared" si="74"/>
        <v>0</v>
      </c>
      <c r="S1291" s="102">
        <f t="shared" si="74"/>
        <v>-1.3446995931831676E-2</v>
      </c>
    </row>
    <row r="1292" spans="15:19" x14ac:dyDescent="0.3">
      <c r="O1292" s="101">
        <v>41171</v>
      </c>
      <c r="P1292" s="110">
        <v>12130.74</v>
      </c>
      <c r="Q1292" s="110">
        <v>394.55</v>
      </c>
      <c r="R1292" s="102">
        <f t="shared" si="74"/>
        <v>-3.8833913908544715E-3</v>
      </c>
      <c r="S1292" s="102">
        <f t="shared" si="74"/>
        <v>1.013864599252963E-4</v>
      </c>
    </row>
    <row r="1293" spans="15:19" x14ac:dyDescent="0.3">
      <c r="O1293" s="101">
        <v>41170</v>
      </c>
      <c r="P1293" s="110">
        <v>12177.94</v>
      </c>
      <c r="Q1293" s="110">
        <v>394.51</v>
      </c>
      <c r="R1293" s="102">
        <f t="shared" si="74"/>
        <v>-1.1560501489115181E-2</v>
      </c>
      <c r="S1293" s="102">
        <f t="shared" si="74"/>
        <v>-1.8185516110503119E-2</v>
      </c>
    </row>
    <row r="1294" spans="15:19" x14ac:dyDescent="0.3">
      <c r="O1294" s="101">
        <v>41169</v>
      </c>
      <c r="P1294" s="110">
        <v>12319.54</v>
      </c>
      <c r="Q1294" s="110">
        <v>401.75</v>
      </c>
      <c r="R1294" s="102">
        <f t="shared" si="74"/>
        <v>-1.5209801549596629E-2</v>
      </c>
      <c r="S1294" s="102">
        <f t="shared" si="74"/>
        <v>7.1944553531872605E-3</v>
      </c>
    </row>
    <row r="1295" spans="15:19" x14ac:dyDescent="0.3">
      <c r="O1295" s="101">
        <v>41166</v>
      </c>
      <c r="P1295" s="110">
        <v>12508.35</v>
      </c>
      <c r="Q1295" s="110">
        <v>398.87</v>
      </c>
      <c r="R1295" s="102">
        <f t="shared" si="74"/>
        <v>1.5209801549596568E-2</v>
      </c>
      <c r="S1295" s="102">
        <f t="shared" si="74"/>
        <v>1.900769676562717E-2</v>
      </c>
    </row>
    <row r="1296" spans="15:19" x14ac:dyDescent="0.3">
      <c r="O1296" s="101">
        <v>41165</v>
      </c>
      <c r="P1296" s="110">
        <v>12319.54</v>
      </c>
      <c r="Q1296" s="110">
        <v>391.36</v>
      </c>
      <c r="R1296" s="102">
        <f t="shared" si="74"/>
        <v>3.8386701593519762E-3</v>
      </c>
      <c r="S1296" s="102">
        <f t="shared" si="74"/>
        <v>7.7208576331512218E-3</v>
      </c>
    </row>
    <row r="1297" spans="15:19" x14ac:dyDescent="0.3">
      <c r="O1297" s="101">
        <v>41164</v>
      </c>
      <c r="P1297" s="110">
        <v>12272.34</v>
      </c>
      <c r="Q1297" s="110">
        <v>388.35</v>
      </c>
      <c r="R1297" s="102">
        <f t="shared" si="74"/>
        <v>3.8534623485133339E-3</v>
      </c>
      <c r="S1297" s="102">
        <f t="shared" si="74"/>
        <v>4.4646963721105236E-3</v>
      </c>
    </row>
    <row r="1298" spans="15:19" x14ac:dyDescent="0.3">
      <c r="O1298" s="101">
        <v>41163</v>
      </c>
      <c r="P1298" s="110">
        <v>12225.14</v>
      </c>
      <c r="Q1298" s="110">
        <v>386.62</v>
      </c>
      <c r="R1298" s="102">
        <f t="shared" si="74"/>
        <v>1.1650291303515234E-2</v>
      </c>
      <c r="S1298" s="102">
        <f t="shared" si="74"/>
        <v>-5.8285142436542278E-3</v>
      </c>
    </row>
    <row r="1299" spans="15:19" x14ac:dyDescent="0.3">
      <c r="O1299" s="101">
        <v>41162</v>
      </c>
      <c r="P1299" s="110">
        <v>12083.54</v>
      </c>
      <c r="Q1299" s="110">
        <v>388.88</v>
      </c>
      <c r="R1299" s="102">
        <f t="shared" si="74"/>
        <v>-7.7819223222652875E-3</v>
      </c>
      <c r="S1299" s="102">
        <f t="shared" si="74"/>
        <v>-2.1949278273453061E-2</v>
      </c>
    </row>
    <row r="1300" spans="15:19" x14ac:dyDescent="0.3">
      <c r="O1300" s="101">
        <v>41159</v>
      </c>
      <c r="P1300" s="110">
        <v>12177.94</v>
      </c>
      <c r="Q1300" s="110">
        <v>397.51</v>
      </c>
      <c r="R1300" s="102">
        <f t="shared" si="74"/>
        <v>3.8833913908545349E-3</v>
      </c>
      <c r="S1300" s="102">
        <f t="shared" si="74"/>
        <v>1.0367765958325064E-2</v>
      </c>
    </row>
    <row r="1301" spans="15:19" x14ac:dyDescent="0.3">
      <c r="O1301" s="101">
        <v>41158</v>
      </c>
      <c r="P1301" s="110">
        <v>12130.74</v>
      </c>
      <c r="Q1301" s="110">
        <v>393.41</v>
      </c>
      <c r="R1301" s="102">
        <f t="shared" si="74"/>
        <v>-1.5443892879969756E-2</v>
      </c>
      <c r="S1301" s="102">
        <f t="shared" si="74"/>
        <v>-1.390857048133928E-2</v>
      </c>
    </row>
    <row r="1302" spans="15:19" x14ac:dyDescent="0.3">
      <c r="O1302" s="101">
        <v>41157</v>
      </c>
      <c r="P1302" s="110">
        <v>12319.54</v>
      </c>
      <c r="Q1302" s="110">
        <v>398.92</v>
      </c>
      <c r="R1302" s="102">
        <f t="shared" si="74"/>
        <v>-2.2728424365785673E-2</v>
      </c>
      <c r="S1302" s="102">
        <f t="shared" si="74"/>
        <v>-7.8901782616148091E-3</v>
      </c>
    </row>
    <row r="1303" spans="15:19" x14ac:dyDescent="0.3">
      <c r="O1303" s="101">
        <v>41156</v>
      </c>
      <c r="P1303" s="110">
        <v>12602.75</v>
      </c>
      <c r="Q1303" s="110">
        <v>402.08</v>
      </c>
      <c r="R1303" s="102">
        <f t="shared" si="74"/>
        <v>7.5186228161890391E-3</v>
      </c>
      <c r="S1303" s="102">
        <f t="shared" si="74"/>
        <v>1.5186358765633514E-2</v>
      </c>
    </row>
    <row r="1304" spans="15:19" x14ac:dyDescent="0.3">
      <c r="O1304" s="101">
        <v>41152</v>
      </c>
      <c r="P1304" s="110">
        <v>12508.35</v>
      </c>
      <c r="Q1304" s="110">
        <v>396.02</v>
      </c>
      <c r="R1304" s="102">
        <f t="shared" si="74"/>
        <v>-1.1256841300983041E-2</v>
      </c>
      <c r="S1304" s="102">
        <f t="shared" si="74"/>
        <v>-3.1010903871768877E-3</v>
      </c>
    </row>
    <row r="1305" spans="15:19" x14ac:dyDescent="0.3">
      <c r="O1305" s="101">
        <v>41151</v>
      </c>
      <c r="P1305" s="110">
        <v>12649.95</v>
      </c>
      <c r="Q1305" s="110">
        <v>397.25</v>
      </c>
      <c r="R1305" s="102">
        <f t="shared" si="74"/>
        <v>0</v>
      </c>
      <c r="S1305" s="102">
        <f t="shared" si="74"/>
        <v>1.0603533444985359E-2</v>
      </c>
    </row>
    <row r="1306" spans="15:19" x14ac:dyDescent="0.3">
      <c r="O1306" s="101">
        <v>41150</v>
      </c>
      <c r="P1306" s="110">
        <v>12649.95</v>
      </c>
      <c r="Q1306" s="110">
        <v>393.06</v>
      </c>
      <c r="R1306" s="102">
        <f t="shared" si="74"/>
        <v>4.191053573054937E-2</v>
      </c>
      <c r="S1306" s="102">
        <f t="shared" si="74"/>
        <v>1.869501317574588E-2</v>
      </c>
    </row>
    <row r="1307" spans="15:19" x14ac:dyDescent="0.3">
      <c r="O1307" s="101">
        <v>41149</v>
      </c>
      <c r="P1307" s="110">
        <v>12130.74</v>
      </c>
      <c r="Q1307" s="110">
        <v>385.78</v>
      </c>
      <c r="R1307" s="102">
        <f t="shared" si="74"/>
        <v>1.5686990423090318E-2</v>
      </c>
      <c r="S1307" s="102">
        <f t="shared" si="74"/>
        <v>-1.0622175435586923E-3</v>
      </c>
    </row>
    <row r="1308" spans="15:19" x14ac:dyDescent="0.3">
      <c r="O1308" s="101">
        <v>41148</v>
      </c>
      <c r="P1308" s="110">
        <v>11941.93</v>
      </c>
      <c r="Q1308" s="110">
        <v>386.19</v>
      </c>
      <c r="R1308" s="102">
        <f t="shared" si="74"/>
        <v>-2.7292213143708034E-2</v>
      </c>
      <c r="S1308" s="102">
        <f t="shared" si="74"/>
        <v>-3.4434825653935998E-2</v>
      </c>
    </row>
    <row r="1309" spans="15:19" x14ac:dyDescent="0.3">
      <c r="O1309" s="101">
        <v>41145</v>
      </c>
      <c r="P1309" s="110">
        <v>12272.34</v>
      </c>
      <c r="Q1309" s="110">
        <v>399.72</v>
      </c>
      <c r="R1309" s="102">
        <f t="shared" si="74"/>
        <v>4.7252398574865108E-2</v>
      </c>
      <c r="S1309" s="102">
        <f t="shared" si="74"/>
        <v>1.741281031253376E-2</v>
      </c>
    </row>
    <row r="1310" spans="15:19" x14ac:dyDescent="0.3">
      <c r="O1310" s="101">
        <v>41144</v>
      </c>
      <c r="P1310" s="110">
        <v>11705.93</v>
      </c>
      <c r="Q1310" s="110">
        <v>392.82</v>
      </c>
      <c r="R1310" s="102">
        <f t="shared" ref="R1310:S1373" si="75">LN(P1310/P1311)</f>
        <v>-5.1091068734216941E-2</v>
      </c>
      <c r="S1310" s="102">
        <f t="shared" si="75"/>
        <v>-4.3366486339057639E-2</v>
      </c>
    </row>
    <row r="1311" spans="15:19" x14ac:dyDescent="0.3">
      <c r="O1311" s="101">
        <v>41143</v>
      </c>
      <c r="P1311" s="110">
        <v>12319.54</v>
      </c>
      <c r="Q1311" s="110">
        <v>410.23</v>
      </c>
      <c r="R1311" s="102">
        <f t="shared" si="75"/>
        <v>-4.8607936063485721E-2</v>
      </c>
      <c r="S1311" s="102">
        <f t="shared" si="75"/>
        <v>-1.5984477104113999E-2</v>
      </c>
    </row>
    <row r="1312" spans="15:19" x14ac:dyDescent="0.3">
      <c r="O1312" s="101">
        <v>41142</v>
      </c>
      <c r="P1312" s="110">
        <v>12933.16</v>
      </c>
      <c r="Q1312" s="110">
        <v>416.84</v>
      </c>
      <c r="R1312" s="102">
        <f t="shared" si="75"/>
        <v>-4.9832491876599584E-2</v>
      </c>
      <c r="S1312" s="102">
        <f t="shared" si="75"/>
        <v>-4.7871267055531158E-2</v>
      </c>
    </row>
    <row r="1313" spans="15:19" x14ac:dyDescent="0.3">
      <c r="O1313" s="101">
        <v>41141</v>
      </c>
      <c r="P1313" s="110">
        <v>13593.98</v>
      </c>
      <c r="Q1313" s="110">
        <v>437.28</v>
      </c>
      <c r="R1313" s="102">
        <f t="shared" si="75"/>
        <v>0</v>
      </c>
      <c r="S1313" s="102">
        <f t="shared" si="75"/>
        <v>8.7972728651084259E-3</v>
      </c>
    </row>
    <row r="1314" spans="15:19" x14ac:dyDescent="0.3">
      <c r="O1314" s="101">
        <v>41138</v>
      </c>
      <c r="P1314" s="110">
        <v>13593.98</v>
      </c>
      <c r="Q1314" s="110">
        <v>433.45</v>
      </c>
      <c r="R1314" s="102">
        <f t="shared" si="75"/>
        <v>-1.3792939206919768E-2</v>
      </c>
      <c r="S1314" s="102">
        <f t="shared" si="75"/>
        <v>6.0628685740124677E-3</v>
      </c>
    </row>
    <row r="1315" spans="15:19" x14ac:dyDescent="0.3">
      <c r="O1315" s="101">
        <v>41137</v>
      </c>
      <c r="P1315" s="110">
        <v>13782.78</v>
      </c>
      <c r="Q1315" s="110">
        <v>430.83</v>
      </c>
      <c r="R1315" s="102">
        <f t="shared" si="75"/>
        <v>4.5541495143496438E-2</v>
      </c>
      <c r="S1315" s="102">
        <f t="shared" si="75"/>
        <v>1.392757662419255E-4</v>
      </c>
    </row>
    <row r="1316" spans="15:19" x14ac:dyDescent="0.3">
      <c r="O1316" s="101">
        <v>41136</v>
      </c>
      <c r="P1316" s="110">
        <v>13169.17</v>
      </c>
      <c r="Q1316" s="110">
        <v>430.77</v>
      </c>
      <c r="R1316" s="102">
        <f t="shared" si="75"/>
        <v>4.7715692851329788E-2</v>
      </c>
      <c r="S1316" s="102">
        <f t="shared" si="75"/>
        <v>3.0224146508503096E-3</v>
      </c>
    </row>
    <row r="1317" spans="15:19" x14ac:dyDescent="0.3">
      <c r="O1317" s="101">
        <v>41135</v>
      </c>
      <c r="P1317" s="110">
        <v>12555.55</v>
      </c>
      <c r="Q1317" s="110">
        <v>429.47</v>
      </c>
      <c r="R1317" s="102">
        <f t="shared" si="75"/>
        <v>1.1341958625446685E-2</v>
      </c>
      <c r="S1317" s="102">
        <f t="shared" si="75"/>
        <v>7.7135626249873572E-3</v>
      </c>
    </row>
    <row r="1318" spans="15:19" x14ac:dyDescent="0.3">
      <c r="O1318" s="101">
        <v>41134</v>
      </c>
      <c r="P1318" s="110">
        <v>12413.95</v>
      </c>
      <c r="Q1318" s="110">
        <v>426.17</v>
      </c>
      <c r="R1318" s="102">
        <f t="shared" si="75"/>
        <v>-1.8832422323847339E-2</v>
      </c>
      <c r="S1318" s="102">
        <f t="shared" si="75"/>
        <v>1.4323790503920463E-3</v>
      </c>
    </row>
    <row r="1319" spans="15:19" x14ac:dyDescent="0.3">
      <c r="O1319" s="101">
        <v>41131</v>
      </c>
      <c r="P1319" s="110">
        <v>12649.95</v>
      </c>
      <c r="Q1319" s="110">
        <v>425.56</v>
      </c>
      <c r="R1319" s="102">
        <f t="shared" si="75"/>
        <v>1.8832422323847336E-2</v>
      </c>
      <c r="S1319" s="102">
        <f t="shared" si="75"/>
        <v>-3.3312250760126902E-3</v>
      </c>
    </row>
    <row r="1320" spans="15:19" x14ac:dyDescent="0.3">
      <c r="O1320" s="101">
        <v>41130</v>
      </c>
      <c r="P1320" s="110">
        <v>12413.95</v>
      </c>
      <c r="Q1320" s="110">
        <v>426.98</v>
      </c>
      <c r="R1320" s="102">
        <f t="shared" si="75"/>
        <v>3.809420805650247E-3</v>
      </c>
      <c r="S1320" s="102">
        <f t="shared" si="75"/>
        <v>8.0183840346345382E-3</v>
      </c>
    </row>
    <row r="1321" spans="15:19" x14ac:dyDescent="0.3">
      <c r="O1321" s="101">
        <v>41129</v>
      </c>
      <c r="P1321" s="110">
        <v>12366.75</v>
      </c>
      <c r="Q1321" s="110">
        <v>423.57</v>
      </c>
      <c r="R1321" s="102">
        <f t="shared" si="75"/>
        <v>0</v>
      </c>
      <c r="S1321" s="102">
        <f t="shared" si="75"/>
        <v>2.5293428923147373E-3</v>
      </c>
    </row>
    <row r="1322" spans="15:19" x14ac:dyDescent="0.3">
      <c r="O1322" s="101">
        <v>41128</v>
      </c>
      <c r="P1322" s="110">
        <v>12366.75</v>
      </c>
      <c r="Q1322" s="110">
        <v>422.5</v>
      </c>
      <c r="R1322" s="102">
        <f t="shared" si="75"/>
        <v>-7.6043849784078335E-3</v>
      </c>
      <c r="S1322" s="102">
        <f t="shared" si="75"/>
        <v>-1.5609113213452932E-3</v>
      </c>
    </row>
    <row r="1323" spans="15:19" x14ac:dyDescent="0.3">
      <c r="O1323" s="101">
        <v>41127</v>
      </c>
      <c r="P1323" s="110">
        <v>12461.15</v>
      </c>
      <c r="Q1323" s="110">
        <v>423.16</v>
      </c>
      <c r="R1323" s="102">
        <f t="shared" si="75"/>
        <v>7.6043849784077208E-3</v>
      </c>
      <c r="S1323" s="102">
        <f t="shared" si="75"/>
        <v>1.1766659406102144E-2</v>
      </c>
    </row>
    <row r="1324" spans="15:19" x14ac:dyDescent="0.3">
      <c r="O1324" s="101">
        <v>41124</v>
      </c>
      <c r="P1324" s="110">
        <v>12366.75</v>
      </c>
      <c r="Q1324" s="110">
        <v>418.21</v>
      </c>
      <c r="R1324" s="102">
        <f t="shared" si="75"/>
        <v>1.1516932228947315E-2</v>
      </c>
      <c r="S1324" s="102">
        <f t="shared" si="75"/>
        <v>5.0580827235760465E-3</v>
      </c>
    </row>
    <row r="1325" spans="15:19" x14ac:dyDescent="0.3">
      <c r="O1325" s="101">
        <v>41123</v>
      </c>
      <c r="P1325" s="110">
        <v>12225.14</v>
      </c>
      <c r="Q1325" s="110">
        <v>416.1</v>
      </c>
      <c r="R1325" s="102">
        <f t="shared" si="75"/>
        <v>3.8683689812498978E-3</v>
      </c>
      <c r="S1325" s="102">
        <f t="shared" si="75"/>
        <v>8.5682054385433637E-3</v>
      </c>
    </row>
    <row r="1326" spans="15:19" x14ac:dyDescent="0.3">
      <c r="O1326" s="101">
        <v>41122</v>
      </c>
      <c r="P1326" s="110">
        <v>12177.94</v>
      </c>
      <c r="Q1326" s="110">
        <v>412.55</v>
      </c>
      <c r="R1326" s="102">
        <f t="shared" si="75"/>
        <v>-3.8683689812498974E-3</v>
      </c>
      <c r="S1326" s="102">
        <f t="shared" si="75"/>
        <v>-4.6673119561806099E-3</v>
      </c>
    </row>
    <row r="1327" spans="15:19" x14ac:dyDescent="0.3">
      <c r="O1327" s="101">
        <v>41121</v>
      </c>
      <c r="P1327" s="110">
        <v>12225.14</v>
      </c>
      <c r="Q1327" s="110">
        <v>414.48</v>
      </c>
      <c r="R1327" s="102">
        <f t="shared" si="75"/>
        <v>-3.8534623485133252E-3</v>
      </c>
      <c r="S1327" s="102">
        <f t="shared" si="75"/>
        <v>-1.2537977241653992E-3</v>
      </c>
    </row>
    <row r="1328" spans="15:19" x14ac:dyDescent="0.3">
      <c r="O1328" s="101">
        <v>41120</v>
      </c>
      <c r="P1328" s="110">
        <v>12272.34</v>
      </c>
      <c r="Q1328" s="110">
        <v>415</v>
      </c>
      <c r="R1328" s="102">
        <f t="shared" si="75"/>
        <v>0</v>
      </c>
      <c r="S1328" s="102">
        <f t="shared" si="75"/>
        <v>4.4435930922654852E-3</v>
      </c>
    </row>
    <row r="1329" spans="15:19" x14ac:dyDescent="0.3">
      <c r="O1329" s="101">
        <v>41117</v>
      </c>
      <c r="P1329" s="110">
        <v>12272.34</v>
      </c>
      <c r="Q1329" s="110">
        <v>413.16</v>
      </c>
      <c r="R1329" s="102">
        <f t="shared" si="75"/>
        <v>-3.8386701593518626E-3</v>
      </c>
      <c r="S1329" s="102">
        <f t="shared" si="75"/>
        <v>-3.9615492169395704E-3</v>
      </c>
    </row>
    <row r="1330" spans="15:19" x14ac:dyDescent="0.3">
      <c r="O1330" s="101">
        <v>41116</v>
      </c>
      <c r="P1330" s="110">
        <v>12319.54</v>
      </c>
      <c r="Q1330" s="110">
        <v>414.8</v>
      </c>
      <c r="R1330" s="102">
        <f t="shared" si="75"/>
        <v>3.8386701593519762E-3</v>
      </c>
      <c r="S1330" s="102">
        <f t="shared" si="75"/>
        <v>4.5668248173909437E-3</v>
      </c>
    </row>
    <row r="1331" spans="15:19" x14ac:dyDescent="0.3">
      <c r="O1331" s="101">
        <v>41115</v>
      </c>
      <c r="P1331" s="110">
        <v>12272.34</v>
      </c>
      <c r="Q1331" s="110">
        <v>412.91</v>
      </c>
      <c r="R1331" s="102">
        <f t="shared" si="75"/>
        <v>-3.8386701593518626E-3</v>
      </c>
      <c r="S1331" s="102">
        <f t="shared" si="75"/>
        <v>-6.5657898749645173E-3</v>
      </c>
    </row>
    <row r="1332" spans="15:19" x14ac:dyDescent="0.3">
      <c r="O1332" s="101">
        <v>41114</v>
      </c>
      <c r="P1332" s="110">
        <v>12319.54</v>
      </c>
      <c r="Q1332" s="110">
        <v>415.63</v>
      </c>
      <c r="R1332" s="102">
        <f t="shared" si="75"/>
        <v>-3.0190939086190326E-2</v>
      </c>
      <c r="S1332" s="102">
        <f t="shared" si="75"/>
        <v>-1.5186175659830787E-2</v>
      </c>
    </row>
    <row r="1333" spans="15:19" x14ac:dyDescent="0.3">
      <c r="O1333" s="101">
        <v>41113</v>
      </c>
      <c r="P1333" s="110">
        <v>12697.15</v>
      </c>
      <c r="Q1333" s="110">
        <v>421.99</v>
      </c>
      <c r="R1333" s="102">
        <f t="shared" si="75"/>
        <v>0</v>
      </c>
      <c r="S1333" s="102">
        <f t="shared" si="75"/>
        <v>-5.8597148031940948E-3</v>
      </c>
    </row>
    <row r="1334" spans="15:19" x14ac:dyDescent="0.3">
      <c r="O1334" s="101">
        <v>41110</v>
      </c>
      <c r="P1334" s="110">
        <v>12697.15</v>
      </c>
      <c r="Q1334" s="110">
        <v>424.47</v>
      </c>
      <c r="R1334" s="102">
        <f t="shared" si="75"/>
        <v>-2.568955460037935E-2</v>
      </c>
      <c r="S1334" s="102">
        <f t="shared" si="75"/>
        <v>-9.169320267025589E-3</v>
      </c>
    </row>
    <row r="1335" spans="15:19" x14ac:dyDescent="0.3">
      <c r="O1335" s="101">
        <v>41109</v>
      </c>
      <c r="P1335" s="110">
        <v>13027.56</v>
      </c>
      <c r="Q1335" s="110">
        <v>428.38</v>
      </c>
      <c r="R1335" s="102">
        <f t="shared" si="75"/>
        <v>4.0670692136973052E-2</v>
      </c>
      <c r="S1335" s="102">
        <f t="shared" si="75"/>
        <v>2.2545542474330119E-2</v>
      </c>
    </row>
    <row r="1336" spans="15:19" x14ac:dyDescent="0.3">
      <c r="O1336" s="101">
        <v>41108</v>
      </c>
      <c r="P1336" s="110">
        <v>12508.35</v>
      </c>
      <c r="Q1336" s="110">
        <v>418.83</v>
      </c>
      <c r="R1336" s="102">
        <f t="shared" si="75"/>
        <v>0</v>
      </c>
      <c r="S1336" s="102">
        <f t="shared" si="75"/>
        <v>3.0608120694277283E-3</v>
      </c>
    </row>
    <row r="1337" spans="15:19" x14ac:dyDescent="0.3">
      <c r="O1337" s="101">
        <v>41107</v>
      </c>
      <c r="P1337" s="110">
        <v>12508.35</v>
      </c>
      <c r="Q1337" s="110">
        <v>417.55</v>
      </c>
      <c r="R1337" s="102">
        <f t="shared" si="75"/>
        <v>1.9048471708948644E-2</v>
      </c>
      <c r="S1337" s="102">
        <f t="shared" si="75"/>
        <v>8.5866341195940058E-3</v>
      </c>
    </row>
    <row r="1338" spans="15:19" x14ac:dyDescent="0.3">
      <c r="O1338" s="101">
        <v>41106</v>
      </c>
      <c r="P1338" s="110">
        <v>12272.34</v>
      </c>
      <c r="Q1338" s="110">
        <v>413.98</v>
      </c>
      <c r="R1338" s="102">
        <f t="shared" si="75"/>
        <v>-1.1472890686084144E-2</v>
      </c>
      <c r="S1338" s="102">
        <f t="shared" si="75"/>
        <v>-7.2205955382657477E-3</v>
      </c>
    </row>
    <row r="1339" spans="15:19" x14ac:dyDescent="0.3">
      <c r="O1339" s="101">
        <v>41103</v>
      </c>
      <c r="P1339" s="110">
        <v>12413.95</v>
      </c>
      <c r="Q1339" s="110">
        <v>416.98</v>
      </c>
      <c r="R1339" s="102">
        <f t="shared" si="75"/>
        <v>1.1472890686084199E-2</v>
      </c>
      <c r="S1339" s="102">
        <f t="shared" si="75"/>
        <v>2.000793399536769E-2</v>
      </c>
    </row>
    <row r="1340" spans="15:19" x14ac:dyDescent="0.3">
      <c r="O1340" s="101">
        <v>41102</v>
      </c>
      <c r="P1340" s="110">
        <v>12272.34</v>
      </c>
      <c r="Q1340" s="110">
        <v>408.72</v>
      </c>
      <c r="R1340" s="102">
        <f t="shared" si="75"/>
        <v>0</v>
      </c>
      <c r="S1340" s="102">
        <f t="shared" si="75"/>
        <v>3.5294154284620572E-3</v>
      </c>
    </row>
    <row r="1341" spans="15:19" x14ac:dyDescent="0.3">
      <c r="O1341" s="101">
        <v>41101</v>
      </c>
      <c r="P1341" s="110">
        <v>12272.34</v>
      </c>
      <c r="Q1341" s="110">
        <v>407.28</v>
      </c>
      <c r="R1341" s="102">
        <f t="shared" si="75"/>
        <v>7.7218313297633418E-3</v>
      </c>
      <c r="S1341" s="102">
        <f t="shared" si="75"/>
        <v>4.6513428759762067E-3</v>
      </c>
    </row>
    <row r="1342" spans="15:19" x14ac:dyDescent="0.3">
      <c r="O1342" s="101">
        <v>41100</v>
      </c>
      <c r="P1342" s="110">
        <v>12177.94</v>
      </c>
      <c r="Q1342" s="110">
        <v>405.39</v>
      </c>
      <c r="R1342" s="102">
        <f t="shared" si="75"/>
        <v>-7.7218313297633253E-3</v>
      </c>
      <c r="S1342" s="102">
        <f t="shared" si="75"/>
        <v>-6.7116820890000583E-3</v>
      </c>
    </row>
    <row r="1343" spans="15:19" x14ac:dyDescent="0.3">
      <c r="O1343" s="101">
        <v>41099</v>
      </c>
      <c r="P1343" s="110">
        <v>12272.34</v>
      </c>
      <c r="Q1343" s="110">
        <v>408.12</v>
      </c>
      <c r="R1343" s="102">
        <f t="shared" si="75"/>
        <v>-7.6634698804339714E-3</v>
      </c>
      <c r="S1343" s="102">
        <f t="shared" si="75"/>
        <v>-1.7776950728959105E-2</v>
      </c>
    </row>
    <row r="1344" spans="15:19" x14ac:dyDescent="0.3">
      <c r="O1344" s="101">
        <v>41096</v>
      </c>
      <c r="P1344" s="110">
        <v>12366.75</v>
      </c>
      <c r="Q1344" s="110">
        <v>415.44</v>
      </c>
      <c r="R1344" s="102">
        <f t="shared" si="75"/>
        <v>3.8247997210820377E-3</v>
      </c>
      <c r="S1344" s="102">
        <f t="shared" si="75"/>
        <v>3.8829380608443984E-3</v>
      </c>
    </row>
    <row r="1345" spans="15:19" x14ac:dyDescent="0.3">
      <c r="O1345" s="101">
        <v>41095</v>
      </c>
      <c r="P1345" s="110">
        <v>12319.54</v>
      </c>
      <c r="Q1345" s="110">
        <v>413.83</v>
      </c>
      <c r="R1345" s="102">
        <f t="shared" si="75"/>
        <v>3.8386701593519762E-3</v>
      </c>
      <c r="S1345" s="102">
        <f t="shared" si="75"/>
        <v>7.519197161444684E-3</v>
      </c>
    </row>
    <row r="1346" spans="15:19" x14ac:dyDescent="0.3">
      <c r="O1346" s="101">
        <v>41094</v>
      </c>
      <c r="P1346" s="110">
        <v>12272.34</v>
      </c>
      <c r="Q1346" s="110">
        <v>410.73</v>
      </c>
      <c r="R1346" s="102">
        <f t="shared" si="75"/>
        <v>-3.8386701593518626E-3</v>
      </c>
      <c r="S1346" s="102">
        <f t="shared" si="75"/>
        <v>-5.7294225821953662E-3</v>
      </c>
    </row>
    <row r="1347" spans="15:19" x14ac:dyDescent="0.3">
      <c r="O1347" s="101">
        <v>41093</v>
      </c>
      <c r="P1347" s="110">
        <v>12319.54</v>
      </c>
      <c r="Q1347" s="110">
        <v>413.09</v>
      </c>
      <c r="R1347" s="102">
        <f t="shared" si="75"/>
        <v>-3.8247997210820606E-3</v>
      </c>
      <c r="S1347" s="102">
        <f t="shared" si="75"/>
        <v>-1.4921167280747235E-2</v>
      </c>
    </row>
    <row r="1348" spans="15:19" x14ac:dyDescent="0.3">
      <c r="O1348" s="101">
        <v>41092</v>
      </c>
      <c r="P1348" s="110">
        <v>12366.75</v>
      </c>
      <c r="Q1348" s="110">
        <v>419.3</v>
      </c>
      <c r="R1348" s="102">
        <f t="shared" si="75"/>
        <v>-3.8094208056502947E-3</v>
      </c>
      <c r="S1348" s="102">
        <f t="shared" si="75"/>
        <v>-7.2950529658287171E-3</v>
      </c>
    </row>
    <row r="1349" spans="15:19" x14ac:dyDescent="0.3">
      <c r="O1349" s="101">
        <v>41089</v>
      </c>
      <c r="P1349" s="110">
        <v>12413.95</v>
      </c>
      <c r="Q1349" s="110">
        <v>422.37</v>
      </c>
      <c r="R1349" s="102">
        <f t="shared" si="75"/>
        <v>2.307811340670203E-2</v>
      </c>
      <c r="S1349" s="102">
        <f t="shared" si="75"/>
        <v>1.0017572737879291E-2</v>
      </c>
    </row>
    <row r="1350" spans="15:19" x14ac:dyDescent="0.3">
      <c r="O1350" s="101">
        <v>41088</v>
      </c>
      <c r="P1350" s="110">
        <v>12130.74</v>
      </c>
      <c r="Q1350" s="110">
        <v>418.16</v>
      </c>
      <c r="R1350" s="102">
        <f t="shared" si="75"/>
        <v>-7.7517603721043689E-3</v>
      </c>
      <c r="S1350" s="102">
        <f t="shared" si="75"/>
        <v>2.8701267836336207E-4</v>
      </c>
    </row>
    <row r="1351" spans="15:19" x14ac:dyDescent="0.3">
      <c r="O1351" s="101">
        <v>41087</v>
      </c>
      <c r="P1351" s="110">
        <v>12225.14</v>
      </c>
      <c r="Q1351" s="110">
        <v>418.04</v>
      </c>
      <c r="R1351" s="102">
        <f t="shared" si="75"/>
        <v>-3.8534623485133252E-3</v>
      </c>
      <c r="S1351" s="102">
        <f t="shared" si="75"/>
        <v>-2.7471560341631959E-3</v>
      </c>
    </row>
    <row r="1352" spans="15:19" x14ac:dyDescent="0.3">
      <c r="O1352" s="101">
        <v>41086</v>
      </c>
      <c r="P1352" s="110">
        <v>12272.34</v>
      </c>
      <c r="Q1352" s="110">
        <v>419.19</v>
      </c>
      <c r="R1352" s="102">
        <f t="shared" si="75"/>
        <v>-2.6567094525137502E-2</v>
      </c>
      <c r="S1352" s="102">
        <f t="shared" si="75"/>
        <v>-1.1692156297131228E-2</v>
      </c>
    </row>
    <row r="1353" spans="15:19" x14ac:dyDescent="0.3">
      <c r="O1353" s="101">
        <v>41085</v>
      </c>
      <c r="P1353" s="110">
        <v>12602.75</v>
      </c>
      <c r="Q1353" s="110">
        <v>424.12</v>
      </c>
      <c r="R1353" s="102">
        <f t="shared" si="75"/>
        <v>-2.2223302455846618E-2</v>
      </c>
      <c r="S1353" s="102">
        <f t="shared" si="75"/>
        <v>-7.1656264034155401E-3</v>
      </c>
    </row>
    <row r="1354" spans="15:19" x14ac:dyDescent="0.3">
      <c r="O1354" s="101">
        <v>41082</v>
      </c>
      <c r="P1354" s="110">
        <v>12885.96</v>
      </c>
      <c r="Q1354" s="110">
        <v>427.17</v>
      </c>
      <c r="R1354" s="102">
        <f t="shared" si="75"/>
        <v>-7.2990993006237029E-3</v>
      </c>
      <c r="S1354" s="102">
        <f t="shared" si="75"/>
        <v>-9.2508028842746681E-3</v>
      </c>
    </row>
    <row r="1355" spans="15:19" x14ac:dyDescent="0.3">
      <c r="O1355" s="101">
        <v>41081</v>
      </c>
      <c r="P1355" s="110">
        <v>12980.36</v>
      </c>
      <c r="Q1355" s="110">
        <v>431.14</v>
      </c>
      <c r="R1355" s="102">
        <f t="shared" si="75"/>
        <v>-7.2462082737602806E-3</v>
      </c>
      <c r="S1355" s="102">
        <f t="shared" si="75"/>
        <v>-4.0507908127375789E-3</v>
      </c>
    </row>
    <row r="1356" spans="15:19" x14ac:dyDescent="0.3">
      <c r="O1356" s="101">
        <v>41080</v>
      </c>
      <c r="P1356" s="110">
        <v>13074.76</v>
      </c>
      <c r="Q1356" s="110">
        <v>432.89</v>
      </c>
      <c r="R1356" s="102">
        <f t="shared" si="75"/>
        <v>0</v>
      </c>
      <c r="S1356" s="102">
        <f t="shared" si="75"/>
        <v>4.1899664293941633E-3</v>
      </c>
    </row>
    <row r="1357" spans="15:19" x14ac:dyDescent="0.3">
      <c r="O1357" s="101">
        <v>41079</v>
      </c>
      <c r="P1357" s="110">
        <v>13074.76</v>
      </c>
      <c r="Q1357" s="110">
        <v>431.08</v>
      </c>
      <c r="R1357" s="102">
        <f t="shared" si="75"/>
        <v>-3.6042705412337745E-3</v>
      </c>
      <c r="S1357" s="102">
        <f t="shared" si="75"/>
        <v>-1.0407746225523479E-2</v>
      </c>
    </row>
    <row r="1358" spans="15:19" x14ac:dyDescent="0.3">
      <c r="O1358" s="101">
        <v>41078</v>
      </c>
      <c r="P1358" s="110">
        <v>13121.97</v>
      </c>
      <c r="Q1358" s="110">
        <v>435.59</v>
      </c>
      <c r="R1358" s="102">
        <f t="shared" si="75"/>
        <v>3.6042705412338148E-3</v>
      </c>
      <c r="S1358" s="102">
        <f t="shared" si="75"/>
        <v>5.7558753559437256E-3</v>
      </c>
    </row>
    <row r="1359" spans="15:19" x14ac:dyDescent="0.3">
      <c r="O1359" s="101">
        <v>41075</v>
      </c>
      <c r="P1359" s="110">
        <v>13074.76</v>
      </c>
      <c r="Q1359" s="110">
        <v>433.09</v>
      </c>
      <c r="R1359" s="102">
        <f t="shared" si="75"/>
        <v>3.6165407094465004E-3</v>
      </c>
      <c r="S1359" s="102">
        <f t="shared" si="75"/>
        <v>1.8197783073330333E-2</v>
      </c>
    </row>
    <row r="1360" spans="15:19" x14ac:dyDescent="0.3">
      <c r="O1360" s="101">
        <v>41074</v>
      </c>
      <c r="P1360" s="110">
        <v>13027.56</v>
      </c>
      <c r="Q1360" s="110">
        <v>425.28</v>
      </c>
      <c r="R1360" s="102">
        <f t="shared" si="75"/>
        <v>-7.2208112506800997E-3</v>
      </c>
      <c r="S1360" s="102">
        <f t="shared" si="75"/>
        <v>-5.4637896949296097E-3</v>
      </c>
    </row>
    <row r="1361" spans="15:19" x14ac:dyDescent="0.3">
      <c r="O1361" s="101">
        <v>41073</v>
      </c>
      <c r="P1361" s="110">
        <v>13121.97</v>
      </c>
      <c r="Q1361" s="110">
        <v>427.61</v>
      </c>
      <c r="R1361" s="102">
        <f t="shared" si="75"/>
        <v>1.4493368873764166E-2</v>
      </c>
      <c r="S1361" s="102">
        <f t="shared" si="75"/>
        <v>-1.2853922799990207E-3</v>
      </c>
    </row>
    <row r="1362" spans="15:19" x14ac:dyDescent="0.3">
      <c r="O1362" s="101">
        <v>41072</v>
      </c>
      <c r="P1362" s="110">
        <v>12933.16</v>
      </c>
      <c r="Q1362" s="110">
        <v>428.16</v>
      </c>
      <c r="R1362" s="102">
        <f t="shared" si="75"/>
        <v>-1.4493368873764246E-2</v>
      </c>
      <c r="S1362" s="102">
        <f t="shared" si="75"/>
        <v>-1.0085368872125057E-2</v>
      </c>
    </row>
    <row r="1363" spans="15:19" x14ac:dyDescent="0.3">
      <c r="O1363" s="101">
        <v>41071</v>
      </c>
      <c r="P1363" s="110">
        <v>13121.97</v>
      </c>
      <c r="Q1363" s="110">
        <v>432.5</v>
      </c>
      <c r="R1363" s="102">
        <f t="shared" si="75"/>
        <v>-3.5905670662587813E-3</v>
      </c>
      <c r="S1363" s="102">
        <f t="shared" si="75"/>
        <v>-9.2442807600085473E-4</v>
      </c>
    </row>
    <row r="1364" spans="15:19" x14ac:dyDescent="0.3">
      <c r="O1364" s="101">
        <v>41068</v>
      </c>
      <c r="P1364" s="110">
        <v>13169.17</v>
      </c>
      <c r="Q1364" s="110">
        <v>432.9</v>
      </c>
      <c r="R1364" s="102">
        <f t="shared" si="75"/>
        <v>-3.5777210052931356E-3</v>
      </c>
      <c r="S1364" s="102">
        <f t="shared" si="75"/>
        <v>-3.4820341646557523E-3</v>
      </c>
    </row>
    <row r="1365" spans="15:19" x14ac:dyDescent="0.3">
      <c r="O1365" s="101">
        <v>41067</v>
      </c>
      <c r="P1365" s="110">
        <v>13216.37</v>
      </c>
      <c r="Q1365" s="110">
        <v>434.41</v>
      </c>
      <c r="R1365" s="102">
        <f t="shared" si="75"/>
        <v>3.5777210052931633E-3</v>
      </c>
      <c r="S1365" s="102">
        <f t="shared" si="75"/>
        <v>1.8634368193560551E-2</v>
      </c>
    </row>
    <row r="1366" spans="15:19" x14ac:dyDescent="0.3">
      <c r="O1366" s="101">
        <v>41066</v>
      </c>
      <c r="P1366" s="110">
        <v>13169.17</v>
      </c>
      <c r="Q1366" s="110">
        <v>426.39</v>
      </c>
      <c r="R1366" s="102">
        <f t="shared" si="75"/>
        <v>1.8083935940023024E-2</v>
      </c>
      <c r="S1366" s="102">
        <f t="shared" si="75"/>
        <v>1.2674081926777716E-2</v>
      </c>
    </row>
    <row r="1367" spans="15:19" x14ac:dyDescent="0.3">
      <c r="O1367" s="101">
        <v>41065</v>
      </c>
      <c r="P1367" s="110">
        <v>12933.16</v>
      </c>
      <c r="Q1367" s="110">
        <v>421.02</v>
      </c>
      <c r="R1367" s="102">
        <f t="shared" si="75"/>
        <v>1.4705735013119768E-2</v>
      </c>
      <c r="S1367" s="102">
        <f t="shared" si="75"/>
        <v>1.0433797664036685E-2</v>
      </c>
    </row>
    <row r="1368" spans="15:19" x14ac:dyDescent="0.3">
      <c r="O1368" s="101">
        <v>41064</v>
      </c>
      <c r="P1368" s="110">
        <v>12744.36</v>
      </c>
      <c r="Q1368" s="110">
        <v>416.65</v>
      </c>
      <c r="R1368" s="102">
        <f t="shared" si="75"/>
        <v>-3.278967095314269E-2</v>
      </c>
      <c r="S1368" s="102">
        <f t="shared" si="75"/>
        <v>-2.8744068928376481E-2</v>
      </c>
    </row>
    <row r="1369" spans="15:19" x14ac:dyDescent="0.3">
      <c r="O1369" s="101">
        <v>41061</v>
      </c>
      <c r="P1369" s="110">
        <v>13169.17</v>
      </c>
      <c r="Q1369" s="110">
        <v>428.8</v>
      </c>
      <c r="R1369" s="102">
        <f t="shared" si="75"/>
        <v>1.0811378316938873E-2</v>
      </c>
      <c r="S1369" s="102">
        <f t="shared" si="75"/>
        <v>-9.3240099995113405E-4</v>
      </c>
    </row>
    <row r="1370" spans="15:19" x14ac:dyDescent="0.3">
      <c r="O1370" s="101">
        <v>41060</v>
      </c>
      <c r="P1370" s="110">
        <v>13027.56</v>
      </c>
      <c r="Q1370" s="110">
        <v>429.2</v>
      </c>
      <c r="R1370" s="102">
        <f t="shared" si="75"/>
        <v>-1.7954065858309439E-2</v>
      </c>
      <c r="S1370" s="102">
        <f t="shared" si="75"/>
        <v>-1.4204324230147556E-2</v>
      </c>
    </row>
    <row r="1371" spans="15:19" x14ac:dyDescent="0.3">
      <c r="O1371" s="101">
        <v>41059</v>
      </c>
      <c r="P1371" s="110">
        <v>13263.57</v>
      </c>
      <c r="Q1371" s="110">
        <v>435.34</v>
      </c>
      <c r="R1371" s="102">
        <f t="shared" si="75"/>
        <v>3.5649665360773827E-3</v>
      </c>
      <c r="S1371" s="102">
        <f t="shared" si="75"/>
        <v>8.998883957719429E-3</v>
      </c>
    </row>
    <row r="1372" spans="15:19" x14ac:dyDescent="0.3">
      <c r="O1372" s="101">
        <v>41058</v>
      </c>
      <c r="P1372" s="110">
        <v>13216.37</v>
      </c>
      <c r="Q1372" s="110">
        <v>431.44</v>
      </c>
      <c r="R1372" s="102">
        <f t="shared" si="75"/>
        <v>-1.0656997700965783E-2</v>
      </c>
      <c r="S1372" s="102">
        <f t="shared" si="75"/>
        <v>-9.3204199840077225E-3</v>
      </c>
    </row>
    <row r="1373" spans="15:19" x14ac:dyDescent="0.3">
      <c r="O1373" s="101">
        <v>41057</v>
      </c>
      <c r="P1373" s="110">
        <v>13357.97</v>
      </c>
      <c r="Q1373" s="110">
        <v>435.48</v>
      </c>
      <c r="R1373" s="102">
        <f t="shared" si="75"/>
        <v>7.09203116488846E-3</v>
      </c>
      <c r="S1373" s="102">
        <f t="shared" si="75"/>
        <v>-4.3535114471976643E-3</v>
      </c>
    </row>
    <row r="1374" spans="15:19" x14ac:dyDescent="0.3">
      <c r="O1374" s="101">
        <v>41054</v>
      </c>
      <c r="P1374" s="110">
        <v>13263.57</v>
      </c>
      <c r="Q1374" s="110">
        <v>437.38</v>
      </c>
      <c r="R1374" s="102">
        <f t="shared" ref="R1374:S1437" si="76">LN(P1374/P1375)</f>
        <v>4.7367916694299537E-2</v>
      </c>
      <c r="S1374" s="102">
        <f t="shared" si="76"/>
        <v>2.4205740414412698E-2</v>
      </c>
    </row>
    <row r="1375" spans="15:19" x14ac:dyDescent="0.3">
      <c r="O1375" s="101">
        <v>41053</v>
      </c>
      <c r="P1375" s="110">
        <v>12649.95</v>
      </c>
      <c r="Q1375" s="110">
        <v>426.92</v>
      </c>
      <c r="R1375" s="102">
        <f t="shared" si="76"/>
        <v>-4.3802950158222102E-2</v>
      </c>
      <c r="S1375" s="102">
        <f t="shared" si="76"/>
        <v>-2.2764306968401732E-2</v>
      </c>
    </row>
    <row r="1376" spans="15:19" x14ac:dyDescent="0.3">
      <c r="O1376" s="101">
        <v>41052</v>
      </c>
      <c r="P1376" s="110">
        <v>13216.37</v>
      </c>
      <c r="Q1376" s="110">
        <v>436.75</v>
      </c>
      <c r="R1376" s="102">
        <f t="shared" si="76"/>
        <v>-2.8170834931283553E-2</v>
      </c>
      <c r="S1376" s="102">
        <f t="shared" si="76"/>
        <v>-2.5298345860158725E-2</v>
      </c>
    </row>
    <row r="1377" spans="15:19" x14ac:dyDescent="0.3">
      <c r="O1377" s="101">
        <v>41051</v>
      </c>
      <c r="P1377" s="110">
        <v>13593.98</v>
      </c>
      <c r="Q1377" s="110">
        <v>447.94</v>
      </c>
      <c r="R1377" s="102">
        <f t="shared" si="76"/>
        <v>-2.0619437329201559E-2</v>
      </c>
      <c r="S1377" s="102">
        <f t="shared" si="76"/>
        <v>-1.7857940134068958E-4</v>
      </c>
    </row>
    <row r="1378" spans="15:19" x14ac:dyDescent="0.3">
      <c r="O1378" s="101">
        <v>41050</v>
      </c>
      <c r="P1378" s="110">
        <v>13877.19</v>
      </c>
      <c r="Q1378" s="110">
        <v>448.02</v>
      </c>
      <c r="R1378" s="102">
        <f t="shared" si="76"/>
        <v>4.879027226048506E-2</v>
      </c>
      <c r="S1378" s="102">
        <f t="shared" si="76"/>
        <v>2.9606792322115525E-2</v>
      </c>
    </row>
    <row r="1379" spans="15:19" x14ac:dyDescent="0.3">
      <c r="O1379" s="101">
        <v>41047</v>
      </c>
      <c r="P1379" s="110">
        <v>13216.37</v>
      </c>
      <c r="Q1379" s="110">
        <v>434.95</v>
      </c>
      <c r="R1379" s="102">
        <f t="shared" si="76"/>
        <v>-2.8170834931283553E-2</v>
      </c>
      <c r="S1379" s="102">
        <f t="shared" si="76"/>
        <v>-1.7390157114170156E-2</v>
      </c>
    </row>
    <row r="1380" spans="15:19" x14ac:dyDescent="0.3">
      <c r="O1380" s="101">
        <v>41046</v>
      </c>
      <c r="P1380" s="110">
        <v>13593.98</v>
      </c>
      <c r="Q1380" s="110">
        <v>442.58</v>
      </c>
      <c r="R1380" s="102">
        <f t="shared" si="76"/>
        <v>0</v>
      </c>
      <c r="S1380" s="102">
        <f t="shared" si="76"/>
        <v>-1.6426323693978451E-2</v>
      </c>
    </row>
    <row r="1381" spans="15:19" x14ac:dyDescent="0.3">
      <c r="O1381" s="101">
        <v>41045</v>
      </c>
      <c r="P1381" s="110">
        <v>13593.98</v>
      </c>
      <c r="Q1381" s="110">
        <v>449.91</v>
      </c>
      <c r="R1381" s="102">
        <f t="shared" si="76"/>
        <v>4.6189601817829391E-2</v>
      </c>
      <c r="S1381" s="102">
        <f t="shared" si="76"/>
        <v>-1.2677408180437305E-2</v>
      </c>
    </row>
    <row r="1382" spans="15:19" x14ac:dyDescent="0.3">
      <c r="O1382" s="101">
        <v>41044</v>
      </c>
      <c r="P1382" s="110">
        <v>12980.36</v>
      </c>
      <c r="Q1382" s="110">
        <v>455.65</v>
      </c>
      <c r="R1382" s="102">
        <f t="shared" si="76"/>
        <v>-4.6189601817829495E-2</v>
      </c>
      <c r="S1382" s="102">
        <f t="shared" si="76"/>
        <v>-3.0347931678949818E-2</v>
      </c>
    </row>
    <row r="1383" spans="15:19" x14ac:dyDescent="0.3">
      <c r="O1383" s="101">
        <v>41043</v>
      </c>
      <c r="P1383" s="110">
        <v>13593.98</v>
      </c>
      <c r="Q1383" s="110">
        <v>469.69</v>
      </c>
      <c r="R1383" s="102">
        <f t="shared" si="76"/>
        <v>-4.0821582573117271E-2</v>
      </c>
      <c r="S1383" s="102">
        <f t="shared" si="76"/>
        <v>-2.1921512915809092E-2</v>
      </c>
    </row>
    <row r="1384" spans="15:19" x14ac:dyDescent="0.3">
      <c r="O1384" s="101">
        <v>41040</v>
      </c>
      <c r="P1384" s="110">
        <v>14160.39</v>
      </c>
      <c r="Q1384" s="110">
        <v>480.1</v>
      </c>
      <c r="R1384" s="102">
        <f t="shared" si="76"/>
        <v>-3.9221011928145456E-2</v>
      </c>
      <c r="S1384" s="102">
        <f t="shared" si="76"/>
        <v>-1.2358230913664382E-2</v>
      </c>
    </row>
    <row r="1385" spans="15:19" x14ac:dyDescent="0.3">
      <c r="O1385" s="101">
        <v>41039</v>
      </c>
      <c r="P1385" s="110">
        <v>14726.81</v>
      </c>
      <c r="Q1385" s="110">
        <v>486.07</v>
      </c>
      <c r="R1385" s="102">
        <f t="shared" si="76"/>
        <v>-3.1548151072480018E-2</v>
      </c>
      <c r="S1385" s="102">
        <f t="shared" si="76"/>
        <v>-3.1837675426093417E-3</v>
      </c>
    </row>
    <row r="1386" spans="15:19" x14ac:dyDescent="0.3">
      <c r="O1386" s="101">
        <v>41038</v>
      </c>
      <c r="P1386" s="110">
        <v>15198.82</v>
      </c>
      <c r="Q1386" s="110">
        <v>487.62</v>
      </c>
      <c r="R1386" s="102">
        <f t="shared" si="76"/>
        <v>6.230377039874729E-3</v>
      </c>
      <c r="S1386" s="102">
        <f t="shared" si="76"/>
        <v>-9.2242419602024206E-4</v>
      </c>
    </row>
    <row r="1387" spans="15:19" x14ac:dyDescent="0.3">
      <c r="O1387" s="101">
        <v>41037</v>
      </c>
      <c r="P1387" s="110">
        <v>15104.42</v>
      </c>
      <c r="Q1387" s="110">
        <v>488.07</v>
      </c>
      <c r="R1387" s="102">
        <f t="shared" si="76"/>
        <v>-3.1200407118469236E-3</v>
      </c>
      <c r="S1387" s="102">
        <f t="shared" si="76"/>
        <v>3.6125575526663105E-3</v>
      </c>
    </row>
    <row r="1388" spans="15:19" x14ac:dyDescent="0.3">
      <c r="O1388" s="101">
        <v>41036</v>
      </c>
      <c r="P1388" s="110">
        <v>15151.62</v>
      </c>
      <c r="Q1388" s="110">
        <v>486.31</v>
      </c>
      <c r="R1388" s="102">
        <f t="shared" si="76"/>
        <v>4.7856047059809385E-2</v>
      </c>
      <c r="S1388" s="102">
        <f t="shared" si="76"/>
        <v>2.0756383369056147E-2</v>
      </c>
    </row>
    <row r="1389" spans="15:19" x14ac:dyDescent="0.3">
      <c r="O1389" s="101">
        <v>41033</v>
      </c>
      <c r="P1389" s="110">
        <v>14443.6</v>
      </c>
      <c r="Q1389" s="110">
        <v>476.32</v>
      </c>
      <c r="R1389" s="102">
        <f t="shared" si="76"/>
        <v>4.6831422978985793E-2</v>
      </c>
      <c r="S1389" s="102">
        <f t="shared" si="76"/>
        <v>1.5913659004663259E-2</v>
      </c>
    </row>
    <row r="1390" spans="15:19" x14ac:dyDescent="0.3">
      <c r="O1390" s="101">
        <v>41032</v>
      </c>
      <c r="P1390" s="110">
        <v>13782.78</v>
      </c>
      <c r="Q1390" s="110">
        <v>468.8</v>
      </c>
      <c r="R1390" s="102">
        <f t="shared" si="76"/>
        <v>-6.8264981222817753E-3</v>
      </c>
      <c r="S1390" s="102">
        <f t="shared" si="76"/>
        <v>-7.7768490028098623E-3</v>
      </c>
    </row>
    <row r="1391" spans="15:19" x14ac:dyDescent="0.3">
      <c r="O1391" s="101">
        <v>41031</v>
      </c>
      <c r="P1391" s="110">
        <v>13877.19</v>
      </c>
      <c r="Q1391" s="110">
        <v>472.46</v>
      </c>
      <c r="R1391" s="102">
        <f t="shared" si="76"/>
        <v>-1.6863336090819355E-2</v>
      </c>
      <c r="S1391" s="102">
        <f t="shared" si="76"/>
        <v>-2.7688845987769843E-3</v>
      </c>
    </row>
    <row r="1392" spans="15:19" x14ac:dyDescent="0.3">
      <c r="O1392" s="101">
        <v>41026</v>
      </c>
      <c r="P1392" s="110">
        <v>14113.19</v>
      </c>
      <c r="Q1392" s="110">
        <v>473.77</v>
      </c>
      <c r="R1392" s="102">
        <f t="shared" si="76"/>
        <v>4.7953779039464586E-2</v>
      </c>
      <c r="S1392" s="102">
        <f t="shared" si="76"/>
        <v>7.5425684388463494E-3</v>
      </c>
    </row>
    <row r="1393" spans="15:19" x14ac:dyDescent="0.3">
      <c r="O1393" s="101">
        <v>41025</v>
      </c>
      <c r="P1393" s="110">
        <v>13452.38</v>
      </c>
      <c r="Q1393" s="110">
        <v>470.21</v>
      </c>
      <c r="R1393" s="102">
        <f t="shared" si="76"/>
        <v>-2.7683380543996508E-2</v>
      </c>
      <c r="S1393" s="102">
        <f t="shared" si="76"/>
        <v>-5.6411058529279544E-3</v>
      </c>
    </row>
    <row r="1394" spans="15:19" x14ac:dyDescent="0.3">
      <c r="O1394" s="101">
        <v>41024</v>
      </c>
      <c r="P1394" s="110">
        <v>13829.99</v>
      </c>
      <c r="Q1394" s="110">
        <v>472.87</v>
      </c>
      <c r="R1394" s="102">
        <f t="shared" si="76"/>
        <v>0</v>
      </c>
      <c r="S1394" s="102">
        <f t="shared" si="76"/>
        <v>1.5386230310804485E-2</v>
      </c>
    </row>
    <row r="1395" spans="15:19" x14ac:dyDescent="0.3">
      <c r="O1395" s="101">
        <v>41023</v>
      </c>
      <c r="P1395" s="110">
        <v>13829.99</v>
      </c>
      <c r="Q1395" s="110">
        <v>465.65</v>
      </c>
      <c r="R1395" s="102">
        <f t="shared" si="76"/>
        <v>-1.0186559500331784E-2</v>
      </c>
      <c r="S1395" s="102">
        <f t="shared" si="76"/>
        <v>1.0313487947124942E-3</v>
      </c>
    </row>
    <row r="1396" spans="15:19" x14ac:dyDescent="0.3">
      <c r="O1396" s="101">
        <v>41022</v>
      </c>
      <c r="P1396" s="110">
        <v>13971.59</v>
      </c>
      <c r="Q1396" s="110">
        <v>465.17</v>
      </c>
      <c r="R1396" s="102">
        <f t="shared" si="76"/>
        <v>-3.6487983187602858E-2</v>
      </c>
      <c r="S1396" s="102">
        <f t="shared" si="76"/>
        <v>-1.1816649958611405E-3</v>
      </c>
    </row>
    <row r="1397" spans="15:19" x14ac:dyDescent="0.3">
      <c r="O1397" s="101">
        <v>41019</v>
      </c>
      <c r="P1397" s="110">
        <v>14490.8</v>
      </c>
      <c r="Q1397" s="110">
        <v>465.72</v>
      </c>
      <c r="R1397" s="102">
        <f t="shared" si="76"/>
        <v>1.4306029723015175E-2</v>
      </c>
      <c r="S1397" s="102">
        <f t="shared" si="76"/>
        <v>-2.9159540386988246E-3</v>
      </c>
    </row>
    <row r="1398" spans="15:19" x14ac:dyDescent="0.3">
      <c r="O1398" s="101">
        <v>41018</v>
      </c>
      <c r="P1398" s="110">
        <v>14284.97</v>
      </c>
      <c r="Q1398" s="110">
        <v>467.08</v>
      </c>
      <c r="R1398" s="102">
        <f t="shared" si="76"/>
        <v>-4.2319035449339563E-2</v>
      </c>
      <c r="S1398" s="102">
        <f t="shared" si="76"/>
        <v>-1.0817361987115191E-2</v>
      </c>
    </row>
    <row r="1399" spans="15:19" x14ac:dyDescent="0.3">
      <c r="O1399" s="101">
        <v>41017</v>
      </c>
      <c r="P1399" s="110">
        <v>14902.47</v>
      </c>
      <c r="Q1399" s="110">
        <v>472.16</v>
      </c>
      <c r="R1399" s="102">
        <f t="shared" si="76"/>
        <v>0</v>
      </c>
      <c r="S1399" s="102">
        <f t="shared" si="76"/>
        <v>-1.4391536875468108E-3</v>
      </c>
    </row>
    <row r="1400" spans="15:19" x14ac:dyDescent="0.3">
      <c r="O1400" s="101">
        <v>41016</v>
      </c>
      <c r="P1400" s="110">
        <v>14902.47</v>
      </c>
      <c r="Q1400" s="110">
        <v>472.84</v>
      </c>
      <c r="R1400" s="102">
        <f t="shared" si="76"/>
        <v>4.8099812299534202E-2</v>
      </c>
      <c r="S1400" s="102">
        <f t="shared" si="76"/>
        <v>9.7333676728294845E-3</v>
      </c>
    </row>
    <row r="1401" spans="15:19" x14ac:dyDescent="0.3">
      <c r="O1401" s="101">
        <v>41015</v>
      </c>
      <c r="P1401" s="110">
        <v>14202.63</v>
      </c>
      <c r="Q1401" s="110">
        <v>468.26</v>
      </c>
      <c r="R1401" s="102">
        <f t="shared" si="76"/>
        <v>4.7486467236129398E-2</v>
      </c>
      <c r="S1401" s="102">
        <f t="shared" si="76"/>
        <v>1.2333897948585637E-2</v>
      </c>
    </row>
    <row r="1402" spans="15:19" x14ac:dyDescent="0.3">
      <c r="O1402" s="101">
        <v>41012</v>
      </c>
      <c r="P1402" s="110">
        <v>13543.96</v>
      </c>
      <c r="Q1402" s="110">
        <v>462.52</v>
      </c>
      <c r="R1402" s="102">
        <f t="shared" si="76"/>
        <v>3.0443607307651488E-3</v>
      </c>
      <c r="S1402" s="102">
        <f t="shared" si="76"/>
        <v>-5.9065898511369E-3</v>
      </c>
    </row>
    <row r="1403" spans="15:19" x14ac:dyDescent="0.3">
      <c r="O1403" s="101">
        <v>41011</v>
      </c>
      <c r="P1403" s="110">
        <v>13502.79</v>
      </c>
      <c r="Q1403" s="110">
        <v>465.26</v>
      </c>
      <c r="R1403" s="102">
        <f t="shared" si="76"/>
        <v>2.7822247902676803E-2</v>
      </c>
      <c r="S1403" s="102">
        <f t="shared" si="76"/>
        <v>1.4112788345828268E-2</v>
      </c>
    </row>
    <row r="1404" spans="15:19" x14ac:dyDescent="0.3">
      <c r="O1404" s="101">
        <v>41010</v>
      </c>
      <c r="P1404" s="110">
        <v>13132.29</v>
      </c>
      <c r="Q1404" s="110">
        <v>458.74</v>
      </c>
      <c r="R1404" s="102">
        <f t="shared" si="76"/>
        <v>3.8342988098990512E-2</v>
      </c>
      <c r="S1404" s="102">
        <f t="shared" si="76"/>
        <v>1.7348910820153812E-2</v>
      </c>
    </row>
    <row r="1405" spans="15:19" x14ac:dyDescent="0.3">
      <c r="O1405" s="101">
        <v>41009</v>
      </c>
      <c r="P1405" s="110">
        <v>12638.29</v>
      </c>
      <c r="Q1405" s="110">
        <v>450.85</v>
      </c>
      <c r="R1405" s="102">
        <f t="shared" si="76"/>
        <v>-3.8342988098990498E-2</v>
      </c>
      <c r="S1405" s="102">
        <f t="shared" si="76"/>
        <v>2.6619934051033228E-4</v>
      </c>
    </row>
    <row r="1406" spans="15:19" x14ac:dyDescent="0.3">
      <c r="O1406" s="101">
        <v>41008</v>
      </c>
      <c r="P1406" s="110">
        <v>13132.29</v>
      </c>
      <c r="Q1406" s="110">
        <v>450.73</v>
      </c>
      <c r="R1406" s="102">
        <f t="shared" si="76"/>
        <v>3.5091510181741468E-2</v>
      </c>
      <c r="S1406" s="102">
        <f t="shared" si="76"/>
        <v>7.3260400920728812E-3</v>
      </c>
    </row>
    <row r="1407" spans="15:19" x14ac:dyDescent="0.3">
      <c r="O1407" s="101">
        <v>41005</v>
      </c>
      <c r="P1407" s="110">
        <v>12679.45</v>
      </c>
      <c r="Q1407" s="110">
        <v>447.44</v>
      </c>
      <c r="R1407" s="102">
        <f t="shared" si="76"/>
        <v>4.6519302069571042E-2</v>
      </c>
      <c r="S1407" s="102">
        <f t="shared" si="76"/>
        <v>5.6254840913515756E-3</v>
      </c>
    </row>
    <row r="1408" spans="15:19" x14ac:dyDescent="0.3">
      <c r="O1408" s="101">
        <v>41004</v>
      </c>
      <c r="P1408" s="110">
        <v>12103.12</v>
      </c>
      <c r="Q1408" s="110">
        <v>444.93</v>
      </c>
      <c r="R1408" s="102">
        <f t="shared" si="76"/>
        <v>1.3698986812178156E-2</v>
      </c>
      <c r="S1408" s="102">
        <f t="shared" si="76"/>
        <v>1.1665103451931457E-2</v>
      </c>
    </row>
    <row r="1409" spans="15:19" x14ac:dyDescent="0.3">
      <c r="O1409" s="101">
        <v>41003</v>
      </c>
      <c r="P1409" s="110">
        <v>11938.45</v>
      </c>
      <c r="Q1409" s="110">
        <v>439.77</v>
      </c>
      <c r="R1409" s="102">
        <f t="shared" si="76"/>
        <v>0</v>
      </c>
      <c r="S1409" s="102">
        <f t="shared" si="76"/>
        <v>-1.3551260966316309E-2</v>
      </c>
    </row>
    <row r="1410" spans="15:19" x14ac:dyDescent="0.3">
      <c r="O1410" s="101">
        <v>41002</v>
      </c>
      <c r="P1410" s="110">
        <v>11938.45</v>
      </c>
      <c r="Q1410" s="110">
        <v>445.77</v>
      </c>
      <c r="R1410" s="102">
        <f t="shared" si="76"/>
        <v>1.7392139483899567E-2</v>
      </c>
      <c r="S1410" s="102">
        <f t="shared" si="76"/>
        <v>1.069022359238108E-2</v>
      </c>
    </row>
    <row r="1411" spans="15:19" x14ac:dyDescent="0.3">
      <c r="O1411" s="101">
        <v>40998</v>
      </c>
      <c r="P1411" s="110">
        <v>11732.61</v>
      </c>
      <c r="Q1411" s="110">
        <v>441.03</v>
      </c>
      <c r="R1411" s="102">
        <f t="shared" si="76"/>
        <v>3.5151942036832492E-3</v>
      </c>
      <c r="S1411" s="102">
        <f t="shared" si="76"/>
        <v>3.1794362849715692E-3</v>
      </c>
    </row>
    <row r="1412" spans="15:19" x14ac:dyDescent="0.3">
      <c r="O1412" s="101">
        <v>40997</v>
      </c>
      <c r="P1412" s="110">
        <v>11691.44</v>
      </c>
      <c r="Q1412" s="110">
        <v>439.63</v>
      </c>
      <c r="R1412" s="102">
        <f t="shared" si="76"/>
        <v>-7.0180750881503979E-3</v>
      </c>
      <c r="S1412" s="102">
        <f t="shared" si="76"/>
        <v>-1.5102719478260017E-2</v>
      </c>
    </row>
    <row r="1413" spans="15:19" x14ac:dyDescent="0.3">
      <c r="O1413" s="101">
        <v>40996</v>
      </c>
      <c r="P1413" s="110">
        <v>11773.78</v>
      </c>
      <c r="Q1413" s="110">
        <v>446.32</v>
      </c>
      <c r="R1413" s="102">
        <f t="shared" si="76"/>
        <v>3.5028808844671058E-3</v>
      </c>
      <c r="S1413" s="102">
        <f t="shared" si="76"/>
        <v>8.9661980363486826E-4</v>
      </c>
    </row>
    <row r="1414" spans="15:19" x14ac:dyDescent="0.3">
      <c r="O1414" s="101">
        <v>40995</v>
      </c>
      <c r="P1414" s="110">
        <v>11732.61</v>
      </c>
      <c r="Q1414" s="110">
        <v>445.92</v>
      </c>
      <c r="R1414" s="102">
        <f t="shared" si="76"/>
        <v>-2.0833893591937009E-2</v>
      </c>
      <c r="S1414" s="102">
        <f t="shared" si="76"/>
        <v>-2.9476934757086057E-2</v>
      </c>
    </row>
    <row r="1415" spans="15:19" x14ac:dyDescent="0.3">
      <c r="O1415" s="101">
        <v>40994</v>
      </c>
      <c r="P1415" s="110">
        <v>11979.61</v>
      </c>
      <c r="Q1415" s="110">
        <v>459.26</v>
      </c>
      <c r="R1415" s="102">
        <f t="shared" si="76"/>
        <v>-2.3770275357515396E-2</v>
      </c>
      <c r="S1415" s="102">
        <f t="shared" si="76"/>
        <v>1.1299060386818731E-2</v>
      </c>
    </row>
    <row r="1416" spans="15:19" x14ac:dyDescent="0.3">
      <c r="O1416" s="101">
        <v>40991</v>
      </c>
      <c r="P1416" s="110">
        <v>12267.78</v>
      </c>
      <c r="Q1416" s="110">
        <v>454.1</v>
      </c>
      <c r="R1416" s="102">
        <f t="shared" si="76"/>
        <v>2.3770275357515396E-2</v>
      </c>
      <c r="S1416" s="102">
        <f t="shared" si="76"/>
        <v>1.873867026647956E-2</v>
      </c>
    </row>
    <row r="1417" spans="15:19" x14ac:dyDescent="0.3">
      <c r="O1417" s="101">
        <v>40990</v>
      </c>
      <c r="P1417" s="110">
        <v>11979.61</v>
      </c>
      <c r="Q1417" s="110">
        <v>445.67</v>
      </c>
      <c r="R1417" s="102">
        <f t="shared" si="76"/>
        <v>1.0362691386917007E-2</v>
      </c>
      <c r="S1417" s="102">
        <f t="shared" si="76"/>
        <v>-2.2435609893971977E-4</v>
      </c>
    </row>
    <row r="1418" spans="15:19" x14ac:dyDescent="0.3">
      <c r="O1418" s="101">
        <v>40989</v>
      </c>
      <c r="P1418" s="110">
        <v>11856.11</v>
      </c>
      <c r="Q1418" s="110">
        <v>445.77</v>
      </c>
      <c r="R1418" s="102">
        <f t="shared" si="76"/>
        <v>6.9683213205527939E-3</v>
      </c>
      <c r="S1418" s="102">
        <f t="shared" si="76"/>
        <v>1.2369523219991732E-2</v>
      </c>
    </row>
    <row r="1419" spans="15:19" x14ac:dyDescent="0.3">
      <c r="O1419" s="101">
        <v>40988</v>
      </c>
      <c r="P1419" s="110">
        <v>11773.78</v>
      </c>
      <c r="Q1419" s="110">
        <v>440.29</v>
      </c>
      <c r="R1419" s="102">
        <f t="shared" si="76"/>
        <v>1.0544811135183482E-2</v>
      </c>
      <c r="S1419" s="102">
        <f t="shared" si="76"/>
        <v>5.0548857577622196E-3</v>
      </c>
    </row>
    <row r="1420" spans="15:19" x14ac:dyDescent="0.3">
      <c r="O1420" s="101">
        <v>40987</v>
      </c>
      <c r="P1420" s="110">
        <v>11650.28</v>
      </c>
      <c r="Q1420" s="110">
        <v>438.07</v>
      </c>
      <c r="R1420" s="102">
        <f t="shared" si="76"/>
        <v>-2.4434069734615701E-2</v>
      </c>
      <c r="S1420" s="102">
        <f t="shared" si="76"/>
        <v>-1.0267058477273262E-3</v>
      </c>
    </row>
    <row r="1421" spans="15:19" x14ac:dyDescent="0.3">
      <c r="O1421" s="101">
        <v>40984</v>
      </c>
      <c r="P1421" s="110">
        <v>11938.45</v>
      </c>
      <c r="Q1421" s="110">
        <v>438.52</v>
      </c>
      <c r="R1421" s="102">
        <f t="shared" si="76"/>
        <v>3.4544812297871955E-3</v>
      </c>
      <c r="S1421" s="102">
        <f t="shared" si="76"/>
        <v>-7.5650371576742375E-3</v>
      </c>
    </row>
    <row r="1422" spans="15:19" x14ac:dyDescent="0.3">
      <c r="O1422" s="101">
        <v>40983</v>
      </c>
      <c r="P1422" s="110">
        <v>11897.28</v>
      </c>
      <c r="Q1422" s="110">
        <v>441.85</v>
      </c>
      <c r="R1422" s="102">
        <f t="shared" si="76"/>
        <v>3.5214855076084517E-2</v>
      </c>
      <c r="S1422" s="102">
        <f t="shared" si="76"/>
        <v>1.8248556549098006E-2</v>
      </c>
    </row>
    <row r="1423" spans="15:19" x14ac:dyDescent="0.3">
      <c r="O1423" s="101">
        <v>40982</v>
      </c>
      <c r="P1423" s="110">
        <v>11485.61</v>
      </c>
      <c r="Q1423" s="110">
        <v>433.86</v>
      </c>
      <c r="R1423" s="102">
        <f t="shared" si="76"/>
        <v>-2.1277196821972232E-2</v>
      </c>
      <c r="S1423" s="102">
        <f t="shared" si="76"/>
        <v>1.0356304550680453E-2</v>
      </c>
    </row>
    <row r="1424" spans="15:19" x14ac:dyDescent="0.3">
      <c r="O1424" s="101">
        <v>40981</v>
      </c>
      <c r="P1424" s="110">
        <v>11732.61</v>
      </c>
      <c r="Q1424" s="110">
        <v>429.39</v>
      </c>
      <c r="R1424" s="102">
        <f t="shared" si="76"/>
        <v>2.1277196821972343E-2</v>
      </c>
      <c r="S1424" s="102">
        <f t="shared" si="76"/>
        <v>3.1956734022399232E-3</v>
      </c>
    </row>
    <row r="1425" spans="15:19" x14ac:dyDescent="0.3">
      <c r="O1425" s="101">
        <v>40980</v>
      </c>
      <c r="P1425" s="110">
        <v>11485.61</v>
      </c>
      <c r="Q1425" s="110">
        <v>428.02</v>
      </c>
      <c r="R1425" s="102">
        <f t="shared" si="76"/>
        <v>-2.8270731234928393E-2</v>
      </c>
      <c r="S1425" s="102">
        <f t="shared" si="76"/>
        <v>-9.5102619991229015E-3</v>
      </c>
    </row>
    <row r="1426" spans="15:19" x14ac:dyDescent="0.3">
      <c r="O1426" s="101">
        <v>40977</v>
      </c>
      <c r="P1426" s="110">
        <v>11814.95</v>
      </c>
      <c r="Q1426" s="110">
        <v>432.11</v>
      </c>
      <c r="R1426" s="102">
        <f t="shared" si="76"/>
        <v>-1.0398605070943442E-2</v>
      </c>
      <c r="S1426" s="102">
        <f t="shared" si="76"/>
        <v>1.0419441302935114E-3</v>
      </c>
    </row>
    <row r="1427" spans="15:19" x14ac:dyDescent="0.3">
      <c r="O1427" s="101">
        <v>40976</v>
      </c>
      <c r="P1427" s="110">
        <v>11938.45</v>
      </c>
      <c r="Q1427" s="110">
        <v>431.66</v>
      </c>
      <c r="R1427" s="102">
        <f t="shared" si="76"/>
        <v>-5.0430373019585494E-2</v>
      </c>
      <c r="S1427" s="102">
        <f t="shared" si="76"/>
        <v>-2.8231365131947794E-2</v>
      </c>
    </row>
    <row r="1428" spans="15:19" x14ac:dyDescent="0.3">
      <c r="O1428" s="101">
        <v>40975</v>
      </c>
      <c r="P1428" s="110">
        <v>12555.95</v>
      </c>
      <c r="Q1428" s="110">
        <v>444.02</v>
      </c>
      <c r="R1428" s="102">
        <f t="shared" si="76"/>
        <v>3.2835119330637359E-3</v>
      </c>
      <c r="S1428" s="102">
        <f t="shared" si="76"/>
        <v>-2.2046757034680066E-3</v>
      </c>
    </row>
    <row r="1429" spans="15:19" x14ac:dyDescent="0.3">
      <c r="O1429" s="101">
        <v>40974</v>
      </c>
      <c r="P1429" s="110">
        <v>12514.79</v>
      </c>
      <c r="Q1429" s="110">
        <v>445</v>
      </c>
      <c r="R1429" s="102">
        <f t="shared" si="76"/>
        <v>-3.5544336225800791E-2</v>
      </c>
      <c r="S1429" s="102">
        <f t="shared" si="76"/>
        <v>-2.706852178118754E-2</v>
      </c>
    </row>
    <row r="1430" spans="15:19" x14ac:dyDescent="0.3">
      <c r="O1430" s="101">
        <v>40973</v>
      </c>
      <c r="P1430" s="110">
        <v>12967.62</v>
      </c>
      <c r="Q1430" s="110">
        <v>457.21</v>
      </c>
      <c r="R1430" s="102">
        <f t="shared" si="76"/>
        <v>4.8789701478621265E-2</v>
      </c>
      <c r="S1430" s="102">
        <f t="shared" si="76"/>
        <v>3.9277581417961366E-2</v>
      </c>
    </row>
    <row r="1431" spans="15:19" x14ac:dyDescent="0.3">
      <c r="O1431" s="101">
        <v>40970</v>
      </c>
      <c r="P1431" s="110">
        <v>12350.12</v>
      </c>
      <c r="Q1431" s="110">
        <v>439.6</v>
      </c>
      <c r="R1431" s="102">
        <f t="shared" si="76"/>
        <v>3.0459741725663788E-2</v>
      </c>
      <c r="S1431" s="102">
        <f t="shared" si="76"/>
        <v>2.6858856201847678E-2</v>
      </c>
    </row>
    <row r="1432" spans="15:19" x14ac:dyDescent="0.3">
      <c r="O1432" s="101">
        <v>40969</v>
      </c>
      <c r="P1432" s="110">
        <v>11979.61</v>
      </c>
      <c r="Q1432" s="110">
        <v>427.95</v>
      </c>
      <c r="R1432" s="102">
        <f t="shared" si="76"/>
        <v>4.5702015356480337E-2</v>
      </c>
      <c r="S1432" s="102">
        <f t="shared" si="76"/>
        <v>1.0122328352150253E-2</v>
      </c>
    </row>
    <row r="1433" spans="15:19" x14ac:dyDescent="0.3">
      <c r="O1433" s="101">
        <v>40968</v>
      </c>
      <c r="P1433" s="110">
        <v>11444.44</v>
      </c>
      <c r="Q1433" s="110">
        <v>423.64</v>
      </c>
      <c r="R1433" s="102">
        <f t="shared" si="76"/>
        <v>4.7891136028236199E-2</v>
      </c>
      <c r="S1433" s="102">
        <f t="shared" si="76"/>
        <v>3.3575327689557969E-3</v>
      </c>
    </row>
    <row r="1434" spans="15:19" x14ac:dyDescent="0.3">
      <c r="O1434" s="101">
        <v>40967</v>
      </c>
      <c r="P1434" s="110">
        <v>10909.27</v>
      </c>
      <c r="Q1434" s="110">
        <v>422.22</v>
      </c>
      <c r="R1434" s="102">
        <f t="shared" si="76"/>
        <v>3.0654076364413238E-2</v>
      </c>
      <c r="S1434" s="102">
        <f t="shared" si="76"/>
        <v>-1.4554175765046733E-2</v>
      </c>
    </row>
    <row r="1435" spans="15:19" x14ac:dyDescent="0.3">
      <c r="O1435" s="101">
        <v>40966</v>
      </c>
      <c r="P1435" s="110">
        <v>10579.93</v>
      </c>
      <c r="Q1435" s="110">
        <v>428.41</v>
      </c>
      <c r="R1435" s="102">
        <f t="shared" si="76"/>
        <v>4.7817426834033006E-2</v>
      </c>
      <c r="S1435" s="102">
        <f t="shared" si="76"/>
        <v>1.1692469797423258E-2</v>
      </c>
    </row>
    <row r="1436" spans="15:19" x14ac:dyDescent="0.3">
      <c r="O1436" s="101">
        <v>40963</v>
      </c>
      <c r="P1436" s="110">
        <v>10085.93</v>
      </c>
      <c r="Q1436" s="110">
        <v>423.43</v>
      </c>
      <c r="R1436" s="102">
        <f t="shared" si="76"/>
        <v>4.5937336701464965E-2</v>
      </c>
      <c r="S1436" s="102">
        <f t="shared" si="76"/>
        <v>-1.0857764367453284E-3</v>
      </c>
    </row>
    <row r="1437" spans="15:19" x14ac:dyDescent="0.3">
      <c r="O1437" s="101">
        <v>40962</v>
      </c>
      <c r="P1437" s="110">
        <v>9633.09</v>
      </c>
      <c r="Q1437" s="110">
        <v>423.89</v>
      </c>
      <c r="R1437" s="102">
        <f t="shared" si="76"/>
        <v>4.282969208815701E-3</v>
      </c>
      <c r="S1437" s="102">
        <f t="shared" si="76"/>
        <v>1.3012174572168862E-2</v>
      </c>
    </row>
    <row r="1438" spans="15:19" x14ac:dyDescent="0.3">
      <c r="O1438" s="101">
        <v>40961</v>
      </c>
      <c r="P1438" s="110">
        <v>9591.92</v>
      </c>
      <c r="Q1438" s="110">
        <v>418.41</v>
      </c>
      <c r="R1438" s="102">
        <f t="shared" ref="R1438:R1469" si="77">LN(P1438/P1439)</f>
        <v>8.6203142920792345E-3</v>
      </c>
      <c r="S1438" s="102">
        <f t="shared" ref="S1438:S1469" si="78">LN(Q1438/Q1439)</f>
        <v>1.8087600623873178E-2</v>
      </c>
    </row>
    <row r="1439" spans="15:19" x14ac:dyDescent="0.3">
      <c r="O1439" s="101">
        <v>40960</v>
      </c>
      <c r="P1439" s="110">
        <v>9509.59</v>
      </c>
      <c r="Q1439" s="110">
        <v>410.91</v>
      </c>
      <c r="R1439" s="102">
        <f t="shared" si="77"/>
        <v>-1.7167987087761002E-2</v>
      </c>
      <c r="S1439" s="102">
        <f t="shared" si="78"/>
        <v>-7.4434510648049698E-3</v>
      </c>
    </row>
    <row r="1440" spans="15:19" x14ac:dyDescent="0.3">
      <c r="O1440" s="101">
        <v>40959</v>
      </c>
      <c r="P1440" s="110">
        <v>9674.26</v>
      </c>
      <c r="Q1440" s="110">
        <v>413.98</v>
      </c>
      <c r="R1440" s="102">
        <f t="shared" si="77"/>
        <v>1.7167987087760916E-2</v>
      </c>
      <c r="S1440" s="102">
        <f t="shared" si="78"/>
        <v>2.6136961600322112E-2</v>
      </c>
    </row>
    <row r="1441" spans="15:19" x14ac:dyDescent="0.3">
      <c r="O1441" s="101">
        <v>40956</v>
      </c>
      <c r="P1441" s="110">
        <v>9509.59</v>
      </c>
      <c r="Q1441" s="110">
        <v>403.3</v>
      </c>
      <c r="R1441" s="102">
        <f t="shared" si="77"/>
        <v>4.3387124976168416E-3</v>
      </c>
      <c r="S1441" s="102">
        <f t="shared" si="78"/>
        <v>1.6979440441497514E-2</v>
      </c>
    </row>
    <row r="1442" spans="15:19" x14ac:dyDescent="0.3">
      <c r="O1442" s="101">
        <v>40955</v>
      </c>
      <c r="P1442" s="110">
        <v>9468.42</v>
      </c>
      <c r="Q1442" s="110">
        <v>396.51</v>
      </c>
      <c r="R1442" s="102">
        <f t="shared" si="77"/>
        <v>8.7332445417119438E-3</v>
      </c>
      <c r="S1442" s="102">
        <f t="shared" si="78"/>
        <v>-2.2672319264549581E-3</v>
      </c>
    </row>
    <row r="1443" spans="15:19" x14ac:dyDescent="0.3">
      <c r="O1443" s="101">
        <v>40954</v>
      </c>
      <c r="P1443" s="110">
        <v>9386.09</v>
      </c>
      <c r="Q1443" s="110">
        <v>397.41</v>
      </c>
      <c r="R1443" s="102">
        <f t="shared" si="77"/>
        <v>1.3245098901265391E-2</v>
      </c>
      <c r="S1443" s="102">
        <f t="shared" si="78"/>
        <v>-7.1458425851991117E-3</v>
      </c>
    </row>
    <row r="1444" spans="15:19" x14ac:dyDescent="0.3">
      <c r="O1444" s="101">
        <v>40953</v>
      </c>
      <c r="P1444" s="110">
        <v>9262.59</v>
      </c>
      <c r="Q1444" s="110">
        <v>400.26</v>
      </c>
      <c r="R1444" s="102">
        <f t="shared" si="77"/>
        <v>8.9292697971367473E-3</v>
      </c>
      <c r="S1444" s="102">
        <f t="shared" si="78"/>
        <v>1.1862416055599978E-2</v>
      </c>
    </row>
    <row r="1445" spans="15:19" x14ac:dyDescent="0.3">
      <c r="O1445" s="101">
        <v>40952</v>
      </c>
      <c r="P1445" s="110">
        <v>9180.25</v>
      </c>
      <c r="Q1445" s="110">
        <v>395.54</v>
      </c>
      <c r="R1445" s="102">
        <f t="shared" si="77"/>
        <v>-1.7778442766168103E-2</v>
      </c>
      <c r="S1445" s="102">
        <f t="shared" si="78"/>
        <v>-2.3684528709423346E-2</v>
      </c>
    </row>
    <row r="1446" spans="15:19" x14ac:dyDescent="0.3">
      <c r="O1446" s="101">
        <v>40949</v>
      </c>
      <c r="P1446" s="110">
        <v>9344.92</v>
      </c>
      <c r="Q1446" s="110">
        <v>405.02</v>
      </c>
      <c r="R1446" s="102">
        <f t="shared" si="77"/>
        <v>-3.4635870059323726E-2</v>
      </c>
      <c r="S1446" s="102">
        <f t="shared" si="78"/>
        <v>-1.5605221076570105E-2</v>
      </c>
    </row>
    <row r="1447" spans="15:19" x14ac:dyDescent="0.3">
      <c r="O1447" s="101">
        <v>40948</v>
      </c>
      <c r="P1447" s="110">
        <v>9674.26</v>
      </c>
      <c r="Q1447" s="110">
        <v>411.39</v>
      </c>
      <c r="R1447" s="102">
        <f t="shared" si="77"/>
        <v>8.5476727956816725E-3</v>
      </c>
      <c r="S1447" s="102">
        <f t="shared" si="78"/>
        <v>4.5315089968763229E-3</v>
      </c>
    </row>
    <row r="1448" spans="15:19" x14ac:dyDescent="0.3">
      <c r="O1448" s="101">
        <v>40947</v>
      </c>
      <c r="P1448" s="110">
        <v>9591.92</v>
      </c>
      <c r="Q1448" s="110">
        <v>409.53</v>
      </c>
      <c r="R1448" s="102">
        <f t="shared" si="77"/>
        <v>1.7315585018879379E-2</v>
      </c>
      <c r="S1448" s="102">
        <f t="shared" si="78"/>
        <v>2.0849252027271437E-2</v>
      </c>
    </row>
    <row r="1449" spans="15:19" x14ac:dyDescent="0.3">
      <c r="O1449" s="101">
        <v>40946</v>
      </c>
      <c r="P1449" s="110">
        <v>9427.26</v>
      </c>
      <c r="Q1449" s="110">
        <v>401.08</v>
      </c>
      <c r="R1449" s="102">
        <f t="shared" si="77"/>
        <v>0</v>
      </c>
      <c r="S1449" s="102">
        <f t="shared" si="78"/>
        <v>3.3715894628101053E-3</v>
      </c>
    </row>
    <row r="1450" spans="15:19" x14ac:dyDescent="0.3">
      <c r="O1450" s="101">
        <v>40945</v>
      </c>
      <c r="P1450" s="110">
        <v>9427.26</v>
      </c>
      <c r="Q1450" s="110">
        <v>399.73</v>
      </c>
      <c r="R1450" s="102">
        <f t="shared" si="77"/>
        <v>4.3766863125286413E-3</v>
      </c>
      <c r="S1450" s="102">
        <f t="shared" si="78"/>
        <v>-5.0157940134876733E-3</v>
      </c>
    </row>
    <row r="1451" spans="15:19" x14ac:dyDescent="0.3">
      <c r="O1451" s="101">
        <v>40942</v>
      </c>
      <c r="P1451" s="110">
        <v>9386.09</v>
      </c>
      <c r="Q1451" s="110">
        <v>401.74</v>
      </c>
      <c r="R1451" s="102">
        <f t="shared" si="77"/>
        <v>-3.4486537225803103E-2</v>
      </c>
      <c r="S1451" s="102">
        <f t="shared" si="78"/>
        <v>3.2364474048607702E-4</v>
      </c>
    </row>
    <row r="1452" spans="15:19" x14ac:dyDescent="0.3">
      <c r="O1452" s="101">
        <v>40941</v>
      </c>
      <c r="P1452" s="110">
        <v>9715.43</v>
      </c>
      <c r="Q1452" s="110">
        <v>401.61</v>
      </c>
      <c r="R1452" s="102">
        <f t="shared" si="77"/>
        <v>2.1414580186474325E-2</v>
      </c>
      <c r="S1452" s="102">
        <f t="shared" si="78"/>
        <v>2.7618254610260445E-2</v>
      </c>
    </row>
    <row r="1453" spans="15:19" x14ac:dyDescent="0.3">
      <c r="O1453" s="101">
        <v>40940</v>
      </c>
      <c r="P1453" s="110">
        <v>9509.59</v>
      </c>
      <c r="Q1453" s="110">
        <v>390.67</v>
      </c>
      <c r="R1453" s="102">
        <f t="shared" si="77"/>
        <v>-2.1414580186474422E-2</v>
      </c>
      <c r="S1453" s="102">
        <f t="shared" si="78"/>
        <v>6.9351968093242624E-3</v>
      </c>
    </row>
    <row r="1454" spans="15:19" x14ac:dyDescent="0.3">
      <c r="O1454" s="101">
        <v>40939</v>
      </c>
      <c r="P1454" s="110">
        <v>9715.43</v>
      </c>
      <c r="Q1454" s="110">
        <v>387.97</v>
      </c>
      <c r="R1454" s="102">
        <f t="shared" si="77"/>
        <v>8.5112966855792217E-3</v>
      </c>
      <c r="S1454" s="102">
        <f t="shared" si="78"/>
        <v>7.8405390593535105E-3</v>
      </c>
    </row>
    <row r="1455" spans="15:19" x14ac:dyDescent="0.3">
      <c r="O1455" s="101">
        <v>40938</v>
      </c>
      <c r="P1455" s="110">
        <v>9633.09</v>
      </c>
      <c r="Q1455" s="110">
        <v>384.94</v>
      </c>
      <c r="R1455" s="102">
        <f t="shared" si="77"/>
        <v>-4.2647035868658241E-3</v>
      </c>
      <c r="S1455" s="102">
        <f t="shared" si="78"/>
        <v>3.1509058343162213E-2</v>
      </c>
    </row>
    <row r="1456" spans="15:19" x14ac:dyDescent="0.3">
      <c r="O1456" s="101">
        <v>40928</v>
      </c>
      <c r="P1456" s="110">
        <v>9674.26</v>
      </c>
      <c r="Q1456" s="110">
        <v>373</v>
      </c>
      <c r="R1456" s="102">
        <f t="shared" si="77"/>
        <v>0</v>
      </c>
      <c r="S1456" s="102">
        <f t="shared" si="78"/>
        <v>-1.152151032426459E-3</v>
      </c>
    </row>
    <row r="1457" spans="15:19" x14ac:dyDescent="0.3">
      <c r="O1457" s="101">
        <v>40927</v>
      </c>
      <c r="P1457" s="110">
        <v>9674.26</v>
      </c>
      <c r="Q1457" s="110">
        <v>373.43</v>
      </c>
      <c r="R1457" s="102">
        <f t="shared" si="77"/>
        <v>2.1506699585377789E-2</v>
      </c>
      <c r="S1457" s="102">
        <f t="shared" si="78"/>
        <v>2.9264814450362442E-2</v>
      </c>
    </row>
    <row r="1458" spans="15:19" x14ac:dyDescent="0.3">
      <c r="O1458" s="101">
        <v>40926</v>
      </c>
      <c r="P1458" s="110">
        <v>9468.42</v>
      </c>
      <c r="Q1458" s="110">
        <v>362.66</v>
      </c>
      <c r="R1458" s="102">
        <f t="shared" si="77"/>
        <v>3.0907613240114044E-2</v>
      </c>
      <c r="S1458" s="102">
        <f t="shared" si="78"/>
        <v>1.0533415941359E-2</v>
      </c>
    </row>
    <row r="1459" spans="15:19" x14ac:dyDescent="0.3">
      <c r="O1459" s="101">
        <v>40925</v>
      </c>
      <c r="P1459" s="110">
        <v>9180.25</v>
      </c>
      <c r="Q1459" s="110">
        <v>358.86</v>
      </c>
      <c r="R1459" s="102">
        <f t="shared" si="77"/>
        <v>2.7274166930070048E-2</v>
      </c>
      <c r="S1459" s="102">
        <f t="shared" si="78"/>
        <v>2.7625483225564738E-3</v>
      </c>
    </row>
    <row r="1460" spans="15:19" x14ac:dyDescent="0.3">
      <c r="O1460" s="101">
        <v>40924</v>
      </c>
      <c r="P1460" s="110">
        <v>8933.25</v>
      </c>
      <c r="Q1460" s="110">
        <v>357.87</v>
      </c>
      <c r="R1460" s="102">
        <f t="shared" si="77"/>
        <v>-4.5980378837100653E-3</v>
      </c>
      <c r="S1460" s="102">
        <f t="shared" si="78"/>
        <v>9.9411096700985756E-3</v>
      </c>
    </row>
    <row r="1461" spans="15:19" x14ac:dyDescent="0.3">
      <c r="O1461" s="101">
        <v>40921</v>
      </c>
      <c r="P1461" s="110">
        <v>8974.42</v>
      </c>
      <c r="Q1461" s="110">
        <v>354.33</v>
      </c>
      <c r="R1461" s="102">
        <f t="shared" si="77"/>
        <v>4.5980378837100419E-3</v>
      </c>
      <c r="S1461" s="102">
        <f t="shared" si="78"/>
        <v>1.7710160509904999E-2</v>
      </c>
    </row>
    <row r="1462" spans="15:19" x14ac:dyDescent="0.3">
      <c r="O1462" s="101">
        <v>40920</v>
      </c>
      <c r="P1462" s="110">
        <v>8933.25</v>
      </c>
      <c r="Q1462" s="110">
        <v>348.11</v>
      </c>
      <c r="R1462" s="102">
        <f t="shared" si="77"/>
        <v>0</v>
      </c>
      <c r="S1462" s="102">
        <f t="shared" si="78"/>
        <v>1.9553159175645009E-3</v>
      </c>
    </row>
    <row r="1463" spans="15:19" x14ac:dyDescent="0.3">
      <c r="O1463" s="101">
        <v>40919</v>
      </c>
      <c r="P1463" s="110">
        <v>8933.25</v>
      </c>
      <c r="Q1463" s="110">
        <v>347.43</v>
      </c>
      <c r="R1463" s="102">
        <f t="shared" si="77"/>
        <v>-4.5980378837100653E-3</v>
      </c>
      <c r="S1463" s="102">
        <f t="shared" si="78"/>
        <v>7.9467554928298271E-3</v>
      </c>
    </row>
    <row r="1464" spans="15:19" x14ac:dyDescent="0.3">
      <c r="O1464" s="101">
        <v>40918</v>
      </c>
      <c r="P1464" s="110">
        <v>8974.42</v>
      </c>
      <c r="Q1464" s="110">
        <v>344.68</v>
      </c>
      <c r="R1464" s="102">
        <f t="shared" si="77"/>
        <v>-4.5769926611523432E-3</v>
      </c>
      <c r="S1464" s="102">
        <f t="shared" si="78"/>
        <v>1.5672835432032135E-2</v>
      </c>
    </row>
    <row r="1465" spans="15:19" x14ac:dyDescent="0.3">
      <c r="O1465" s="101">
        <v>40917</v>
      </c>
      <c r="P1465" s="110">
        <v>9015.59</v>
      </c>
      <c r="Q1465" s="110">
        <v>339.32</v>
      </c>
      <c r="R1465" s="102">
        <f t="shared" si="77"/>
        <v>-1.3605517154313681E-2</v>
      </c>
      <c r="S1465" s="102">
        <f t="shared" si="78"/>
        <v>7.6621926525821003E-3</v>
      </c>
    </row>
    <row r="1466" spans="15:19" x14ac:dyDescent="0.3">
      <c r="O1466" s="101">
        <v>40914</v>
      </c>
      <c r="P1466" s="110">
        <v>9139.09</v>
      </c>
      <c r="Q1466" s="110">
        <v>336.73</v>
      </c>
      <c r="R1466" s="102">
        <f t="shared" si="77"/>
        <v>-4.4936192308939462E-3</v>
      </c>
      <c r="S1466" s="102">
        <f t="shared" si="78"/>
        <v>-1.2425086435827017E-2</v>
      </c>
    </row>
    <row r="1467" spans="15:19" x14ac:dyDescent="0.3">
      <c r="O1467" s="101">
        <v>40913</v>
      </c>
      <c r="P1467" s="110">
        <v>9180.25</v>
      </c>
      <c r="Q1467" s="110">
        <v>340.94</v>
      </c>
      <c r="R1467" s="102">
        <f t="shared" si="77"/>
        <v>-8.92926979713673E-3</v>
      </c>
      <c r="S1467" s="102">
        <f t="shared" si="78"/>
        <v>-2.2906855636005988E-2</v>
      </c>
    </row>
    <row r="1468" spans="15:19" x14ac:dyDescent="0.3">
      <c r="O1468" s="101">
        <v>40912</v>
      </c>
      <c r="P1468" s="110">
        <v>9262.59</v>
      </c>
      <c r="Q1468" s="110">
        <v>348.84</v>
      </c>
      <c r="R1468" s="102">
        <f t="shared" si="77"/>
        <v>0</v>
      </c>
      <c r="S1468" s="102">
        <f t="shared" si="78"/>
        <v>-3.3197901246746096E-3</v>
      </c>
    </row>
    <row r="1469" spans="15:19" x14ac:dyDescent="0.3">
      <c r="O1469" s="101">
        <v>40911</v>
      </c>
      <c r="P1469" s="110">
        <v>9262.59</v>
      </c>
      <c r="Q1469" s="110">
        <v>350</v>
      </c>
      <c r="R1469" s="102">
        <f t="shared" si="77"/>
        <v>0</v>
      </c>
      <c r="S1469" s="102">
        <f t="shared" si="78"/>
        <v>-4.4187941617110553E-3</v>
      </c>
    </row>
    <row r="1470" spans="15:19" x14ac:dyDescent="0.3">
      <c r="O1470" s="101">
        <v>40907</v>
      </c>
      <c r="P1470" s="110">
        <v>9262.59</v>
      </c>
      <c r="Q1470" s="110">
        <v>351.55</v>
      </c>
      <c r="R1470" s="102">
        <f t="shared" ref="R1470:R1496" si="79">LN(P1470/P1471)</f>
        <v>-2.1978343442977187E-2</v>
      </c>
      <c r="S1470" s="102">
        <f t="shared" ref="S1470:S1496" si="80">LN(Q1470/Q1471)</f>
        <v>2.9627119070467756E-3</v>
      </c>
    </row>
    <row r="1471" spans="15:19" x14ac:dyDescent="0.3">
      <c r="O1471" s="101">
        <v>40906</v>
      </c>
      <c r="P1471" s="110">
        <v>9468.42</v>
      </c>
      <c r="Q1471" s="110">
        <v>350.51</v>
      </c>
      <c r="R1471" s="102">
        <f t="shared" si="79"/>
        <v>0</v>
      </c>
      <c r="S1471" s="102">
        <f t="shared" si="80"/>
        <v>-4.2785630385863254E-4</v>
      </c>
    </row>
    <row r="1472" spans="15:19" x14ac:dyDescent="0.3">
      <c r="O1472" s="101">
        <v>40905</v>
      </c>
      <c r="P1472" s="110">
        <v>9468.42</v>
      </c>
      <c r="Q1472" s="110">
        <v>350.66</v>
      </c>
      <c r="R1472" s="102">
        <f t="shared" si="79"/>
        <v>0</v>
      </c>
      <c r="S1472" s="102">
        <f t="shared" si="80"/>
        <v>8.189491121799574E-3</v>
      </c>
    </row>
    <row r="1473" spans="15:19" x14ac:dyDescent="0.3">
      <c r="O1473" s="101">
        <v>40904</v>
      </c>
      <c r="P1473" s="110">
        <v>9468.42</v>
      </c>
      <c r="Q1473" s="110">
        <v>347.8</v>
      </c>
      <c r="R1473" s="102">
        <f t="shared" si="79"/>
        <v>1.3129170473945812E-2</v>
      </c>
      <c r="S1473" s="102">
        <f t="shared" si="80"/>
        <v>-1.3933528298643678E-2</v>
      </c>
    </row>
    <row r="1474" spans="15:19" x14ac:dyDescent="0.3">
      <c r="O1474" s="101">
        <v>40903</v>
      </c>
      <c r="P1474" s="110">
        <v>9344.92</v>
      </c>
      <c r="Q1474" s="110">
        <v>352.68</v>
      </c>
      <c r="R1474" s="102">
        <f t="shared" si="79"/>
        <v>8.8491729690314425E-3</v>
      </c>
      <c r="S1474" s="102">
        <f t="shared" si="80"/>
        <v>-9.959314358329625E-3</v>
      </c>
    </row>
    <row r="1475" spans="15:19" x14ac:dyDescent="0.3">
      <c r="O1475" s="101">
        <v>40900</v>
      </c>
      <c r="P1475" s="110">
        <v>9262.59</v>
      </c>
      <c r="Q1475" s="110">
        <v>356.21</v>
      </c>
      <c r="R1475" s="102">
        <f t="shared" si="79"/>
        <v>4.5462298755017602E-2</v>
      </c>
      <c r="S1475" s="102">
        <f t="shared" si="80"/>
        <v>-1.1610836848808403E-2</v>
      </c>
    </row>
    <row r="1476" spans="15:19" x14ac:dyDescent="0.3">
      <c r="O1476" s="101">
        <v>40899</v>
      </c>
      <c r="P1476" s="110">
        <v>8850.92</v>
      </c>
      <c r="Q1476" s="110">
        <v>360.37</v>
      </c>
      <c r="R1476" s="102">
        <f t="shared" si="79"/>
        <v>4.6623457182089992E-3</v>
      </c>
      <c r="S1476" s="102">
        <f t="shared" si="80"/>
        <v>-2.0190497569589565E-2</v>
      </c>
    </row>
    <row r="1477" spans="15:19" x14ac:dyDescent="0.3">
      <c r="O1477" s="101">
        <v>40898</v>
      </c>
      <c r="P1477" s="110">
        <v>8809.75</v>
      </c>
      <c r="Q1477" s="110">
        <v>367.72</v>
      </c>
      <c r="R1477" s="102">
        <f t="shared" si="79"/>
        <v>2.2075647652998496E-2</v>
      </c>
      <c r="S1477" s="102">
        <f t="shared" si="80"/>
        <v>5.5904916596990683E-3</v>
      </c>
    </row>
    <row r="1478" spans="15:19" x14ac:dyDescent="0.3">
      <c r="O1478" s="101">
        <v>40897</v>
      </c>
      <c r="P1478" s="110">
        <v>8617.4</v>
      </c>
      <c r="Q1478" s="110">
        <v>365.67</v>
      </c>
      <c r="R1478" s="102">
        <f t="shared" si="79"/>
        <v>-2.2075647652998565E-2</v>
      </c>
      <c r="S1478" s="102">
        <f t="shared" si="80"/>
        <v>-4.7198854451704422E-3</v>
      </c>
    </row>
    <row r="1479" spans="15:19" x14ac:dyDescent="0.3">
      <c r="O1479" s="101">
        <v>40896</v>
      </c>
      <c r="P1479" s="110">
        <v>8809.75</v>
      </c>
      <c r="Q1479" s="110">
        <v>367.4</v>
      </c>
      <c r="R1479" s="102">
        <f t="shared" si="79"/>
        <v>-4.3572461460326083E-3</v>
      </c>
      <c r="S1479" s="102">
        <f t="shared" si="80"/>
        <v>3.7358755256726348E-3</v>
      </c>
    </row>
    <row r="1480" spans="15:19" x14ac:dyDescent="0.3">
      <c r="O1480" s="101">
        <v>40893</v>
      </c>
      <c r="P1480" s="110">
        <v>8848.2199999999993</v>
      </c>
      <c r="Q1480" s="110">
        <v>366.03</v>
      </c>
      <c r="R1480" s="102">
        <f t="shared" si="79"/>
        <v>-2.5752151304479987E-2</v>
      </c>
      <c r="S1480" s="102">
        <f t="shared" si="80"/>
        <v>4.2436169965350511E-3</v>
      </c>
    </row>
    <row r="1481" spans="15:19" x14ac:dyDescent="0.3">
      <c r="O1481" s="101">
        <v>40892</v>
      </c>
      <c r="P1481" s="110">
        <v>9079.0400000000009</v>
      </c>
      <c r="Q1481" s="110">
        <v>364.48</v>
      </c>
      <c r="R1481" s="102">
        <f t="shared" si="79"/>
        <v>-1.6807981109138375E-2</v>
      </c>
      <c r="S1481" s="102">
        <f t="shared" si="80"/>
        <v>-8.3876835612793146E-3</v>
      </c>
    </row>
    <row r="1482" spans="15:19" x14ac:dyDescent="0.3">
      <c r="O1482" s="101">
        <v>40891</v>
      </c>
      <c r="P1482" s="110">
        <v>9232.93</v>
      </c>
      <c r="Q1482" s="110">
        <v>367.55</v>
      </c>
      <c r="R1482" s="102">
        <f t="shared" si="79"/>
        <v>-1.6529071130898111E-2</v>
      </c>
      <c r="S1482" s="102">
        <f t="shared" si="80"/>
        <v>-1.1362221520167812E-2</v>
      </c>
    </row>
    <row r="1483" spans="15:19" x14ac:dyDescent="0.3">
      <c r="O1483" s="101">
        <v>40890</v>
      </c>
      <c r="P1483" s="110">
        <v>9386.81</v>
      </c>
      <c r="Q1483" s="110">
        <v>371.75</v>
      </c>
      <c r="R1483" s="102">
        <f t="shared" si="79"/>
        <v>-1.2219943125607251E-2</v>
      </c>
      <c r="S1483" s="102">
        <f t="shared" si="80"/>
        <v>-9.5041208007106952E-3</v>
      </c>
    </row>
    <row r="1484" spans="15:19" x14ac:dyDescent="0.3">
      <c r="O1484" s="101">
        <v>40889</v>
      </c>
      <c r="P1484" s="110">
        <v>9502.2199999999993</v>
      </c>
      <c r="Q1484" s="110">
        <v>375.3</v>
      </c>
      <c r="R1484" s="102">
        <f t="shared" si="79"/>
        <v>-1.2072417062093835E-2</v>
      </c>
      <c r="S1484" s="102">
        <f t="shared" si="80"/>
        <v>-4.9437944565014647E-3</v>
      </c>
    </row>
    <row r="1485" spans="15:19" x14ac:dyDescent="0.3">
      <c r="O1485" s="101">
        <v>40886</v>
      </c>
      <c r="P1485" s="110">
        <v>9617.6299999999992</v>
      </c>
      <c r="Q1485" s="110">
        <v>377.16</v>
      </c>
      <c r="R1485" s="102">
        <f t="shared" si="79"/>
        <v>0</v>
      </c>
      <c r="S1485" s="102">
        <f t="shared" si="80"/>
        <v>-1.1782052238752621E-2</v>
      </c>
    </row>
    <row r="1486" spans="15:19" x14ac:dyDescent="0.3">
      <c r="O1486" s="101">
        <v>40885</v>
      </c>
      <c r="P1486" s="110">
        <v>9617.6299999999992</v>
      </c>
      <c r="Q1486" s="110">
        <v>381.63</v>
      </c>
      <c r="R1486" s="102">
        <f t="shared" si="79"/>
        <v>0</v>
      </c>
      <c r="S1486" s="102">
        <f t="shared" si="80"/>
        <v>-1.4515628678976732E-2</v>
      </c>
    </row>
    <row r="1487" spans="15:19" x14ac:dyDescent="0.3">
      <c r="O1487" s="101">
        <v>40884</v>
      </c>
      <c r="P1487" s="110">
        <v>9617.6299999999992</v>
      </c>
      <c r="Q1487" s="110">
        <v>387.21</v>
      </c>
      <c r="R1487" s="102">
        <f t="shared" si="79"/>
        <v>0</v>
      </c>
      <c r="S1487" s="102">
        <f t="shared" si="80"/>
        <v>-7.6922466738048893E-3</v>
      </c>
    </row>
    <row r="1488" spans="15:19" x14ac:dyDescent="0.3">
      <c r="O1488" s="101">
        <v>40883</v>
      </c>
      <c r="P1488" s="110">
        <v>9617.6299999999992</v>
      </c>
      <c r="Q1488" s="110">
        <v>390.2</v>
      </c>
      <c r="R1488" s="102">
        <f t="shared" si="79"/>
        <v>2.839908514767979E-2</v>
      </c>
      <c r="S1488" s="102">
        <f t="shared" si="80"/>
        <v>-2.533947272740361E-3</v>
      </c>
    </row>
    <row r="1489" spans="15:19" x14ac:dyDescent="0.3">
      <c r="O1489" s="101">
        <v>40882</v>
      </c>
      <c r="P1489" s="110">
        <v>9348.34</v>
      </c>
      <c r="Q1489" s="110">
        <v>391.19</v>
      </c>
      <c r="R1489" s="102">
        <f t="shared" si="79"/>
        <v>4.6324532755652015E-2</v>
      </c>
      <c r="S1489" s="102">
        <f t="shared" si="80"/>
        <v>1.8863371712324137E-2</v>
      </c>
    </row>
    <row r="1490" spans="15:19" x14ac:dyDescent="0.3">
      <c r="O1490" s="101">
        <v>40879</v>
      </c>
      <c r="P1490" s="110">
        <v>8925.16</v>
      </c>
      <c r="Q1490" s="110">
        <v>383.88</v>
      </c>
      <c r="R1490" s="102">
        <f t="shared" si="79"/>
        <v>0</v>
      </c>
      <c r="S1490" s="102">
        <f t="shared" si="80"/>
        <v>9.8956277542238402E-3</v>
      </c>
    </row>
    <row r="1491" spans="15:19" x14ac:dyDescent="0.3">
      <c r="O1491" s="101">
        <v>40878</v>
      </c>
      <c r="P1491" s="110">
        <v>8925.16</v>
      </c>
      <c r="Q1491" s="110">
        <v>380.1</v>
      </c>
      <c r="R1491" s="102">
        <f t="shared" si="79"/>
        <v>4.3196029404611487E-3</v>
      </c>
      <c r="S1491" s="102">
        <f t="shared" si="80"/>
        <v>-1.5510196461003909E-3</v>
      </c>
    </row>
    <row r="1492" spans="15:19" x14ac:dyDescent="0.3">
      <c r="O1492" s="101">
        <v>40877</v>
      </c>
      <c r="P1492" s="110">
        <v>8886.69</v>
      </c>
      <c r="Q1492" s="110">
        <v>380.69</v>
      </c>
      <c r="R1492" s="102">
        <f t="shared" si="79"/>
        <v>-5.0644135696113285E-2</v>
      </c>
      <c r="S1492" s="102">
        <f t="shared" si="80"/>
        <v>-5.788462841945289E-3</v>
      </c>
    </row>
    <row r="1493" spans="15:19" x14ac:dyDescent="0.3">
      <c r="O1493" s="101">
        <v>40876</v>
      </c>
      <c r="P1493" s="110">
        <v>9348.34</v>
      </c>
      <c r="Q1493" s="110">
        <v>382.9</v>
      </c>
      <c r="R1493" s="102">
        <f t="shared" si="79"/>
        <v>-3.6367147520314849E-2</v>
      </c>
      <c r="S1493" s="102">
        <f t="shared" si="80"/>
        <v>-1.0702027880927813E-3</v>
      </c>
    </row>
    <row r="1494" spans="15:19" x14ac:dyDescent="0.3">
      <c r="O1494" s="101">
        <v>40875</v>
      </c>
      <c r="P1494" s="110">
        <v>9694.57</v>
      </c>
      <c r="Q1494" s="110">
        <v>383.31</v>
      </c>
      <c r="R1494" s="102">
        <f t="shared" si="79"/>
        <v>-3.1253130668467785E-2</v>
      </c>
      <c r="S1494" s="102">
        <f t="shared" si="80"/>
        <v>-1.0434873356194847E-4</v>
      </c>
    </row>
    <row r="1495" spans="15:19" x14ac:dyDescent="0.3">
      <c r="O1495" s="101">
        <v>40872</v>
      </c>
      <c r="P1495" s="110">
        <v>10002.34</v>
      </c>
      <c r="Q1495" s="110">
        <v>383.35</v>
      </c>
      <c r="R1495" s="102">
        <f t="shared" si="79"/>
        <v>-4.8789497658506785E-2</v>
      </c>
      <c r="S1495" s="102">
        <f t="shared" si="80"/>
        <v>4.1038835321476957E-3</v>
      </c>
    </row>
    <row r="1496" spans="15:19" x14ac:dyDescent="0.3">
      <c r="O1496" s="101">
        <v>40871</v>
      </c>
      <c r="P1496" s="110">
        <v>10502.45</v>
      </c>
      <c r="Q1496" s="110">
        <v>381.78</v>
      </c>
      <c r="R1496" s="102">
        <f t="shared" si="79"/>
        <v>-5.0010676031862919E-2</v>
      </c>
      <c r="S1496" s="102">
        <f t="shared" si="80"/>
        <v>-1.7628807284627554E-2</v>
      </c>
    </row>
    <row r="1497" spans="15:19" x14ac:dyDescent="0.3">
      <c r="O1497" s="101">
        <v>40870</v>
      </c>
      <c r="P1497" s="110">
        <v>11041.04</v>
      </c>
      <c r="Q1497" s="110">
        <v>388.57</v>
      </c>
      <c r="R1497" s="102" t="e">
        <f>LN(P1497/P1500)</f>
        <v>#DIV/0!</v>
      </c>
      <c r="S1497" s="102" t="e">
        <f>LN(Q1497/Q1500)</f>
        <v>#DIV/0!</v>
      </c>
    </row>
  </sheetData>
  <mergeCells count="16">
    <mergeCell ref="C3:D3"/>
    <mergeCell ref="F3:G3"/>
    <mergeCell ref="J3:L3"/>
    <mergeCell ref="J7:L7"/>
    <mergeCell ref="J12:L12"/>
    <mergeCell ref="BD29:BE29"/>
    <mergeCell ref="BF29:BG29"/>
    <mergeCell ref="J18:L18"/>
    <mergeCell ref="P30:Q30"/>
    <mergeCell ref="R30:S30"/>
    <mergeCell ref="AV29:AW29"/>
    <mergeCell ref="Z29:AA29"/>
    <mergeCell ref="AB29:AC29"/>
    <mergeCell ref="AJ29:AK29"/>
    <mergeCell ref="AL29:AM29"/>
    <mergeCell ref="AT29:AU29"/>
  </mergeCells>
  <hyperlinks>
    <hyperlink ref="M8" r:id="rId1" xr:uid="{00000000-0004-0000-0B00-000000000000}"/>
    <hyperlink ref="M14" r:id="rId2" xr:uid="{00000000-0004-0000-0B00-000001000000}"/>
  </hyperlinks>
  <pageMargins left="0.7" right="0.7" top="0.75" bottom="0.75" header="0.3" footer="0.3"/>
  <pageSetup orientation="portrait"/>
  <legacyDrawing r:id="rId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6EAA46"/>
  </sheetPr>
  <dimension ref="B2:S82"/>
  <sheetViews>
    <sheetView zoomScale="130" zoomScaleNormal="130" zoomScalePageLayoutView="130" workbookViewId="0">
      <selection activeCell="B5" sqref="B5"/>
    </sheetView>
  </sheetViews>
  <sheetFormatPr defaultColWidth="8.88671875" defaultRowHeight="14.4" x14ac:dyDescent="0.3"/>
  <cols>
    <col min="1" max="1" width="8.88671875" style="54"/>
    <col min="2" max="2" width="35.88671875" style="54" customWidth="1"/>
    <col min="3" max="3" width="10.109375" style="54" customWidth="1"/>
    <col min="4" max="4" width="7" style="54" bestFit="1" customWidth="1"/>
    <col min="5" max="5" width="6.33203125" style="54" customWidth="1"/>
    <col min="6" max="10" width="7" style="54" bestFit="1" customWidth="1"/>
    <col min="11" max="11" width="3.6640625" style="54" customWidth="1"/>
    <col min="12" max="12" width="3.88671875" style="54" customWidth="1"/>
    <col min="13" max="13" width="9.33203125" style="54" customWidth="1"/>
    <col min="14" max="15" width="7.109375" style="54" customWidth="1"/>
    <col min="16" max="16" width="7.44140625" style="54" customWidth="1"/>
    <col min="17" max="17" width="7.88671875" style="54" customWidth="1"/>
    <col min="18" max="18" width="7.6640625" style="54" customWidth="1"/>
    <col min="19" max="16384" width="8.88671875" style="54"/>
  </cols>
  <sheetData>
    <row r="2" spans="2:18" ht="18" x14ac:dyDescent="0.35">
      <c r="B2" s="244" t="s">
        <v>589</v>
      </c>
    </row>
    <row r="4" spans="2:18" x14ac:dyDescent="0.3">
      <c r="B4" s="55" t="s">
        <v>590</v>
      </c>
      <c r="C4" s="240">
        <f ca="1">TODAY()</f>
        <v>44862</v>
      </c>
    </row>
    <row r="5" spans="2:18" x14ac:dyDescent="0.3">
      <c r="B5" s="54" t="s">
        <v>591</v>
      </c>
      <c r="C5" s="107">
        <f ca="1">DAYS360(C4,F7)/360</f>
        <v>-3.8250000000000002</v>
      </c>
    </row>
    <row r="7" spans="2:18" x14ac:dyDescent="0.3">
      <c r="B7" s="242" t="s">
        <v>592</v>
      </c>
      <c r="C7" s="241">
        <f>Input!L3</f>
        <v>42369</v>
      </c>
      <c r="D7" s="241">
        <f>Input!M3</f>
        <v>42735</v>
      </c>
      <c r="E7" s="241">
        <f>Input!N3</f>
        <v>43100</v>
      </c>
      <c r="F7" s="241">
        <f>Input!O3</f>
        <v>43465</v>
      </c>
      <c r="G7" s="241">
        <f>Input!P3</f>
        <v>43830</v>
      </c>
      <c r="H7" s="241">
        <f>Input!Q3</f>
        <v>44196</v>
      </c>
      <c r="I7" s="241">
        <f>Input!R3</f>
        <v>44561</v>
      </c>
      <c r="J7" s="241">
        <f>Input!S3</f>
        <v>44926</v>
      </c>
      <c r="M7" s="656" t="s">
        <v>294</v>
      </c>
      <c r="N7" s="656"/>
      <c r="O7" s="656"/>
      <c r="P7" s="656"/>
      <c r="Q7" s="482" t="s">
        <v>295</v>
      </c>
      <c r="R7" s="482" t="s">
        <v>296</v>
      </c>
    </row>
    <row r="8" spans="2:18" x14ac:dyDescent="0.3">
      <c r="B8" s="243" t="s">
        <v>212</v>
      </c>
      <c r="C8" s="227">
        <f>Input!L95</f>
        <v>107.0102664730001</v>
      </c>
      <c r="D8" s="227">
        <f>Input!M95</f>
        <v>106.151695854</v>
      </c>
      <c r="E8" s="227">
        <f ca="1">Input!N95</f>
        <v>102.73557728757028</v>
      </c>
      <c r="F8" s="222">
        <f ca="1">Input!O95</f>
        <v>98.436381669272308</v>
      </c>
      <c r="G8" s="222">
        <f ca="1">Input!P95</f>
        <v>88.279011604895899</v>
      </c>
      <c r="H8" s="222">
        <f ca="1">Input!Q95</f>
        <v>67.571270430324802</v>
      </c>
      <c r="I8" s="222">
        <f ca="1">Input!R95</f>
        <v>70.194092841797698</v>
      </c>
      <c r="J8" s="222">
        <f ca="1">Input!S95</f>
        <v>54.134143857734756</v>
      </c>
      <c r="M8" s="657" t="s">
        <v>641</v>
      </c>
      <c r="N8" s="657"/>
      <c r="O8" s="657"/>
      <c r="P8" s="657"/>
      <c r="Q8" s="20">
        <f>C19</f>
        <v>0.01</v>
      </c>
      <c r="R8" s="20">
        <f>C63</f>
        <v>0.01</v>
      </c>
    </row>
    <row r="9" spans="2:18" x14ac:dyDescent="0.3">
      <c r="B9" s="243" t="s">
        <v>593</v>
      </c>
      <c r="C9" s="227">
        <f>-(Input!L55-Input!L54-Input!L52)</f>
        <v>-8.6997799600000008</v>
      </c>
      <c r="D9" s="227">
        <f>-(Input!M55-Input!M54-Input!M52)</f>
        <v>-7.4486179469999998</v>
      </c>
      <c r="E9" s="227">
        <f ca="1">-(Input!N55-Input!N54-Input!N52)</f>
        <v>-8.0672172343082664</v>
      </c>
      <c r="F9" s="222">
        <f ca="1">-(Input!O55-Input!O54-Input!O52)</f>
        <v>-8.0457568532709303</v>
      </c>
      <c r="G9" s="222">
        <f ca="1">-(Input!P55-Input!P54-Input!P52)</f>
        <v>-9.1038777684934384</v>
      </c>
      <c r="H9" s="222">
        <f ca="1">-(Input!Q55-Input!Q54-Input!Q52)</f>
        <v>-10.19240780916261</v>
      </c>
      <c r="I9" s="222">
        <f ca="1">-(Input!R55-Input!R54-Input!R52)</f>
        <v>-10.859190885434566</v>
      </c>
      <c r="J9" s="222">
        <f ca="1">-(Input!S55-Input!S54-Input!S52)</f>
        <v>-11.096967548594785</v>
      </c>
      <c r="M9" s="658" t="s">
        <v>298</v>
      </c>
      <c r="N9" s="658"/>
      <c r="O9" s="658"/>
      <c r="P9" s="658"/>
      <c r="Q9" s="22">
        <f ca="1">C25</f>
        <v>-43.074995459031022</v>
      </c>
      <c r="R9" s="23">
        <f ca="1">C69</f>
        <v>465.32797321861466</v>
      </c>
    </row>
    <row r="10" spans="2:18" x14ac:dyDescent="0.3">
      <c r="B10" s="243" t="s">
        <v>594</v>
      </c>
      <c r="C10" s="227">
        <f>'Fixed Assets (F)'!L7</f>
        <v>64.229387505999995</v>
      </c>
      <c r="D10" s="227">
        <f>'Fixed Assets (F)'!M7</f>
        <v>60.815179998999994</v>
      </c>
      <c r="E10" s="227">
        <f>'Fixed Assets (F)'!N7</f>
        <v>57.397677603700025</v>
      </c>
      <c r="F10" s="222">
        <f>'Fixed Assets (F)'!O7</f>
        <v>66.007208207971132</v>
      </c>
      <c r="G10" s="222">
        <f>'Fixed Assets (F)'!P7</f>
        <v>56.164098220753353</v>
      </c>
      <c r="H10" s="222">
        <f>'Fixed Assets (F)'!Q7</f>
        <v>63.524081909271857</v>
      </c>
      <c r="I10" s="222">
        <f>'Fixed Assets (F)'!R7</f>
        <v>47.82279595422758</v>
      </c>
      <c r="J10" s="222">
        <f>'Fixed Assets (F)'!S7</f>
        <v>45.71573302187366</v>
      </c>
      <c r="M10" s="658" t="s">
        <v>299</v>
      </c>
      <c r="N10" s="658"/>
      <c r="O10" s="658"/>
      <c r="P10" s="658"/>
      <c r="Q10" s="22">
        <f ca="1">C27</f>
        <v>379.1714669608628</v>
      </c>
      <c r="R10" s="23">
        <f ca="1">C71</f>
        <v>287.02154340288229</v>
      </c>
    </row>
    <row r="11" spans="2:18" x14ac:dyDescent="0.3">
      <c r="B11" s="243" t="s">
        <v>595</v>
      </c>
      <c r="C11" s="227">
        <f>Input!L133-Input!K133</f>
        <v>3.7774069130000001</v>
      </c>
      <c r="D11" s="227">
        <f>Input!M133-Input!L133</f>
        <v>0.26936287500000011</v>
      </c>
      <c r="E11" s="227">
        <f>Input!N133-Input!M133</f>
        <v>-2.232058713455372</v>
      </c>
      <c r="F11" s="222">
        <f>Input!O133-Input!N133</f>
        <v>-0.7295534537419357</v>
      </c>
      <c r="G11" s="222">
        <f>Input!P133-Input!O133</f>
        <v>-0.24265082861403542</v>
      </c>
      <c r="H11" s="222">
        <f>Input!Q133-Input!P133</f>
        <v>-0.19233763355674327</v>
      </c>
      <c r="I11" s="222">
        <f>Input!R133-Input!Q133</f>
        <v>-0.79546345541093988</v>
      </c>
      <c r="J11" s="222">
        <f>Input!S133-Input!R133</f>
        <v>-0.22135285993467235</v>
      </c>
      <c r="M11" s="659" t="s">
        <v>300</v>
      </c>
      <c r="N11" s="659"/>
      <c r="O11" s="659"/>
      <c r="P11" s="659"/>
      <c r="Q11" s="25">
        <f ca="1">Q10/SUM(Q9:Q10)</f>
        <v>1.128162593515345</v>
      </c>
      <c r="R11" s="25">
        <f ca="1">R10/SUM(R9:R10)</f>
        <v>0.38150026957122551</v>
      </c>
    </row>
    <row r="12" spans="2:18" x14ac:dyDescent="0.3">
      <c r="B12" s="243" t="s">
        <v>596</v>
      </c>
      <c r="C12" s="227">
        <f>-'Fixed Assets (F)'!L8</f>
        <v>-125.259671486</v>
      </c>
      <c r="D12" s="227">
        <f>-'Fixed Assets (F)'!M8</f>
        <v>-32.670468849000002</v>
      </c>
      <c r="E12" s="227">
        <f>-'Fixed Assets (F)'!N8</f>
        <v>-61.467163394333333</v>
      </c>
      <c r="F12" s="222">
        <f>-'Fixed Assets (F)'!O8</f>
        <v>-81.671545771111127</v>
      </c>
      <c r="G12" s="222">
        <f>-'Fixed Assets (F)'!P8</f>
        <v>-30.672467761481482</v>
      </c>
      <c r="H12" s="222">
        <f>-'Fixed Assets (F)'!Q8</f>
        <v>-50.647245378641969</v>
      </c>
      <c r="I12" s="222">
        <f>-'Fixed Assets (F)'!R8</f>
        <v>-30.660484070411524</v>
      </c>
      <c r="J12" s="222">
        <f>-'Fixed Assets (F)'!S8</f>
        <v>-50.660065736844992</v>
      </c>
      <c r="M12" s="659" t="s">
        <v>301</v>
      </c>
      <c r="N12" s="659"/>
      <c r="O12" s="659"/>
      <c r="P12" s="659"/>
      <c r="Q12" s="26">
        <f ca="1">C29</f>
        <v>558.75269222168731</v>
      </c>
      <c r="R12" s="23">
        <f ca="1">C73</f>
        <v>595.2653411689638</v>
      </c>
    </row>
    <row r="13" spans="2:18" x14ac:dyDescent="0.3">
      <c r="B13" s="243" t="s">
        <v>597</v>
      </c>
      <c r="C13" s="227">
        <f>-((Input!L146-Input!L110-Input!L122)-(Input!K146-Input!K110-Input!K122)+(Input!K202-Input!K176-Input!K181)-(Input!L202-Input!L176-Input!L181))</f>
        <v>139.11477519800005</v>
      </c>
      <c r="D13" s="227">
        <f>-((Input!M146-Input!M110-Input!M122)-(Input!L146-Input!L110-Input!L122)+(Input!L202-Input!L176-Input!L181)-(Input!M202-Input!M176-Input!M181))</f>
        <v>-10.007151929000031</v>
      </c>
      <c r="E13" s="227">
        <f ca="1">-((Input!N146-Input!N110-Input!N122)-(Input!M146-Input!M110-Input!M122)+(Input!M202-Input!M176-Input!M181)-(Input!N202-Input!N176-Input!N181))</f>
        <v>-62.524200109682027</v>
      </c>
      <c r="F13" s="222">
        <f ca="1">-((Input!O146-Input!O110-Input!O122)-(Input!N146-Input!N110-Input!N122)+(Input!N202-Input!N176-Input!N181)-(Input!O202-Input!O176-Input!O181))</f>
        <v>-11.190535393932521</v>
      </c>
      <c r="G13" s="222">
        <f ca="1">-((Input!P146-Input!P110-Input!P122)-(Input!O146-Input!O110-Input!O122)+(Input!O202-Input!O176-Input!O181)-(Input!P202-Input!P176-Input!P181))</f>
        <v>-3.6585910243922513</v>
      </c>
      <c r="H13" s="222">
        <f ca="1">-((Input!Q146-Input!Q110-Input!Q122)-(Input!P146-Input!P110-Input!P122)+(Input!P202-Input!P176-Input!P181)-(Input!Q202-Input!Q176-Input!Q181))</f>
        <v>-0.4861525181329398</v>
      </c>
      <c r="I13" s="222">
        <f ca="1">-((Input!R146-Input!R110-Input!R122)-(Input!Q146-Input!Q110-Input!Q122)+(Input!Q202-Input!Q176-Input!Q181)-(Input!R202-Input!R176-Input!R181))</f>
        <v>-14.802692918396332</v>
      </c>
      <c r="J13" s="222">
        <f ca="1">-((Input!S146-Input!S110-Input!S122)-(Input!R146-Input!R110-Input!R122)+(Input!R202-Input!R176-Input!R181)-(Input!S202-Input!S176-Input!S181))</f>
        <v>-2.500124369077696</v>
      </c>
      <c r="M13" s="657" t="s">
        <v>302</v>
      </c>
      <c r="N13" s="657"/>
      <c r="O13" s="657"/>
      <c r="P13" s="657"/>
      <c r="Q13" s="28">
        <f ca="1">Q9+Q10+Q12</f>
        <v>894.84916372351904</v>
      </c>
      <c r="R13" s="243"/>
    </row>
    <row r="14" spans="2:18" x14ac:dyDescent="0.3">
      <c r="B14" s="245" t="s">
        <v>598</v>
      </c>
      <c r="C14" s="281">
        <f>Input!L55*(1-22%)</f>
        <v>6.7858283688000007</v>
      </c>
      <c r="D14" s="281">
        <f>Input!M55*(1-20%)</f>
        <v>5.9588943576000002</v>
      </c>
      <c r="E14" s="281">
        <f ca="1">Input!N55*(1-20%)</f>
        <v>6.4537737874466137</v>
      </c>
      <c r="F14" s="282">
        <f ca="1">Input!O55*(1-20%)</f>
        <v>6.4366054826167449</v>
      </c>
      <c r="G14" s="282">
        <f ca="1">Input!P55*(1-20%)</f>
        <v>7.2831022147947513</v>
      </c>
      <c r="H14" s="282">
        <f ca="1">Input!Q55*(1-20%)</f>
        <v>8.1539262473300891</v>
      </c>
      <c r="I14" s="282">
        <f ca="1">Input!R55*(1-20%)</f>
        <v>8.6873527083476532</v>
      </c>
      <c r="J14" s="282">
        <f ca="1">Input!S55*(1-20%)</f>
        <v>8.877574038875828</v>
      </c>
      <c r="M14" s="659" t="s">
        <v>303</v>
      </c>
      <c r="N14" s="659"/>
      <c r="O14" s="659"/>
      <c r="P14" s="659"/>
      <c r="Q14" s="22">
        <f ca="1">C30</f>
        <v>70.293766030173288</v>
      </c>
      <c r="R14" s="243"/>
    </row>
    <row r="15" spans="2:18" x14ac:dyDescent="0.3">
      <c r="B15" s="19" t="s">
        <v>599</v>
      </c>
      <c r="C15" s="233">
        <f>SUM(C8:C14)</f>
        <v>186.95821301280012</v>
      </c>
      <c r="D15" s="233">
        <f t="shared" ref="D15:J15" si="0">SUM(D8:D14)</f>
        <v>123.06889436059996</v>
      </c>
      <c r="E15" s="233">
        <f t="shared" ca="1" si="0"/>
        <v>32.296389226937926</v>
      </c>
      <c r="F15" s="233">
        <f t="shared" ca="1" si="0"/>
        <v>69.24280388780366</v>
      </c>
      <c r="G15" s="233">
        <f t="shared" ca="1" si="0"/>
        <v>108.04862465746278</v>
      </c>
      <c r="H15" s="233">
        <f t="shared" ca="1" si="0"/>
        <v>77.731135247432476</v>
      </c>
      <c r="I15" s="233">
        <f t="shared" ca="1" si="0"/>
        <v>69.58641017471956</v>
      </c>
      <c r="J15" s="233">
        <f t="shared" ca="1" si="0"/>
        <v>44.248940404032098</v>
      </c>
      <c r="M15" s="663" t="s">
        <v>304</v>
      </c>
      <c r="N15" s="663"/>
      <c r="O15" s="663"/>
      <c r="P15" s="663"/>
      <c r="Q15" s="28">
        <f ca="1">Q13-Q14</f>
        <v>824.55539769334575</v>
      </c>
      <c r="R15" s="29">
        <f ca="1">R9+R10+R12</f>
        <v>1347.6148577904607</v>
      </c>
    </row>
    <row r="16" spans="2:18" x14ac:dyDescent="0.3">
      <c r="B16" s="232" t="s">
        <v>600</v>
      </c>
      <c r="C16" s="232"/>
      <c r="D16" s="232"/>
      <c r="E16" s="281"/>
      <c r="F16" s="281">
        <f ca="1">F15*(1-C5)</f>
        <v>334.09652875865265</v>
      </c>
      <c r="G16" s="232"/>
      <c r="H16" s="232"/>
      <c r="I16" s="232"/>
      <c r="J16" s="232"/>
      <c r="M16" s="664" t="s">
        <v>305</v>
      </c>
      <c r="N16" s="664"/>
      <c r="O16" s="664"/>
      <c r="P16" s="664"/>
      <c r="Q16" s="483">
        <f>C32</f>
        <v>27</v>
      </c>
      <c r="R16" s="483">
        <f>Q16</f>
        <v>27</v>
      </c>
    </row>
    <row r="17" spans="2:18" s="55" customFormat="1" x14ac:dyDescent="0.3">
      <c r="B17" s="55" t="s">
        <v>601</v>
      </c>
      <c r="E17" s="233"/>
      <c r="F17" s="246">
        <f ca="1">F15-F16</f>
        <v>-264.85372487084896</v>
      </c>
      <c r="G17" s="246">
        <f t="shared" ref="G17:J17" ca="1" si="1">G15-G16</f>
        <v>108.04862465746278</v>
      </c>
      <c r="H17" s="246">
        <f t="shared" ca="1" si="1"/>
        <v>77.731135247432476</v>
      </c>
      <c r="I17" s="246">
        <f t="shared" ca="1" si="1"/>
        <v>69.58641017471956</v>
      </c>
      <c r="J17" s="246">
        <f t="shared" ca="1" si="1"/>
        <v>44.248940404032098</v>
      </c>
      <c r="M17" s="665" t="s">
        <v>306</v>
      </c>
      <c r="N17" s="665"/>
      <c r="O17" s="665"/>
      <c r="P17" s="665"/>
      <c r="Q17" s="484">
        <f ca="1">ROUND(Q15/Q16*1000,-2)</f>
        <v>30500</v>
      </c>
      <c r="R17" s="484">
        <f ca="1">ROUND(R15/R16*1000,-2)</f>
        <v>49900</v>
      </c>
    </row>
    <row r="18" spans="2:18" x14ac:dyDescent="0.3">
      <c r="M18" s="485"/>
      <c r="N18" s="485"/>
      <c r="O18" s="485"/>
      <c r="P18" s="485"/>
      <c r="Q18" s="486"/>
      <c r="R18" s="486"/>
    </row>
    <row r="19" spans="2:18" x14ac:dyDescent="0.3">
      <c r="B19" s="19" t="s">
        <v>602</v>
      </c>
      <c r="C19" s="105">
        <f>Assumption!D27</f>
        <v>0.01</v>
      </c>
      <c r="M19" s="485"/>
      <c r="N19" s="485"/>
      <c r="O19" s="485"/>
      <c r="P19" s="485"/>
      <c r="Q19" s="487"/>
      <c r="R19" s="487"/>
    </row>
    <row r="20" spans="2:18" x14ac:dyDescent="0.3">
      <c r="B20" s="19" t="s">
        <v>603</v>
      </c>
      <c r="C20" s="105">
        <f>Assumption!D23</f>
        <v>0.12559400097135903</v>
      </c>
    </row>
    <row r="22" spans="2:18" x14ac:dyDescent="0.3">
      <c r="B22" s="54" t="s">
        <v>591</v>
      </c>
      <c r="E22" s="107"/>
      <c r="F22" s="107">
        <f ca="1">C5</f>
        <v>-3.8250000000000002</v>
      </c>
      <c r="G22" s="107">
        <f ca="1">F22+1</f>
        <v>-2.8250000000000002</v>
      </c>
      <c r="H22" s="107">
        <f t="shared" ref="H22:J22" ca="1" si="2">G22+1</f>
        <v>-1.8250000000000002</v>
      </c>
      <c r="I22" s="107">
        <f t="shared" ca="1" si="2"/>
        <v>-0.82500000000000018</v>
      </c>
      <c r="J22" s="107">
        <f t="shared" ca="1" si="2"/>
        <v>0.17499999999999982</v>
      </c>
    </row>
    <row r="23" spans="2:18" x14ac:dyDescent="0.3">
      <c r="B23" s="232" t="s">
        <v>604</v>
      </c>
      <c r="C23" s="232"/>
      <c r="D23" s="232"/>
      <c r="E23" s="342"/>
      <c r="F23" s="342">
        <f ca="1">(1+F46)^F22</f>
        <v>0.65195578997147841</v>
      </c>
      <c r="G23" s="342">
        <f t="shared" ref="G23:I23" ca="1" si="3">(1+G46)^G22</f>
        <v>0.72932315619063093</v>
      </c>
      <c r="H23" s="342">
        <f t="shared" ca="1" si="3"/>
        <v>0.81539043318342508</v>
      </c>
      <c r="I23" s="342">
        <f t="shared" ca="1" si="3"/>
        <v>0.91207278191476604</v>
      </c>
      <c r="J23" s="342">
        <f ca="1">(1+J46)^J22</f>
        <v>1.0196551204922875</v>
      </c>
    </row>
    <row r="24" spans="2:18" s="55" customFormat="1" x14ac:dyDescent="0.3">
      <c r="B24" s="55" t="s">
        <v>605</v>
      </c>
      <c r="E24" s="304"/>
      <c r="F24" s="304">
        <f ca="1">F17/F23</f>
        <v>-406.24491559839618</v>
      </c>
      <c r="G24" s="304">
        <f t="shared" ref="G24:I24" ca="1" si="4">G17/G23</f>
        <v>148.14917604127322</v>
      </c>
      <c r="H24" s="304">
        <f t="shared" ca="1" si="4"/>
        <v>95.329957384901732</v>
      </c>
      <c r="I24" s="304">
        <f t="shared" ca="1" si="4"/>
        <v>76.294799663501493</v>
      </c>
      <c r="J24" s="304">
        <f ca="1">J17/J23</f>
        <v>43.395987049688721</v>
      </c>
    </row>
    <row r="25" spans="2:18" x14ac:dyDescent="0.3">
      <c r="B25" s="54" t="s">
        <v>606</v>
      </c>
      <c r="C25" s="354">
        <f ca="1">SUM(F24:J24)</f>
        <v>-43.074995459031022</v>
      </c>
      <c r="L25" s="601"/>
      <c r="M25" s="666" t="s">
        <v>649</v>
      </c>
      <c r="N25" s="666"/>
      <c r="O25" s="666"/>
      <c r="P25" s="666"/>
      <c r="Q25" s="666"/>
      <c r="R25" s="666"/>
    </row>
    <row r="26" spans="2:18" ht="18" customHeight="1" x14ac:dyDescent="0.3">
      <c r="B26" s="54" t="s">
        <v>607</v>
      </c>
      <c r="C26" s="110">
        <f ca="1">J17*(1+C19)/(C20-C19)</f>
        <v>386.62412783121596</v>
      </c>
      <c r="L26" s="662" t="s">
        <v>650</v>
      </c>
      <c r="M26" s="667" t="s">
        <v>291</v>
      </c>
      <c r="N26" s="667"/>
      <c r="O26" s="667"/>
      <c r="P26" s="667"/>
      <c r="Q26" s="667"/>
      <c r="R26" s="667"/>
    </row>
    <row r="27" spans="2:18" x14ac:dyDescent="0.3">
      <c r="B27" s="54" t="s">
        <v>608</v>
      </c>
      <c r="C27" s="354">
        <f ca="1">C26/J23</f>
        <v>379.1714669608628</v>
      </c>
      <c r="L27" s="662"/>
      <c r="M27" s="499">
        <f ca="1">Q17</f>
        <v>30500</v>
      </c>
      <c r="N27" s="556">
        <f>O27-0.5%</f>
        <v>0</v>
      </c>
      <c r="O27" s="556">
        <f>P27-0.5%</f>
        <v>5.0000000000000001E-3</v>
      </c>
      <c r="P27" s="496">
        <v>0.01</v>
      </c>
      <c r="Q27" s="556">
        <f>P27+1%</f>
        <v>0.02</v>
      </c>
      <c r="R27" s="556">
        <f>Q27+1%</f>
        <v>0.03</v>
      </c>
    </row>
    <row r="28" spans="2:18" ht="15" customHeight="1" x14ac:dyDescent="0.3">
      <c r="B28" s="40" t="s">
        <v>609</v>
      </c>
      <c r="C28" s="432">
        <f ca="1">C25+C27</f>
        <v>336.09647150183179</v>
      </c>
      <c r="L28" s="662"/>
      <c r="M28" s="555">
        <f>M29-1%</f>
        <v>0.10559400097135904</v>
      </c>
      <c r="N28" s="500">
        <f t="dataTable" ref="N28:R32" dt2D="1" dtr="1" r1="C19" r2="C20" ca="1"/>
        <v>31700</v>
      </c>
      <c r="O28" s="500">
        <v>32600</v>
      </c>
      <c r="P28" s="497">
        <v>33500</v>
      </c>
      <c r="Q28" s="500">
        <v>35600</v>
      </c>
      <c r="R28" s="500">
        <v>38400</v>
      </c>
    </row>
    <row r="29" spans="2:18" x14ac:dyDescent="0.3">
      <c r="B29" s="247" t="s">
        <v>611</v>
      </c>
      <c r="C29" s="354">
        <f ca="1">SUM(Output_BS!O5:O7)/F23</f>
        <v>558.75269222168731</v>
      </c>
      <c r="L29" s="662"/>
      <c r="M29" s="555">
        <f>M30-1%</f>
        <v>0.11559400097135904</v>
      </c>
      <c r="N29" s="500">
        <v>30400</v>
      </c>
      <c r="O29" s="500">
        <v>31100</v>
      </c>
      <c r="P29" s="497">
        <v>31900</v>
      </c>
      <c r="Q29" s="500">
        <v>33600</v>
      </c>
      <c r="R29" s="500">
        <v>35800</v>
      </c>
    </row>
    <row r="30" spans="2:18" x14ac:dyDescent="0.3">
      <c r="B30" s="247" t="s">
        <v>612</v>
      </c>
      <c r="C30" s="354">
        <f ca="1">SUM(Input!N176,Input!N181,Input!N207)/F23</f>
        <v>70.293766030173288</v>
      </c>
      <c r="L30" s="662"/>
      <c r="M30" s="563">
        <v>0.12559400097135903</v>
      </c>
      <c r="N30" s="498">
        <v>29300</v>
      </c>
      <c r="O30" s="498">
        <v>29900</v>
      </c>
      <c r="P30" s="584">
        <v>30500</v>
      </c>
      <c r="Q30" s="498">
        <v>32000</v>
      </c>
      <c r="R30" s="498">
        <v>33800</v>
      </c>
    </row>
    <row r="31" spans="2:18" x14ac:dyDescent="0.3">
      <c r="B31" s="40" t="s">
        <v>610</v>
      </c>
      <c r="C31" s="433">
        <f ca="1">C28+C29-C30</f>
        <v>824.55539769334575</v>
      </c>
      <c r="L31" s="662"/>
      <c r="M31" s="555">
        <f>M30+1%</f>
        <v>0.13559400097135904</v>
      </c>
      <c r="N31" s="500">
        <v>28300</v>
      </c>
      <c r="O31" s="500">
        <v>28900</v>
      </c>
      <c r="P31" s="497">
        <v>29400</v>
      </c>
      <c r="Q31" s="500">
        <v>30700</v>
      </c>
      <c r="R31" s="500">
        <v>32200</v>
      </c>
    </row>
    <row r="32" spans="2:18" x14ac:dyDescent="0.3">
      <c r="B32" s="198" t="s">
        <v>633</v>
      </c>
      <c r="C32" s="354">
        <f>Assumption!D30</f>
        <v>27</v>
      </c>
      <c r="L32" s="662"/>
      <c r="M32" s="555">
        <f>M31+1%</f>
        <v>0.14559400097135905</v>
      </c>
      <c r="N32" s="500">
        <v>27500</v>
      </c>
      <c r="O32" s="500">
        <v>28000</v>
      </c>
      <c r="P32" s="497">
        <v>28500</v>
      </c>
      <c r="Q32" s="500">
        <v>29500</v>
      </c>
      <c r="R32" s="500">
        <v>30800</v>
      </c>
    </row>
    <row r="33" spans="2:10" x14ac:dyDescent="0.3">
      <c r="B33" s="494" t="s">
        <v>613</v>
      </c>
      <c r="C33" s="494">
        <f ca="1">C31/C32</f>
        <v>30.539088803457251</v>
      </c>
    </row>
    <row r="35" spans="2:10" ht="15" customHeight="1" x14ac:dyDescent="0.3"/>
    <row r="36" spans="2:10" ht="15" customHeight="1" x14ac:dyDescent="0.3">
      <c r="B36" s="248" t="s">
        <v>614</v>
      </c>
      <c r="C36" s="238"/>
      <c r="D36" s="238"/>
      <c r="E36" s="238"/>
      <c r="F36" s="238"/>
      <c r="G36" s="238"/>
      <c r="H36" s="238"/>
      <c r="I36" s="238"/>
      <c r="J36" s="249"/>
    </row>
    <row r="37" spans="2:10" x14ac:dyDescent="0.3">
      <c r="B37" s="250" t="s">
        <v>615</v>
      </c>
      <c r="C37" s="251">
        <f>Assumption!D8</f>
        <v>6.4500000000000002E-2</v>
      </c>
      <c r="D37" s="56"/>
      <c r="E37" s="56"/>
      <c r="F37" s="56"/>
      <c r="G37" s="56"/>
      <c r="H37" s="56"/>
      <c r="I37" s="56"/>
      <c r="J37" s="252"/>
    </row>
    <row r="38" spans="2:10" x14ac:dyDescent="0.3">
      <c r="B38" s="250" t="s">
        <v>277</v>
      </c>
      <c r="C38" s="253">
        <f>Assumption!D9</f>
        <v>0.80910672954834695</v>
      </c>
      <c r="D38" s="56"/>
      <c r="E38" s="56"/>
      <c r="F38" s="56"/>
      <c r="G38" s="56"/>
      <c r="H38" s="56"/>
      <c r="I38" s="56"/>
      <c r="J38" s="252"/>
    </row>
    <row r="39" spans="2:10" x14ac:dyDescent="0.3">
      <c r="B39" s="250" t="s">
        <v>616</v>
      </c>
      <c r="C39" s="251">
        <f>Assumption!D10</f>
        <v>7.4663101260102963E-2</v>
      </c>
      <c r="D39" s="56"/>
      <c r="E39" s="56"/>
      <c r="F39" s="56"/>
      <c r="G39" s="56"/>
      <c r="H39" s="56"/>
      <c r="I39" s="56"/>
      <c r="J39" s="252"/>
    </row>
    <row r="40" spans="2:10" x14ac:dyDescent="0.3">
      <c r="B40" s="254" t="s">
        <v>424</v>
      </c>
      <c r="C40" s="251"/>
      <c r="D40" s="56"/>
      <c r="E40" s="230">
        <f ca="1">SUM(Output_BS!N21:O22,Output_BS!N27:O27)/SUM(Output_BS!N41:O41)</f>
        <v>9.5388722446961297E-2</v>
      </c>
      <c r="F40" s="230">
        <f ca="1">SUM(Output_BS!O21:P22,Output_BS!O27:P27)/SUM(Output_BS!O41:P41)</f>
        <v>9.3985867089742478E-2</v>
      </c>
      <c r="G40" s="230">
        <f ca="1">SUM(Output_BS!P21:Q22,Output_BS!P27:Q27)/SUM(Output_BS!P41:Q41)</f>
        <v>9.5861301781604277E-2</v>
      </c>
      <c r="H40" s="230">
        <f ca="1">SUM(Output_BS!Q21:R22,Output_BS!Q27:R27)/SUM(Output_BS!Q41:R41)</f>
        <v>9.4132007652119709E-2</v>
      </c>
      <c r="I40" s="230">
        <f ca="1">SUM(Output_BS!R21:S22,Output_BS!R27:S27)/SUM(Output_BS!R41:S41)</f>
        <v>9.8889380031008084E-2</v>
      </c>
      <c r="J40" s="279">
        <f ca="1">SUM(Output_BS!S21:T22,Output_BS!S27:T27)/SUM(Output_BS!S41:T41)</f>
        <v>0.10478543926678752</v>
      </c>
    </row>
    <row r="41" spans="2:10" x14ac:dyDescent="0.3">
      <c r="B41" s="254" t="s">
        <v>617</v>
      </c>
      <c r="C41" s="56"/>
      <c r="D41" s="56"/>
      <c r="E41" s="255">
        <f>Input!N70</f>
        <v>0.2</v>
      </c>
      <c r="F41" s="255">
        <f>Input!O70</f>
        <v>0.2</v>
      </c>
      <c r="G41" s="255">
        <f>Input!P70</f>
        <v>0.2</v>
      </c>
      <c r="H41" s="255">
        <f>Input!Q70</f>
        <v>0.2</v>
      </c>
      <c r="I41" s="255">
        <f>Input!R70</f>
        <v>0.2</v>
      </c>
      <c r="J41" s="256">
        <f>Input!S70</f>
        <v>0.2</v>
      </c>
    </row>
    <row r="42" spans="2:10" x14ac:dyDescent="0.3">
      <c r="B42" s="254" t="s">
        <v>423</v>
      </c>
      <c r="C42" s="56"/>
      <c r="D42" s="56"/>
      <c r="E42" s="273">
        <f ca="1">$C$38*(1+E40*(1-E41))</f>
        <v>0.8708504553522316</v>
      </c>
      <c r="F42" s="273">
        <f t="shared" ref="F42:J42" ca="1" si="5">$C$38*(1+F40*(1-F41))</f>
        <v>0.86994240758414476</v>
      </c>
      <c r="G42" s="273">
        <f t="shared" ca="1" si="5"/>
        <v>0.87115634904815575</v>
      </c>
      <c r="H42" s="273">
        <f t="shared" ca="1" si="5"/>
        <v>0.87003700223412817</v>
      </c>
      <c r="I42" s="273">
        <f t="shared" ca="1" si="5"/>
        <v>0.87311637983950896</v>
      </c>
      <c r="J42" s="274">
        <f t="shared" ca="1" si="5"/>
        <v>0.87693281280389679</v>
      </c>
    </row>
    <row r="43" spans="2:10" x14ac:dyDescent="0.3">
      <c r="B43" s="250" t="s">
        <v>618</v>
      </c>
      <c r="C43" s="56"/>
      <c r="D43" s="56"/>
      <c r="E43" s="275">
        <f ca="1">$C$37+E42*$C$39</f>
        <v>0.12952039573037044</v>
      </c>
      <c r="F43" s="275">
        <f ca="1">$C$37+F42*$C$39</f>
        <v>0.12945259806791276</v>
      </c>
      <c r="G43" s="275">
        <f t="shared" ref="G43:H43" ca="1" si="6">$C$37+G42*$C$39</f>
        <v>0.12954323470236406</v>
      </c>
      <c r="H43" s="275">
        <f t="shared" ca="1" si="6"/>
        <v>0.12945966079784316</v>
      </c>
      <c r="I43" s="275">
        <f ca="1">$C$37+I42*$C$39</f>
        <v>0.12968957667981179</v>
      </c>
      <c r="J43" s="276">
        <f ca="1">$C$37+J42*$C$39</f>
        <v>0.12997452340068427</v>
      </c>
    </row>
    <row r="44" spans="2:10" x14ac:dyDescent="0.3">
      <c r="B44" s="254" t="s">
        <v>619</v>
      </c>
      <c r="C44" s="56"/>
      <c r="D44" s="56"/>
      <c r="E44" s="56"/>
      <c r="F44" s="56"/>
      <c r="G44" s="56"/>
      <c r="H44" s="56"/>
      <c r="I44" s="56"/>
      <c r="J44" s="252"/>
    </row>
    <row r="45" spans="2:10" x14ac:dyDescent="0.3">
      <c r="B45" s="254" t="s">
        <v>534</v>
      </c>
      <c r="C45" s="56"/>
      <c r="D45" s="56"/>
      <c r="E45" s="230">
        <f ca="1">1/(1/E40+1)</f>
        <v>8.7082074602589335E-2</v>
      </c>
      <c r="F45" s="230">
        <f t="shared" ref="F45:J45" ca="1" si="7">1/(1/F40+1)</f>
        <v>8.5911408837270262E-2</v>
      </c>
      <c r="G45" s="230">
        <f t="shared" ca="1" si="7"/>
        <v>8.74757614177607E-2</v>
      </c>
      <c r="H45" s="230">
        <f t="shared" ca="1" si="7"/>
        <v>8.6033501436555235E-2</v>
      </c>
      <c r="I45" s="230">
        <f t="shared" ca="1" si="7"/>
        <v>8.9990295500187348E-2</v>
      </c>
      <c r="J45" s="279">
        <f t="shared" ca="1" si="7"/>
        <v>9.4846868489080027E-2</v>
      </c>
    </row>
    <row r="46" spans="2:10" x14ac:dyDescent="0.3">
      <c r="B46" s="257" t="s">
        <v>620</v>
      </c>
      <c r="C46" s="232"/>
      <c r="D46" s="232"/>
      <c r="E46" s="278">
        <f ca="1">E43*(1-E45)+E44*E45*(1-E41)</f>
        <v>0.11824149096682143</v>
      </c>
      <c r="F46" s="278">
        <f t="shared" ref="F46:J46" ca="1" si="8">F43*(1-F45)+F44*F45*(1-F41)</f>
        <v>0.11833114299025349</v>
      </c>
      <c r="G46" s="278">
        <f t="shared" ca="1" si="8"/>
        <v>0.11821134161025508</v>
      </c>
      <c r="H46" s="278">
        <f t="shared" ca="1" si="8"/>
        <v>0.11832179288461597</v>
      </c>
      <c r="I46" s="278">
        <f t="shared" ca="1" si="8"/>
        <v>0.11801877335110132</v>
      </c>
      <c r="J46" s="280">
        <f t="shared" ca="1" si="8"/>
        <v>0.11764684687276872</v>
      </c>
    </row>
    <row r="51" spans="2:18" x14ac:dyDescent="0.3">
      <c r="B51" s="488" t="s">
        <v>642</v>
      </c>
      <c r="C51" s="241">
        <f t="shared" ref="C51:C57" si="9">C7</f>
        <v>42369</v>
      </c>
      <c r="D51" s="241">
        <f t="shared" ref="D51:J51" si="10">D7</f>
        <v>42735</v>
      </c>
      <c r="E51" s="241">
        <f t="shared" si="10"/>
        <v>43100</v>
      </c>
      <c r="F51" s="241">
        <f t="shared" si="10"/>
        <v>43465</v>
      </c>
      <c r="G51" s="241">
        <f t="shared" si="10"/>
        <v>43830</v>
      </c>
      <c r="H51" s="241">
        <f t="shared" si="10"/>
        <v>44196</v>
      </c>
      <c r="I51" s="241">
        <f t="shared" si="10"/>
        <v>44561</v>
      </c>
      <c r="J51" s="241">
        <f t="shared" si="10"/>
        <v>44926</v>
      </c>
    </row>
    <row r="52" spans="2:18" x14ac:dyDescent="0.3">
      <c r="B52" s="243" t="s">
        <v>204</v>
      </c>
      <c r="C52" s="227">
        <f t="shared" si="9"/>
        <v>107.0102664730001</v>
      </c>
      <c r="D52" s="227">
        <f t="shared" ref="D52:J52" si="11">D8</f>
        <v>106.151695854</v>
      </c>
      <c r="E52" s="227">
        <f t="shared" ca="1" si="11"/>
        <v>102.73557728757028</v>
      </c>
      <c r="F52" s="222">
        <f t="shared" ca="1" si="11"/>
        <v>98.436381669272308</v>
      </c>
      <c r="G52" s="222">
        <f t="shared" ca="1" si="11"/>
        <v>88.279011604895899</v>
      </c>
      <c r="H52" s="222">
        <f t="shared" ca="1" si="11"/>
        <v>67.571270430324802</v>
      </c>
      <c r="I52" s="222">
        <f t="shared" ca="1" si="11"/>
        <v>70.194092841797698</v>
      </c>
      <c r="J52" s="222">
        <f t="shared" ca="1" si="11"/>
        <v>54.134143857734756</v>
      </c>
    </row>
    <row r="53" spans="2:18" x14ac:dyDescent="0.3">
      <c r="B53" s="243" t="s">
        <v>593</v>
      </c>
      <c r="C53" s="227">
        <f t="shared" si="9"/>
        <v>-8.6997799600000008</v>
      </c>
      <c r="D53" s="227">
        <f t="shared" ref="D53:J53" si="12">D9</f>
        <v>-7.4486179469999998</v>
      </c>
      <c r="E53" s="227">
        <f t="shared" ca="1" si="12"/>
        <v>-8.0672172343082664</v>
      </c>
      <c r="F53" s="222">
        <f t="shared" ca="1" si="12"/>
        <v>-8.0457568532709303</v>
      </c>
      <c r="G53" s="222">
        <f t="shared" ca="1" si="12"/>
        <v>-9.1038777684934384</v>
      </c>
      <c r="H53" s="222">
        <f t="shared" ca="1" si="12"/>
        <v>-10.19240780916261</v>
      </c>
      <c r="I53" s="222">
        <f t="shared" ca="1" si="12"/>
        <v>-10.859190885434566</v>
      </c>
      <c r="J53" s="222">
        <f t="shared" ca="1" si="12"/>
        <v>-11.096967548594785</v>
      </c>
    </row>
    <row r="54" spans="2:18" x14ac:dyDescent="0.3">
      <c r="B54" s="243" t="s">
        <v>594</v>
      </c>
      <c r="C54" s="227">
        <f t="shared" si="9"/>
        <v>64.229387505999995</v>
      </c>
      <c r="D54" s="227">
        <f t="shared" ref="D54:J54" si="13">D10</f>
        <v>60.815179998999994</v>
      </c>
      <c r="E54" s="227">
        <f t="shared" si="13"/>
        <v>57.397677603700025</v>
      </c>
      <c r="F54" s="222">
        <f t="shared" si="13"/>
        <v>66.007208207971132</v>
      </c>
      <c r="G54" s="222">
        <f t="shared" si="13"/>
        <v>56.164098220753353</v>
      </c>
      <c r="H54" s="222">
        <f t="shared" si="13"/>
        <v>63.524081909271857</v>
      </c>
      <c r="I54" s="222">
        <f t="shared" si="13"/>
        <v>47.82279595422758</v>
      </c>
      <c r="J54" s="222">
        <f t="shared" si="13"/>
        <v>45.71573302187366</v>
      </c>
    </row>
    <row r="55" spans="2:18" x14ac:dyDescent="0.3">
      <c r="B55" s="243" t="s">
        <v>595</v>
      </c>
      <c r="C55" s="227">
        <f t="shared" si="9"/>
        <v>3.7774069130000001</v>
      </c>
      <c r="D55" s="227">
        <f t="shared" ref="D55:J55" si="14">D11</f>
        <v>0.26936287500000011</v>
      </c>
      <c r="E55" s="227">
        <f t="shared" si="14"/>
        <v>-2.232058713455372</v>
      </c>
      <c r="F55" s="222">
        <f t="shared" si="14"/>
        <v>-0.7295534537419357</v>
      </c>
      <c r="G55" s="222">
        <f t="shared" si="14"/>
        <v>-0.24265082861403542</v>
      </c>
      <c r="H55" s="222">
        <f t="shared" si="14"/>
        <v>-0.19233763355674327</v>
      </c>
      <c r="I55" s="222">
        <f t="shared" si="14"/>
        <v>-0.79546345541093988</v>
      </c>
      <c r="J55" s="222">
        <f t="shared" si="14"/>
        <v>-0.22135285993467235</v>
      </c>
    </row>
    <row r="56" spans="2:18" x14ac:dyDescent="0.3">
      <c r="B56" s="243" t="s">
        <v>596</v>
      </c>
      <c r="C56" s="227">
        <f t="shared" si="9"/>
        <v>-125.259671486</v>
      </c>
      <c r="D56" s="227">
        <f t="shared" ref="D56:J56" si="15">D12</f>
        <v>-32.670468849000002</v>
      </c>
      <c r="E56" s="227">
        <f t="shared" si="15"/>
        <v>-61.467163394333333</v>
      </c>
      <c r="F56" s="222">
        <f t="shared" si="15"/>
        <v>-81.671545771111127</v>
      </c>
      <c r="G56" s="222">
        <f t="shared" si="15"/>
        <v>-30.672467761481482</v>
      </c>
      <c r="H56" s="222">
        <f t="shared" si="15"/>
        <v>-50.647245378641969</v>
      </c>
      <c r="I56" s="222">
        <f t="shared" si="15"/>
        <v>-30.660484070411524</v>
      </c>
      <c r="J56" s="222">
        <f t="shared" si="15"/>
        <v>-50.660065736844992</v>
      </c>
    </row>
    <row r="57" spans="2:18" x14ac:dyDescent="0.3">
      <c r="B57" s="243" t="s">
        <v>597</v>
      </c>
      <c r="C57" s="227">
        <f t="shared" si="9"/>
        <v>139.11477519800005</v>
      </c>
      <c r="D57" s="227">
        <f t="shared" ref="D57:J57" si="16">D13</f>
        <v>-10.007151929000031</v>
      </c>
      <c r="E57" s="227">
        <f t="shared" ca="1" si="16"/>
        <v>-62.524200109682027</v>
      </c>
      <c r="F57" s="222">
        <f t="shared" ca="1" si="16"/>
        <v>-11.190535393932521</v>
      </c>
      <c r="G57" s="222">
        <f t="shared" ca="1" si="16"/>
        <v>-3.6585910243922513</v>
      </c>
      <c r="H57" s="222">
        <f t="shared" ca="1" si="16"/>
        <v>-0.4861525181329398</v>
      </c>
      <c r="I57" s="222">
        <f t="shared" ca="1" si="16"/>
        <v>-14.802692918396332</v>
      </c>
      <c r="J57" s="222">
        <f t="shared" ca="1" si="16"/>
        <v>-2.500124369077696</v>
      </c>
    </row>
    <row r="58" spans="2:18" x14ac:dyDescent="0.3">
      <c r="B58" s="245" t="s">
        <v>643</v>
      </c>
      <c r="C58" s="281">
        <f>(Output_BS!M21+Output_BS!M22+Output_BS!M27)-(Output_BS!L21+Output_BS!L22+Output_BS!L27)</f>
        <v>12.530197545999997</v>
      </c>
      <c r="D58" s="281">
        <f>(Output_BS!N21+Output_BS!N22+Output_BS!N27)-(Output_BS!M21+Output_BS!M22+Output_BS!M27)</f>
        <v>-27.596507795999997</v>
      </c>
      <c r="E58" s="281">
        <f ca="1">(Output_BS!O21+Output_BS!O22+Output_BS!O27)-(Output_BS!N21+Output_BS!N22+Output_BS!N27)</f>
        <v>-1.6258376237281027</v>
      </c>
      <c r="F58" s="282">
        <f ca="1">(Output_BS!P21+Output_BS!P22+Output_BS!P27)-(Output_BS!O21+Output_BS!O22+Output_BS!O27)</f>
        <v>9.0111097372715605</v>
      </c>
      <c r="G58" s="282">
        <f ca="1">(Output_BS!Q21+Output_BS!Q22+Output_BS!Q27)-(Output_BS!P21+Output_BS!P22+Output_BS!P27)</f>
        <v>0.54342250466653041</v>
      </c>
      <c r="H58" s="282">
        <f ca="1">(Output_BS!R21+Output_BS!R22+Output_BS!R27)-(Output_BS!Q21+Output_BS!Q22+Output_BS!Q27)</f>
        <v>1.9724570646994977</v>
      </c>
      <c r="I58" s="282">
        <f ca="1">(Output_BS!S21+Output_BS!S22+Output_BS!S27)-(Output_BS!R21+Output_BS!R22+Output_BS!R27)</f>
        <v>6.6687478261186044</v>
      </c>
      <c r="J58" s="282">
        <f ca="1">(Output_BS!T21+Output_BS!T22+Output_BS!T27)-(Output_BS!S21+Output_BS!S22+Output_BS!S27)</f>
        <v>2.2792011097449603</v>
      </c>
    </row>
    <row r="59" spans="2:18" x14ac:dyDescent="0.3">
      <c r="B59" s="19" t="s">
        <v>644</v>
      </c>
      <c r="C59" s="233">
        <f>SUM(C52:C58)</f>
        <v>192.7025821900001</v>
      </c>
      <c r="D59" s="233">
        <f t="shared" ref="D59:I59" si="17">SUM(D52:D58)</f>
        <v>89.513492206999956</v>
      </c>
      <c r="E59" s="233">
        <f ca="1">SUM(E52:E58)</f>
        <v>24.216777815763209</v>
      </c>
      <c r="F59" s="233">
        <f t="shared" ca="1" si="17"/>
        <v>71.817308142458472</v>
      </c>
      <c r="G59" s="233">
        <f t="shared" ca="1" si="17"/>
        <v>101.30894494733457</v>
      </c>
      <c r="H59" s="233">
        <f t="shared" ca="1" si="17"/>
        <v>71.549666064801883</v>
      </c>
      <c r="I59" s="233">
        <f t="shared" ca="1" si="17"/>
        <v>67.567805292490519</v>
      </c>
      <c r="J59" s="233">
        <f ca="1">SUM(J52:J58)</f>
        <v>37.65056747490123</v>
      </c>
    </row>
    <row r="60" spans="2:18" x14ac:dyDescent="0.3">
      <c r="B60" s="245" t="s">
        <v>600</v>
      </c>
      <c r="C60" s="232"/>
      <c r="D60" s="232"/>
      <c r="E60" s="281"/>
      <c r="F60" s="281">
        <f ca="1">F59*(1-C5)</f>
        <v>346.51851178736212</v>
      </c>
      <c r="G60" s="232"/>
      <c r="H60" s="232"/>
      <c r="I60" s="232"/>
      <c r="J60" s="232"/>
    </row>
    <row r="61" spans="2:18" ht="15" customHeight="1" x14ac:dyDescent="0.3">
      <c r="B61" s="19" t="s">
        <v>645</v>
      </c>
      <c r="E61" s="233"/>
      <c r="F61" s="246">
        <f ca="1">F59-F60</f>
        <v>-274.70120364490367</v>
      </c>
      <c r="G61" s="246">
        <f t="shared" ref="G61:J61" ca="1" si="18">G59-G60</f>
        <v>101.30894494733457</v>
      </c>
      <c r="H61" s="246">
        <f t="shared" ca="1" si="18"/>
        <v>71.549666064801883</v>
      </c>
      <c r="I61" s="246">
        <f t="shared" ca="1" si="18"/>
        <v>67.567805292490519</v>
      </c>
      <c r="J61" s="246">
        <f t="shared" ca="1" si="18"/>
        <v>37.65056747490123</v>
      </c>
      <c r="L61" s="602"/>
      <c r="M61" s="660" t="s">
        <v>651</v>
      </c>
      <c r="N61" s="660"/>
      <c r="O61" s="660"/>
      <c r="P61" s="660"/>
      <c r="Q61" s="660"/>
      <c r="R61" s="660"/>
    </row>
    <row r="62" spans="2:18" x14ac:dyDescent="0.3">
      <c r="B62" s="19"/>
      <c r="L62" s="661" t="s">
        <v>652</v>
      </c>
      <c r="M62" s="668" t="s">
        <v>602</v>
      </c>
      <c r="N62" s="668"/>
      <c r="O62" s="668"/>
      <c r="P62" s="668"/>
      <c r="Q62" s="668"/>
      <c r="R62" s="668"/>
    </row>
    <row r="63" spans="2:18" x14ac:dyDescent="0.3">
      <c r="B63" s="19" t="s">
        <v>602</v>
      </c>
      <c r="C63" s="105">
        <f>Assumption!D27</f>
        <v>0.01</v>
      </c>
      <c r="L63" s="661"/>
      <c r="M63" s="499">
        <f ca="1">R17</f>
        <v>49900</v>
      </c>
      <c r="N63" s="556">
        <f>O63-0.5%</f>
        <v>0</v>
      </c>
      <c r="O63" s="556">
        <f>P63-0.5%</f>
        <v>5.0000000000000001E-3</v>
      </c>
      <c r="P63" s="496">
        <v>0.01</v>
      </c>
      <c r="Q63" s="556">
        <f>P63+1%</f>
        <v>0.02</v>
      </c>
      <c r="R63" s="556">
        <f>Q63+1%</f>
        <v>0.03</v>
      </c>
    </row>
    <row r="64" spans="2:18" ht="15" customHeight="1" x14ac:dyDescent="0.3">
      <c r="B64" s="19" t="s">
        <v>646</v>
      </c>
      <c r="C64" s="105">
        <f>Assumption!D17</f>
        <v>0.13699250121419876</v>
      </c>
      <c r="L64" s="661"/>
      <c r="M64" s="564">
        <v>0.11436073494436297</v>
      </c>
      <c r="N64" s="503">
        <f t="dataTable" ref="N64:R68" dt2D="1" dtr="1" r1="C63" r2="C64" ca="1"/>
        <v>48800</v>
      </c>
      <c r="O64" s="503">
        <v>49300</v>
      </c>
      <c r="P64" s="501">
        <v>49800</v>
      </c>
      <c r="Q64" s="503">
        <v>51100</v>
      </c>
      <c r="R64" s="503">
        <v>52600</v>
      </c>
    </row>
    <row r="65" spans="2:19" x14ac:dyDescent="0.3">
      <c r="B65" s="19"/>
      <c r="L65" s="661"/>
      <c r="M65" s="564">
        <v>0.12436073494436296</v>
      </c>
      <c r="N65" s="503">
        <v>48900</v>
      </c>
      <c r="O65" s="503">
        <v>49300</v>
      </c>
      <c r="P65" s="501">
        <v>49700</v>
      </c>
      <c r="Q65" s="503">
        <v>50800</v>
      </c>
      <c r="R65" s="503">
        <v>52000</v>
      </c>
    </row>
    <row r="66" spans="2:19" x14ac:dyDescent="0.3">
      <c r="B66" s="21" t="s">
        <v>591</v>
      </c>
      <c r="E66" s="107"/>
      <c r="F66" s="107">
        <f ca="1">C5</f>
        <v>-3.8250000000000002</v>
      </c>
      <c r="G66" s="107">
        <f t="shared" ref="G66:J66" ca="1" si="19">F66+1</f>
        <v>-2.8250000000000002</v>
      </c>
      <c r="H66" s="107">
        <f t="shared" ca="1" si="19"/>
        <v>-1.8250000000000002</v>
      </c>
      <c r="I66" s="107">
        <f t="shared" ca="1" si="19"/>
        <v>-0.82500000000000018</v>
      </c>
      <c r="J66" s="107">
        <f t="shared" ca="1" si="19"/>
        <v>0.17499999999999982</v>
      </c>
      <c r="L66" s="661"/>
      <c r="M66" s="565">
        <v>0.13699250121419876</v>
      </c>
      <c r="N66" s="502">
        <v>49200</v>
      </c>
      <c r="O66" s="502">
        <v>49600</v>
      </c>
      <c r="P66" s="605">
        <v>49900</v>
      </c>
      <c r="Q66" s="502">
        <v>50700</v>
      </c>
      <c r="R66" s="502">
        <v>51700</v>
      </c>
    </row>
    <row r="67" spans="2:19" x14ac:dyDescent="0.3">
      <c r="B67" s="245" t="s">
        <v>604</v>
      </c>
      <c r="C67" s="232"/>
      <c r="D67" s="490"/>
      <c r="E67" s="491"/>
      <c r="F67" s="491">
        <f t="shared" ref="F67:J67" ca="1" si="20">(1+$C$64)^F66</f>
        <v>0.61196583718567354</v>
      </c>
      <c r="G67" s="491">
        <f t="shared" ca="1" si="20"/>
        <v>0.69580056787938005</v>
      </c>
      <c r="H67" s="491">
        <f t="shared" ca="1" si="20"/>
        <v>0.79112002801943626</v>
      </c>
      <c r="I67" s="491">
        <f t="shared" ca="1" si="20"/>
        <v>0.89949753941846577</v>
      </c>
      <c r="J67" s="491">
        <f t="shared" ca="1" si="20"/>
        <v>1.0227219571794188</v>
      </c>
      <c r="L67" s="661"/>
      <c r="M67" s="564">
        <v>0.14436073494436297</v>
      </c>
      <c r="N67" s="503">
        <v>49500</v>
      </c>
      <c r="O67" s="503">
        <v>49800</v>
      </c>
      <c r="P67" s="501">
        <v>50100</v>
      </c>
      <c r="Q67" s="503">
        <v>50800</v>
      </c>
      <c r="R67" s="503">
        <v>51700</v>
      </c>
    </row>
    <row r="68" spans="2:19" x14ac:dyDescent="0.3">
      <c r="B68" s="19" t="s">
        <v>698</v>
      </c>
      <c r="E68" s="233"/>
      <c r="F68" s="233">
        <f t="shared" ref="F68:J68" ca="1" si="21">F59/F67</f>
        <v>117.35509366459739</v>
      </c>
      <c r="G68" s="233">
        <f t="shared" ca="1" si="21"/>
        <v>145.60054938744588</v>
      </c>
      <c r="H68" s="233">
        <f t="shared" ca="1" si="21"/>
        <v>90.440974227293921</v>
      </c>
      <c r="I68" s="233">
        <f t="shared" ca="1" si="21"/>
        <v>75.117276403194822</v>
      </c>
      <c r="J68" s="233">
        <f t="shared" ca="1" si="21"/>
        <v>36.814079536082644</v>
      </c>
      <c r="L68" s="661"/>
      <c r="M68" s="564">
        <v>0.15436073494436298</v>
      </c>
      <c r="N68" s="503">
        <v>50000</v>
      </c>
      <c r="O68" s="503">
        <v>50300</v>
      </c>
      <c r="P68" s="501">
        <v>50500</v>
      </c>
      <c r="Q68" s="503">
        <v>51100</v>
      </c>
      <c r="R68" s="503">
        <v>51800</v>
      </c>
    </row>
    <row r="69" spans="2:19" x14ac:dyDescent="0.3">
      <c r="B69" s="243" t="s">
        <v>647</v>
      </c>
      <c r="C69" s="354">
        <f ca="1">SUM(F68:J68)</f>
        <v>465.32797321861466</v>
      </c>
    </row>
    <row r="70" spans="2:19" x14ac:dyDescent="0.3">
      <c r="B70" s="243" t="s">
        <v>607</v>
      </c>
      <c r="C70" s="354">
        <f ca="1">J59/(1+$C$63)/($C$64-$C$63)</f>
        <v>293.54323462165326</v>
      </c>
      <c r="K70" s="169"/>
      <c r="L70" s="169"/>
      <c r="M70" s="169"/>
      <c r="N70" s="169"/>
      <c r="O70" s="169"/>
      <c r="P70" s="169"/>
      <c r="Q70" s="169"/>
      <c r="R70" s="169"/>
      <c r="S70" s="169"/>
    </row>
    <row r="71" spans="2:19" s="169" customFormat="1" ht="21" customHeight="1" x14ac:dyDescent="0.3">
      <c r="B71" s="243" t="s">
        <v>608</v>
      </c>
      <c r="C71" s="603">
        <f ca="1">C70/J67</f>
        <v>287.02154340288229</v>
      </c>
    </row>
    <row r="72" spans="2:19" s="169" customFormat="1" ht="18" customHeight="1" x14ac:dyDescent="0.3">
      <c r="B72" s="489" t="s">
        <v>648</v>
      </c>
      <c r="C72" s="492">
        <f ca="1">C69+C71</f>
        <v>752.34951662149695</v>
      </c>
    </row>
    <row r="73" spans="2:19" s="169" customFormat="1" x14ac:dyDescent="0.3">
      <c r="B73" s="243" t="s">
        <v>611</v>
      </c>
      <c r="C73" s="560">
        <f ca="1">SUM(Output_BS!O5:O7)/F67</f>
        <v>595.2653411689638</v>
      </c>
    </row>
    <row r="74" spans="2:19" s="169" customFormat="1" x14ac:dyDescent="0.3">
      <c r="B74" s="489" t="s">
        <v>610</v>
      </c>
      <c r="C74" s="492">
        <f ca="1">C72+C73</f>
        <v>1347.6148577904607</v>
      </c>
    </row>
    <row r="75" spans="2:19" s="169" customFormat="1" x14ac:dyDescent="0.3">
      <c r="B75" s="243" t="s">
        <v>633</v>
      </c>
      <c r="C75" s="560">
        <f>Assumption!D30</f>
        <v>27</v>
      </c>
    </row>
    <row r="76" spans="2:19" s="169" customFormat="1" x14ac:dyDescent="0.3">
      <c r="B76" s="493" t="s">
        <v>613</v>
      </c>
      <c r="C76" s="494">
        <f ca="1">C74/C75</f>
        <v>49.911661399646697</v>
      </c>
    </row>
    <row r="77" spans="2:19" s="169" customFormat="1" x14ac:dyDescent="0.3"/>
    <row r="78" spans="2:19" s="169" customFormat="1" x14ac:dyDescent="0.3"/>
    <row r="79" spans="2:19" s="169" customFormat="1" x14ac:dyDescent="0.3"/>
    <row r="80" spans="2:19" s="169" customFormat="1" x14ac:dyDescent="0.3"/>
    <row r="81" spans="11:19" x14ac:dyDescent="0.3">
      <c r="K81" s="169"/>
      <c r="L81" s="169"/>
      <c r="M81" s="169"/>
      <c r="N81" s="169"/>
      <c r="O81" s="169"/>
      <c r="P81" s="169"/>
      <c r="Q81" s="169"/>
      <c r="R81" s="169"/>
      <c r="S81" s="169"/>
    </row>
    <row r="82" spans="11:19" x14ac:dyDescent="0.3">
      <c r="K82" s="169"/>
      <c r="L82" s="169"/>
      <c r="M82" s="169"/>
      <c r="N82" s="169"/>
      <c r="O82" s="169"/>
      <c r="P82" s="169"/>
      <c r="Q82" s="169"/>
      <c r="R82" s="169"/>
      <c r="S82" s="169"/>
    </row>
  </sheetData>
  <mergeCells count="17">
    <mergeCell ref="M61:R61"/>
    <mergeCell ref="M12:P12"/>
    <mergeCell ref="L62:L68"/>
    <mergeCell ref="L26:L32"/>
    <mergeCell ref="M13:P13"/>
    <mergeCell ref="M14:P14"/>
    <mergeCell ref="M15:P15"/>
    <mergeCell ref="M16:P16"/>
    <mergeCell ref="M17:P17"/>
    <mergeCell ref="M25:R25"/>
    <mergeCell ref="M26:R26"/>
    <mergeCell ref="M62:R62"/>
    <mergeCell ref="M7:P7"/>
    <mergeCell ref="M8:P8"/>
    <mergeCell ref="M9:P9"/>
    <mergeCell ref="M10:P10"/>
    <mergeCell ref="M11:P11"/>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8CB4D2"/>
  </sheetPr>
  <dimension ref="A2:X56"/>
  <sheetViews>
    <sheetView topLeftCell="A15" zoomScale="115" zoomScaleNormal="115" zoomScalePageLayoutView="115" workbookViewId="0">
      <selection activeCell="L40" sqref="L40"/>
    </sheetView>
  </sheetViews>
  <sheetFormatPr defaultColWidth="8.88671875" defaultRowHeight="15.75" customHeight="1" x14ac:dyDescent="0.3"/>
  <cols>
    <col min="1" max="1" width="8.88671875" style="169"/>
    <col min="2" max="2" width="6.109375" style="169" customWidth="1"/>
    <col min="3" max="3" width="28.88671875" style="169" customWidth="1"/>
    <col min="4" max="4" width="16.6640625" style="169" customWidth="1"/>
    <col min="5" max="5" width="12.109375" style="169" bestFit="1" customWidth="1"/>
    <col min="6" max="6" width="7.44140625" style="169" bestFit="1" customWidth="1"/>
    <col min="7" max="11" width="8.88671875" style="169"/>
    <col min="12" max="12" width="7" style="169" customWidth="1"/>
    <col min="13" max="14" width="10.109375" style="169" bestFit="1" customWidth="1"/>
    <col min="15" max="16" width="8.88671875" style="169"/>
    <col min="17" max="17" width="5.109375" style="169" customWidth="1"/>
    <col min="18" max="18" width="7.33203125" style="169" bestFit="1" customWidth="1"/>
    <col min="19" max="24" width="9.33203125" style="169" bestFit="1" customWidth="1"/>
    <col min="25" max="16384" width="8.88671875" style="169"/>
  </cols>
  <sheetData>
    <row r="2" spans="2:24" ht="21" x14ac:dyDescent="0.3">
      <c r="B2" s="170" t="s">
        <v>273</v>
      </c>
    </row>
    <row r="4" spans="2:24" ht="15.75" customHeight="1" x14ac:dyDescent="0.3">
      <c r="B4" s="171"/>
      <c r="C4" s="172"/>
      <c r="D4" s="172"/>
      <c r="E4" s="172"/>
      <c r="F4" s="173"/>
      <c r="P4" s="585"/>
      <c r="Q4" s="585"/>
      <c r="R4" s="585"/>
      <c r="S4" s="585"/>
      <c r="T4" s="585"/>
      <c r="U4" s="585"/>
      <c r="V4" s="585"/>
      <c r="W4" s="585"/>
      <c r="X4" s="585"/>
    </row>
    <row r="5" spans="2:24" ht="15.75" customHeight="1" x14ac:dyDescent="0.3">
      <c r="B5" s="174"/>
      <c r="C5" s="671" t="s">
        <v>274</v>
      </c>
      <c r="D5" s="671"/>
      <c r="E5" s="168" t="s">
        <v>1</v>
      </c>
      <c r="F5" s="175"/>
      <c r="H5" s="672" t="s">
        <v>294</v>
      </c>
      <c r="I5" s="672"/>
      <c r="J5" s="672"/>
      <c r="K5" s="672"/>
      <c r="L5" s="197"/>
      <c r="M5" s="39" t="s">
        <v>295</v>
      </c>
      <c r="N5" s="39" t="s">
        <v>296</v>
      </c>
      <c r="P5" s="585"/>
      <c r="Q5" s="604"/>
      <c r="R5" s="673" t="s">
        <v>649</v>
      </c>
      <c r="S5" s="673"/>
      <c r="T5" s="673"/>
      <c r="U5" s="673"/>
      <c r="V5" s="673"/>
      <c r="W5" s="673"/>
      <c r="X5" s="673"/>
    </row>
    <row r="6" spans="2:24" ht="15.75" customHeight="1" x14ac:dyDescent="0.3">
      <c r="B6" s="174"/>
      <c r="C6" s="176"/>
      <c r="D6" s="177"/>
      <c r="E6" s="177"/>
      <c r="F6" s="175"/>
      <c r="H6" s="19" t="s">
        <v>297</v>
      </c>
      <c r="I6" s="19"/>
      <c r="J6" s="19"/>
      <c r="K6" s="19"/>
      <c r="M6" s="20">
        <f>'DCF 2017'!Q8</f>
        <v>0.01</v>
      </c>
      <c r="N6" s="20">
        <f>'DCF 2017'!R8</f>
        <v>0.01</v>
      </c>
      <c r="P6" s="585"/>
      <c r="Q6" s="585"/>
      <c r="R6" s="674" t="s">
        <v>705</v>
      </c>
      <c r="S6" s="674"/>
      <c r="T6" s="674"/>
      <c r="U6" s="674"/>
      <c r="V6" s="674"/>
      <c r="W6" s="674"/>
      <c r="X6" s="674"/>
    </row>
    <row r="7" spans="2:24" ht="15.75" customHeight="1" x14ac:dyDescent="0.3">
      <c r="B7" s="178"/>
      <c r="C7" s="176" t="s">
        <v>275</v>
      </c>
      <c r="D7" s="177"/>
      <c r="E7" s="179"/>
      <c r="F7" s="180"/>
      <c r="H7" s="21" t="s">
        <v>298</v>
      </c>
      <c r="I7" s="21"/>
      <c r="J7" s="21"/>
      <c r="K7" s="21"/>
      <c r="M7" s="520">
        <f ca="1">'DCF 2017'!Q9</f>
        <v>-43.074995459031022</v>
      </c>
      <c r="N7" s="520">
        <f ca="1">'DCF 2017'!R9</f>
        <v>465.32797321861466</v>
      </c>
      <c r="P7" s="585"/>
      <c r="Q7" s="585"/>
      <c r="R7" s="586">
        <f ca="1">N15</f>
        <v>49900</v>
      </c>
      <c r="S7" s="616">
        <v>40</v>
      </c>
      <c r="T7" s="616">
        <v>50</v>
      </c>
      <c r="U7" s="616">
        <v>55</v>
      </c>
      <c r="V7" s="617">
        <v>60</v>
      </c>
      <c r="W7" s="616">
        <v>70</v>
      </c>
      <c r="X7" s="616">
        <v>80</v>
      </c>
    </row>
    <row r="8" spans="2:24" ht="15.75" customHeight="1" x14ac:dyDescent="0.3">
      <c r="B8" s="174"/>
      <c r="C8" s="177" t="s">
        <v>276</v>
      </c>
      <c r="D8" s="196">
        <v>6.4500000000000002E-2</v>
      </c>
      <c r="E8" s="164" t="s">
        <v>689</v>
      </c>
      <c r="F8" s="175"/>
      <c r="H8" s="21" t="s">
        <v>299</v>
      </c>
      <c r="I8" s="21"/>
      <c r="J8" s="21"/>
      <c r="K8" s="21"/>
      <c r="M8" s="520">
        <f ca="1">'DCF 2017'!Q10</f>
        <v>379.1714669608628</v>
      </c>
      <c r="N8" s="520">
        <f ca="1">'DCF 2017'!R10</f>
        <v>287.02154340288229</v>
      </c>
      <c r="P8" s="585"/>
      <c r="Q8" s="661" t="s">
        <v>401</v>
      </c>
      <c r="R8" s="587">
        <f t="shared" ref="R8" si="0">R9-1%</f>
        <v>6.5699860756061809E-2</v>
      </c>
      <c r="S8" s="588">
        <f t="dataTable" ref="S8:X14" dt2D="1" dtr="1" r1="J36" r2="D11" ca="1"/>
        <v>49800</v>
      </c>
      <c r="T8" s="588">
        <v>49800</v>
      </c>
      <c r="U8" s="588">
        <v>49800</v>
      </c>
      <c r="V8" s="589">
        <v>49800</v>
      </c>
      <c r="W8" s="588">
        <v>49800</v>
      </c>
      <c r="X8" s="588">
        <v>49800</v>
      </c>
    </row>
    <row r="9" spans="2:24" ht="15.75" customHeight="1" x14ac:dyDescent="0.3">
      <c r="B9" s="178"/>
      <c r="C9" s="177" t="s">
        <v>277</v>
      </c>
      <c r="D9" s="195">
        <f>HLOOKUP(E9,'ERP-Beta'!$P$22:$T$27,6,FALSE)</f>
        <v>0.80910672954834695</v>
      </c>
      <c r="E9" s="164" t="s">
        <v>690</v>
      </c>
      <c r="F9" s="181"/>
      <c r="H9" s="24" t="s">
        <v>300</v>
      </c>
      <c r="I9" s="24"/>
      <c r="J9" s="24"/>
      <c r="K9" s="24"/>
      <c r="M9" s="521">
        <f ca="1">'DCF 2017'!Q11</f>
        <v>1.128162593515345</v>
      </c>
      <c r="N9" s="521">
        <f ca="1">'DCF 2017'!R11</f>
        <v>0.38150026957122551</v>
      </c>
      <c r="P9" s="585"/>
      <c r="Q9" s="661"/>
      <c r="R9" s="587">
        <f>R10-1%</f>
        <v>7.5699860756061804E-2</v>
      </c>
      <c r="S9" s="588">
        <v>49900</v>
      </c>
      <c r="T9" s="588">
        <v>49900</v>
      </c>
      <c r="U9" s="588">
        <v>49900</v>
      </c>
      <c r="V9" s="589">
        <v>49900</v>
      </c>
      <c r="W9" s="588">
        <v>49900</v>
      </c>
      <c r="X9" s="588">
        <v>49900</v>
      </c>
    </row>
    <row r="10" spans="2:24" ht="15.75" customHeight="1" x14ac:dyDescent="0.3">
      <c r="B10" s="174"/>
      <c r="C10" s="182" t="s">
        <v>278</v>
      </c>
      <c r="D10" s="196">
        <f>IF(D12,D12,D11)</f>
        <v>7.4663101260102963E-2</v>
      </c>
      <c r="E10" s="164"/>
      <c r="F10" s="175"/>
      <c r="H10" s="24" t="s">
        <v>301</v>
      </c>
      <c r="I10" s="24"/>
      <c r="J10" s="24"/>
      <c r="K10" s="24"/>
      <c r="M10" s="520">
        <f ca="1">'DCF 2017'!Q12</f>
        <v>558.75269222168731</v>
      </c>
      <c r="N10" s="520">
        <f ca="1">'DCF 2017'!R12</f>
        <v>595.2653411689638</v>
      </c>
      <c r="P10" s="585"/>
      <c r="Q10" s="661"/>
      <c r="R10" s="615">
        <v>8.5699860756061799E-2</v>
      </c>
      <c r="S10" s="590">
        <v>50300</v>
      </c>
      <c r="T10" s="590">
        <v>50300</v>
      </c>
      <c r="U10" s="590">
        <v>50300</v>
      </c>
      <c r="V10" s="591">
        <v>50300</v>
      </c>
      <c r="W10" s="590">
        <v>50300</v>
      </c>
      <c r="X10" s="590">
        <v>50300</v>
      </c>
    </row>
    <row r="11" spans="2:24" ht="15.75" customHeight="1" x14ac:dyDescent="0.3">
      <c r="B11" s="174"/>
      <c r="C11" s="182" t="s">
        <v>279</v>
      </c>
      <c r="D11" s="196">
        <f>'ERP-Beta'!L24</f>
        <v>7.4663101260102963E-2</v>
      </c>
      <c r="E11" s="164"/>
      <c r="F11" s="175"/>
      <c r="H11" s="19" t="s">
        <v>302</v>
      </c>
      <c r="I11" s="19"/>
      <c r="J11" s="19"/>
      <c r="K11" s="19"/>
      <c r="M11" s="519">
        <f ca="1">'DCF 2017'!Q13</f>
        <v>894.84916372351904</v>
      </c>
      <c r="N11" s="519"/>
      <c r="P11" s="585"/>
      <c r="Q11" s="661"/>
      <c r="R11" s="587">
        <f>R10+1%</f>
        <v>9.5699860756061794E-2</v>
      </c>
      <c r="S11" s="588">
        <v>50700</v>
      </c>
      <c r="T11" s="588">
        <v>50700</v>
      </c>
      <c r="U11" s="588">
        <v>50700</v>
      </c>
      <c r="V11" s="589">
        <v>50700</v>
      </c>
      <c r="W11" s="588">
        <v>50700</v>
      </c>
      <c r="X11" s="588">
        <v>50700</v>
      </c>
    </row>
    <row r="12" spans="2:24" ht="15.75" customHeight="1" x14ac:dyDescent="0.3">
      <c r="B12" s="174"/>
      <c r="C12" s="183" t="s">
        <v>280</v>
      </c>
      <c r="D12" s="538"/>
      <c r="E12" s="165"/>
      <c r="F12" s="175"/>
      <c r="H12" s="24" t="s">
        <v>303</v>
      </c>
      <c r="I12" s="24"/>
      <c r="J12" s="24"/>
      <c r="K12" s="24"/>
      <c r="M12" s="520">
        <f ca="1">'DCF 2017'!Q14</f>
        <v>70.293766030173288</v>
      </c>
      <c r="N12" s="519"/>
      <c r="P12" s="585"/>
      <c r="Q12" s="661"/>
      <c r="R12" s="587">
        <f t="shared" ref="R12:R14" si="1">R11+1%</f>
        <v>0.10569986075606179</v>
      </c>
      <c r="S12" s="588">
        <v>51200</v>
      </c>
      <c r="T12" s="588">
        <v>51200</v>
      </c>
      <c r="U12" s="588">
        <v>51200</v>
      </c>
      <c r="V12" s="589">
        <v>51200</v>
      </c>
      <c r="W12" s="588">
        <v>51200</v>
      </c>
      <c r="X12" s="588">
        <v>51200</v>
      </c>
    </row>
    <row r="13" spans="2:24" ht="15.75" customHeight="1" x14ac:dyDescent="0.3">
      <c r="B13" s="174"/>
      <c r="C13" s="176"/>
      <c r="D13" s="176"/>
      <c r="E13" s="176"/>
      <c r="F13" s="175"/>
      <c r="H13" s="27" t="s">
        <v>304</v>
      </c>
      <c r="I13" s="27"/>
      <c r="J13" s="27"/>
      <c r="K13" s="27"/>
      <c r="M13" s="519">
        <f ca="1">'DCF 2017'!Q15</f>
        <v>824.55539769334575</v>
      </c>
      <c r="N13" s="519">
        <f ca="1">'DCF 2017'!R15</f>
        <v>1347.6148577904607</v>
      </c>
      <c r="P13" s="585"/>
      <c r="Q13" s="661"/>
      <c r="R13" s="587">
        <f t="shared" si="1"/>
        <v>0.11569986075606178</v>
      </c>
      <c r="S13" s="588">
        <v>51900</v>
      </c>
      <c r="T13" s="588">
        <v>51900</v>
      </c>
      <c r="U13" s="588">
        <v>51900</v>
      </c>
      <c r="V13" s="589">
        <v>51900</v>
      </c>
      <c r="W13" s="588">
        <v>51900</v>
      </c>
      <c r="X13" s="588">
        <v>51900</v>
      </c>
    </row>
    <row r="14" spans="2:24" ht="15.75" customHeight="1" x14ac:dyDescent="0.3">
      <c r="B14" s="174"/>
      <c r="C14" s="176" t="s">
        <v>281</v>
      </c>
      <c r="D14" s="177"/>
      <c r="E14" s="177"/>
      <c r="F14" s="175"/>
      <c r="H14" s="24" t="s">
        <v>305</v>
      </c>
      <c r="I14" s="24"/>
      <c r="J14" s="24"/>
      <c r="K14" s="24"/>
      <c r="M14" s="520">
        <f>'DCF 2017'!Q16</f>
        <v>27</v>
      </c>
      <c r="N14" s="520">
        <f>'DCF 2017'!R16</f>
        <v>27</v>
      </c>
      <c r="P14" s="585"/>
      <c r="Q14" s="661"/>
      <c r="R14" s="587">
        <f t="shared" si="1"/>
        <v>0.12569986075606179</v>
      </c>
      <c r="S14" s="588">
        <v>52600</v>
      </c>
      <c r="T14" s="588">
        <v>52600</v>
      </c>
      <c r="U14" s="588">
        <v>52600</v>
      </c>
      <c r="V14" s="589">
        <v>52600</v>
      </c>
      <c r="W14" s="588">
        <v>52600</v>
      </c>
      <c r="X14" s="588">
        <v>52600</v>
      </c>
    </row>
    <row r="15" spans="2:24" ht="15.75" customHeight="1" x14ac:dyDescent="0.3">
      <c r="B15" s="174"/>
      <c r="C15" s="177" t="s">
        <v>282</v>
      </c>
      <c r="D15" s="196">
        <v>0.2</v>
      </c>
      <c r="E15" s="164" t="s">
        <v>690</v>
      </c>
      <c r="F15" s="175"/>
      <c r="H15" s="669" t="s">
        <v>306</v>
      </c>
      <c r="I15" s="669"/>
      <c r="J15" s="669"/>
      <c r="K15" s="669"/>
      <c r="L15" s="193"/>
      <c r="M15" s="518">
        <f ca="1">'DCF 2017'!Q17</f>
        <v>30500</v>
      </c>
      <c r="N15" s="518">
        <f ca="1">'DCF 2017'!R17</f>
        <v>49900</v>
      </c>
      <c r="P15" s="585"/>
      <c r="Q15" s="504"/>
      <c r="R15" s="585"/>
      <c r="S15" s="585"/>
      <c r="T15" s="585"/>
      <c r="U15" s="585"/>
      <c r="V15" s="585"/>
      <c r="W15" s="585"/>
      <c r="X15" s="585"/>
    </row>
    <row r="16" spans="2:24" ht="15.75" customHeight="1" x14ac:dyDescent="0.3">
      <c r="B16" s="174"/>
      <c r="C16" s="177" t="s">
        <v>283</v>
      </c>
      <c r="D16" s="184">
        <f>1/(1/D15-1)</f>
        <v>0.25</v>
      </c>
      <c r="E16" s="184"/>
      <c r="F16" s="175"/>
    </row>
    <row r="17" spans="2:8" ht="15.75" customHeight="1" x14ac:dyDescent="0.3">
      <c r="B17" s="174"/>
      <c r="C17" s="176" t="s">
        <v>284</v>
      </c>
      <c r="D17" s="185">
        <f>D8+D9*(1+D16*(1-D20))*D10</f>
        <v>0.13699250121419876</v>
      </c>
      <c r="E17" s="185"/>
      <c r="F17" s="175"/>
    </row>
    <row r="18" spans="2:8" ht="15.75" customHeight="1" x14ac:dyDescent="0.3">
      <c r="B18" s="174"/>
      <c r="C18" s="177"/>
      <c r="D18" s="177"/>
      <c r="E18" s="177"/>
      <c r="F18" s="175"/>
    </row>
    <row r="19" spans="2:8" ht="15.75" customHeight="1" x14ac:dyDescent="0.3">
      <c r="B19" s="174"/>
      <c r="C19" s="177" t="s">
        <v>285</v>
      </c>
      <c r="D19" s="525">
        <v>0.1</v>
      </c>
      <c r="E19" s="164"/>
      <c r="F19" s="175"/>
    </row>
    <row r="20" spans="2:8" ht="15.75" customHeight="1" x14ac:dyDescent="0.3">
      <c r="B20" s="174"/>
      <c r="C20" s="177" t="s">
        <v>286</v>
      </c>
      <c r="D20" s="196">
        <v>0.2</v>
      </c>
      <c r="E20" s="164"/>
      <c r="F20" s="175"/>
    </row>
    <row r="21" spans="2:8" ht="15.75" customHeight="1" x14ac:dyDescent="0.3">
      <c r="B21" s="174"/>
      <c r="C21" s="177" t="s">
        <v>287</v>
      </c>
      <c r="D21" s="186">
        <f>D19*(1-D20)</f>
        <v>8.0000000000000016E-2</v>
      </c>
      <c r="E21" s="186"/>
      <c r="F21" s="175"/>
    </row>
    <row r="22" spans="2:8" ht="15.75" customHeight="1" x14ac:dyDescent="0.3">
      <c r="B22" s="174"/>
      <c r="C22" s="177"/>
      <c r="D22" s="177"/>
      <c r="E22" s="177"/>
      <c r="F22" s="175"/>
    </row>
    <row r="23" spans="2:8" ht="15.75" customHeight="1" x14ac:dyDescent="0.3">
      <c r="B23" s="174"/>
      <c r="C23" s="176" t="s">
        <v>288</v>
      </c>
      <c r="D23" s="185">
        <f>IF(D25,D25,D24)</f>
        <v>0.12559400097135903</v>
      </c>
      <c r="E23" s="185"/>
      <c r="F23" s="175"/>
    </row>
    <row r="24" spans="2:8" ht="15.75" customHeight="1" x14ac:dyDescent="0.3">
      <c r="B24" s="174"/>
      <c r="C24" s="187" t="s">
        <v>289</v>
      </c>
      <c r="D24" s="188">
        <f>(1-D15)*D17+D15*D19*(1-D20)</f>
        <v>0.12559400097135903</v>
      </c>
      <c r="E24" s="188"/>
      <c r="F24" s="175"/>
    </row>
    <row r="25" spans="2:8" ht="15.75" customHeight="1" x14ac:dyDescent="0.3">
      <c r="B25" s="174"/>
      <c r="C25" s="187" t="s">
        <v>290</v>
      </c>
      <c r="D25" s="194"/>
      <c r="E25" s="166"/>
      <c r="F25" s="175"/>
    </row>
    <row r="26" spans="2:8" ht="15.75" customHeight="1" x14ac:dyDescent="0.3">
      <c r="B26" s="174"/>
      <c r="C26" s="177"/>
      <c r="D26" s="177"/>
      <c r="E26" s="177"/>
      <c r="F26" s="175"/>
    </row>
    <row r="27" spans="2:8" ht="15.75" customHeight="1" x14ac:dyDescent="0.3">
      <c r="B27" s="174"/>
      <c r="C27" s="176" t="s">
        <v>291</v>
      </c>
      <c r="D27" s="196">
        <v>0.01</v>
      </c>
      <c r="E27" s="164"/>
      <c r="F27" s="175"/>
      <c r="H27" s="522" t="s">
        <v>660</v>
      </c>
    </row>
    <row r="28" spans="2:8" ht="15.75" customHeight="1" x14ac:dyDescent="0.3">
      <c r="B28" s="174"/>
      <c r="C28" s="176"/>
      <c r="D28" s="177"/>
      <c r="E28" s="177"/>
      <c r="F28" s="175"/>
    </row>
    <row r="29" spans="2:8" ht="15.75" customHeight="1" x14ac:dyDescent="0.3">
      <c r="B29" s="174"/>
      <c r="C29" s="177" t="s">
        <v>292</v>
      </c>
      <c r="D29" s="343">
        <f>Input!N104</f>
        <v>27</v>
      </c>
      <c r="E29" s="167"/>
      <c r="F29" s="175"/>
    </row>
    <row r="30" spans="2:8" ht="15.75" customHeight="1" x14ac:dyDescent="0.3">
      <c r="B30" s="174"/>
      <c r="C30" s="177" t="s">
        <v>293</v>
      </c>
      <c r="D30" s="343">
        <v>27</v>
      </c>
      <c r="E30" s="167"/>
      <c r="F30" s="175"/>
    </row>
    <row r="31" spans="2:8" ht="15.75" customHeight="1" x14ac:dyDescent="0.3">
      <c r="B31" s="189"/>
      <c r="C31" s="190"/>
      <c r="D31" s="190"/>
      <c r="E31" s="190"/>
      <c r="F31" s="191"/>
    </row>
    <row r="33" spans="1:10" ht="15.75" customHeight="1" x14ac:dyDescent="0.3">
      <c r="A33" s="79"/>
      <c r="B33" s="79"/>
      <c r="C33" s="79"/>
      <c r="D33" s="79"/>
      <c r="E33" s="79"/>
      <c r="F33" s="79"/>
    </row>
    <row r="34" spans="1:10" ht="24.75" customHeight="1" x14ac:dyDescent="0.3">
      <c r="A34" s="79"/>
      <c r="B34" s="192" t="s">
        <v>307</v>
      </c>
      <c r="C34" s="79"/>
      <c r="D34" s="79"/>
      <c r="E34" s="79"/>
      <c r="F34" s="79"/>
    </row>
    <row r="35" spans="1:10" ht="15.75" customHeight="1" thickBot="1" x14ac:dyDescent="0.35">
      <c r="A35" s="79"/>
      <c r="B35" s="79"/>
      <c r="C35" s="198"/>
      <c r="D35" s="199">
        <v>42735</v>
      </c>
      <c r="E35" s="199">
        <f t="shared" ref="E35:J35" si="2">DATE(YEAR(D35),MONTH(D35)+13,0)</f>
        <v>43100</v>
      </c>
      <c r="F35" s="199">
        <f t="shared" si="2"/>
        <v>43465</v>
      </c>
      <c r="G35" s="199">
        <f t="shared" si="2"/>
        <v>43830</v>
      </c>
      <c r="H35" s="199">
        <f t="shared" si="2"/>
        <v>44196</v>
      </c>
      <c r="I35" s="199">
        <f t="shared" si="2"/>
        <v>44561</v>
      </c>
      <c r="J35" s="199">
        <f t="shared" si="2"/>
        <v>44926</v>
      </c>
    </row>
    <row r="36" spans="1:10" s="511" customFormat="1" ht="15.75" customHeight="1" thickTop="1" x14ac:dyDescent="0.3">
      <c r="A36" s="81"/>
      <c r="B36" s="81"/>
      <c r="C36" s="523" t="s">
        <v>521</v>
      </c>
      <c r="D36" s="553">
        <v>43.48</v>
      </c>
      <c r="E36" s="553">
        <v>52</v>
      </c>
      <c r="F36" s="553">
        <v>55</v>
      </c>
      <c r="G36" s="553">
        <v>55</v>
      </c>
      <c r="H36" s="553">
        <v>55</v>
      </c>
      <c r="I36" s="553">
        <v>60</v>
      </c>
      <c r="J36" s="553">
        <v>60</v>
      </c>
    </row>
    <row r="37" spans="1:10" ht="15.75" customHeight="1" x14ac:dyDescent="0.3">
      <c r="C37" s="198" t="s">
        <v>308</v>
      </c>
      <c r="D37" s="200"/>
      <c r="E37" s="554">
        <f>E36/D36-1</f>
        <v>0.1959521619135236</v>
      </c>
      <c r="F37" s="554">
        <f t="shared" ref="F37:J37" si="3">F36/E36-1</f>
        <v>5.7692307692307709E-2</v>
      </c>
      <c r="G37" s="554">
        <f t="shared" si="3"/>
        <v>0</v>
      </c>
      <c r="H37" s="554">
        <f t="shared" si="3"/>
        <v>0</v>
      </c>
      <c r="I37" s="554">
        <f t="shared" si="3"/>
        <v>9.0909090909090828E-2</v>
      </c>
      <c r="J37" s="554">
        <f t="shared" si="3"/>
        <v>0</v>
      </c>
    </row>
    <row r="38" spans="1:10" ht="15.75" customHeight="1" x14ac:dyDescent="0.3">
      <c r="C38" s="79"/>
      <c r="D38" s="79"/>
      <c r="E38" s="79"/>
      <c r="F38" s="79"/>
      <c r="G38" s="79"/>
      <c r="H38" s="79"/>
      <c r="I38" s="79"/>
      <c r="J38" s="79"/>
    </row>
    <row r="39" spans="1:10" s="511" customFormat="1" ht="15.75" customHeight="1" x14ac:dyDescent="0.3">
      <c r="C39" s="210" t="s">
        <v>520</v>
      </c>
      <c r="D39" s="203">
        <v>22350</v>
      </c>
      <c r="E39" s="203">
        <f>D39*(1+E40)</f>
        <v>22797</v>
      </c>
      <c r="F39" s="203">
        <f>E39*(1+F40)</f>
        <v>23252.94</v>
      </c>
      <c r="G39" s="203">
        <f t="shared" ref="G39" si="4">F39*(1+G40)</f>
        <v>23717.998799999998</v>
      </c>
      <c r="H39" s="203">
        <f t="shared" ref="H39" si="5">G39*(1+H40)</f>
        <v>24192.358775999997</v>
      </c>
      <c r="I39" s="203">
        <f t="shared" ref="I39" si="6">H39*(1+I40)</f>
        <v>24676.205951519998</v>
      </c>
      <c r="J39" s="203">
        <f t="shared" ref="J39" si="7">I39*(1+J40)</f>
        <v>25169.730070550399</v>
      </c>
    </row>
    <row r="40" spans="1:10" ht="15.75" customHeight="1" x14ac:dyDescent="0.3">
      <c r="C40" s="198" t="s">
        <v>308</v>
      </c>
      <c r="D40" s="200"/>
      <c r="E40" s="201">
        <v>0.02</v>
      </c>
      <c r="F40" s="201">
        <f>E40</f>
        <v>0.02</v>
      </c>
      <c r="G40" s="201">
        <f t="shared" ref="G40" si="8">F40</f>
        <v>0.02</v>
      </c>
      <c r="H40" s="201">
        <f t="shared" ref="H40" si="9">G40</f>
        <v>0.02</v>
      </c>
      <c r="I40" s="201">
        <f t="shared" ref="I40" si="10">H40</f>
        <v>0.02</v>
      </c>
      <c r="J40" s="201">
        <f>I40</f>
        <v>0.02</v>
      </c>
    </row>
    <row r="42" spans="1:10" ht="15.75" customHeight="1" x14ac:dyDescent="0.3">
      <c r="C42" s="670" t="s">
        <v>663</v>
      </c>
      <c r="D42" s="670"/>
      <c r="E42" s="670"/>
      <c r="F42" s="670"/>
      <c r="G42" s="670"/>
      <c r="H42" s="670"/>
      <c r="I42" s="670"/>
      <c r="J42" s="670"/>
    </row>
    <row r="44" spans="1:10" s="511" customFormat="1" ht="15.75" customHeight="1" x14ac:dyDescent="0.3">
      <c r="C44" s="512" t="s">
        <v>659</v>
      </c>
      <c r="D44" s="513">
        <f>D35</f>
        <v>42735</v>
      </c>
      <c r="E44" s="513">
        <f t="shared" ref="E44:J44" si="11">E35</f>
        <v>43100</v>
      </c>
      <c r="F44" s="513">
        <f t="shared" si="11"/>
        <v>43465</v>
      </c>
      <c r="G44" s="513">
        <f t="shared" si="11"/>
        <v>43830</v>
      </c>
      <c r="H44" s="513">
        <f t="shared" si="11"/>
        <v>44196</v>
      </c>
      <c r="I44" s="513">
        <f t="shared" si="11"/>
        <v>44561</v>
      </c>
      <c r="J44" s="513">
        <f t="shared" si="11"/>
        <v>44926</v>
      </c>
    </row>
    <row r="45" spans="1:10" ht="15.75" customHeight="1" x14ac:dyDescent="0.3">
      <c r="C45" s="224" t="s">
        <v>318</v>
      </c>
      <c r="D45" s="562">
        <f>D46</f>
        <v>9.9875297619604257</v>
      </c>
      <c r="E45" s="562">
        <f t="shared" ref="E45:J45" si="12">E46</f>
        <v>10.439283324857188</v>
      </c>
      <c r="F45" s="562">
        <f t="shared" si="12"/>
        <v>11.041549670522027</v>
      </c>
      <c r="G45" s="562">
        <f t="shared" si="12"/>
        <v>11.041549670522027</v>
      </c>
      <c r="H45" s="562">
        <f t="shared" si="12"/>
        <v>11.041549670522027</v>
      </c>
      <c r="I45" s="562">
        <f t="shared" si="12"/>
        <v>12.045326913296755</v>
      </c>
      <c r="J45" s="562">
        <f t="shared" si="12"/>
        <v>12.045326913296755</v>
      </c>
    </row>
    <row r="46" spans="1:10" ht="15.75" customHeight="1" x14ac:dyDescent="0.3">
      <c r="C46" s="308" t="s">
        <v>314</v>
      </c>
      <c r="D46" s="560">
        <f>'Revenue Forecast'!M47</f>
        <v>9.9875297619604257</v>
      </c>
      <c r="E46" s="560">
        <f>'Revenue Forecast'!N47</f>
        <v>10.439283324857188</v>
      </c>
      <c r="F46" s="560">
        <f>'Revenue Forecast'!O47</f>
        <v>11.041549670522027</v>
      </c>
      <c r="G46" s="560">
        <f>'Revenue Forecast'!P47</f>
        <v>11.041549670522027</v>
      </c>
      <c r="H46" s="560">
        <f>'Revenue Forecast'!Q47</f>
        <v>11.041549670522027</v>
      </c>
      <c r="I46" s="560">
        <f>'Revenue Forecast'!R47</f>
        <v>12.045326913296755</v>
      </c>
      <c r="J46" s="560">
        <f>'Revenue Forecast'!S47</f>
        <v>12.045326913296755</v>
      </c>
    </row>
    <row r="47" spans="1:10" ht="15.75" customHeight="1" x14ac:dyDescent="0.3">
      <c r="C47" s="224" t="s">
        <v>313</v>
      </c>
      <c r="D47" s="562">
        <f>D48</f>
        <v>8.2472266108937919</v>
      </c>
      <c r="E47" s="562">
        <f t="shared" ref="E47:I47" si="13">E48</f>
        <v>8.5970568557647447</v>
      </c>
      <c r="F47" s="562">
        <f t="shared" si="13"/>
        <v>9.093040905135787</v>
      </c>
      <c r="G47" s="562">
        <f t="shared" si="13"/>
        <v>9.093040905135787</v>
      </c>
      <c r="H47" s="562">
        <f t="shared" si="13"/>
        <v>9.093040905135787</v>
      </c>
      <c r="I47" s="562">
        <f t="shared" si="13"/>
        <v>9.9196809874208576</v>
      </c>
      <c r="J47" s="562">
        <f>J48</f>
        <v>9.9196809874208576</v>
      </c>
    </row>
    <row r="48" spans="1:10" ht="15.75" customHeight="1" x14ac:dyDescent="0.3">
      <c r="C48" s="311" t="s">
        <v>314</v>
      </c>
      <c r="D48" s="561">
        <f>'Revenue Forecast'!M49</f>
        <v>8.2472266108937919</v>
      </c>
      <c r="E48" s="561">
        <f>'Revenue Forecast'!N49</f>
        <v>8.5970568557647447</v>
      </c>
      <c r="F48" s="561">
        <f>'Revenue Forecast'!O49</f>
        <v>9.093040905135787</v>
      </c>
      <c r="G48" s="561">
        <f>'Revenue Forecast'!P49</f>
        <v>9.093040905135787</v>
      </c>
      <c r="H48" s="561">
        <f>'Revenue Forecast'!Q49</f>
        <v>9.093040905135787</v>
      </c>
      <c r="I48" s="561">
        <f>'Revenue Forecast'!R49</f>
        <v>9.9196809874208576</v>
      </c>
      <c r="J48" s="561">
        <f>'Revenue Forecast'!S49</f>
        <v>9.9196809874208576</v>
      </c>
    </row>
    <row r="50" spans="3:10" s="509" customFormat="1" ht="15.75" customHeight="1" x14ac:dyDescent="0.3">
      <c r="C50" s="510" t="s">
        <v>658</v>
      </c>
      <c r="D50" s="524">
        <f>D35</f>
        <v>42735</v>
      </c>
      <c r="E50" s="524">
        <f t="shared" ref="E50:J50" si="14">E35</f>
        <v>43100</v>
      </c>
      <c r="F50" s="524">
        <f t="shared" si="14"/>
        <v>43465</v>
      </c>
      <c r="G50" s="524">
        <f t="shared" si="14"/>
        <v>43830</v>
      </c>
      <c r="H50" s="524">
        <f t="shared" si="14"/>
        <v>44196</v>
      </c>
      <c r="I50" s="524">
        <f t="shared" si="14"/>
        <v>44561</v>
      </c>
      <c r="J50" s="524">
        <f t="shared" si="14"/>
        <v>44926</v>
      </c>
    </row>
    <row r="51" spans="3:10" ht="15.75" customHeight="1" x14ac:dyDescent="0.3">
      <c r="C51" s="224" t="s">
        <v>318</v>
      </c>
    </row>
    <row r="52" spans="3:10" ht="15.75" customHeight="1" x14ac:dyDescent="0.3">
      <c r="C52" s="308" t="s">
        <v>314</v>
      </c>
      <c r="D52" s="514">
        <v>0.33560000000000001</v>
      </c>
      <c r="E52" s="574">
        <f>D52*(1-5%)</f>
        <v>0.31881999999999999</v>
      </c>
      <c r="F52" s="574">
        <f>E52*(1-10%)</f>
        <v>0.28693800000000003</v>
      </c>
      <c r="G52" s="574">
        <f t="shared" ref="G52:J52" si="15">F52*(1-10%)</f>
        <v>0.25824420000000003</v>
      </c>
      <c r="H52" s="574">
        <f t="shared" si="15"/>
        <v>0.23241978000000005</v>
      </c>
      <c r="I52" s="574">
        <f t="shared" si="15"/>
        <v>0.20917780200000005</v>
      </c>
      <c r="J52" s="574">
        <f t="shared" si="15"/>
        <v>0.18826002180000004</v>
      </c>
    </row>
    <row r="53" spans="3:10" ht="15.75" customHeight="1" x14ac:dyDescent="0.3">
      <c r="C53" s="224" t="s">
        <v>313</v>
      </c>
      <c r="E53" s="574"/>
    </row>
    <row r="54" spans="3:10" ht="15.75" customHeight="1" x14ac:dyDescent="0.3">
      <c r="C54" s="311" t="s">
        <v>314</v>
      </c>
      <c r="D54" s="516">
        <v>8.2400000000000001E-2</v>
      </c>
      <c r="E54" s="515">
        <f>D54*(1-5%)</f>
        <v>7.8280000000000002E-2</v>
      </c>
      <c r="F54" s="515">
        <f t="shared" ref="F54:J54" si="16">E54*(1-5%)</f>
        <v>7.4366000000000002E-2</v>
      </c>
      <c r="G54" s="515">
        <f t="shared" si="16"/>
        <v>7.0647699999999994E-2</v>
      </c>
      <c r="H54" s="515">
        <f t="shared" si="16"/>
        <v>6.7115314999999995E-2</v>
      </c>
      <c r="I54" s="515">
        <f t="shared" si="16"/>
        <v>6.3759549249999992E-2</v>
      </c>
      <c r="J54" s="515">
        <f t="shared" si="16"/>
        <v>6.0571571787499986E-2</v>
      </c>
    </row>
    <row r="56" spans="3:10" ht="15.75" customHeight="1" x14ac:dyDescent="0.3">
      <c r="D56" s="579"/>
    </row>
  </sheetData>
  <mergeCells count="7">
    <mergeCell ref="H15:K15"/>
    <mergeCell ref="C42:J42"/>
    <mergeCell ref="C5:D5"/>
    <mergeCell ref="H5:K5"/>
    <mergeCell ref="R5:X5"/>
    <mergeCell ref="R6:X6"/>
    <mergeCell ref="Q8:Q14"/>
  </mergeCells>
  <pageMargins left="0.7" right="0.7" top="0.75" bottom="0.75" header="0.3" footer="0.3"/>
  <pageSetup orientation="portrait"/>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'ERP-Beta'!$P$22:$T$22</xm:f>
          </x14:formula1>
          <xm:sqref>E9</xm:sqref>
        </x14:dataValidation>
      </x14:dataValidations>
    </ex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7F7F7F"/>
  </sheetPr>
  <dimension ref="B2:T48"/>
  <sheetViews>
    <sheetView zoomScale="130" zoomScaleNormal="130" zoomScalePageLayoutView="130" workbookViewId="0">
      <pane xSplit="2" ySplit="3" topLeftCell="N4" activePane="bottomRight" state="frozen"/>
      <selection pane="topRight" activeCell="C1" sqref="C1"/>
      <selection pane="bottomLeft" activeCell="A4" sqref="A4"/>
      <selection pane="bottomRight" activeCell="V32" sqref="V32"/>
    </sheetView>
  </sheetViews>
  <sheetFormatPr defaultColWidth="8.88671875" defaultRowHeight="14.4" x14ac:dyDescent="0.3"/>
  <cols>
    <col min="1" max="1" width="8.88671875" style="54"/>
    <col min="2" max="2" width="33" style="54" bestFit="1" customWidth="1"/>
    <col min="3" max="4" width="4.88671875" style="54" customWidth="1"/>
    <col min="5" max="5" width="8.44140625" style="54" bestFit="1" customWidth="1"/>
    <col min="6" max="8" width="9.44140625" style="54" bestFit="1" customWidth="1"/>
    <col min="9" max="14" width="9.6640625" style="54" bestFit="1" customWidth="1"/>
    <col min="15" max="20" width="9.44140625" style="54" bestFit="1" customWidth="1"/>
    <col min="21" max="21" width="8.88671875" style="54"/>
    <col min="22" max="22" width="23.88671875" style="54" bestFit="1" customWidth="1"/>
    <col min="23" max="31" width="9" style="54" customWidth="1"/>
    <col min="32" max="16384" width="8.88671875" style="54"/>
  </cols>
  <sheetData>
    <row r="2" spans="2:20" x14ac:dyDescent="0.3">
      <c r="C2" s="115"/>
      <c r="D2" s="115"/>
      <c r="E2" s="118" t="str">
        <f t="shared" ref="E2:T2" ca="1" si="0">IF(TODAY()&lt;E3,"Proj","")</f>
        <v/>
      </c>
      <c r="F2" s="118" t="str">
        <f t="shared" ca="1" si="0"/>
        <v/>
      </c>
      <c r="G2" s="118" t="str">
        <f t="shared" ca="1" si="0"/>
        <v/>
      </c>
      <c r="H2" s="118" t="str">
        <f t="shared" ca="1" si="0"/>
        <v/>
      </c>
      <c r="I2" s="118" t="str">
        <f t="shared" ca="1" si="0"/>
        <v/>
      </c>
      <c r="J2" s="118" t="str">
        <f t="shared" ca="1" si="0"/>
        <v/>
      </c>
      <c r="K2" s="118" t="str">
        <f t="shared" ca="1" si="0"/>
        <v/>
      </c>
      <c r="L2" s="118" t="str">
        <f t="shared" ca="1" si="0"/>
        <v/>
      </c>
      <c r="M2" s="118" t="str">
        <f t="shared" ca="1" si="0"/>
        <v/>
      </c>
      <c r="N2" s="118" t="str">
        <f t="shared" ca="1" si="0"/>
        <v/>
      </c>
      <c r="O2" s="118" t="str">
        <f t="shared" ca="1" si="0"/>
        <v/>
      </c>
      <c r="P2" s="118" t="str">
        <f t="shared" ca="1" si="0"/>
        <v/>
      </c>
      <c r="Q2" s="118" t="str">
        <f t="shared" ca="1" si="0"/>
        <v/>
      </c>
      <c r="R2" s="118" t="str">
        <f t="shared" ca="1" si="0"/>
        <v/>
      </c>
      <c r="S2" s="118" t="str">
        <f t="shared" ca="1" si="0"/>
        <v/>
      </c>
      <c r="T2" s="118" t="str">
        <f t="shared" ca="1" si="0"/>
        <v>Proj</v>
      </c>
    </row>
    <row r="3" spans="2:20" ht="15" thickBot="1" x14ac:dyDescent="0.35">
      <c r="B3" s="204" t="s">
        <v>220</v>
      </c>
      <c r="C3" s="211"/>
      <c r="D3" s="211"/>
      <c r="E3" s="208">
        <v>39447</v>
      </c>
      <c r="F3" s="208">
        <v>39813</v>
      </c>
      <c r="G3" s="208">
        <v>40178</v>
      </c>
      <c r="H3" s="208">
        <v>40543</v>
      </c>
      <c r="I3" s="208">
        <v>40908</v>
      </c>
      <c r="J3" s="208">
        <v>41274</v>
      </c>
      <c r="K3" s="208">
        <v>41639</v>
      </c>
      <c r="L3" s="208">
        <v>42004</v>
      </c>
      <c r="M3" s="208">
        <v>42369</v>
      </c>
      <c r="N3" s="208">
        <v>42735</v>
      </c>
      <c r="O3" s="208">
        <v>43100</v>
      </c>
      <c r="P3" s="208">
        <v>43465</v>
      </c>
      <c r="Q3" s="208">
        <v>43830</v>
      </c>
      <c r="R3" s="208">
        <v>44196</v>
      </c>
      <c r="S3" s="208">
        <v>44561</v>
      </c>
      <c r="T3" s="208">
        <v>44926</v>
      </c>
    </row>
    <row r="4" spans="2:20" ht="15" thickTop="1" x14ac:dyDescent="0.3">
      <c r="B4" s="115" t="s">
        <v>221</v>
      </c>
      <c r="C4" s="115"/>
      <c r="D4" s="115"/>
      <c r="E4" s="115"/>
      <c r="F4" s="115"/>
      <c r="G4" s="115"/>
      <c r="H4" s="115"/>
      <c r="I4" s="115"/>
      <c r="J4" s="115"/>
      <c r="K4" s="115"/>
      <c r="L4" s="115"/>
      <c r="M4" s="115"/>
      <c r="N4" s="115"/>
      <c r="O4" s="115"/>
      <c r="P4" s="115"/>
      <c r="Q4" s="115"/>
      <c r="R4" s="115"/>
      <c r="S4" s="115"/>
      <c r="T4" s="115"/>
    </row>
    <row r="5" spans="2:20" x14ac:dyDescent="0.3">
      <c r="B5" s="198" t="s">
        <v>184</v>
      </c>
      <c r="C5" s="198"/>
      <c r="D5" s="198"/>
      <c r="E5" s="258">
        <f>Input!D110</f>
        <v>6</v>
      </c>
      <c r="F5" s="258">
        <f>Input!E110</f>
        <v>12.725437819</v>
      </c>
      <c r="G5" s="258">
        <f>Input!F110</f>
        <v>24</v>
      </c>
      <c r="H5" s="258">
        <f>Input!G110</f>
        <v>69</v>
      </c>
      <c r="I5" s="258">
        <f>Input!H110</f>
        <v>171.44865598000001</v>
      </c>
      <c r="J5" s="258">
        <f>Input!I110</f>
        <v>68</v>
      </c>
      <c r="K5" s="258">
        <f>Input!J110</f>
        <v>187.64972222200001</v>
      </c>
      <c r="L5" s="258">
        <f>Input!K110</f>
        <v>162.11500000000001</v>
      </c>
      <c r="M5" s="258">
        <f>Input!L110</f>
        <v>249.4</v>
      </c>
      <c r="N5" s="258">
        <f>Input!M110</f>
        <v>323.89999999999998</v>
      </c>
      <c r="O5" s="258">
        <f ca="1">Input!N110</f>
        <v>297.0119159201426</v>
      </c>
      <c r="P5" s="259">
        <f ca="1">Input!O110</f>
        <v>322.24825244948147</v>
      </c>
      <c r="Q5" s="259">
        <f ca="1">Input!P110</f>
        <v>378.45262411774672</v>
      </c>
      <c r="R5" s="259">
        <f ca="1">Input!Q110</f>
        <v>406.02946887862851</v>
      </c>
      <c r="S5" s="259">
        <f ca="1">Input!R110</f>
        <v>429.77311609984326</v>
      </c>
      <c r="T5" s="259">
        <f ca="1">Input!S110</f>
        <v>424.3304962584333</v>
      </c>
    </row>
    <row r="6" spans="2:20" x14ac:dyDescent="0.3">
      <c r="B6" s="198" t="s">
        <v>185</v>
      </c>
      <c r="C6" s="198"/>
      <c r="D6" s="198"/>
      <c r="E6" s="258">
        <f>Input!D116</f>
        <v>5.0169646029999999</v>
      </c>
      <c r="F6" s="258">
        <f>Input!E116</f>
        <v>1.864088543</v>
      </c>
      <c r="G6" s="258">
        <f>Input!F116</f>
        <v>12.053940395</v>
      </c>
      <c r="H6" s="258">
        <f>Input!G116</f>
        <v>23.714464442000001</v>
      </c>
      <c r="I6" s="258">
        <f>Input!H116</f>
        <v>7.8449589230000001</v>
      </c>
      <c r="J6" s="258">
        <f>Input!I116</f>
        <v>17.305119116</v>
      </c>
      <c r="K6" s="258">
        <f>Input!J116</f>
        <v>62.192126193</v>
      </c>
      <c r="L6" s="258">
        <f>Input!K116</f>
        <v>126.61989282099999</v>
      </c>
      <c r="M6" s="258">
        <f>Input!L116</f>
        <v>32.310813469999999</v>
      </c>
      <c r="N6" s="258">
        <f>Input!M116</f>
        <v>18.773472948999999</v>
      </c>
      <c r="O6" s="258">
        <f>Input!N116</f>
        <v>67.270136935937899</v>
      </c>
      <c r="P6" s="259">
        <f>Input!O116</f>
        <v>76.681121782389681</v>
      </c>
      <c r="Q6" s="259">
        <f>Input!P116</f>
        <v>79.811232755551401</v>
      </c>
      <c r="R6" s="259">
        <f>Input!Q116</f>
        <v>82.292321078169607</v>
      </c>
      <c r="S6" s="259">
        <f>Input!R116</f>
        <v>92.553521935189465</v>
      </c>
      <c r="T6" s="259">
        <f>Input!S116</f>
        <v>95.408896548083604</v>
      </c>
    </row>
    <row r="7" spans="2:20" x14ac:dyDescent="0.3">
      <c r="B7" s="198" t="s">
        <v>223</v>
      </c>
      <c r="C7" s="198"/>
      <c r="D7" s="198"/>
      <c r="E7" s="258">
        <f>Input!D122</f>
        <v>0</v>
      </c>
      <c r="F7" s="258">
        <f>Input!E122</f>
        <v>10</v>
      </c>
      <c r="G7" s="258">
        <f>Input!F122</f>
        <v>7</v>
      </c>
      <c r="H7" s="258">
        <f>Input!G122</f>
        <v>6.1</v>
      </c>
      <c r="I7" s="258">
        <f>Input!H122</f>
        <v>62.55</v>
      </c>
      <c r="J7" s="258">
        <f>Input!I122</f>
        <v>55.1</v>
      </c>
      <c r="K7" s="258">
        <f>Input!J122</f>
        <v>65</v>
      </c>
      <c r="L7" s="258">
        <f>Input!K122</f>
        <v>40</v>
      </c>
      <c r="M7" s="258">
        <f>Input!L122</f>
        <v>13</v>
      </c>
      <c r="N7" s="258">
        <f>Input!M122</f>
        <v>0</v>
      </c>
      <c r="O7" s="258">
        <f>Input!N122</f>
        <v>0</v>
      </c>
      <c r="P7" s="259">
        <f>Input!O122</f>
        <v>0</v>
      </c>
      <c r="Q7" s="259">
        <f>Input!P122</f>
        <v>0</v>
      </c>
      <c r="R7" s="259">
        <f>Input!Q122</f>
        <v>0</v>
      </c>
      <c r="S7" s="259">
        <f>Input!R122</f>
        <v>0</v>
      </c>
      <c r="T7" s="259">
        <f>Input!S122</f>
        <v>0</v>
      </c>
    </row>
    <row r="8" spans="2:20" x14ac:dyDescent="0.3">
      <c r="B8" s="198" t="s">
        <v>522</v>
      </c>
      <c r="C8" s="198"/>
      <c r="D8" s="198"/>
      <c r="E8" s="258">
        <f>Input!D135</f>
        <v>0</v>
      </c>
      <c r="F8" s="258">
        <f>Input!E135</f>
        <v>4.0130303870000006</v>
      </c>
      <c r="G8" s="258">
        <f>Input!F135</f>
        <v>24.968120772999999</v>
      </c>
      <c r="H8" s="258">
        <f>Input!G135</f>
        <v>78.715107847999988</v>
      </c>
      <c r="I8" s="258">
        <f>Input!H135</f>
        <v>136.59951198900001</v>
      </c>
      <c r="J8" s="258">
        <f>Input!I135</f>
        <v>152.12522326199999</v>
      </c>
      <c r="K8" s="258">
        <f>Input!J135</f>
        <v>168.57663965</v>
      </c>
      <c r="L8" s="258">
        <f>Input!K135</f>
        <v>157.495348318</v>
      </c>
      <c r="M8" s="258">
        <f>Input!L135</f>
        <v>135.60233903900001</v>
      </c>
      <c r="N8" s="258">
        <f>Input!M135</f>
        <v>106.086387832</v>
      </c>
      <c r="O8" s="258">
        <f>Input!N135</f>
        <v>167.37248420831997</v>
      </c>
      <c r="P8" s="259">
        <f>Input!O135</f>
        <v>191.0085646811379</v>
      </c>
      <c r="Q8" s="259">
        <f>Input!P135</f>
        <v>198.89102188152836</v>
      </c>
      <c r="R8" s="259">
        <f>Input!Q135</f>
        <v>205.26429444930068</v>
      </c>
      <c r="S8" s="259">
        <f>Input!R135</f>
        <v>230.91612995742057</v>
      </c>
      <c r="T8" s="259">
        <f>Input!S135</f>
        <v>238.15315731723268</v>
      </c>
    </row>
    <row r="9" spans="2:20" x14ac:dyDescent="0.3">
      <c r="B9" s="198" t="s">
        <v>232</v>
      </c>
      <c r="C9" s="198"/>
      <c r="D9" s="198"/>
      <c r="E9" s="258">
        <f>Input!D140</f>
        <v>5.4409999999999997E-3</v>
      </c>
      <c r="F9" s="258">
        <f>Input!E140</f>
        <v>0.16890797799999999</v>
      </c>
      <c r="G9" s="258">
        <f>Input!F140</f>
        <v>0.37226694399999999</v>
      </c>
      <c r="H9" s="258">
        <f>Input!G140</f>
        <v>4.8024285300000003</v>
      </c>
      <c r="I9" s="258">
        <f>Input!H140</f>
        <v>10.005661391</v>
      </c>
      <c r="J9" s="258">
        <f>Input!I140</f>
        <v>21.500912441000001</v>
      </c>
      <c r="K9" s="258">
        <f>Input!J140</f>
        <v>23.172660906000001</v>
      </c>
      <c r="L9" s="258">
        <f>Input!K140</f>
        <v>21.931573085</v>
      </c>
      <c r="M9" s="258">
        <f>Input!L140</f>
        <v>26.4468639</v>
      </c>
      <c r="N9" s="258">
        <f>Input!M140</f>
        <v>42.038312845999997</v>
      </c>
      <c r="O9" s="258">
        <f>Input!N140</f>
        <v>35.724517192209802</v>
      </c>
      <c r="P9" s="259">
        <f>Input!O140</f>
        <v>41.902589835560136</v>
      </c>
      <c r="Q9" s="259">
        <f>Input!P140</f>
        <v>44.44253195668685</v>
      </c>
      <c r="R9" s="259">
        <f>Input!Q140</f>
        <v>47.304607087153201</v>
      </c>
      <c r="S9" s="259">
        <f>Input!R140</f>
        <v>53.526061402676277</v>
      </c>
      <c r="T9" s="259">
        <f>Input!S140</f>
        <v>56.215379763302678</v>
      </c>
    </row>
    <row r="10" spans="2:20" x14ac:dyDescent="0.3">
      <c r="B10" s="198" t="s">
        <v>234</v>
      </c>
      <c r="C10" s="198"/>
      <c r="D10" s="198"/>
      <c r="E10" s="258">
        <f>Input!D144</f>
        <v>0.16683832200000001</v>
      </c>
      <c r="F10" s="258">
        <f>Input!E144</f>
        <v>1.0329823119999999</v>
      </c>
      <c r="G10" s="258">
        <f>Input!F144</f>
        <v>0.10050000000000001</v>
      </c>
      <c r="H10" s="258">
        <f>Input!G144</f>
        <v>0.49061389999999999</v>
      </c>
      <c r="I10" s="258">
        <f>Input!H144</f>
        <v>7.9328411809999997</v>
      </c>
      <c r="J10" s="258">
        <f>Input!I144</f>
        <v>2.3870007790000001</v>
      </c>
      <c r="K10" s="258">
        <f>Input!J144</f>
        <v>4.3658048220000003</v>
      </c>
      <c r="L10" s="258">
        <f>Input!K144</f>
        <v>12.926033180999999</v>
      </c>
      <c r="M10" s="258">
        <f>Input!L144</f>
        <v>8.8733242079999997</v>
      </c>
      <c r="N10" s="258">
        <f>Input!M144</f>
        <v>9.7460806620000007</v>
      </c>
      <c r="O10" s="258">
        <f>Input!N144</f>
        <v>12.280659812301925</v>
      </c>
      <c r="P10" s="259">
        <f>Input!O144</f>
        <v>13.997173526034102</v>
      </c>
      <c r="Q10" s="259">
        <f>Input!P144</f>
        <v>14.568089163302542</v>
      </c>
      <c r="R10" s="259">
        <f>Input!Q144</f>
        <v>15.020626511969152</v>
      </c>
      <c r="S10" s="259">
        <f>Input!R144</f>
        <v>16.892215115905302</v>
      </c>
      <c r="T10" s="259">
        <f>Input!S144</f>
        <v>17.413020298449339</v>
      </c>
    </row>
    <row r="11" spans="2:20" x14ac:dyDescent="0.3">
      <c r="B11" s="205" t="s">
        <v>523</v>
      </c>
      <c r="C11" s="205"/>
      <c r="D11" s="205"/>
      <c r="E11" s="260">
        <f>Input!D146</f>
        <v>11.189243925</v>
      </c>
      <c r="F11" s="260">
        <f>Input!E146</f>
        <v>29.804447039000003</v>
      </c>
      <c r="G11" s="260">
        <f>Input!F146</f>
        <v>68.494828111999993</v>
      </c>
      <c r="H11" s="260">
        <f>Input!G146</f>
        <v>182.82261471999996</v>
      </c>
      <c r="I11" s="260">
        <f>Input!H146</f>
        <v>396.38162946400001</v>
      </c>
      <c r="J11" s="260">
        <f>Input!I146</f>
        <v>316.41825559800003</v>
      </c>
      <c r="K11" s="260">
        <f>Input!J146</f>
        <v>510.95695379299997</v>
      </c>
      <c r="L11" s="260">
        <f>Input!K146</f>
        <v>521.08784740500005</v>
      </c>
      <c r="M11" s="260">
        <f>Input!L146</f>
        <v>465.63334061699999</v>
      </c>
      <c r="N11" s="260">
        <f>Input!M146</f>
        <v>500.54425428899998</v>
      </c>
      <c r="O11" s="260">
        <f ca="1">Input!N146</f>
        <v>579.65971406891219</v>
      </c>
      <c r="P11" s="261">
        <f ca="1">Input!O146</f>
        <v>645.8377022746032</v>
      </c>
      <c r="Q11" s="261">
        <f ca="1">Input!P146</f>
        <v>716.16549987481574</v>
      </c>
      <c r="R11" s="261">
        <f ca="1">Input!Q146</f>
        <v>755.91131800522101</v>
      </c>
      <c r="S11" s="261">
        <f ca="1">Input!R146</f>
        <v>823.6610445110349</v>
      </c>
      <c r="T11" s="261">
        <f ca="1">Input!S146</f>
        <v>831.52095018550153</v>
      </c>
    </row>
    <row r="12" spans="2:20" x14ac:dyDescent="0.3">
      <c r="B12" s="198"/>
      <c r="C12" s="198"/>
      <c r="D12" s="198"/>
      <c r="E12" s="198"/>
      <c r="F12" s="198"/>
      <c r="G12" s="198"/>
      <c r="H12" s="198"/>
      <c r="I12" s="198"/>
      <c r="J12" s="441"/>
      <c r="K12" s="441"/>
      <c r="L12" s="441"/>
      <c r="M12" s="441"/>
      <c r="N12" s="441"/>
      <c r="O12" s="441"/>
      <c r="P12" s="441"/>
      <c r="Q12" s="441"/>
      <c r="R12" s="441"/>
      <c r="S12" s="441"/>
      <c r="T12" s="441"/>
    </row>
    <row r="13" spans="2:20" x14ac:dyDescent="0.3">
      <c r="B13" s="56" t="s">
        <v>245</v>
      </c>
      <c r="C13" s="198"/>
      <c r="D13" s="198"/>
      <c r="E13" s="258">
        <f>Input!D150</f>
        <v>0</v>
      </c>
      <c r="F13" s="258">
        <f>Input!E150</f>
        <v>0</v>
      </c>
      <c r="G13" s="258">
        <f>Input!F150</f>
        <v>0</v>
      </c>
      <c r="H13" s="258">
        <f>Input!G150</f>
        <v>0</v>
      </c>
      <c r="I13" s="258">
        <f>Input!H150</f>
        <v>0</v>
      </c>
      <c r="J13" s="258">
        <f>Input!I150</f>
        <v>0</v>
      </c>
      <c r="K13" s="258">
        <f>Input!J150</f>
        <v>0</v>
      </c>
      <c r="L13" s="258">
        <f>Input!K150</f>
        <v>0</v>
      </c>
      <c r="M13" s="258">
        <f>Input!L150</f>
        <v>0.93600000000000005</v>
      </c>
      <c r="N13" s="258">
        <f>Input!M150</f>
        <v>1.927</v>
      </c>
      <c r="O13" s="258">
        <f>Input!N150</f>
        <v>2.4259744818057905</v>
      </c>
      <c r="P13" s="259">
        <f>Input!O150</f>
        <v>2.7653644418395427</v>
      </c>
      <c r="Q13" s="259">
        <f>Input!P150</f>
        <v>2.8782461705231341</v>
      </c>
      <c r="R13" s="259">
        <f>Input!Q150</f>
        <v>2.9677220840850485</v>
      </c>
      <c r="S13" s="259">
        <f>Input!R150</f>
        <v>3.3377735298777065</v>
      </c>
      <c r="T13" s="259">
        <f>Input!S150</f>
        <v>3.4407473940973374</v>
      </c>
    </row>
    <row r="14" spans="2:20" x14ac:dyDescent="0.3">
      <c r="B14" s="198" t="s">
        <v>236</v>
      </c>
      <c r="C14" s="198"/>
      <c r="D14" s="198"/>
      <c r="E14" s="258">
        <f>Input!D158</f>
        <v>1.3049055389999999</v>
      </c>
      <c r="F14" s="258">
        <f>Input!E158</f>
        <v>66.197712625999998</v>
      </c>
      <c r="G14" s="258">
        <f>Input!F158</f>
        <v>104.455746901</v>
      </c>
      <c r="H14" s="258">
        <f>Input!G158</f>
        <v>176.514438173</v>
      </c>
      <c r="I14" s="258">
        <f>Input!H158</f>
        <v>292.34442256800003</v>
      </c>
      <c r="J14" s="258">
        <f>Input!I158</f>
        <v>225.10109260300001</v>
      </c>
      <c r="K14" s="258">
        <f>Input!J158</f>
        <v>97.436153461999993</v>
      </c>
      <c r="L14" s="258">
        <f>Input!K158</f>
        <v>111.74238171499999</v>
      </c>
      <c r="M14" s="258">
        <f>Input!L158</f>
        <v>170.39048180500001</v>
      </c>
      <c r="N14" s="258">
        <f>Input!M158</f>
        <v>142.525687323</v>
      </c>
      <c r="O14" s="258">
        <f>Input!N158</f>
        <v>107.91211414163331</v>
      </c>
      <c r="P14" s="259">
        <f>Input!O158</f>
        <v>123.68404552077357</v>
      </c>
      <c r="Q14" s="259">
        <f>Input!P158</f>
        <v>99.307356089501582</v>
      </c>
      <c r="R14" s="259">
        <f>Input!Q158</f>
        <v>87.545460586871627</v>
      </c>
      <c r="S14" s="259">
        <f>Input!R158</f>
        <v>71.498089731055529</v>
      </c>
      <c r="T14" s="259">
        <f>Input!S158</f>
        <v>77.557363474026943</v>
      </c>
    </row>
    <row r="15" spans="2:20" x14ac:dyDescent="0.3">
      <c r="B15" s="198" t="s">
        <v>238</v>
      </c>
      <c r="C15" s="198"/>
      <c r="D15" s="198"/>
      <c r="E15" s="258">
        <f>Input!D163</f>
        <v>3.2313015E-2</v>
      </c>
      <c r="F15" s="258">
        <f>Input!E163</f>
        <v>2.5510274999999999E-2</v>
      </c>
      <c r="G15" s="258">
        <f>Input!F163</f>
        <v>1.8707535000000001E-2</v>
      </c>
      <c r="H15" s="258">
        <f>Input!G163</f>
        <v>3.045411E-3</v>
      </c>
      <c r="I15" s="258">
        <f>Input!H163</f>
        <v>0</v>
      </c>
      <c r="J15" s="258">
        <f>Input!I163</f>
        <v>9.6428949E-2</v>
      </c>
      <c r="K15" s="258">
        <f>Input!J163</f>
        <v>5.1081284999999997E-2</v>
      </c>
      <c r="L15" s="258">
        <f>Input!K163</f>
        <v>0.71228454500000005</v>
      </c>
      <c r="M15" s="258">
        <f>Input!L163</f>
        <v>0.42663425599999999</v>
      </c>
      <c r="N15" s="258">
        <f>Input!M163</f>
        <v>0.14671758800000001</v>
      </c>
      <c r="O15" s="258">
        <f>Input!N163</f>
        <v>38.829776559999999</v>
      </c>
      <c r="P15" s="259">
        <f>Input!O163</f>
        <v>38.722182744000001</v>
      </c>
      <c r="Q15" s="259">
        <f>Input!P163</f>
        <v>37.607241715999997</v>
      </c>
      <c r="R15" s="259">
        <f>Input!Q163</f>
        <v>36.492300688</v>
      </c>
      <c r="S15" s="259">
        <f>Input!R163</f>
        <v>35.377359659999996</v>
      </c>
      <c r="T15" s="259">
        <f>Input!S163</f>
        <v>34.262418631999999</v>
      </c>
    </row>
    <row r="16" spans="2:20" x14ac:dyDescent="0.3">
      <c r="B16" s="198" t="s">
        <v>524</v>
      </c>
      <c r="C16" s="198"/>
      <c r="D16" s="198"/>
      <c r="E16" s="258">
        <f>Input!D168</f>
        <v>0.12790987300000001</v>
      </c>
      <c r="F16" s="258">
        <f>Input!E168</f>
        <v>1.3930262760000001</v>
      </c>
      <c r="G16" s="258">
        <f>Input!F168</f>
        <v>0.91794845300000005</v>
      </c>
      <c r="H16" s="258">
        <f>Input!G168</f>
        <v>0.23613266099999999</v>
      </c>
      <c r="I16" s="258">
        <f>Input!H168</f>
        <v>16.547760561</v>
      </c>
      <c r="J16" s="258">
        <f>Input!I168</f>
        <v>82.116681456999999</v>
      </c>
      <c r="K16" s="258">
        <f>Input!J168</f>
        <v>19.698904445</v>
      </c>
      <c r="L16" s="258">
        <f>Input!K168</f>
        <v>7.9796257429999997</v>
      </c>
      <c r="M16" s="258">
        <f>Input!L168</f>
        <v>6.4097504829999998</v>
      </c>
      <c r="N16" s="258">
        <f>Input!M168</f>
        <v>4.7676375750000002</v>
      </c>
      <c r="O16" s="258">
        <f>Input!N168</f>
        <v>7.2687888165783816</v>
      </c>
      <c r="P16" s="259">
        <f>Input!O168</f>
        <v>8.2856807766768359</v>
      </c>
      <c r="Q16" s="259">
        <f>Input!P168</f>
        <v>8.6239009241701314</v>
      </c>
      <c r="R16" s="259">
        <f>Input!Q168</f>
        <v>8.8919917572475935</v>
      </c>
      <c r="S16" s="259">
        <f>Input!R168</f>
        <v>10.000752723576531</v>
      </c>
      <c r="T16" s="259">
        <f>Input!S168</f>
        <v>10.309286584197508</v>
      </c>
    </row>
    <row r="17" spans="2:20" x14ac:dyDescent="0.3">
      <c r="B17" s="205" t="s">
        <v>525</v>
      </c>
      <c r="C17" s="205"/>
      <c r="D17" s="205"/>
      <c r="E17" s="260">
        <f>Input!D170</f>
        <v>1.4651284269999998</v>
      </c>
      <c r="F17" s="260">
        <f>Input!E170</f>
        <v>67.616249177</v>
      </c>
      <c r="G17" s="260">
        <f>Input!F170</f>
        <v>105.392402889</v>
      </c>
      <c r="H17" s="260">
        <f>Input!G170</f>
        <v>176.75361624499999</v>
      </c>
      <c r="I17" s="260">
        <f>Input!H170</f>
        <v>308.89218312900005</v>
      </c>
      <c r="J17" s="260">
        <f>Input!I170</f>
        <v>307.31420300900004</v>
      </c>
      <c r="K17" s="260">
        <f>Input!J170</f>
        <v>117.18613919199998</v>
      </c>
      <c r="L17" s="260">
        <f>Input!K170</f>
        <v>120.434292003</v>
      </c>
      <c r="M17" s="260">
        <f>Input!L170</f>
        <v>178.16286654400002</v>
      </c>
      <c r="N17" s="260">
        <f>Input!M170</f>
        <v>149.367042486</v>
      </c>
      <c r="O17" s="260">
        <f>Input!N170</f>
        <v>156.43665400001751</v>
      </c>
      <c r="P17" s="261">
        <f>Input!O170</f>
        <v>173.45727348328992</v>
      </c>
      <c r="Q17" s="261">
        <f>Input!P170</f>
        <v>148.41674490019486</v>
      </c>
      <c r="R17" s="261">
        <f>Input!Q170</f>
        <v>135.89747511620428</v>
      </c>
      <c r="S17" s="261">
        <f>Input!R170</f>
        <v>120.21397564450976</v>
      </c>
      <c r="T17" s="261">
        <f>Input!S170</f>
        <v>125.56981608432179</v>
      </c>
    </row>
    <row r="18" spans="2:20" ht="15" thickBot="1" x14ac:dyDescent="0.35">
      <c r="B18" s="206" t="s">
        <v>526</v>
      </c>
      <c r="C18" s="206"/>
      <c r="D18" s="206"/>
      <c r="E18" s="262">
        <f>Input!D172</f>
        <v>12.654372351999999</v>
      </c>
      <c r="F18" s="262">
        <f>Input!E172</f>
        <v>97.42069621600001</v>
      </c>
      <c r="G18" s="262">
        <f>Input!F172</f>
        <v>173.88723100099998</v>
      </c>
      <c r="H18" s="262">
        <f>Input!G172</f>
        <v>359.57623096499992</v>
      </c>
      <c r="I18" s="262">
        <f>Input!H172</f>
        <v>705.273812593</v>
      </c>
      <c r="J18" s="262">
        <f>Input!I172</f>
        <v>623.73245860700013</v>
      </c>
      <c r="K18" s="262">
        <f>Input!J172</f>
        <v>628.14309298499995</v>
      </c>
      <c r="L18" s="262">
        <f>Input!K172</f>
        <v>641.52213940800004</v>
      </c>
      <c r="M18" s="262">
        <f>Input!L172</f>
        <v>643.79620716099998</v>
      </c>
      <c r="N18" s="262">
        <f>Input!M172</f>
        <v>649.91129677499998</v>
      </c>
      <c r="O18" s="262">
        <f ca="1">Input!N172</f>
        <v>736.09636806892968</v>
      </c>
      <c r="P18" s="263">
        <f ca="1">Input!O172</f>
        <v>819.2949757578931</v>
      </c>
      <c r="Q18" s="263">
        <f ca="1">Input!P172</f>
        <v>864.58224477501062</v>
      </c>
      <c r="R18" s="263">
        <f ca="1">Input!Q172</f>
        <v>891.80879312142531</v>
      </c>
      <c r="S18" s="263">
        <f ca="1">Input!R172</f>
        <v>943.87502015554469</v>
      </c>
      <c r="T18" s="263">
        <f ca="1">Input!S172</f>
        <v>957.09076626982335</v>
      </c>
    </row>
    <row r="19" spans="2:20" ht="15" thickTop="1" x14ac:dyDescent="0.3">
      <c r="B19" s="198"/>
      <c r="C19" s="198"/>
      <c r="D19" s="198"/>
      <c r="E19" s="198"/>
      <c r="F19" s="198"/>
      <c r="G19" s="198"/>
      <c r="H19" s="198"/>
      <c r="I19" s="198"/>
      <c r="J19" s="198"/>
      <c r="K19" s="198"/>
      <c r="L19" s="198"/>
      <c r="M19" s="198"/>
      <c r="N19" s="198"/>
      <c r="O19" s="198"/>
      <c r="P19" s="198"/>
      <c r="Q19" s="198"/>
      <c r="R19" s="198"/>
      <c r="S19" s="198"/>
      <c r="T19" s="198"/>
    </row>
    <row r="20" spans="2:20" x14ac:dyDescent="0.3">
      <c r="B20" s="115" t="s">
        <v>248</v>
      </c>
      <c r="C20" s="115"/>
      <c r="D20" s="115"/>
      <c r="E20" s="115"/>
      <c r="F20" s="115"/>
      <c r="G20" s="115"/>
      <c r="H20" s="115"/>
      <c r="I20" s="115"/>
      <c r="J20" s="115"/>
      <c r="K20" s="115"/>
      <c r="L20" s="115"/>
      <c r="M20" s="115"/>
      <c r="N20" s="115"/>
      <c r="O20" s="115"/>
      <c r="P20" s="115"/>
      <c r="Q20" s="115"/>
      <c r="R20" s="115"/>
      <c r="S20" s="115"/>
      <c r="T20" s="115"/>
    </row>
    <row r="21" spans="2:20" x14ac:dyDescent="0.3">
      <c r="B21" s="198" t="s">
        <v>194</v>
      </c>
      <c r="C21" s="198"/>
      <c r="D21" s="198"/>
      <c r="E21" s="258">
        <f>Input!D176</f>
        <v>0</v>
      </c>
      <c r="F21" s="258">
        <f>Input!E176</f>
        <v>0</v>
      </c>
      <c r="G21" s="258">
        <f>Input!F176</f>
        <v>0</v>
      </c>
      <c r="H21" s="258">
        <f>Input!G176</f>
        <v>0</v>
      </c>
      <c r="I21" s="258">
        <f>Input!H176</f>
        <v>0</v>
      </c>
      <c r="J21" s="258">
        <f>Input!I176</f>
        <v>0</v>
      </c>
      <c r="K21" s="258">
        <f>Input!J176</f>
        <v>0</v>
      </c>
      <c r="L21" s="258">
        <f>Input!K176</f>
        <v>0</v>
      </c>
      <c r="M21" s="258">
        <f>Input!L176</f>
        <v>0</v>
      </c>
      <c r="N21" s="258">
        <f>Input!M176</f>
        <v>0</v>
      </c>
      <c r="O21" s="258">
        <f ca="1">Input!N176</f>
        <v>0</v>
      </c>
      <c r="P21" s="259">
        <f ca="1">Input!O176</f>
        <v>0</v>
      </c>
      <c r="Q21" s="259">
        <f ca="1">Input!P176</f>
        <v>0</v>
      </c>
      <c r="R21" s="259">
        <f ca="1">Input!Q176</f>
        <v>0</v>
      </c>
      <c r="S21" s="259">
        <f ca="1">Input!R176</f>
        <v>0</v>
      </c>
      <c r="T21" s="259">
        <f ca="1">Input!S176</f>
        <v>0</v>
      </c>
    </row>
    <row r="22" spans="2:20" x14ac:dyDescent="0.3">
      <c r="B22" s="198" t="s">
        <v>195</v>
      </c>
      <c r="C22" s="198"/>
      <c r="D22" s="198"/>
      <c r="E22" s="258">
        <f>Input!D181</f>
        <v>0</v>
      </c>
      <c r="F22" s="258">
        <f>Input!E181</f>
        <v>0</v>
      </c>
      <c r="G22" s="258">
        <f>Input!F181</f>
        <v>24.232938009000002</v>
      </c>
      <c r="H22" s="258">
        <f>Input!G181</f>
        <v>31.053738106000001</v>
      </c>
      <c r="I22" s="258">
        <f>Input!H181</f>
        <v>61.946897153999998</v>
      </c>
      <c r="J22" s="258">
        <f>Input!I181</f>
        <v>60.183954800000002</v>
      </c>
      <c r="K22" s="258">
        <f>Input!J181</f>
        <v>39.660229072</v>
      </c>
      <c r="L22" s="258">
        <f>Input!K181</f>
        <v>44.60523628</v>
      </c>
      <c r="M22" s="258">
        <f>Input!L181</f>
        <v>38.121860355999999</v>
      </c>
      <c r="N22" s="258">
        <f>Input!M181</f>
        <v>30.839581662000001</v>
      </c>
      <c r="O22" s="258">
        <f>Input!N181</f>
        <v>43.131095762271897</v>
      </c>
      <c r="P22" s="259">
        <f>Input!O181</f>
        <v>49.922206832876796</v>
      </c>
      <c r="Q22" s="259">
        <f>Input!P181</f>
        <v>52.538415559765546</v>
      </c>
      <c r="R22" s="259">
        <f>Input!Q181</f>
        <v>55.45912077261319</v>
      </c>
      <c r="S22" s="259">
        <f>Input!R181</f>
        <v>62.759967364163892</v>
      </c>
      <c r="T22" s="259">
        <f>Input!S181</f>
        <v>65.460567650863595</v>
      </c>
    </row>
    <row r="23" spans="2:20" x14ac:dyDescent="0.3">
      <c r="B23" s="198" t="s">
        <v>527</v>
      </c>
      <c r="C23" s="198"/>
      <c r="D23" s="198"/>
      <c r="E23" s="258">
        <f>Input!D188+Input!D192+Input!D196</f>
        <v>0.104579585</v>
      </c>
      <c r="F23" s="258">
        <f>Input!E188+Input!E192+Input!E196</f>
        <v>8.7514050890000004</v>
      </c>
      <c r="G23" s="258">
        <f>Input!F188+Input!F192+Input!F196</f>
        <v>22.992032521999999</v>
      </c>
      <c r="H23" s="258">
        <f>Input!G188+Input!G192+Input!G196</f>
        <v>45.19616955</v>
      </c>
      <c r="I23" s="258">
        <f>Input!H188+Input!H192+Input!H196</f>
        <v>112.74489863299999</v>
      </c>
      <c r="J23" s="258">
        <f>Input!I188+Input!I192+Input!I196</f>
        <v>102.677044456</v>
      </c>
      <c r="K23" s="258">
        <f>Input!J188+Input!J192+Input!J196</f>
        <v>99.607089002999999</v>
      </c>
      <c r="L23" s="258">
        <f>Input!K188+Input!K192+Input!K196</f>
        <v>131.20774842200001</v>
      </c>
      <c r="M23" s="258">
        <f>Input!L188+Input!L192+Input!L196</f>
        <v>116.945519706</v>
      </c>
      <c r="N23" s="258">
        <f>Input!M188+Input!M192+Input!M196</f>
        <v>113.34481224300001</v>
      </c>
      <c r="O23" s="258">
        <f>Input!N188+Input!N192+Input!N196</f>
        <v>143.38321812762396</v>
      </c>
      <c r="P23" s="259">
        <f>Input!O188+Input!O192+Input!O196</f>
        <v>169.41940321067509</v>
      </c>
      <c r="Q23" s="259">
        <f>Input!P188+Input!P192+Input!P196</f>
        <v>178.64864512754875</v>
      </c>
      <c r="R23" s="259">
        <f>Input!Q188+Input!Q192+Input!Q196</f>
        <v>189.35207088177705</v>
      </c>
      <c r="S23" s="259">
        <f>Input!R188+Input!R192+Input!R196</f>
        <v>214.50490825351392</v>
      </c>
      <c r="T23" s="259">
        <f>Input!S188+Input!S192+Input!S196</f>
        <v>224.18016698021583</v>
      </c>
    </row>
    <row r="24" spans="2:20" x14ac:dyDescent="0.3">
      <c r="B24" s="198" t="s">
        <v>250</v>
      </c>
      <c r="C24" s="198"/>
      <c r="D24" s="198"/>
      <c r="E24" s="258">
        <f>Input!D200</f>
        <v>0.66451916899999997</v>
      </c>
      <c r="F24" s="258">
        <f>Input!E200</f>
        <v>5.9490597730000001</v>
      </c>
      <c r="G24" s="258">
        <f>Input!F200</f>
        <v>3.3412470910000001</v>
      </c>
      <c r="H24" s="258">
        <f>Input!G200</f>
        <v>10.450979112000001</v>
      </c>
      <c r="I24" s="258">
        <f>Input!H200</f>
        <v>32.663681013000001</v>
      </c>
      <c r="J24" s="258">
        <f>Input!I200</f>
        <v>3.5646154819999998</v>
      </c>
      <c r="K24" s="258">
        <f>Input!J200</f>
        <v>8.1918660659999993</v>
      </c>
      <c r="L24" s="258">
        <f>Input!K200</f>
        <v>8.4715887240000001</v>
      </c>
      <c r="M24" s="258">
        <f>Input!L200</f>
        <v>46.10908585</v>
      </c>
      <c r="N24" s="258">
        <f>Input!M200</f>
        <v>13.113555055999999</v>
      </c>
      <c r="O24" s="258">
        <f>Input!N200</f>
        <v>26.554492921463634</v>
      </c>
      <c r="P24" s="259">
        <f>Input!O200</f>
        <v>30.26942412083211</v>
      </c>
      <c r="Q24" s="259">
        <f>Input!P200</f>
        <v>31.505017111513443</v>
      </c>
      <c r="R24" s="259">
        <f>Input!Q200</f>
        <v>32.4844122086757</v>
      </c>
      <c r="S24" s="259">
        <f>Input!R200</f>
        <v>36.534961203141656</v>
      </c>
      <c r="T24" s="259">
        <f>Input!S200</f>
        <v>37.662103623238579</v>
      </c>
    </row>
    <row r="25" spans="2:20" x14ac:dyDescent="0.3">
      <c r="B25" s="205" t="s">
        <v>528</v>
      </c>
      <c r="C25" s="205"/>
      <c r="D25" s="205"/>
      <c r="E25" s="260">
        <f>Input!D202</f>
        <v>0.76909875399999994</v>
      </c>
      <c r="F25" s="260">
        <f>Input!E202</f>
        <v>14.700464862</v>
      </c>
      <c r="G25" s="260">
        <f>Input!F202</f>
        <v>50.566217622000003</v>
      </c>
      <c r="H25" s="260">
        <f>Input!G202</f>
        <v>86.700886768000004</v>
      </c>
      <c r="I25" s="260">
        <f>Input!H202</f>
        <v>207.35547679999999</v>
      </c>
      <c r="J25" s="260">
        <f>Input!I202</f>
        <v>166.42561473800001</v>
      </c>
      <c r="K25" s="260">
        <f>Input!J202</f>
        <v>147.45918414099998</v>
      </c>
      <c r="L25" s="260">
        <f>Input!K202</f>
        <v>184.28457342600001</v>
      </c>
      <c r="M25" s="260">
        <f>Input!L202</f>
        <v>201.17646591200003</v>
      </c>
      <c r="N25" s="260">
        <f>Input!M202</f>
        <v>157.297948961</v>
      </c>
      <c r="O25" s="260">
        <f ca="1">Input!N202</f>
        <v>213.06880681135948</v>
      </c>
      <c r="P25" s="260">
        <f ca="1">Input!O202</f>
        <v>249.61103416438397</v>
      </c>
      <c r="Q25" s="260">
        <f ca="1">Input!P202</f>
        <v>262.69207779882777</v>
      </c>
      <c r="R25" s="260">
        <f ca="1">Input!Q202</f>
        <v>277.29560386306594</v>
      </c>
      <c r="S25" s="260">
        <f ca="1">Input!R202</f>
        <v>313.79983682081945</v>
      </c>
      <c r="T25" s="260">
        <f ca="1">Input!S202</f>
        <v>327.30283825431803</v>
      </c>
    </row>
    <row r="26" spans="2:20" x14ac:dyDescent="0.3">
      <c r="B26" s="198"/>
      <c r="C26" s="198"/>
      <c r="D26" s="198"/>
      <c r="E26" s="198"/>
      <c r="F26" s="198"/>
      <c r="G26" s="198"/>
      <c r="H26" s="198"/>
      <c r="I26" s="198"/>
      <c r="J26" s="198"/>
      <c r="K26" s="198"/>
      <c r="L26" s="198"/>
      <c r="M26" s="198"/>
      <c r="N26" s="198"/>
      <c r="O26" s="198"/>
      <c r="P26" s="198"/>
      <c r="Q26" s="198"/>
      <c r="R26" s="198"/>
      <c r="S26" s="198"/>
      <c r="T26" s="198"/>
    </row>
    <row r="27" spans="2:20" x14ac:dyDescent="0.3">
      <c r="B27" s="198" t="s">
        <v>710</v>
      </c>
      <c r="C27" s="198"/>
      <c r="D27" s="198"/>
      <c r="E27" s="258">
        <f>Input!D207</f>
        <v>0</v>
      </c>
      <c r="F27" s="258">
        <f>Input!E207</f>
        <v>21.556941201000001</v>
      </c>
      <c r="G27" s="258">
        <f>Input!F207</f>
        <v>49.976408102000001</v>
      </c>
      <c r="H27" s="258">
        <f>Input!G207</f>
        <v>37.625259253999999</v>
      </c>
      <c r="I27" s="258">
        <f>Input!H207</f>
        <v>110.078688914</v>
      </c>
      <c r="J27" s="258">
        <f>Input!I207</f>
        <v>69.785388862000005</v>
      </c>
      <c r="K27" s="258">
        <f>Input!J207</f>
        <v>30.231079229999999</v>
      </c>
      <c r="L27" s="258">
        <f>Input!K207</f>
        <v>17.915339356</v>
      </c>
      <c r="M27" s="258">
        <f>Input!L207</f>
        <v>36.928912826000001</v>
      </c>
      <c r="N27" s="258">
        <f>Input!M207</f>
        <v>16.614683723999999</v>
      </c>
      <c r="O27" s="258">
        <f>Input!N207</f>
        <v>2.6973319999999998</v>
      </c>
      <c r="P27" s="259">
        <f>Input!O207</f>
        <v>4.9173306666666674</v>
      </c>
      <c r="Q27" s="259">
        <f>Input!P207</f>
        <v>2.8445444444444452</v>
      </c>
      <c r="R27" s="259">
        <f>Input!Q207</f>
        <v>1.8962962962962968</v>
      </c>
      <c r="S27" s="259">
        <f>Input!R207</f>
        <v>1.2641975308641977</v>
      </c>
      <c r="T27" s="259">
        <f>Input!S207</f>
        <v>0.84279835390946523</v>
      </c>
    </row>
    <row r="28" spans="2:20" x14ac:dyDescent="0.3">
      <c r="B28" s="198" t="s">
        <v>256</v>
      </c>
      <c r="C28" s="198"/>
      <c r="D28" s="198"/>
      <c r="E28" s="258">
        <f>Input!D214</f>
        <v>0</v>
      </c>
      <c r="F28" s="258">
        <f>Input!E214</f>
        <v>0.1243827</v>
      </c>
      <c r="G28" s="258">
        <f>Input!F214</f>
        <v>7.3932072000000001E-2</v>
      </c>
      <c r="H28" s="258">
        <f>Input!G214</f>
        <v>2.0735996220000001</v>
      </c>
      <c r="I28" s="258">
        <f>Input!H214</f>
        <v>7.6106999999999994E-2</v>
      </c>
      <c r="J28" s="258">
        <f>Input!I214</f>
        <v>6.9544476389999996</v>
      </c>
      <c r="K28" s="258">
        <f>Input!J214</f>
        <v>6.9544476389999996</v>
      </c>
      <c r="L28" s="258">
        <f>Input!K214</f>
        <v>6.9544476389999996</v>
      </c>
      <c r="M28" s="258">
        <f>Input!L214</f>
        <v>6.9544476389999996</v>
      </c>
      <c r="N28" s="258">
        <f>Input!M214</f>
        <v>11.40728212</v>
      </c>
      <c r="O28" s="258">
        <f>Input!N214</f>
        <v>7</v>
      </c>
      <c r="P28" s="259">
        <f>Input!O214</f>
        <v>7</v>
      </c>
      <c r="Q28" s="259">
        <f>Input!P214</f>
        <v>7</v>
      </c>
      <c r="R28" s="259">
        <f>Input!Q214</f>
        <v>7</v>
      </c>
      <c r="S28" s="259">
        <f>Input!R214</f>
        <v>7</v>
      </c>
      <c r="T28" s="259">
        <f>Input!S214</f>
        <v>7</v>
      </c>
    </row>
    <row r="29" spans="2:20" x14ac:dyDescent="0.3">
      <c r="B29" s="209" t="s">
        <v>529</v>
      </c>
      <c r="C29" s="209"/>
      <c r="D29" s="209"/>
      <c r="E29" s="264">
        <f>Input!D216</f>
        <v>0</v>
      </c>
      <c r="F29" s="264">
        <f>Input!E216</f>
        <v>21.681323901000003</v>
      </c>
      <c r="G29" s="264">
        <f>Input!F216</f>
        <v>50.050340173999999</v>
      </c>
      <c r="H29" s="264">
        <f>Input!G216</f>
        <v>39.698858876000003</v>
      </c>
      <c r="I29" s="264">
        <f>Input!H216</f>
        <v>110.15479591399999</v>
      </c>
      <c r="J29" s="264">
        <f>Input!I216</f>
        <v>76.739836500999999</v>
      </c>
      <c r="K29" s="264">
        <f>Input!J216</f>
        <v>37.185526869</v>
      </c>
      <c r="L29" s="264">
        <f>Input!K216</f>
        <v>24.869786994999998</v>
      </c>
      <c r="M29" s="264">
        <f>Input!L216</f>
        <v>43.883360465000003</v>
      </c>
      <c r="N29" s="264">
        <f>Input!M216</f>
        <v>28.021965844</v>
      </c>
      <c r="O29" s="264">
        <f>Input!N216</f>
        <v>9.6973319999999994</v>
      </c>
      <c r="P29" s="266">
        <f>Input!O216</f>
        <v>11.917330666666668</v>
      </c>
      <c r="Q29" s="266">
        <f>Input!P216</f>
        <v>9.8445444444444448</v>
      </c>
      <c r="R29" s="266">
        <f>Input!Q216</f>
        <v>8.8962962962962973</v>
      </c>
      <c r="S29" s="266">
        <f>Input!R216</f>
        <v>8.2641975308641982</v>
      </c>
      <c r="T29" s="266">
        <f>Input!S216</f>
        <v>7.8427983539094654</v>
      </c>
    </row>
    <row r="30" spans="2:20" x14ac:dyDescent="0.3">
      <c r="B30" s="115" t="s">
        <v>530</v>
      </c>
      <c r="C30" s="115"/>
      <c r="D30" s="115"/>
      <c r="E30" s="265">
        <f>Input!D217</f>
        <v>0.76909875399999994</v>
      </c>
      <c r="F30" s="265">
        <f>Input!E217</f>
        <v>36.381788763000003</v>
      </c>
      <c r="G30" s="265">
        <f>Input!F217</f>
        <v>100.616557796</v>
      </c>
      <c r="H30" s="265">
        <f>Input!G217</f>
        <v>126.39974564400001</v>
      </c>
      <c r="I30" s="265">
        <f>Input!H217</f>
        <v>317.510272714</v>
      </c>
      <c r="J30" s="265">
        <f>Input!I217</f>
        <v>243.16545123899999</v>
      </c>
      <c r="K30" s="265">
        <f>Input!J217</f>
        <v>184.64471100999998</v>
      </c>
      <c r="L30" s="265">
        <f>Input!K217</f>
        <v>209.15436042100001</v>
      </c>
      <c r="M30" s="265">
        <f>Input!L217</f>
        <v>245.05982637700004</v>
      </c>
      <c r="N30" s="265">
        <f>Input!M217</f>
        <v>185.319914805</v>
      </c>
      <c r="O30" s="265">
        <f ca="1">Input!N217</f>
        <v>222.76613881135947</v>
      </c>
      <c r="P30" s="267">
        <f ca="1">Input!O217</f>
        <v>261.52836483105062</v>
      </c>
      <c r="Q30" s="267">
        <f ca="1">Input!P217</f>
        <v>272.53662224327223</v>
      </c>
      <c r="R30" s="267">
        <f ca="1">Input!Q217</f>
        <v>286.19190015936221</v>
      </c>
      <c r="S30" s="267">
        <f ca="1">Input!R217</f>
        <v>322.06403435168363</v>
      </c>
      <c r="T30" s="267">
        <f ca="1">Input!S217</f>
        <v>335.14563660822751</v>
      </c>
    </row>
    <row r="31" spans="2:20" x14ac:dyDescent="0.3">
      <c r="B31" s="198"/>
      <c r="C31" s="198"/>
      <c r="D31" s="198"/>
      <c r="E31" s="198"/>
      <c r="F31" s="198"/>
      <c r="G31" s="198"/>
      <c r="H31" s="198"/>
      <c r="I31" s="198"/>
      <c r="J31" s="198"/>
      <c r="K31" s="198"/>
      <c r="L31" s="198"/>
      <c r="M31" s="198"/>
      <c r="N31" s="198"/>
      <c r="O31" s="198"/>
      <c r="P31" s="198"/>
      <c r="Q31" s="198"/>
      <c r="R31" s="198"/>
      <c r="S31" s="198"/>
      <c r="T31" s="198"/>
    </row>
    <row r="32" spans="2:20" x14ac:dyDescent="0.3">
      <c r="B32" s="115" t="s">
        <v>259</v>
      </c>
      <c r="C32" s="115"/>
      <c r="D32" s="115"/>
      <c r="E32" s="115"/>
      <c r="F32" s="115"/>
      <c r="G32" s="115"/>
      <c r="H32" s="115"/>
      <c r="I32" s="115"/>
      <c r="J32" s="115"/>
      <c r="K32" s="115"/>
      <c r="L32" s="115"/>
      <c r="M32" s="115"/>
      <c r="N32" s="115"/>
      <c r="O32" s="115"/>
      <c r="P32" s="115"/>
      <c r="Q32" s="115"/>
      <c r="R32" s="115"/>
      <c r="S32" s="115"/>
      <c r="T32" s="115"/>
    </row>
    <row r="33" spans="2:20" x14ac:dyDescent="0.3">
      <c r="B33" s="198" t="s">
        <v>260</v>
      </c>
      <c r="C33" s="198"/>
      <c r="D33" s="198"/>
      <c r="E33" s="258">
        <f>Input!D222</f>
        <v>0</v>
      </c>
      <c r="F33" s="258">
        <f>Input!E222</f>
        <v>0</v>
      </c>
      <c r="G33" s="258">
        <f>Input!F222</f>
        <v>0</v>
      </c>
      <c r="H33" s="258">
        <f>Input!G222</f>
        <v>0</v>
      </c>
      <c r="I33" s="258">
        <f>Input!H222</f>
        <v>0</v>
      </c>
      <c r="J33" s="258">
        <f>Input!I222</f>
        <v>0</v>
      </c>
      <c r="K33" s="258">
        <f>Input!J222</f>
        <v>0</v>
      </c>
      <c r="L33" s="258">
        <f>Input!K222</f>
        <v>0</v>
      </c>
      <c r="M33" s="258">
        <f>Input!L222</f>
        <v>0</v>
      </c>
      <c r="N33" s="258">
        <f>Input!M222</f>
        <v>0</v>
      </c>
      <c r="O33" s="258">
        <f>Input!N222</f>
        <v>0</v>
      </c>
      <c r="P33" s="259">
        <f>Input!O222</f>
        <v>0</v>
      </c>
      <c r="Q33" s="259">
        <f>Input!P222</f>
        <v>0</v>
      </c>
      <c r="R33" s="259">
        <f>Input!Q222</f>
        <v>0</v>
      </c>
      <c r="S33" s="259">
        <f>Input!R222</f>
        <v>0</v>
      </c>
      <c r="T33" s="259">
        <f>Input!S222</f>
        <v>0</v>
      </c>
    </row>
    <row r="34" spans="2:20" x14ac:dyDescent="0.3">
      <c r="B34" s="198"/>
      <c r="C34" s="198"/>
      <c r="D34" s="198"/>
      <c r="E34" s="198"/>
      <c r="F34" s="198"/>
      <c r="G34" s="198"/>
      <c r="H34" s="198"/>
      <c r="I34" s="198"/>
      <c r="J34" s="198"/>
      <c r="K34" s="198"/>
      <c r="L34" s="198"/>
      <c r="M34" s="198"/>
      <c r="N34" s="198"/>
      <c r="O34" s="198"/>
      <c r="P34" s="198"/>
      <c r="Q34" s="198"/>
      <c r="R34" s="198"/>
      <c r="S34" s="198"/>
      <c r="T34" s="198"/>
    </row>
    <row r="35" spans="2:20" x14ac:dyDescent="0.3">
      <c r="B35" s="115" t="s">
        <v>262</v>
      </c>
      <c r="C35" s="115"/>
      <c r="D35" s="115"/>
      <c r="E35" s="115"/>
      <c r="F35" s="115"/>
      <c r="G35" s="115"/>
      <c r="H35" s="115"/>
      <c r="I35" s="115"/>
      <c r="J35" s="115"/>
      <c r="K35" s="115"/>
      <c r="L35" s="115"/>
      <c r="M35" s="115"/>
      <c r="N35" s="115"/>
      <c r="O35" s="115"/>
      <c r="P35" s="115"/>
      <c r="Q35" s="115"/>
      <c r="R35" s="115"/>
      <c r="S35" s="115"/>
      <c r="T35" s="115"/>
    </row>
    <row r="36" spans="2:20" x14ac:dyDescent="0.3">
      <c r="B36" s="202" t="s">
        <v>263</v>
      </c>
      <c r="C36" s="202"/>
      <c r="D36" s="202"/>
      <c r="E36" s="268">
        <f>Input!D226</f>
        <v>13.570320000000001</v>
      </c>
      <c r="F36" s="268">
        <f>Input!E226</f>
        <v>67.2</v>
      </c>
      <c r="G36" s="268">
        <f>Input!F226</f>
        <v>67.2</v>
      </c>
      <c r="H36" s="268">
        <f>Input!G226</f>
        <v>126.69568</v>
      </c>
      <c r="I36" s="268">
        <f>Input!H226</f>
        <v>204.81605999999999</v>
      </c>
      <c r="J36" s="268">
        <f>Input!I226</f>
        <v>214.97206</v>
      </c>
      <c r="K36" s="268">
        <f>Input!J226</f>
        <v>271.69567999999998</v>
      </c>
      <c r="L36" s="268">
        <f>Input!K226</f>
        <v>271.69567999999998</v>
      </c>
      <c r="M36" s="268">
        <f>Input!L226</f>
        <v>271.69567999999998</v>
      </c>
      <c r="N36" s="268">
        <f>Input!M226</f>
        <v>271.69567999999998</v>
      </c>
      <c r="O36" s="268">
        <f>Input!N226</f>
        <v>271.69567999999998</v>
      </c>
      <c r="P36" s="270">
        <f>Input!O226</f>
        <v>271.69567999999998</v>
      </c>
      <c r="Q36" s="270">
        <f>Input!P226</f>
        <v>271.69567999999998</v>
      </c>
      <c r="R36" s="270">
        <f>Input!Q226</f>
        <v>271.69567999999998</v>
      </c>
      <c r="S36" s="270">
        <f>Input!R226</f>
        <v>271.69567999999998</v>
      </c>
      <c r="T36" s="270">
        <f>Input!S226</f>
        <v>271.69567999999998</v>
      </c>
    </row>
    <row r="37" spans="2:20" x14ac:dyDescent="0.3">
      <c r="B37" s="202" t="s">
        <v>270</v>
      </c>
      <c r="C37" s="202"/>
      <c r="D37" s="202"/>
      <c r="E37" s="268">
        <f>Input!D229</f>
        <v>0</v>
      </c>
      <c r="F37" s="268">
        <f>Input!E229</f>
        <v>0</v>
      </c>
      <c r="G37" s="268">
        <f>Input!F229</f>
        <v>0</v>
      </c>
      <c r="H37" s="268">
        <f>Input!G229</f>
        <v>0</v>
      </c>
      <c r="I37" s="268">
        <f>Input!H229</f>
        <v>0</v>
      </c>
      <c r="J37" s="268">
        <f>Input!I229</f>
        <v>10.172434366999999</v>
      </c>
      <c r="K37" s="268">
        <f>Input!J229</f>
        <v>10.172434366999999</v>
      </c>
      <c r="L37" s="268">
        <f>Input!K229</f>
        <v>3.5545817450000001</v>
      </c>
      <c r="M37" s="268">
        <f>Input!L229</f>
        <v>9.1790456490000008</v>
      </c>
      <c r="N37" s="268">
        <f>Input!M229</f>
        <v>9.1790456490000008</v>
      </c>
      <c r="O37" s="268">
        <f>Input!N229</f>
        <v>9.1790456490000008</v>
      </c>
      <c r="P37" s="270">
        <f>Input!O229</f>
        <v>9.1790456490000008</v>
      </c>
      <c r="Q37" s="270">
        <f>Input!P229</f>
        <v>9.1790456490000008</v>
      </c>
      <c r="R37" s="270">
        <f>Input!Q229</f>
        <v>9.1790456490000008</v>
      </c>
      <c r="S37" s="270">
        <f>Input!R229</f>
        <v>9.1790456490000008</v>
      </c>
      <c r="T37" s="270">
        <f>Input!S229</f>
        <v>9.1790456490000008</v>
      </c>
    </row>
    <row r="38" spans="2:20" x14ac:dyDescent="0.3">
      <c r="B38" s="198" t="s">
        <v>264</v>
      </c>
      <c r="C38" s="198"/>
      <c r="D38" s="198"/>
      <c r="E38" s="258">
        <f>Input!D233</f>
        <v>-1.688688333</v>
      </c>
      <c r="F38" s="258">
        <f>Input!E233</f>
        <v>-6.161092547</v>
      </c>
      <c r="G38" s="258">
        <f>Input!F233</f>
        <v>0</v>
      </c>
      <c r="H38" s="258">
        <f>Input!G233</f>
        <v>105.87080532100001</v>
      </c>
      <c r="I38" s="258">
        <f>Input!H233</f>
        <v>159.32091042600001</v>
      </c>
      <c r="J38" s="258">
        <f>Input!I233</f>
        <v>91.106206080999996</v>
      </c>
      <c r="K38" s="258">
        <f>Input!J233</f>
        <v>125.695984813</v>
      </c>
      <c r="L38" s="258">
        <f>Input!K233</f>
        <v>116.518422421</v>
      </c>
      <c r="M38" s="258">
        <f>Input!L233</f>
        <v>71.638096410000003</v>
      </c>
      <c r="N38" s="258">
        <f>Input!M233</f>
        <v>113.74767878999999</v>
      </c>
      <c r="O38" s="258">
        <f ca="1">Input!N233</f>
        <v>156.42567128487028</v>
      </c>
      <c r="P38" s="259">
        <f ca="1">Input!O233</f>
        <v>194.82952211860538</v>
      </c>
      <c r="Q38" s="259">
        <f ca="1">Input!P233</f>
        <v>223.38548827761335</v>
      </c>
      <c r="R38" s="259">
        <f ca="1">Input!Q233</f>
        <v>231.82425803323491</v>
      </c>
      <c r="S38" s="259">
        <f ca="1">Input!R233</f>
        <v>244.08978864071139</v>
      </c>
      <c r="T38" s="259">
        <f ca="1">Input!S233</f>
        <v>240.14288058903929</v>
      </c>
    </row>
    <row r="39" spans="2:20" x14ac:dyDescent="0.3">
      <c r="B39" s="309" t="s">
        <v>269</v>
      </c>
      <c r="C39" s="198"/>
      <c r="D39" s="198"/>
      <c r="E39" s="258">
        <f>Input!D237</f>
        <v>0</v>
      </c>
      <c r="F39" s="258">
        <f>Input!E237</f>
        <v>0</v>
      </c>
      <c r="G39" s="258">
        <f>Input!F237</f>
        <v>0</v>
      </c>
      <c r="H39" s="258">
        <f>Input!G237</f>
        <v>0</v>
      </c>
      <c r="I39" s="258">
        <f>Input!H237</f>
        <v>12.485556240999999</v>
      </c>
      <c r="J39" s="258">
        <f>Input!I237</f>
        <v>43.002859340999997</v>
      </c>
      <c r="K39" s="258">
        <f>Input!J237</f>
        <v>8.7277932580000002</v>
      </c>
      <c r="L39" s="258">
        <f>Input!K237</f>
        <v>17.915375315999999</v>
      </c>
      <c r="M39" s="258">
        <f>Input!L237</f>
        <v>46.226828724999997</v>
      </c>
      <c r="N39" s="258">
        <f>Input!M237</f>
        <v>69.972247530999994</v>
      </c>
      <c r="O39" s="258">
        <f>Input!N237</f>
        <v>76.029832323699992</v>
      </c>
      <c r="P39" s="259">
        <f ca="1">Input!O237</f>
        <v>82.062363159237208</v>
      </c>
      <c r="Q39" s="259">
        <f ca="1">Input!P237</f>
        <v>87.785408605125127</v>
      </c>
      <c r="R39" s="259">
        <f ca="1">Input!Q237</f>
        <v>92.917909279828379</v>
      </c>
      <c r="S39" s="259">
        <f ca="1">Input!R237</f>
        <v>96.846471514149584</v>
      </c>
      <c r="T39" s="259">
        <f ca="1">Input!S237</f>
        <v>100.92752342355642</v>
      </c>
    </row>
    <row r="40" spans="2:20" x14ac:dyDescent="0.3">
      <c r="B40" s="198" t="s">
        <v>265</v>
      </c>
      <c r="C40" s="198"/>
      <c r="D40" s="198"/>
      <c r="E40" s="258">
        <f>Input!D241</f>
        <v>3.6419310000000002E-3</v>
      </c>
      <c r="F40" s="258">
        <f>Input!E241</f>
        <v>0</v>
      </c>
      <c r="G40" s="258">
        <f>Input!F241</f>
        <v>6.0706732050000003</v>
      </c>
      <c r="H40" s="258">
        <f>Input!G241</f>
        <v>0.61</v>
      </c>
      <c r="I40" s="258">
        <f>Input!H241</f>
        <v>11.141013212000001</v>
      </c>
      <c r="J40" s="258">
        <f>Input!I241</f>
        <v>21.313447579000002</v>
      </c>
      <c r="K40" s="258">
        <f>Input!J241</f>
        <v>27.206489537</v>
      </c>
      <c r="L40" s="258">
        <f>Input!K241</f>
        <v>22.683719504999999</v>
      </c>
      <c r="M40" s="258">
        <f>Input!L241</f>
        <v>-3.2699999999999999E-3</v>
      </c>
      <c r="N40" s="258">
        <f>Input!M241</f>
        <v>-3.2699999999999999E-3</v>
      </c>
      <c r="O40" s="258">
        <f>Input!N241</f>
        <v>0</v>
      </c>
      <c r="P40" s="259">
        <f>Input!O241</f>
        <v>0</v>
      </c>
      <c r="Q40" s="259">
        <f>Input!P241</f>
        <v>0</v>
      </c>
      <c r="R40" s="259">
        <f>Input!Q241</f>
        <v>0</v>
      </c>
      <c r="S40" s="259">
        <f>Input!R241</f>
        <v>0</v>
      </c>
      <c r="T40" s="259">
        <f>Input!S241</f>
        <v>0</v>
      </c>
    </row>
    <row r="41" spans="2:20" x14ac:dyDescent="0.3">
      <c r="B41" s="210" t="s">
        <v>266</v>
      </c>
      <c r="C41" s="210"/>
      <c r="D41" s="210"/>
      <c r="E41" s="269">
        <f>Input!D243</f>
        <v>11.885273598000001</v>
      </c>
      <c r="F41" s="269">
        <f>Input!E243</f>
        <v>61.038907453</v>
      </c>
      <c r="G41" s="269">
        <f>Input!F243</f>
        <v>73.270673205000008</v>
      </c>
      <c r="H41" s="269">
        <f>Input!G243</f>
        <v>233.17648532100003</v>
      </c>
      <c r="I41" s="269">
        <f>Input!H243</f>
        <v>387.76353987900001</v>
      </c>
      <c r="J41" s="269">
        <f>Input!I243</f>
        <v>380.56700736799996</v>
      </c>
      <c r="K41" s="269">
        <f>Input!J243</f>
        <v>443.49838197499997</v>
      </c>
      <c r="L41" s="269">
        <f>Input!K243</f>
        <v>432.36777898699995</v>
      </c>
      <c r="M41" s="269">
        <f>Input!L243</f>
        <v>398.736380784</v>
      </c>
      <c r="N41" s="269">
        <f>Input!M243</f>
        <v>464.59138196999999</v>
      </c>
      <c r="O41" s="269">
        <f ca="1">Input!N243</f>
        <v>513.33022925757029</v>
      </c>
      <c r="P41" s="271">
        <f ca="1">Input!O243</f>
        <v>557.76661092684253</v>
      </c>
      <c r="Q41" s="271">
        <f ca="1">Input!P243</f>
        <v>592.04562253173845</v>
      </c>
      <c r="R41" s="271">
        <f ca="1">Input!Q243</f>
        <v>605.61689296206328</v>
      </c>
      <c r="S41" s="271">
        <f ca="1">Input!R243</f>
        <v>621.81098580386094</v>
      </c>
      <c r="T41" s="271">
        <f ca="1">Input!S243</f>
        <v>621.94512966159562</v>
      </c>
    </row>
    <row r="42" spans="2:20" ht="15" thickBot="1" x14ac:dyDescent="0.35">
      <c r="B42" s="206" t="s">
        <v>531</v>
      </c>
      <c r="C42" s="206"/>
      <c r="D42" s="206"/>
      <c r="E42" s="262">
        <f>Input!D244</f>
        <v>12.654372352000001</v>
      </c>
      <c r="F42" s="262">
        <f>Input!E244</f>
        <v>97.42069621600001</v>
      </c>
      <c r="G42" s="262">
        <f>Input!F244</f>
        <v>173.887231001</v>
      </c>
      <c r="H42" s="262">
        <f>Input!G244</f>
        <v>359.57623096500004</v>
      </c>
      <c r="I42" s="262">
        <f>Input!H244</f>
        <v>705.273812593</v>
      </c>
      <c r="J42" s="262">
        <f>Input!I244</f>
        <v>623.7324586069999</v>
      </c>
      <c r="K42" s="262">
        <f>Input!J244</f>
        <v>628.14309298499995</v>
      </c>
      <c r="L42" s="262">
        <f>Input!K244</f>
        <v>641.52213940799993</v>
      </c>
      <c r="M42" s="262">
        <f>Input!L244</f>
        <v>643.79620716099998</v>
      </c>
      <c r="N42" s="262">
        <f>Input!M244</f>
        <v>649.91129677499998</v>
      </c>
      <c r="O42" s="262">
        <f ca="1">Input!N244</f>
        <v>736.09636806892979</v>
      </c>
      <c r="P42" s="263">
        <f ca="1">Input!O244</f>
        <v>819.2949757578931</v>
      </c>
      <c r="Q42" s="263">
        <f ca="1">Input!P244</f>
        <v>864.58224477501062</v>
      </c>
      <c r="R42" s="263">
        <f ca="1">Input!Q244</f>
        <v>891.80879312142542</v>
      </c>
      <c r="S42" s="263">
        <f ca="1">Input!R244</f>
        <v>943.87502015554458</v>
      </c>
      <c r="T42" s="263">
        <f ca="1">Input!S244</f>
        <v>957.09076626982312</v>
      </c>
    </row>
    <row r="43" spans="2:20" ht="15" thickTop="1" x14ac:dyDescent="0.3">
      <c r="B43" s="198"/>
    </row>
    <row r="44" spans="2:20" x14ac:dyDescent="0.3">
      <c r="B44" s="198"/>
      <c r="F44" s="227"/>
      <c r="G44" s="227"/>
      <c r="H44" s="227"/>
      <c r="I44" s="227"/>
      <c r="J44" s="227"/>
      <c r="K44" s="227"/>
      <c r="L44" s="227"/>
      <c r="M44" s="227"/>
      <c r="N44" s="227"/>
      <c r="O44" s="227"/>
      <c r="P44" s="227"/>
      <c r="Q44" s="227"/>
      <c r="R44" s="227"/>
      <c r="S44" s="227"/>
      <c r="T44" s="227"/>
    </row>
    <row r="45" spans="2:20" x14ac:dyDescent="0.3">
      <c r="B45" s="115" t="s">
        <v>532</v>
      </c>
      <c r="F45" s="227">
        <f t="shared" ref="F45:T45" si="1">F11-F5-F7-(F25-SUM(F21:F22))</f>
        <v>-7.6214556419999973</v>
      </c>
      <c r="G45" s="227">
        <f t="shared" si="1"/>
        <v>11.161548498999991</v>
      </c>
      <c r="H45" s="227">
        <f t="shared" si="1"/>
        <v>52.075466057999961</v>
      </c>
      <c r="I45" s="227">
        <f t="shared" si="1"/>
        <v>16.974393837999997</v>
      </c>
      <c r="J45" s="227">
        <f t="shared" si="1"/>
        <v>87.076595660000038</v>
      </c>
      <c r="K45" s="227">
        <f t="shared" si="1"/>
        <v>150.508276502</v>
      </c>
      <c r="L45" s="227">
        <f t="shared" si="1"/>
        <v>179.29351025900002</v>
      </c>
      <c r="M45" s="227">
        <f t="shared" si="1"/>
        <v>40.178735060999969</v>
      </c>
      <c r="N45" s="227">
        <f t="shared" si="1"/>
        <v>50.18588699</v>
      </c>
      <c r="O45" s="227">
        <f t="shared" ca="1" si="1"/>
        <v>112.71008709968203</v>
      </c>
      <c r="P45" s="222">
        <f t="shared" ca="1" si="1"/>
        <v>123.90062249361455</v>
      </c>
      <c r="Q45" s="222">
        <f t="shared" ca="1" si="1"/>
        <v>127.5592135180068</v>
      </c>
      <c r="R45" s="222">
        <f t="shared" ca="1" si="1"/>
        <v>128.04536603613974</v>
      </c>
      <c r="S45" s="222">
        <f t="shared" ca="1" si="1"/>
        <v>142.84805895453607</v>
      </c>
      <c r="T45" s="222">
        <f t="shared" ca="1" si="1"/>
        <v>145.3481833236138</v>
      </c>
    </row>
    <row r="46" spans="2:20" x14ac:dyDescent="0.3">
      <c r="B46" s="198" t="s">
        <v>533</v>
      </c>
      <c r="G46" s="227">
        <f>G45-F45</f>
        <v>18.783004140999989</v>
      </c>
      <c r="H46" s="227">
        <f t="shared" ref="H46:T46" si="2">H45-G45</f>
        <v>40.91391755899997</v>
      </c>
      <c r="I46" s="227">
        <f t="shared" si="2"/>
        <v>-35.101072219999963</v>
      </c>
      <c r="J46" s="227">
        <f t="shared" si="2"/>
        <v>70.10220182200004</v>
      </c>
      <c r="K46" s="227">
        <f t="shared" si="2"/>
        <v>63.431680841999963</v>
      </c>
      <c r="L46" s="227">
        <f t="shared" si="2"/>
        <v>28.785233757000015</v>
      </c>
      <c r="M46" s="227">
        <f t="shared" si="2"/>
        <v>-139.11477519800005</v>
      </c>
      <c r="N46" s="227">
        <f t="shared" si="2"/>
        <v>10.007151929000031</v>
      </c>
      <c r="O46" s="227">
        <f t="shared" ca="1" si="2"/>
        <v>62.524200109682027</v>
      </c>
      <c r="P46" s="222">
        <f t="shared" ca="1" si="2"/>
        <v>11.190535393932521</v>
      </c>
      <c r="Q46" s="222">
        <f t="shared" ca="1" si="2"/>
        <v>3.6585910243922513</v>
      </c>
      <c r="R46" s="222">
        <f t="shared" ca="1" si="2"/>
        <v>0.4861525181329398</v>
      </c>
      <c r="S46" s="222">
        <f t="shared" ca="1" si="2"/>
        <v>14.802692918396332</v>
      </c>
      <c r="T46" s="222">
        <f t="shared" ca="1" si="2"/>
        <v>2.5001243690777244</v>
      </c>
    </row>
    <row r="47" spans="2:20" x14ac:dyDescent="0.3">
      <c r="B47" s="198" t="s">
        <v>424</v>
      </c>
      <c r="F47" s="102">
        <f t="shared" ref="F47:T47" si="3">SUM(E21:F22,E27:F27)/SUM(E41:F41)</f>
        <v>0.29560758708999435</v>
      </c>
      <c r="G47" s="102">
        <f t="shared" si="3"/>
        <v>0.71302647840033873</v>
      </c>
      <c r="H47" s="102">
        <f t="shared" si="3"/>
        <v>0.46627400351267029</v>
      </c>
      <c r="I47" s="102">
        <f t="shared" si="3"/>
        <v>0.3876454627811613</v>
      </c>
      <c r="J47" s="102">
        <f t="shared" si="3"/>
        <v>0.39305339454753696</v>
      </c>
      <c r="K47" s="102">
        <f t="shared" si="3"/>
        <v>0.24253008869034329</v>
      </c>
      <c r="L47" s="102">
        <f t="shared" si="3"/>
        <v>0.15117821630712003</v>
      </c>
      <c r="M47" s="102">
        <f t="shared" si="3"/>
        <v>0.1655284084439019</v>
      </c>
      <c r="N47" s="102">
        <f t="shared" si="3"/>
        <v>0.14189864365905613</v>
      </c>
      <c r="O47" s="102">
        <f t="shared" ca="1" si="3"/>
        <v>9.5388722446961297E-2</v>
      </c>
      <c r="P47" s="217">
        <f t="shared" ca="1" si="3"/>
        <v>9.3985867089742478E-2</v>
      </c>
      <c r="Q47" s="217">
        <f t="shared" ca="1" si="3"/>
        <v>9.5861301781604277E-2</v>
      </c>
      <c r="R47" s="217">
        <f t="shared" ca="1" si="3"/>
        <v>9.4132007652119709E-2</v>
      </c>
      <c r="S47" s="217">
        <f t="shared" ca="1" si="3"/>
        <v>9.8889380031008084E-2</v>
      </c>
      <c r="T47" s="217">
        <f t="shared" ca="1" si="3"/>
        <v>0.10478543926678752</v>
      </c>
    </row>
    <row r="48" spans="2:20" x14ac:dyDescent="0.3">
      <c r="B48" s="198" t="s">
        <v>534</v>
      </c>
      <c r="F48" s="102">
        <f>1/(1/F47+1)</f>
        <v>0.22816135845109181</v>
      </c>
      <c r="G48" s="102">
        <f t="shared" ref="G48:T48" si="4">1/(1/G47+1)</f>
        <v>0.41623786169737337</v>
      </c>
      <c r="H48" s="102">
        <f t="shared" si="4"/>
        <v>0.31799922960895705</v>
      </c>
      <c r="I48" s="102">
        <f t="shared" si="4"/>
        <v>0.27935483030674885</v>
      </c>
      <c r="J48" s="102">
        <f t="shared" si="4"/>
        <v>0.28215242580504285</v>
      </c>
      <c r="K48" s="102">
        <f t="shared" si="4"/>
        <v>0.19519051562443521</v>
      </c>
      <c r="L48" s="102">
        <f t="shared" si="4"/>
        <v>0.13132477158235903</v>
      </c>
      <c r="M48" s="102">
        <f t="shared" si="4"/>
        <v>0.14202005480492666</v>
      </c>
      <c r="N48" s="102">
        <f t="shared" si="4"/>
        <v>0.12426553306374161</v>
      </c>
      <c r="O48" s="102">
        <f t="shared" ca="1" si="4"/>
        <v>8.7082074602589335E-2</v>
      </c>
      <c r="P48" s="217">
        <f ca="1">1/(1/P47+1)</f>
        <v>8.5911408837270262E-2</v>
      </c>
      <c r="Q48" s="217">
        <f t="shared" ca="1" si="4"/>
        <v>8.74757614177607E-2</v>
      </c>
      <c r="R48" s="217">
        <f t="shared" ca="1" si="4"/>
        <v>8.6033501436555235E-2</v>
      </c>
      <c r="S48" s="217">
        <f t="shared" ca="1" si="4"/>
        <v>8.9990295500187348E-2</v>
      </c>
      <c r="T48" s="217">
        <f t="shared" ca="1" si="4"/>
        <v>9.4846868489080027E-2</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7F7F7F"/>
  </sheetPr>
  <dimension ref="B2:T33"/>
  <sheetViews>
    <sheetView zoomScale="130" zoomScaleNormal="130" zoomScalePageLayoutView="130" workbookViewId="0">
      <pane xSplit="2" ySplit="3" topLeftCell="N4" activePane="bottomRight" state="frozen"/>
      <selection pane="topRight" activeCell="C1" sqref="C1"/>
      <selection pane="bottomLeft" activeCell="A4" sqref="A4"/>
      <selection pane="bottomRight" activeCell="W32" sqref="W32"/>
    </sheetView>
  </sheetViews>
  <sheetFormatPr defaultColWidth="8.88671875" defaultRowHeight="14.4" x14ac:dyDescent="0.3"/>
  <cols>
    <col min="1" max="1" width="5" style="54" customWidth="1"/>
    <col min="2" max="2" width="36.88671875" style="54" bestFit="1" customWidth="1"/>
    <col min="3" max="3" width="5.33203125" style="54" customWidth="1"/>
    <col min="4" max="4" width="5.44140625" style="54" customWidth="1"/>
    <col min="5" max="11" width="7" style="54" bestFit="1" customWidth="1"/>
    <col min="12" max="12" width="7.109375" style="54" bestFit="1" customWidth="1"/>
    <col min="13" max="13" width="7" style="54" bestFit="1" customWidth="1"/>
    <col min="14" max="20" width="8.109375" style="54" customWidth="1"/>
    <col min="21" max="21" width="8.88671875" style="54"/>
    <col min="22" max="22" width="29.33203125" style="54" bestFit="1" customWidth="1"/>
    <col min="23" max="23" width="7.88671875" style="54" bestFit="1" customWidth="1"/>
    <col min="24" max="25" width="6.33203125" style="54" bestFit="1" customWidth="1"/>
    <col min="26" max="31" width="9.109375" style="54" bestFit="1" customWidth="1"/>
    <col min="32" max="16384" width="8.88671875" style="54"/>
  </cols>
  <sheetData>
    <row r="2" spans="2:20" x14ac:dyDescent="0.3">
      <c r="E2" s="118" t="str">
        <f t="shared" ref="E2:M2" ca="1" si="0">IF(TODAY()&lt;E3,"Proj","")</f>
        <v/>
      </c>
      <c r="F2" s="118" t="str">
        <f t="shared" ca="1" si="0"/>
        <v/>
      </c>
      <c r="G2" s="118" t="str">
        <f t="shared" ca="1" si="0"/>
        <v/>
      </c>
      <c r="H2" s="118" t="str">
        <f t="shared" ca="1" si="0"/>
        <v/>
      </c>
      <c r="I2" s="118" t="str">
        <f t="shared" ca="1" si="0"/>
        <v/>
      </c>
      <c r="J2" s="118" t="str">
        <f t="shared" ca="1" si="0"/>
        <v/>
      </c>
      <c r="K2" s="118" t="str">
        <f t="shared" ca="1" si="0"/>
        <v/>
      </c>
      <c r="L2" s="118" t="str">
        <f t="shared" ca="1" si="0"/>
        <v/>
      </c>
      <c r="M2" s="118" t="str">
        <f t="shared" ca="1" si="0"/>
        <v/>
      </c>
      <c r="N2" s="118" t="str">
        <f ca="1">IF(TODAY()&lt;N3,"Proj","")</f>
        <v/>
      </c>
      <c r="O2" s="118" t="str">
        <f t="shared" ref="O2:T2" ca="1" si="1">IF(TODAY()&lt;O3,"Proj","")</f>
        <v/>
      </c>
      <c r="P2" s="118" t="str">
        <f t="shared" ca="1" si="1"/>
        <v/>
      </c>
      <c r="Q2" s="118" t="str">
        <f t="shared" ca="1" si="1"/>
        <v/>
      </c>
      <c r="R2" s="118" t="str">
        <f t="shared" ca="1" si="1"/>
        <v/>
      </c>
      <c r="S2" s="118" t="str">
        <f t="shared" ca="1" si="1"/>
        <v/>
      </c>
      <c r="T2" s="118" t="str">
        <f t="shared" ca="1" si="1"/>
        <v>Proj</v>
      </c>
    </row>
    <row r="3" spans="2:20" ht="15" thickBot="1" x14ac:dyDescent="0.35">
      <c r="B3" s="204" t="s">
        <v>0</v>
      </c>
      <c r="C3" s="208"/>
      <c r="D3" s="208"/>
      <c r="E3" s="208">
        <v>39447</v>
      </c>
      <c r="F3" s="208">
        <f t="shared" ref="F3:T3" si="2">DATE(YEAR(E3),MONTH(E3)+13,0)</f>
        <v>39813</v>
      </c>
      <c r="G3" s="208">
        <f t="shared" si="2"/>
        <v>40178</v>
      </c>
      <c r="H3" s="208">
        <f t="shared" si="2"/>
        <v>40543</v>
      </c>
      <c r="I3" s="208">
        <f t="shared" si="2"/>
        <v>40908</v>
      </c>
      <c r="J3" s="208">
        <f t="shared" si="2"/>
        <v>41274</v>
      </c>
      <c r="K3" s="208">
        <f t="shared" si="2"/>
        <v>41639</v>
      </c>
      <c r="L3" s="208">
        <f t="shared" si="2"/>
        <v>42004</v>
      </c>
      <c r="M3" s="208">
        <f t="shared" si="2"/>
        <v>42369</v>
      </c>
      <c r="N3" s="208">
        <f t="shared" si="2"/>
        <v>42735</v>
      </c>
      <c r="O3" s="208">
        <f t="shared" si="2"/>
        <v>43100</v>
      </c>
      <c r="P3" s="208">
        <f t="shared" si="2"/>
        <v>43465</v>
      </c>
      <c r="Q3" s="208">
        <f t="shared" si="2"/>
        <v>43830</v>
      </c>
      <c r="R3" s="208">
        <f t="shared" si="2"/>
        <v>44196</v>
      </c>
      <c r="S3" s="208">
        <f t="shared" si="2"/>
        <v>44561</v>
      </c>
      <c r="T3" s="208">
        <f t="shared" si="2"/>
        <v>44926</v>
      </c>
    </row>
    <row r="4" spans="2:20" ht="15" thickTop="1" x14ac:dyDescent="0.3">
      <c r="B4" s="198"/>
    </row>
    <row r="5" spans="2:20" x14ac:dyDescent="0.3">
      <c r="B5" s="198" t="s">
        <v>2</v>
      </c>
      <c r="C5" s="198"/>
      <c r="D5" s="198"/>
      <c r="E5" s="435">
        <f>Input!D7</f>
        <v>0</v>
      </c>
      <c r="F5" s="435">
        <f>Input!E7</f>
        <v>7.8663824360000003</v>
      </c>
      <c r="G5" s="435">
        <f>Input!F7</f>
        <v>75.687354268999997</v>
      </c>
      <c r="H5" s="435">
        <f>Input!G7</f>
        <v>285.40842659899999</v>
      </c>
      <c r="I5" s="435">
        <f>Input!H7</f>
        <v>731.81939765599998</v>
      </c>
      <c r="J5" s="435">
        <f>Input!I7</f>
        <v>801.188394926</v>
      </c>
      <c r="K5" s="435">
        <f>Input!J7</f>
        <v>949.78055784599997</v>
      </c>
      <c r="L5" s="435">
        <f>Input!K7</f>
        <v>1085.5814541719999</v>
      </c>
      <c r="M5" s="435">
        <f>Input!L7</f>
        <v>950.20789748599998</v>
      </c>
      <c r="N5" s="435">
        <f>Input!M7</f>
        <v>890.56689622900001</v>
      </c>
      <c r="O5" s="435">
        <f>Input!N7</f>
        <v>1121.1689489322985</v>
      </c>
      <c r="P5" s="549">
        <f>Input!O7</f>
        <v>1278.0186963731614</v>
      </c>
      <c r="Q5" s="549">
        <f>Input!P7</f>
        <v>1330.1872125925233</v>
      </c>
      <c r="R5" s="549">
        <f>Input!Q7</f>
        <v>1371.5386846361603</v>
      </c>
      <c r="S5" s="549">
        <f>Input!R7</f>
        <v>1542.5586989198246</v>
      </c>
      <c r="T5" s="549">
        <f>Input!S7</f>
        <v>1590.1482758013935</v>
      </c>
    </row>
    <row r="6" spans="2:20" x14ac:dyDescent="0.3">
      <c r="B6" s="202" t="s">
        <v>122</v>
      </c>
      <c r="C6" s="202"/>
      <c r="D6" s="202"/>
      <c r="E6" s="436">
        <f>Input!D11</f>
        <v>0</v>
      </c>
      <c r="F6" s="436">
        <f>Input!E11</f>
        <v>7.1021019570000004</v>
      </c>
      <c r="G6" s="436">
        <f>Input!F11</f>
        <v>50.606568004000003</v>
      </c>
      <c r="H6" s="436">
        <f>Input!G11</f>
        <v>153.935070048</v>
      </c>
      <c r="I6" s="436">
        <f>Input!H11</f>
        <v>455.53848665100003</v>
      </c>
      <c r="J6" s="436">
        <f>Input!I11</f>
        <v>616.16746400500006</v>
      </c>
      <c r="K6" s="436">
        <f>Input!J11</f>
        <v>744.29081562099998</v>
      </c>
      <c r="L6" s="436">
        <f>Input!K11</f>
        <v>856.05329601000005</v>
      </c>
      <c r="M6" s="436">
        <f>Input!L11</f>
        <v>717.53476447699995</v>
      </c>
      <c r="N6" s="436">
        <f>Input!M11</f>
        <v>652.06300767100004</v>
      </c>
      <c r="O6" s="436">
        <f>Input!N11</f>
        <v>869.29658501043843</v>
      </c>
      <c r="P6" s="476">
        <f>Input!O11</f>
        <v>1019.62968599863</v>
      </c>
      <c r="Q6" s="476">
        <f>Input!P11</f>
        <v>1081.43494427938</v>
      </c>
      <c r="R6" s="476">
        <f>Input!Q11</f>
        <v>1151.0787724540612</v>
      </c>
      <c r="S6" s="476">
        <f>Input!R11</f>
        <v>1302.4674941317894</v>
      </c>
      <c r="T6" s="476">
        <f>Input!S11</f>
        <v>1367.9075742403652</v>
      </c>
    </row>
    <row r="7" spans="2:20" x14ac:dyDescent="0.3">
      <c r="B7" s="205" t="s">
        <v>124</v>
      </c>
      <c r="C7" s="205"/>
      <c r="D7" s="205"/>
      <c r="E7" s="260">
        <f>Input!D13</f>
        <v>0</v>
      </c>
      <c r="F7" s="260">
        <f>Input!E13</f>
        <v>0.76428047899999996</v>
      </c>
      <c r="G7" s="260">
        <f>Input!F13</f>
        <v>25.080786264999993</v>
      </c>
      <c r="H7" s="260">
        <f>Input!G13</f>
        <v>131.47335655099999</v>
      </c>
      <c r="I7" s="260">
        <f>Input!H13</f>
        <v>276.28091100499995</v>
      </c>
      <c r="J7" s="260">
        <f>Input!I13</f>
        <v>185.02093092099994</v>
      </c>
      <c r="K7" s="260">
        <f>Input!J13</f>
        <v>205.48974222499999</v>
      </c>
      <c r="L7" s="260">
        <f>Input!K13</f>
        <v>229.52815816199984</v>
      </c>
      <c r="M7" s="260">
        <f>Input!L13</f>
        <v>232.67313300900003</v>
      </c>
      <c r="N7" s="260">
        <f>Input!M13</f>
        <v>238.50388855799997</v>
      </c>
      <c r="O7" s="260">
        <f>Input!N13</f>
        <v>251.87236392186003</v>
      </c>
      <c r="P7" s="261">
        <f>Input!O13</f>
        <v>258.38901037453149</v>
      </c>
      <c r="Q7" s="261">
        <f>Input!P13</f>
        <v>248.7522683131433</v>
      </c>
      <c r="R7" s="261">
        <f>Input!Q13</f>
        <v>220.45991218209906</v>
      </c>
      <c r="S7" s="261">
        <f>Input!R13</f>
        <v>240.09120478803516</v>
      </c>
      <c r="T7" s="261">
        <f>Input!S13</f>
        <v>222.24070156102835</v>
      </c>
    </row>
    <row r="8" spans="2:20" x14ac:dyDescent="0.3">
      <c r="B8" s="198" t="s">
        <v>125</v>
      </c>
      <c r="C8" s="198"/>
      <c r="D8" s="198"/>
      <c r="E8" s="439" t="str">
        <f>Input!D14</f>
        <v>na</v>
      </c>
      <c r="F8" s="440">
        <f>Input!E14</f>
        <v>9.7157808588394942E-2</v>
      </c>
      <c r="G8" s="440">
        <f>Input!F14</f>
        <v>0.33137353666585456</v>
      </c>
      <c r="H8" s="440">
        <f>Input!G14</f>
        <v>0.46064987680171265</v>
      </c>
      <c r="I8" s="440">
        <f>Input!H14</f>
        <v>0.37752608347075944</v>
      </c>
      <c r="J8" s="440">
        <f>Input!I14</f>
        <v>0.23093311397513314</v>
      </c>
      <c r="K8" s="440">
        <f>Input!J14</f>
        <v>0.21635496802653931</v>
      </c>
      <c r="L8" s="440">
        <f>Input!K14</f>
        <v>0.21143338188018945</v>
      </c>
      <c r="M8" s="440">
        <f>Input!L14</f>
        <v>0.24486550114410952</v>
      </c>
      <c r="N8" s="440">
        <f>Input!M14</f>
        <v>0.26781131161276756</v>
      </c>
      <c r="O8" s="440">
        <f>Input!N14</f>
        <v>0.22465156938365163</v>
      </c>
      <c r="P8" s="550">
        <f>Input!O14</f>
        <v>0.2021793664739048</v>
      </c>
      <c r="Q8" s="550">
        <f>Input!P14</f>
        <v>0.18700545754633086</v>
      </c>
      <c r="R8" s="550">
        <f>Input!Q14</f>
        <v>0.16073911341449501</v>
      </c>
      <c r="S8" s="550">
        <f>Input!R14</f>
        <v>0.15564477705526461</v>
      </c>
      <c r="T8" s="550">
        <f>Input!S14</f>
        <v>0.1397609926967501</v>
      </c>
    </row>
    <row r="9" spans="2:20" x14ac:dyDescent="0.3">
      <c r="B9" s="198"/>
      <c r="C9" s="198"/>
      <c r="D9" s="198"/>
      <c r="E9" s="198"/>
      <c r="F9" s="198"/>
      <c r="G9" s="198"/>
      <c r="H9" s="198"/>
      <c r="I9" s="198"/>
      <c r="J9" s="198"/>
      <c r="K9" s="198"/>
      <c r="L9" s="198"/>
      <c r="M9" s="198"/>
      <c r="N9" s="198"/>
      <c r="O9" s="198"/>
      <c r="P9" s="198"/>
      <c r="Q9" s="198"/>
      <c r="R9" s="198"/>
      <c r="S9" s="198"/>
      <c r="T9" s="198"/>
    </row>
    <row r="10" spans="2:20" x14ac:dyDescent="0.3">
      <c r="B10" s="198" t="s">
        <v>126</v>
      </c>
      <c r="C10" s="198"/>
      <c r="D10" s="198"/>
      <c r="E10" s="258">
        <f>Input!D22</f>
        <v>1.756015525</v>
      </c>
      <c r="F10" s="258">
        <f>Input!E22</f>
        <v>5.8587474439999996</v>
      </c>
      <c r="G10" s="258">
        <f>Input!F22</f>
        <v>9.534919476999999</v>
      </c>
      <c r="H10" s="258">
        <f>Input!G22</f>
        <v>20.826578395000002</v>
      </c>
      <c r="I10" s="258">
        <f>Input!H22</f>
        <v>32.701440634000001</v>
      </c>
      <c r="J10" s="258">
        <f>Input!I22</f>
        <v>46.833108553000002</v>
      </c>
      <c r="K10" s="258">
        <f>Input!J22</f>
        <v>71.249858328000002</v>
      </c>
      <c r="L10" s="258">
        <f>Input!K22</f>
        <v>100.176682223</v>
      </c>
      <c r="M10" s="258">
        <f>Input!L22</f>
        <v>89.005143918999991</v>
      </c>
      <c r="N10" s="258">
        <f>Input!M22</f>
        <v>89.303444600999995</v>
      </c>
      <c r="O10" s="258">
        <f>Input!N22</f>
        <v>105.85266020184608</v>
      </c>
      <c r="P10" s="259">
        <f>Input!O22</f>
        <v>121.57015345267835</v>
      </c>
      <c r="Q10" s="259">
        <f>Input!P22</f>
        <v>127.79494540969336</v>
      </c>
      <c r="R10" s="259">
        <f>Input!Q22</f>
        <v>130.57486739771792</v>
      </c>
      <c r="S10" s="259">
        <f>Input!R22</f>
        <v>147.2629488038022</v>
      </c>
      <c r="T10" s="259">
        <f>Input!S22</f>
        <v>151.98784195921098</v>
      </c>
    </row>
    <row r="11" spans="2:20" x14ac:dyDescent="0.3">
      <c r="B11" s="205" t="s">
        <v>171</v>
      </c>
      <c r="C11" s="205"/>
      <c r="D11" s="205"/>
      <c r="E11" s="260">
        <f>Input!D24</f>
        <v>-1.7084390350000001</v>
      </c>
      <c r="F11" s="260">
        <f>Input!E24</f>
        <v>-2.8224598339999996</v>
      </c>
      <c r="G11" s="260">
        <f>Input!F24</f>
        <v>23.505689923999995</v>
      </c>
      <c r="H11" s="260">
        <f>Input!G24</f>
        <v>131.03259127499999</v>
      </c>
      <c r="I11" s="260">
        <f>Input!H24</f>
        <v>326.03810522599997</v>
      </c>
      <c r="J11" s="260">
        <f>Input!I24</f>
        <v>258.46333137399995</v>
      </c>
      <c r="K11" s="260">
        <f>Input!J24</f>
        <v>267.27493139799998</v>
      </c>
      <c r="L11" s="260">
        <f>Input!K24</f>
        <v>209.38018397599984</v>
      </c>
      <c r="M11" s="260">
        <f>Input!L24</f>
        <v>207.89737659600004</v>
      </c>
      <c r="N11" s="260">
        <f>Input!M24</f>
        <v>210.01562395599998</v>
      </c>
      <c r="O11" s="260">
        <f>Input!N24</f>
        <v>203.41738132371398</v>
      </c>
      <c r="P11" s="261">
        <f>Input!O24</f>
        <v>202.82606512982426</v>
      </c>
      <c r="Q11" s="261">
        <f>Input!P24</f>
        <v>177.12142112420329</v>
      </c>
      <c r="R11" s="261">
        <f>Input!Q24</f>
        <v>153.40912669365298</v>
      </c>
      <c r="S11" s="261">
        <f>Input!R24</f>
        <v>140.65105193846054</v>
      </c>
      <c r="T11" s="261">
        <f>Input!S24</f>
        <v>115.96859262369102</v>
      </c>
    </row>
    <row r="12" spans="2:20" x14ac:dyDescent="0.3">
      <c r="B12" s="198" t="s">
        <v>172</v>
      </c>
      <c r="C12" s="198"/>
      <c r="D12" s="198"/>
      <c r="E12" s="441">
        <f>Input!D25</f>
        <v>0</v>
      </c>
      <c r="F12" s="441">
        <f>Input!E25</f>
        <v>-0.35880023085112045</v>
      </c>
      <c r="G12" s="441">
        <f>Input!F25</f>
        <v>0.31056297516304449</v>
      </c>
      <c r="H12" s="441">
        <f>Input!G25</f>
        <v>0.4591055451179839</v>
      </c>
      <c r="I12" s="441">
        <f>Input!H25</f>
        <v>0.44551716758300236</v>
      </c>
      <c r="J12" s="441">
        <f>Input!I25</f>
        <v>0.32259994404670872</v>
      </c>
      <c r="K12" s="441">
        <f>Input!J25</f>
        <v>0.28140703575165904</v>
      </c>
      <c r="L12" s="441">
        <f>Input!K25</f>
        <v>0.19287376656199359</v>
      </c>
      <c r="M12" s="441">
        <f>Input!L25</f>
        <v>0.2187914635797511</v>
      </c>
      <c r="N12" s="441">
        <f>Input!M25</f>
        <v>0.23582240126517867</v>
      </c>
      <c r="O12" s="441">
        <f>Input!N25</f>
        <v>0.1814332991628341</v>
      </c>
      <c r="P12" s="467">
        <f>Input!O25</f>
        <v>0.15870351952237968</v>
      </c>
      <c r="Q12" s="467">
        <f>Input!P25</f>
        <v>0.13315525773172573</v>
      </c>
      <c r="R12" s="467">
        <f>Input!Q25</f>
        <v>0.11185184086466297</v>
      </c>
      <c r="S12" s="467">
        <f>Input!R25</f>
        <v>9.1180356401964688E-2</v>
      </c>
      <c r="T12" s="467">
        <f>Input!S25</f>
        <v>7.2929420726658881E-2</v>
      </c>
    </row>
    <row r="13" spans="2:20" x14ac:dyDescent="0.3">
      <c r="B13" s="198"/>
      <c r="C13" s="198"/>
      <c r="D13" s="198"/>
      <c r="E13" s="198"/>
      <c r="F13" s="198"/>
      <c r="G13" s="198"/>
      <c r="H13" s="198"/>
      <c r="I13" s="198"/>
      <c r="J13" s="198"/>
      <c r="K13" s="198"/>
      <c r="L13" s="198"/>
      <c r="M13" s="198"/>
      <c r="N13" s="198"/>
      <c r="O13" s="198"/>
      <c r="P13" s="198"/>
      <c r="Q13" s="198"/>
      <c r="R13" s="198"/>
      <c r="S13" s="198"/>
      <c r="T13" s="198"/>
    </row>
    <row r="14" spans="2:20" x14ac:dyDescent="0.3">
      <c r="B14" s="198" t="s">
        <v>173</v>
      </c>
      <c r="C14" s="198"/>
      <c r="D14" s="198"/>
      <c r="E14" s="258">
        <f>Input!D30</f>
        <v>4.7576489999999999E-2</v>
      </c>
      <c r="F14" s="258">
        <f>Input!E30</f>
        <v>2.2720071310000001</v>
      </c>
      <c r="G14" s="258">
        <f>Input!F30</f>
        <v>7.9598231359999998</v>
      </c>
      <c r="H14" s="258">
        <f>Input!G30</f>
        <v>20.385813119000002</v>
      </c>
      <c r="I14" s="258">
        <f>Input!H30</f>
        <v>82.458634855</v>
      </c>
      <c r="J14" s="258">
        <f>Input!I30</f>
        <v>120.27550900599999</v>
      </c>
      <c r="K14" s="258">
        <f>Input!J30</f>
        <v>133.03504750100001</v>
      </c>
      <c r="L14" s="258">
        <f>Input!K30</f>
        <v>80.028708037000001</v>
      </c>
      <c r="M14" s="258">
        <f>Input!L30</f>
        <v>64.229387505999995</v>
      </c>
      <c r="N14" s="258">
        <f>Input!M30</f>
        <v>60.815179999000001</v>
      </c>
      <c r="O14" s="258">
        <f>Input!N30</f>
        <v>57.397677603700025</v>
      </c>
      <c r="P14" s="259">
        <f>Input!O30</f>
        <v>66.007208207971132</v>
      </c>
      <c r="Q14" s="259">
        <f>Input!P30</f>
        <v>56.164098220753353</v>
      </c>
      <c r="R14" s="259">
        <f>Input!Q30</f>
        <v>63.524081909271857</v>
      </c>
      <c r="S14" s="259">
        <f>Input!R30</f>
        <v>47.82279595422758</v>
      </c>
      <c r="T14" s="259">
        <f>Input!S30</f>
        <v>45.71573302187366</v>
      </c>
    </row>
    <row r="15" spans="2:20" x14ac:dyDescent="0.3">
      <c r="B15" s="202" t="s">
        <v>175</v>
      </c>
      <c r="C15" s="202"/>
      <c r="D15" s="202"/>
      <c r="E15" s="268">
        <f>Input!D163</f>
        <v>3.2313015E-2</v>
      </c>
      <c r="F15" s="268">
        <f>Input!E34</f>
        <v>-8.5034250000000002E-3</v>
      </c>
      <c r="G15" s="268">
        <f>Input!F34</f>
        <v>-1.5306165E-2</v>
      </c>
      <c r="H15" s="268">
        <f>Input!G34</f>
        <v>-3.0968289E-2</v>
      </c>
      <c r="I15" s="268">
        <f>Input!H34</f>
        <v>-3.4013700000000001E-2</v>
      </c>
      <c r="J15" s="268">
        <f>Input!I34</f>
        <v>-7.3627751000000005E-2</v>
      </c>
      <c r="K15" s="268">
        <f>Input!J34</f>
        <v>-0.118975415</v>
      </c>
      <c r="L15" s="268">
        <f>Input!K34</f>
        <v>-0.29752215500000001</v>
      </c>
      <c r="M15" s="268">
        <f>Input!L34</f>
        <v>-0.58317244400000001</v>
      </c>
      <c r="N15" s="268">
        <f>Input!M34</f>
        <v>-0.86308911200000005</v>
      </c>
      <c r="O15" s="268">
        <f>Input!N34</f>
        <v>-1.97803014</v>
      </c>
      <c r="P15" s="270">
        <f>Input!O34</f>
        <v>-3.095430656</v>
      </c>
      <c r="Q15" s="270">
        <f>Input!P34</f>
        <v>-4.2103716840000001</v>
      </c>
      <c r="R15" s="270">
        <f>Input!Q34</f>
        <v>-5.3253127120000006</v>
      </c>
      <c r="S15" s="270">
        <f>Input!R34</f>
        <v>-6.4402537400000011</v>
      </c>
      <c r="T15" s="270">
        <f>Input!S34</f>
        <v>-7.5551947680000016</v>
      </c>
    </row>
    <row r="16" spans="2:20" x14ac:dyDescent="0.3">
      <c r="B16" s="205" t="s">
        <v>176</v>
      </c>
      <c r="C16" s="205"/>
      <c r="D16" s="205"/>
      <c r="E16" s="260">
        <f>Input!D35</f>
        <v>-1.7543148399999999</v>
      </c>
      <c r="F16" s="260">
        <f>Input!E35</f>
        <v>-5.0859635399999998</v>
      </c>
      <c r="G16" s="260">
        <f>Input!F35</f>
        <v>15.561172952999994</v>
      </c>
      <c r="H16" s="260">
        <f>Input!G35</f>
        <v>110.67774644499998</v>
      </c>
      <c r="I16" s="260">
        <f>Input!H35</f>
        <v>243.61348407099996</v>
      </c>
      <c r="J16" s="260">
        <f>Input!I35</f>
        <v>138.26145011899996</v>
      </c>
      <c r="K16" s="260">
        <f>Input!J35</f>
        <v>134.35885931199996</v>
      </c>
      <c r="L16" s="260">
        <f>Input!K35</f>
        <v>129.64899809399984</v>
      </c>
      <c r="M16" s="260">
        <f>Input!L35</f>
        <v>144.25116153400006</v>
      </c>
      <c r="N16" s="260">
        <f>Input!M35</f>
        <v>150.06353306899999</v>
      </c>
      <c r="O16" s="260">
        <f>Input!N35</f>
        <v>147.13710423601395</v>
      </c>
      <c r="P16" s="261">
        <f>Input!O35</f>
        <v>137.93379794985313</v>
      </c>
      <c r="Q16" s="261">
        <f>Input!P35</f>
        <v>122.07226393144995</v>
      </c>
      <c r="R16" s="261">
        <f>Input!Q35</f>
        <v>90.999985812381126</v>
      </c>
      <c r="S16" s="261">
        <f>Input!R35</f>
        <v>93.943197012232957</v>
      </c>
      <c r="T16" s="261">
        <f>Input!S35</f>
        <v>70.252859601817363</v>
      </c>
    </row>
    <row r="17" spans="2:20" x14ac:dyDescent="0.3">
      <c r="B17" s="198" t="s">
        <v>177</v>
      </c>
      <c r="C17" s="198"/>
      <c r="D17" s="198"/>
      <c r="E17" s="441">
        <f>Input!D25</f>
        <v>0</v>
      </c>
      <c r="F17" s="441">
        <f>Input!E25</f>
        <v>-0.35880023085112045</v>
      </c>
      <c r="G17" s="441">
        <f>Input!F25</f>
        <v>0.31056297516304449</v>
      </c>
      <c r="H17" s="441">
        <f>Input!G25</f>
        <v>0.4591055451179839</v>
      </c>
      <c r="I17" s="441">
        <f>Input!H25</f>
        <v>0.44551716758300236</v>
      </c>
      <c r="J17" s="441">
        <f>Input!I25</f>
        <v>0.32259994404670872</v>
      </c>
      <c r="K17" s="441">
        <f>Input!J25</f>
        <v>0.28140703575165904</v>
      </c>
      <c r="L17" s="441">
        <f>Input!K25</f>
        <v>0.19287376656199359</v>
      </c>
      <c r="M17" s="441">
        <f>Input!L25</f>
        <v>0.2187914635797511</v>
      </c>
      <c r="N17" s="441">
        <f>Input!M25</f>
        <v>0.23582240126517867</v>
      </c>
      <c r="O17" s="441">
        <f>Input!N25</f>
        <v>0.1814332991628341</v>
      </c>
      <c r="P17" s="467">
        <f>Input!O25</f>
        <v>0.15870351952237968</v>
      </c>
      <c r="Q17" s="467">
        <f>Input!P25</f>
        <v>0.13315525773172573</v>
      </c>
      <c r="R17" s="467">
        <f>Input!Q25</f>
        <v>0.11185184086466297</v>
      </c>
      <c r="S17" s="467">
        <f>Input!R25</f>
        <v>9.1180356401964688E-2</v>
      </c>
      <c r="T17" s="467">
        <f>Input!S25</f>
        <v>7.2929420726658881E-2</v>
      </c>
    </row>
    <row r="18" spans="2:20" x14ac:dyDescent="0.3">
      <c r="B18" s="198"/>
      <c r="C18" s="198"/>
      <c r="D18" s="198"/>
      <c r="E18" s="198"/>
      <c r="F18" s="198"/>
      <c r="G18" s="198"/>
      <c r="H18" s="198"/>
      <c r="I18" s="198"/>
      <c r="J18" s="198"/>
      <c r="K18" s="198"/>
      <c r="L18" s="198"/>
      <c r="M18" s="198"/>
      <c r="N18" s="258"/>
      <c r="O18" s="198"/>
      <c r="P18" s="198"/>
      <c r="Q18" s="198"/>
      <c r="R18" s="198"/>
      <c r="S18" s="198"/>
      <c r="T18" s="198"/>
    </row>
    <row r="19" spans="2:20" x14ac:dyDescent="0.3">
      <c r="B19" s="198" t="s">
        <v>178</v>
      </c>
      <c r="C19" s="198"/>
      <c r="D19" s="198"/>
      <c r="E19" s="258">
        <f>Input!D40</f>
        <v>0</v>
      </c>
      <c r="F19" s="258">
        <f>Input!E40</f>
        <v>0.35066341299999998</v>
      </c>
      <c r="G19" s="258">
        <f>Input!F40</f>
        <v>1.111967562</v>
      </c>
      <c r="H19" s="258">
        <f>Input!G40</f>
        <v>1.030331299</v>
      </c>
      <c r="I19" s="258">
        <f>Input!H40</f>
        <v>4.2784994340000004</v>
      </c>
      <c r="J19" s="258">
        <f>Input!I40</f>
        <v>3.6400163160000001</v>
      </c>
      <c r="K19" s="258">
        <f>Input!J40</f>
        <v>1.418896862</v>
      </c>
      <c r="L19" s="258">
        <f>Input!K40</f>
        <v>7.2452606849999999</v>
      </c>
      <c r="M19" s="258">
        <f>Input!L40</f>
        <v>1.1054984290000001</v>
      </c>
      <c r="N19" s="258">
        <f>Input!M40</f>
        <v>2.886264717</v>
      </c>
      <c r="O19" s="258">
        <f>Input!N40</f>
        <v>2.5630443018888887</v>
      </c>
      <c r="P19" s="259">
        <f>Input!O40</f>
        <v>2.8088644006543211</v>
      </c>
      <c r="Q19" s="259">
        <f>Input!P40</f>
        <v>2.9974084938381349</v>
      </c>
      <c r="R19" s="259">
        <f>Input!Q40</f>
        <v>3.2159726265979276</v>
      </c>
      <c r="S19" s="259">
        <f>Input!R40</f>
        <v>3.0979140924421413</v>
      </c>
      <c r="T19" s="259">
        <f>Input!S40</f>
        <v>3.037680512046824</v>
      </c>
    </row>
    <row r="20" spans="2:20" x14ac:dyDescent="0.3">
      <c r="B20" s="198" t="s">
        <v>179</v>
      </c>
      <c r="C20" s="198"/>
      <c r="D20" s="198"/>
      <c r="E20" s="258">
        <f>Input!D45</f>
        <v>5.0000000000000001E-3</v>
      </c>
      <c r="F20" s="258">
        <f>Input!E45</f>
        <v>0.12889536900000001</v>
      </c>
      <c r="G20" s="258">
        <f>Input!F45</f>
        <v>0</v>
      </c>
      <c r="H20" s="258">
        <f>Input!G45</f>
        <v>0.51643787299999999</v>
      </c>
      <c r="I20" s="258">
        <f>Input!H45</f>
        <v>0.16311615400000001</v>
      </c>
      <c r="J20" s="258">
        <f>Input!I45</f>
        <v>0.33304870800000003</v>
      </c>
      <c r="K20" s="258">
        <f>Input!J45</f>
        <v>0.66657198799999995</v>
      </c>
      <c r="L20" s="258">
        <f>Input!K45</f>
        <v>1.200300428</v>
      </c>
      <c r="M20" s="258">
        <f>Input!L45</f>
        <v>3.2563636999999999E-2</v>
      </c>
      <c r="N20" s="258">
        <f>Input!M45</f>
        <v>0.13380818</v>
      </c>
      <c r="O20" s="258">
        <f>Input!N45</f>
        <v>0.3527491485555555</v>
      </c>
      <c r="P20" s="259">
        <f>Input!O45</f>
        <v>0.37762179072839508</v>
      </c>
      <c r="Q20" s="259">
        <f>Input!P45</f>
        <v>0.41957976747599457</v>
      </c>
      <c r="R20" s="259">
        <f>Input!Q45</f>
        <v>0.40881775575110502</v>
      </c>
      <c r="S20" s="259">
        <f>Input!R45</f>
        <v>0.43611793372345009</v>
      </c>
      <c r="T20" s="259">
        <f>Input!S45</f>
        <v>0.44757006991494447</v>
      </c>
    </row>
    <row r="21" spans="2:20" x14ac:dyDescent="0.3">
      <c r="B21" s="198" t="s">
        <v>183</v>
      </c>
      <c r="C21" s="198"/>
      <c r="D21" s="198"/>
      <c r="E21" s="258">
        <f>Input!D48</f>
        <v>6.6762109E-2</v>
      </c>
      <c r="F21" s="258">
        <f>Input!E48</f>
        <v>1.5049894260000001</v>
      </c>
      <c r="G21" s="258">
        <f>Input!F48</f>
        <v>2.0926050219999999</v>
      </c>
      <c r="H21" s="258">
        <f>Input!G48</f>
        <v>4.0195790889999996</v>
      </c>
      <c r="I21" s="258">
        <f>Input!H48</f>
        <v>15.95593686</v>
      </c>
      <c r="J21" s="258">
        <f>Input!I48</f>
        <v>20.837969315999999</v>
      </c>
      <c r="K21" s="258">
        <f>Input!J48</f>
        <v>19.446432218999998</v>
      </c>
      <c r="L21" s="258">
        <f>Input!K48</f>
        <v>14.308121401999999</v>
      </c>
      <c r="M21" s="258">
        <f>Input!L48</f>
        <v>8.6997799600000008</v>
      </c>
      <c r="N21" s="258">
        <f>Input!M48</f>
        <v>7.4486179469999998</v>
      </c>
      <c r="O21" s="258">
        <f ca="1">Input!N48</f>
        <v>8.0672172343082664</v>
      </c>
      <c r="P21" s="259">
        <f ca="1">Input!O48</f>
        <v>8.0457568532709303</v>
      </c>
      <c r="Q21" s="259">
        <f ca="1">Input!P48</f>
        <v>9.1038777684934384</v>
      </c>
      <c r="R21" s="259">
        <f ca="1">Input!Q48</f>
        <v>10.19240780916261</v>
      </c>
      <c r="S21" s="259">
        <f ca="1">Input!R48</f>
        <v>10.859190885434566</v>
      </c>
      <c r="T21" s="259">
        <f ca="1">Input!S48</f>
        <v>11.096967548594785</v>
      </c>
    </row>
    <row r="22" spans="2:20" x14ac:dyDescent="0.3">
      <c r="B22" s="202" t="s">
        <v>193</v>
      </c>
      <c r="C22" s="202"/>
      <c r="D22" s="202"/>
      <c r="E22" s="268">
        <f>Input!D58</f>
        <v>0</v>
      </c>
      <c r="F22" s="268">
        <f>Input!E58</f>
        <v>1.1484824170000001</v>
      </c>
      <c r="G22" s="268">
        <f>Input!F58</f>
        <v>3.6857485030000001</v>
      </c>
      <c r="H22" s="268">
        <f>Input!G58</f>
        <v>7.2169908380000001</v>
      </c>
      <c r="I22" s="268">
        <f>Input!H58</f>
        <v>26.064097663999998</v>
      </c>
      <c r="J22" s="268">
        <f>Input!I58</f>
        <v>23.422238238999999</v>
      </c>
      <c r="K22" s="268">
        <f>Input!J58</f>
        <v>14.508051373000001</v>
      </c>
      <c r="L22" s="268">
        <f>Input!K58</f>
        <v>7.4831519579999997</v>
      </c>
      <c r="M22" s="268">
        <f>Input!L58</f>
        <v>6.107955735</v>
      </c>
      <c r="N22" s="268">
        <f>Input!M58</f>
        <v>6.1545161190000002</v>
      </c>
      <c r="O22" s="268">
        <f ca="1">Input!N58</f>
        <v>2.1802392025585</v>
      </c>
      <c r="P22" s="270">
        <f ca="1">Input!O58</f>
        <v>0.47165982000000006</v>
      </c>
      <c r="Q22" s="270">
        <f ca="1">Input!P58</f>
        <v>0.28527988000000004</v>
      </c>
      <c r="R22" s="270">
        <f ca="1">Input!Q58</f>
        <v>0.17066666666666672</v>
      </c>
      <c r="S22" s="270">
        <f ca="1">Input!R58</f>
        <v>0.1137777777777778</v>
      </c>
      <c r="T22" s="270">
        <f ca="1">Input!S58</f>
        <v>7.5851851851851865E-2</v>
      </c>
    </row>
    <row r="23" spans="2:20" x14ac:dyDescent="0.3">
      <c r="B23" s="205" t="s">
        <v>190</v>
      </c>
      <c r="C23" s="205"/>
      <c r="D23" s="205"/>
      <c r="E23" s="260">
        <f>Input!D66</f>
        <v>-1.6869876480000001</v>
      </c>
      <c r="F23" s="260">
        <f>Input!E66</f>
        <v>-5.0630780390000005</v>
      </c>
      <c r="G23" s="260">
        <f>Input!F66</f>
        <v>12.454293928999993</v>
      </c>
      <c r="H23" s="260">
        <f>Input!G66</f>
        <v>105.73305564299999</v>
      </c>
      <c r="I23" s="260">
        <f>Input!H66</f>
        <v>226.93917150499996</v>
      </c>
      <c r="J23" s="260">
        <f>Input!I66</f>
        <v>132.30813288999997</v>
      </c>
      <c r="K23" s="260">
        <f>Input!J66</f>
        <v>138.36244499699995</v>
      </c>
      <c r="L23" s="260">
        <f>Input!K66</f>
        <v>130.33775351599982</v>
      </c>
      <c r="M23" s="260">
        <f>Input!L66</f>
        <v>145.66153810500009</v>
      </c>
      <c r="N23" s="260">
        <f>Input!M66</f>
        <v>148.60466213399999</v>
      </c>
      <c r="O23" s="260">
        <f ca="1">Input!N66</f>
        <v>150.81327088843037</v>
      </c>
      <c r="P23" s="261">
        <f ca="1">Input!O66</f>
        <v>143.07613614719813</v>
      </c>
      <c r="Q23" s="261">
        <f ca="1">Input!P66</f>
        <v>128.31251686758125</v>
      </c>
      <c r="R23" s="261">
        <f ca="1">Input!Q66</f>
        <v>98.21405585803025</v>
      </c>
      <c r="S23" s="261">
        <f ca="1">Input!R66</f>
        <v>102.02629773517107</v>
      </c>
      <c r="T23" s="261">
        <f ca="1">Input!S66</f>
        <v>78.683348630428426</v>
      </c>
    </row>
    <row r="24" spans="2:20" x14ac:dyDescent="0.3">
      <c r="B24" s="198"/>
      <c r="C24" s="198"/>
      <c r="D24" s="198"/>
      <c r="E24" s="198"/>
      <c r="F24" s="198"/>
      <c r="G24" s="198"/>
      <c r="H24" s="198"/>
      <c r="I24" s="198"/>
      <c r="J24" s="198"/>
      <c r="K24" s="198"/>
      <c r="L24" s="198"/>
      <c r="M24" s="198"/>
      <c r="N24" s="198"/>
      <c r="O24" s="198"/>
      <c r="P24" s="198"/>
      <c r="Q24" s="198"/>
      <c r="R24" s="198"/>
      <c r="S24" s="198"/>
      <c r="T24" s="198"/>
    </row>
    <row r="25" spans="2:20" x14ac:dyDescent="0.3">
      <c r="B25" s="198" t="s">
        <v>197</v>
      </c>
      <c r="C25" s="198"/>
      <c r="D25" s="198"/>
      <c r="E25" s="258">
        <f>Input!D71</f>
        <v>0</v>
      </c>
      <c r="F25" s="258">
        <f>Input!E71</f>
        <v>-0.59917724999999999</v>
      </c>
      <c r="G25" s="258">
        <f>Input!F71</f>
        <v>0.20722201200000001</v>
      </c>
      <c r="H25" s="258">
        <f>Input!G71</f>
        <v>0.39195523799999998</v>
      </c>
      <c r="I25" s="258">
        <f>Input!H71</f>
        <v>23.456470471999999</v>
      </c>
      <c r="J25" s="258">
        <f>Input!I71</f>
        <v>14.308265973999999</v>
      </c>
      <c r="K25" s="258">
        <f>Input!J71</f>
        <v>23.740503784000001</v>
      </c>
      <c r="L25" s="258">
        <f>Input!K71</f>
        <v>17.550953283999998</v>
      </c>
      <c r="M25" s="258">
        <f>Input!L71</f>
        <v>26.351271632</v>
      </c>
      <c r="N25" s="258">
        <f>Input!M71</f>
        <v>27.452966279999998</v>
      </c>
      <c r="O25" s="258">
        <f ca="1">Input!N71</f>
        <v>30.162654177686075</v>
      </c>
      <c r="P25" s="259">
        <f ca="1">Input!O71</f>
        <v>28.615227229439625</v>
      </c>
      <c r="Q25" s="259">
        <f ca="1">Input!P71</f>
        <v>25.662503373516252</v>
      </c>
      <c r="R25" s="259">
        <f ca="1">Input!Q71</f>
        <v>19.642811171606052</v>
      </c>
      <c r="S25" s="259">
        <f ca="1">Input!R71</f>
        <v>20.405259547034216</v>
      </c>
      <c r="T25" s="259">
        <f ca="1">Input!S71</f>
        <v>15.736669726085687</v>
      </c>
    </row>
    <row r="26" spans="2:20" x14ac:dyDescent="0.3">
      <c r="B26" s="198" t="s">
        <v>199</v>
      </c>
      <c r="C26" s="198"/>
      <c r="D26" s="198"/>
      <c r="E26" s="258">
        <f>Input!E75</f>
        <v>0</v>
      </c>
      <c r="F26" s="258">
        <f>Input!E75</f>
        <v>0</v>
      </c>
      <c r="G26" s="258">
        <f>Input!F75</f>
        <v>0</v>
      </c>
      <c r="H26" s="258">
        <f>Input!G75</f>
        <v>0</v>
      </c>
      <c r="I26" s="258">
        <f>Input!H75</f>
        <v>0</v>
      </c>
      <c r="J26" s="258">
        <f>Input!I75</f>
        <v>0</v>
      </c>
      <c r="K26" s="258">
        <f>Input!J75</f>
        <v>0</v>
      </c>
      <c r="L26" s="258">
        <f>Input!K75</f>
        <v>0</v>
      </c>
      <c r="M26" s="258">
        <f>Input!L75</f>
        <v>0</v>
      </c>
      <c r="N26" s="258">
        <f>Input!M75</f>
        <v>0</v>
      </c>
      <c r="O26" s="258">
        <f>Input!N75</f>
        <v>0</v>
      </c>
      <c r="P26" s="259">
        <f>Input!O75</f>
        <v>0</v>
      </c>
      <c r="Q26" s="259">
        <f>Input!P75</f>
        <v>0</v>
      </c>
      <c r="R26" s="259">
        <f>Input!Q75</f>
        <v>0</v>
      </c>
      <c r="S26" s="259">
        <f>Input!R75</f>
        <v>0</v>
      </c>
      <c r="T26" s="259">
        <f>Input!S75</f>
        <v>0</v>
      </c>
    </row>
    <row r="27" spans="2:20" x14ac:dyDescent="0.3">
      <c r="B27" s="198" t="s">
        <v>208</v>
      </c>
      <c r="C27" s="198"/>
      <c r="D27" s="198"/>
      <c r="E27" s="258">
        <f>Input!D90</f>
        <v>0</v>
      </c>
      <c r="F27" s="258">
        <f>Input!E90</f>
        <v>0</v>
      </c>
      <c r="G27" s="258">
        <f>Input!F90</f>
        <v>0</v>
      </c>
      <c r="H27" s="258">
        <f>Input!G90</f>
        <v>5.5910227749999999</v>
      </c>
      <c r="I27" s="258">
        <f>Input!H90</f>
        <v>5.8910227749999997</v>
      </c>
      <c r="J27" s="258">
        <f>Input!I90</f>
        <v>7.3129436759999997</v>
      </c>
      <c r="K27" s="258">
        <f>Input!J90</f>
        <v>7.6388228519999997</v>
      </c>
      <c r="L27" s="258">
        <f>Input!K90</f>
        <v>17.360127232</v>
      </c>
      <c r="M27" s="258">
        <f>Input!L90</f>
        <v>12.3</v>
      </c>
      <c r="N27" s="258">
        <f>Input!M90</f>
        <v>15</v>
      </c>
      <c r="O27" s="258">
        <f ca="1">Input!N90</f>
        <v>17.915039423174008</v>
      </c>
      <c r="P27" s="259">
        <f ca="1">Input!O90</f>
        <v>16.024527248486191</v>
      </c>
      <c r="Q27" s="259">
        <f ca="1">Input!P90</f>
        <v>14.371001889169102</v>
      </c>
      <c r="R27" s="259">
        <f ca="1">Input!Q90</f>
        <v>10.999974256099389</v>
      </c>
      <c r="S27" s="259">
        <f ca="1">Input!R90</f>
        <v>11.42694534633916</v>
      </c>
      <c r="T27" s="259">
        <f ca="1">Input!S90</f>
        <v>8.8125350466079837</v>
      </c>
    </row>
    <row r="28" spans="2:20" x14ac:dyDescent="0.3">
      <c r="B28" s="198" t="s">
        <v>203</v>
      </c>
      <c r="C28" s="198"/>
      <c r="D28" s="198"/>
      <c r="E28" s="258">
        <f>Input!D82</f>
        <v>0</v>
      </c>
      <c r="F28" s="258">
        <f>Input!E82</f>
        <v>0</v>
      </c>
      <c r="G28" s="258">
        <f>Input!F82</f>
        <v>0</v>
      </c>
      <c r="H28" s="258">
        <f>Input!G82</f>
        <v>0</v>
      </c>
      <c r="I28" s="258">
        <f>Input!H82</f>
        <v>0</v>
      </c>
      <c r="J28" s="258">
        <f>Input!I82</f>
        <v>0</v>
      </c>
      <c r="K28" s="258">
        <f>Input!J82</f>
        <v>0</v>
      </c>
      <c r="L28" s="258">
        <f>Input!K82</f>
        <v>0</v>
      </c>
      <c r="M28" s="258">
        <f>Input!L82</f>
        <v>0</v>
      </c>
      <c r="N28" s="258">
        <f>Input!M82</f>
        <v>0</v>
      </c>
      <c r="O28" s="258">
        <f>Input!N82</f>
        <v>0</v>
      </c>
      <c r="P28" s="259">
        <f>Input!O82</f>
        <v>0</v>
      </c>
      <c r="Q28" s="259">
        <f>Input!P82</f>
        <v>0</v>
      </c>
      <c r="R28" s="259">
        <f>Input!Q82</f>
        <v>0</v>
      </c>
      <c r="S28" s="259">
        <f>Input!R82</f>
        <v>0</v>
      </c>
      <c r="T28" s="259">
        <f>Input!S82</f>
        <v>0</v>
      </c>
    </row>
    <row r="29" spans="2:20" ht="15" thickBot="1" x14ac:dyDescent="0.35">
      <c r="B29" s="206" t="s">
        <v>212</v>
      </c>
      <c r="C29" s="206"/>
      <c r="D29" s="206"/>
      <c r="E29" s="262">
        <f>Input!D95</f>
        <v>-1.6869876480000001</v>
      </c>
      <c r="F29" s="262">
        <f>Input!E95</f>
        <v>-4.4639007890000002</v>
      </c>
      <c r="G29" s="262">
        <f>Input!F95</f>
        <v>12.247071916999992</v>
      </c>
      <c r="H29" s="262">
        <f>Input!G95</f>
        <v>99.750077629999993</v>
      </c>
      <c r="I29" s="262">
        <f>Input!H95</f>
        <v>197.59167825799994</v>
      </c>
      <c r="J29" s="262">
        <f>Input!I95</f>
        <v>110.68692323999997</v>
      </c>
      <c r="K29" s="262">
        <f>Input!J95</f>
        <v>106.98311836099995</v>
      </c>
      <c r="L29" s="262">
        <f>Input!K95</f>
        <v>95.426672999999823</v>
      </c>
      <c r="M29" s="262">
        <f>Input!L95</f>
        <v>107.0102664730001</v>
      </c>
      <c r="N29" s="262">
        <f>Input!M95</f>
        <v>106.151695854</v>
      </c>
      <c r="O29" s="262">
        <f ca="1">Input!N95</f>
        <v>102.73557728757028</v>
      </c>
      <c r="P29" s="263">
        <f ca="1">Input!O95</f>
        <v>98.436381669272308</v>
      </c>
      <c r="Q29" s="263">
        <f ca="1">Input!P95</f>
        <v>88.279011604895899</v>
      </c>
      <c r="R29" s="263">
        <f ca="1">Input!Q95</f>
        <v>67.571270430324802</v>
      </c>
      <c r="S29" s="263">
        <f ca="1">Input!R95</f>
        <v>70.194092841797698</v>
      </c>
      <c r="T29" s="263">
        <f ca="1">Input!S95</f>
        <v>54.134143857734756</v>
      </c>
    </row>
    <row r="30" spans="2:20" ht="15" thickTop="1" x14ac:dyDescent="0.3">
      <c r="B30" s="198"/>
      <c r="C30" s="198"/>
      <c r="D30" s="198"/>
      <c r="E30" s="198"/>
      <c r="F30" s="198"/>
      <c r="G30" s="198"/>
      <c r="H30" s="198"/>
      <c r="I30" s="198"/>
      <c r="J30" s="198"/>
      <c r="K30" s="198"/>
      <c r="L30" s="198"/>
      <c r="M30" s="198"/>
      <c r="N30" s="198"/>
      <c r="O30" s="198"/>
      <c r="P30" s="198"/>
      <c r="Q30" s="198"/>
      <c r="R30" s="198"/>
      <c r="S30" s="198"/>
      <c r="T30" s="198"/>
    </row>
    <row r="31" spans="2:20" x14ac:dyDescent="0.3">
      <c r="B31" s="198" t="s">
        <v>213</v>
      </c>
      <c r="C31" s="198"/>
      <c r="D31" s="198"/>
      <c r="E31" s="442">
        <f>Input!D100</f>
        <v>0</v>
      </c>
      <c r="F31" s="442">
        <f>Input!E100</f>
        <v>0</v>
      </c>
      <c r="G31" s="442">
        <f>Input!F100</f>
        <v>0</v>
      </c>
      <c r="H31" s="442">
        <f>Input!G100</f>
        <v>3.36</v>
      </c>
      <c r="I31" s="442">
        <f>Input!H100</f>
        <v>12.5</v>
      </c>
      <c r="J31" s="442">
        <f>Input!I100</f>
        <v>157.883028</v>
      </c>
      <c r="K31" s="442">
        <f>Input!J100</f>
        <v>64.204178999999996</v>
      </c>
      <c r="L31" s="442">
        <f>Input!K100</f>
        <v>94.504331100000002</v>
      </c>
      <c r="M31" s="442">
        <f>Input!L100</f>
        <v>94.508169899999999</v>
      </c>
      <c r="N31" s="442">
        <f>Input!M100</f>
        <v>80.706354000000005</v>
      </c>
      <c r="O31" s="442">
        <f>Input!N100</f>
        <v>54</v>
      </c>
      <c r="P31" s="551">
        <f>Input!O100</f>
        <v>54</v>
      </c>
      <c r="Q31" s="551">
        <f>Input!P100</f>
        <v>54</v>
      </c>
      <c r="R31" s="551">
        <f>Input!Q100</f>
        <v>54</v>
      </c>
      <c r="S31" s="551">
        <f>Input!R100</f>
        <v>54</v>
      </c>
      <c r="T31" s="551">
        <f>Input!S100</f>
        <v>54</v>
      </c>
    </row>
    <row r="32" spans="2:20" ht="15" thickBot="1" x14ac:dyDescent="0.35">
      <c r="B32" s="207" t="s">
        <v>216</v>
      </c>
      <c r="C32" s="207"/>
      <c r="D32" s="207"/>
      <c r="E32" s="443">
        <f>Input!D101</f>
        <v>-1.6869876480000001</v>
      </c>
      <c r="F32" s="443">
        <f>Input!E101</f>
        <v>-4.4639007890000002</v>
      </c>
      <c r="G32" s="443">
        <f>Input!F101</f>
        <v>12.247071916999992</v>
      </c>
      <c r="H32" s="443">
        <f>Input!G101</f>
        <v>96.390077629999993</v>
      </c>
      <c r="I32" s="443">
        <f>Input!H101</f>
        <v>185.09167825799994</v>
      </c>
      <c r="J32" s="443">
        <f>Input!I101</f>
        <v>-47.196104760000026</v>
      </c>
      <c r="K32" s="443">
        <f>Input!J101</f>
        <v>42.778939360999956</v>
      </c>
      <c r="L32" s="443">
        <f>Input!K101</f>
        <v>0.92234189999982163</v>
      </c>
      <c r="M32" s="443">
        <f>Input!L101</f>
        <v>12.502096573000102</v>
      </c>
      <c r="N32" s="443">
        <f>Input!M101</f>
        <v>25.445341853999992</v>
      </c>
      <c r="O32" s="443">
        <f ca="1">Input!N101</f>
        <v>48.73557728757028</v>
      </c>
      <c r="P32" s="552">
        <f ca="1">Input!O101</f>
        <v>44.436381669272308</v>
      </c>
      <c r="Q32" s="552">
        <f ca="1">Input!P101</f>
        <v>34.279011604895899</v>
      </c>
      <c r="R32" s="552">
        <f ca="1">Input!Q101</f>
        <v>13.571270430324802</v>
      </c>
      <c r="S32" s="552">
        <f ca="1">Input!R101</f>
        <v>16.194092841797698</v>
      </c>
      <c r="T32" s="552">
        <f ca="1">Input!S101</f>
        <v>0.13414385773475601</v>
      </c>
    </row>
    <row r="33" ht="15" thickTop="1" x14ac:dyDescent="0.3"/>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7F7F7F"/>
  </sheetPr>
  <dimension ref="A2:AE50"/>
  <sheetViews>
    <sheetView zoomScale="130" zoomScaleNormal="130" zoomScalePageLayoutView="130" workbookViewId="0">
      <pane xSplit="2" ySplit="3" topLeftCell="L4" activePane="bottomRight" state="frozen"/>
      <selection pane="topRight" activeCell="C1" sqref="C1"/>
      <selection pane="bottomLeft" activeCell="A4" sqref="A4"/>
      <selection pane="bottomRight" activeCell="Q52" sqref="Q52"/>
    </sheetView>
  </sheetViews>
  <sheetFormatPr defaultColWidth="8.88671875" defaultRowHeight="14.4" x14ac:dyDescent="0.3"/>
  <cols>
    <col min="1" max="1" width="6.44140625" style="54" customWidth="1"/>
    <col min="2" max="2" width="47.44140625" style="54" bestFit="1" customWidth="1"/>
    <col min="3" max="3" width="4.6640625" style="54" customWidth="1"/>
    <col min="4" max="4" width="5.44140625" style="54" bestFit="1" customWidth="1"/>
    <col min="5" max="10" width="7" style="350" bestFit="1" customWidth="1"/>
    <col min="11" max="11" width="8.33203125" style="350" bestFit="1" customWidth="1"/>
    <col min="12" max="12" width="7" style="350" bestFit="1" customWidth="1"/>
    <col min="13" max="13" width="8.44140625" style="350" bestFit="1" customWidth="1"/>
    <col min="14" max="19" width="8.33203125" style="350" bestFit="1" customWidth="1"/>
    <col min="20" max="20" width="8.88671875" style="54"/>
    <col min="21" max="21" width="32.44140625" style="54" bestFit="1" customWidth="1"/>
    <col min="22" max="16384" width="8.88671875" style="54"/>
  </cols>
  <sheetData>
    <row r="2" spans="2:19" x14ac:dyDescent="0.3">
      <c r="C2" s="115"/>
      <c r="D2" s="115"/>
      <c r="E2" s="118" t="str">
        <f t="shared" ref="E2:L2" ca="1" si="0">IF(TODAY()&lt;E3,"Proj","")</f>
        <v/>
      </c>
      <c r="F2" s="118" t="str">
        <f t="shared" ca="1" si="0"/>
        <v/>
      </c>
      <c r="G2" s="118" t="str">
        <f t="shared" ca="1" si="0"/>
        <v/>
      </c>
      <c r="H2" s="118" t="str">
        <f t="shared" ca="1" si="0"/>
        <v/>
      </c>
      <c r="I2" s="118" t="str">
        <f t="shared" ca="1" si="0"/>
        <v/>
      </c>
      <c r="J2" s="118" t="str">
        <f t="shared" ca="1" si="0"/>
        <v/>
      </c>
      <c r="K2" s="118" t="str">
        <f t="shared" ca="1" si="0"/>
        <v/>
      </c>
      <c r="L2" s="118" t="str">
        <f t="shared" ca="1" si="0"/>
        <v/>
      </c>
      <c r="M2" s="118" t="str">
        <f ca="1">IF(TODAY()&lt;M3,"Proj","")</f>
        <v/>
      </c>
      <c r="N2" s="118" t="str">
        <f t="shared" ref="N2:S2" ca="1" si="1">IF(TODAY()&lt;N3,"Proj","")</f>
        <v/>
      </c>
      <c r="O2" s="118" t="str">
        <f t="shared" ca="1" si="1"/>
        <v/>
      </c>
      <c r="P2" s="118" t="str">
        <f t="shared" ca="1" si="1"/>
        <v/>
      </c>
      <c r="Q2" s="118" t="str">
        <f t="shared" ca="1" si="1"/>
        <v/>
      </c>
      <c r="R2" s="118" t="str">
        <f t="shared" ca="1" si="1"/>
        <v/>
      </c>
      <c r="S2" s="118" t="str">
        <f t="shared" ca="1" si="1"/>
        <v>Proj</v>
      </c>
    </row>
    <row r="3" spans="2:19" ht="15" thickBot="1" x14ac:dyDescent="0.35">
      <c r="B3" s="204" t="s">
        <v>535</v>
      </c>
      <c r="C3" s="211"/>
      <c r="D3" s="211"/>
      <c r="E3" s="444">
        <v>39813</v>
      </c>
      <c r="F3" s="444">
        <f t="shared" ref="F3:S3" si="2">DATE(YEAR(E3),MONTH(E3)+13,0)</f>
        <v>40178</v>
      </c>
      <c r="G3" s="444">
        <f t="shared" si="2"/>
        <v>40543</v>
      </c>
      <c r="H3" s="444">
        <f t="shared" si="2"/>
        <v>40908</v>
      </c>
      <c r="I3" s="444">
        <f t="shared" si="2"/>
        <v>41274</v>
      </c>
      <c r="J3" s="444">
        <f t="shared" si="2"/>
        <v>41639</v>
      </c>
      <c r="K3" s="444">
        <f t="shared" si="2"/>
        <v>42004</v>
      </c>
      <c r="L3" s="444">
        <f t="shared" si="2"/>
        <v>42369</v>
      </c>
      <c r="M3" s="444">
        <f t="shared" si="2"/>
        <v>42735</v>
      </c>
      <c r="N3" s="444">
        <f t="shared" si="2"/>
        <v>43100</v>
      </c>
      <c r="O3" s="444">
        <f t="shared" si="2"/>
        <v>43465</v>
      </c>
      <c r="P3" s="444">
        <f t="shared" si="2"/>
        <v>43830</v>
      </c>
      <c r="Q3" s="444">
        <f t="shared" si="2"/>
        <v>44196</v>
      </c>
      <c r="R3" s="444">
        <f t="shared" si="2"/>
        <v>44561</v>
      </c>
      <c r="S3" s="444">
        <f t="shared" si="2"/>
        <v>44926</v>
      </c>
    </row>
    <row r="4" spans="2:19" ht="15" thickTop="1" x14ac:dyDescent="0.3">
      <c r="B4" s="198"/>
      <c r="C4" s="198"/>
      <c r="D4" s="198"/>
      <c r="E4" s="437"/>
      <c r="F4" s="437"/>
      <c r="G4" s="437"/>
      <c r="H4" s="437"/>
      <c r="I4" s="437"/>
      <c r="J4" s="437"/>
      <c r="K4" s="437"/>
      <c r="L4" s="437"/>
      <c r="M4" s="437"/>
      <c r="N4" s="437"/>
      <c r="O4" s="437"/>
      <c r="P4" s="437"/>
      <c r="Q4" s="437"/>
      <c r="R4" s="437"/>
      <c r="S4" s="437"/>
    </row>
    <row r="5" spans="2:19" x14ac:dyDescent="0.3">
      <c r="B5" s="198" t="s">
        <v>201</v>
      </c>
      <c r="C5" s="198"/>
      <c r="D5" s="198"/>
      <c r="E5" s="439">
        <f>Input!E77</f>
        <v>-4.4639007890000002</v>
      </c>
      <c r="F5" s="439">
        <f>Input!F77</f>
        <v>12.247071916999992</v>
      </c>
      <c r="G5" s="439">
        <f>Input!G77</f>
        <v>105.34110040499999</v>
      </c>
      <c r="H5" s="439">
        <f>Input!H77</f>
        <v>203.48270103299996</v>
      </c>
      <c r="I5" s="439">
        <f>Input!I77</f>
        <v>117.99986691599997</v>
      </c>
      <c r="J5" s="439">
        <f>Input!J77</f>
        <v>114.62194121299996</v>
      </c>
      <c r="K5" s="439">
        <f>Input!K77</f>
        <v>112.78680023199982</v>
      </c>
      <c r="L5" s="439">
        <f>Input!L77</f>
        <v>119.3102664730001</v>
      </c>
      <c r="M5" s="439">
        <f>Input!M77</f>
        <v>121.151695854</v>
      </c>
      <c r="N5" s="439">
        <f ca="1">Output_IS!O23-Output_IS!O25</f>
        <v>120.65061671074429</v>
      </c>
      <c r="O5" s="448">
        <f ca="1">Output_IS!P23-Output_IS!P25</f>
        <v>114.4609089177585</v>
      </c>
      <c r="P5" s="448">
        <f ca="1">Output_IS!Q23-Output_IS!Q25</f>
        <v>102.65001349406501</v>
      </c>
      <c r="Q5" s="448">
        <f ca="1">Output_IS!R23-Output_IS!R25</f>
        <v>78.571244686424194</v>
      </c>
      <c r="R5" s="448">
        <f ca="1">Output_IS!S23-Output_IS!S25</f>
        <v>81.621038188136851</v>
      </c>
      <c r="S5" s="448">
        <f ca="1">Output_IS!T23-Output_IS!T25</f>
        <v>62.94667890434274</v>
      </c>
    </row>
    <row r="6" spans="2:19" ht="6" customHeight="1" x14ac:dyDescent="0.3">
      <c r="B6" s="212"/>
      <c r="C6" s="212"/>
      <c r="D6" s="212"/>
      <c r="E6" s="437"/>
      <c r="F6" s="437"/>
      <c r="G6" s="437"/>
      <c r="H6" s="437"/>
      <c r="I6" s="437"/>
      <c r="J6" s="437"/>
      <c r="K6" s="437"/>
      <c r="L6" s="437"/>
      <c r="M6" s="437"/>
      <c r="N6" s="437"/>
      <c r="O6" s="437"/>
      <c r="P6" s="437"/>
      <c r="Q6" s="437"/>
      <c r="R6" s="437"/>
      <c r="S6" s="437"/>
    </row>
    <row r="7" spans="2:19" x14ac:dyDescent="0.3">
      <c r="B7" s="117" t="s">
        <v>536</v>
      </c>
      <c r="C7" s="117"/>
      <c r="D7" s="117"/>
      <c r="E7" s="118"/>
      <c r="F7" s="118"/>
      <c r="G7" s="118"/>
      <c r="H7" s="118"/>
      <c r="I7" s="118"/>
      <c r="J7" s="118"/>
      <c r="K7" s="118"/>
      <c r="L7" s="118"/>
      <c r="M7" s="118"/>
      <c r="N7" s="118"/>
      <c r="O7" s="118"/>
      <c r="P7" s="118"/>
      <c r="Q7" s="118"/>
      <c r="R7" s="118"/>
      <c r="S7" s="118"/>
    </row>
    <row r="8" spans="2:19" x14ac:dyDescent="0.3">
      <c r="B8" s="212" t="s">
        <v>173</v>
      </c>
      <c r="C8" s="212"/>
      <c r="D8" s="212"/>
      <c r="E8" s="439">
        <f>Input!E30</f>
        <v>2.2720071310000001</v>
      </c>
      <c r="F8" s="439">
        <f>Input!F30</f>
        <v>7.9598231359999998</v>
      </c>
      <c r="G8" s="439">
        <f>Input!G30</f>
        <v>20.385813119000002</v>
      </c>
      <c r="H8" s="439">
        <f>Input!H30</f>
        <v>82.458634855</v>
      </c>
      <c r="I8" s="439">
        <f>Input!I30</f>
        <v>120.27550900599999</v>
      </c>
      <c r="J8" s="439">
        <f>Input!J30</f>
        <v>133.03504750100001</v>
      </c>
      <c r="K8" s="439">
        <f>Input!K30</f>
        <v>80.028708037000001</v>
      </c>
      <c r="L8" s="439">
        <f>Input!L30</f>
        <v>64.229387505999995</v>
      </c>
      <c r="M8" s="439">
        <f>Input!M30</f>
        <v>60.815179999000001</v>
      </c>
      <c r="N8" s="439">
        <f>'Fixed Assets (F)'!N17</f>
        <v>56.282736575700028</v>
      </c>
      <c r="O8" s="448">
        <f>'Fixed Assets (F)'!O17</f>
        <v>64.889807691971129</v>
      </c>
      <c r="P8" s="448">
        <f>'Fixed Assets (F)'!P17</f>
        <v>55.049157192753356</v>
      </c>
      <c r="Q8" s="448">
        <f>'Fixed Assets (F)'!Q17</f>
        <v>62.40914088127186</v>
      </c>
      <c r="R8" s="448">
        <f>'Fixed Assets (F)'!R17</f>
        <v>46.707854926227583</v>
      </c>
      <c r="S8" s="448">
        <f>'Fixed Assets (F)'!S17</f>
        <v>44.600791993873663</v>
      </c>
    </row>
    <row r="9" spans="2:19" x14ac:dyDescent="0.3">
      <c r="B9" s="212" t="s">
        <v>239</v>
      </c>
      <c r="C9" s="212"/>
      <c r="D9" s="212"/>
      <c r="E9" s="439">
        <f>Output_IS!F15-Input!E133</f>
        <v>-8.5034250000000002E-3</v>
      </c>
      <c r="F9" s="439">
        <f>Output_IS!G15-Input!F133</f>
        <v>-1.5306165E-2</v>
      </c>
      <c r="G9" s="439">
        <f>Output_IS!H15-Input!G133</f>
        <v>-3.0968289E-2</v>
      </c>
      <c r="H9" s="439">
        <f>Output_IS!I15-Input!H133</f>
        <v>-3.4013700000000001E-2</v>
      </c>
      <c r="I9" s="439">
        <f>Output_IS!J15-Input!I133</f>
        <v>0.92195492500000009</v>
      </c>
      <c r="J9" s="439">
        <f>Output_IS!K15-Input!J133</f>
        <v>-0.118975415</v>
      </c>
      <c r="K9" s="439">
        <f>Output_IS!L15-Input!K133</f>
        <v>6.732069353</v>
      </c>
      <c r="L9" s="439">
        <f>Output_IS!M15-Input!L133</f>
        <v>2.669012151</v>
      </c>
      <c r="M9" s="439">
        <f>Output_IS!N15-Input!M133</f>
        <v>2.1197326080000001</v>
      </c>
      <c r="N9" s="439">
        <f>'Fixed Assets (F)'!N21</f>
        <v>1.1149410280000001</v>
      </c>
      <c r="O9" s="448">
        <f>'Fixed Assets (F)'!O21</f>
        <v>1.117400516</v>
      </c>
      <c r="P9" s="448">
        <f>'Fixed Assets (F)'!P21</f>
        <v>1.1149410280000001</v>
      </c>
      <c r="Q9" s="448">
        <f>'Fixed Assets (F)'!Q21</f>
        <v>1.1149410280000001</v>
      </c>
      <c r="R9" s="448">
        <f>'Fixed Assets (F)'!R21</f>
        <v>1.1149410280000001</v>
      </c>
      <c r="S9" s="448">
        <f>'Fixed Assets (F)'!S21</f>
        <v>1.1149410280000001</v>
      </c>
    </row>
    <row r="10" spans="2:19" x14ac:dyDescent="0.3">
      <c r="B10" s="212" t="s">
        <v>537</v>
      </c>
      <c r="C10" s="212"/>
      <c r="D10" s="212"/>
      <c r="E10" s="439">
        <f>-Input!E45</f>
        <v>-0.12889536900000001</v>
      </c>
      <c r="F10" s="439">
        <f>-Input!F45</f>
        <v>0</v>
      </c>
      <c r="G10" s="439">
        <f>-Input!G45</f>
        <v>-0.51643787299999999</v>
      </c>
      <c r="H10" s="439">
        <f>-Input!H45</f>
        <v>-0.16311615400000001</v>
      </c>
      <c r="I10" s="439">
        <f>-Input!I45</f>
        <v>-0.33304870800000003</v>
      </c>
      <c r="J10" s="439">
        <f>-Input!J45</f>
        <v>-0.66657198799999995</v>
      </c>
      <c r="K10" s="439">
        <f>-Input!K45</f>
        <v>-1.200300428</v>
      </c>
      <c r="L10" s="439">
        <f>-Input!L45</f>
        <v>-3.2563636999999999E-2</v>
      </c>
      <c r="M10" s="439">
        <f>-Input!M45</f>
        <v>-0.13380818</v>
      </c>
      <c r="N10" s="439">
        <f>-Input!N45</f>
        <v>-0.3527491485555555</v>
      </c>
      <c r="O10" s="448">
        <f>-Input!O45</f>
        <v>-0.37762179072839508</v>
      </c>
      <c r="P10" s="448">
        <f>-Input!P45</f>
        <v>-0.41957976747599457</v>
      </c>
      <c r="Q10" s="448">
        <f>-Input!Q45</f>
        <v>-0.40881775575110502</v>
      </c>
      <c r="R10" s="448">
        <f>-Input!R45</f>
        <v>-0.43611793372345009</v>
      </c>
      <c r="S10" s="448">
        <f>-Input!S45</f>
        <v>-0.44757006991494447</v>
      </c>
    </row>
    <row r="11" spans="2:19" x14ac:dyDescent="0.3">
      <c r="B11" s="212" t="s">
        <v>199</v>
      </c>
      <c r="C11" s="212"/>
      <c r="D11" s="212"/>
      <c r="E11" s="438">
        <f>-Output_IS!F26</f>
        <v>0</v>
      </c>
      <c r="F11" s="438">
        <f>Output_IS!G26</f>
        <v>0</v>
      </c>
      <c r="G11" s="438">
        <f>Output_IS!H26</f>
        <v>0</v>
      </c>
      <c r="H11" s="438">
        <f>Output_IS!I26</f>
        <v>0</v>
      </c>
      <c r="I11" s="438">
        <f>Output_IS!J26</f>
        <v>0</v>
      </c>
      <c r="J11" s="438">
        <f>Output_IS!K26</f>
        <v>0</v>
      </c>
      <c r="K11" s="438">
        <f>Output_IS!L26</f>
        <v>0</v>
      </c>
      <c r="L11" s="438">
        <f>Output_IS!M26</f>
        <v>0</v>
      </c>
      <c r="M11" s="438">
        <f>Output_IS!N26</f>
        <v>0</v>
      </c>
      <c r="N11" s="438">
        <f>Output_IS!O26</f>
        <v>0</v>
      </c>
      <c r="O11" s="449">
        <f>Output_IS!P26</f>
        <v>0</v>
      </c>
      <c r="P11" s="449">
        <f>Output_IS!Q26</f>
        <v>0</v>
      </c>
      <c r="Q11" s="449">
        <f>Output_IS!R26</f>
        <v>0</v>
      </c>
      <c r="R11" s="449">
        <f>Output_IS!S26</f>
        <v>0</v>
      </c>
      <c r="S11" s="449">
        <f>Output_IS!T26</f>
        <v>0</v>
      </c>
    </row>
    <row r="12" spans="2:19" x14ac:dyDescent="0.3">
      <c r="B12" s="212" t="s">
        <v>203</v>
      </c>
      <c r="C12" s="212"/>
      <c r="D12" s="212"/>
      <c r="E12" s="438">
        <f>-Output_IS!F28</f>
        <v>0</v>
      </c>
      <c r="F12" s="438">
        <f>Output_IS!G28</f>
        <v>0</v>
      </c>
      <c r="G12" s="438">
        <f>Output_IS!H28</f>
        <v>0</v>
      </c>
      <c r="H12" s="438">
        <f>Output_IS!I28</f>
        <v>0</v>
      </c>
      <c r="I12" s="438">
        <f>Output_IS!J28</f>
        <v>0</v>
      </c>
      <c r="J12" s="438">
        <f>Output_IS!K28</f>
        <v>0</v>
      </c>
      <c r="K12" s="438">
        <f>Output_IS!L28</f>
        <v>0</v>
      </c>
      <c r="L12" s="438">
        <f>Output_IS!M28</f>
        <v>0</v>
      </c>
      <c r="M12" s="438">
        <f>Output_IS!N28</f>
        <v>0</v>
      </c>
      <c r="N12" s="438">
        <f>Output_IS!O28</f>
        <v>0</v>
      </c>
      <c r="O12" s="449">
        <f>Output_IS!P28</f>
        <v>0</v>
      </c>
      <c r="P12" s="449">
        <f>Output_IS!Q28</f>
        <v>0</v>
      </c>
      <c r="Q12" s="449">
        <f>Output_IS!R28</f>
        <v>0</v>
      </c>
      <c r="R12" s="449">
        <f>Output_IS!S28</f>
        <v>0</v>
      </c>
      <c r="S12" s="449">
        <f>Output_IS!T28</f>
        <v>0</v>
      </c>
    </row>
    <row r="13" spans="2:19" x14ac:dyDescent="0.3">
      <c r="B13" s="212" t="s">
        <v>196</v>
      </c>
      <c r="C13" s="212"/>
      <c r="D13" s="212"/>
      <c r="E13" s="439">
        <f>-(Input!E53-Input!E62)</f>
        <v>0.111853464</v>
      </c>
      <c r="F13" s="439">
        <f>-(Input!F53-Input!F62)</f>
        <v>0.401767981</v>
      </c>
      <c r="G13" s="439">
        <f>-(Input!G53-Input!G62)</f>
        <v>1.2333856270000001</v>
      </c>
      <c r="H13" s="439">
        <f>-(Input!H53-Input!H62)</f>
        <v>2.450768482</v>
      </c>
      <c r="I13" s="439">
        <f>-(Input!I53-Input!I62)</f>
        <v>6.2080697999999997E-2</v>
      </c>
      <c r="J13" s="439">
        <f>-(Input!J53-Input!J62)</f>
        <v>0.18247028700000001</v>
      </c>
      <c r="K13" s="439">
        <f>-(Input!K53-Input!K62)</f>
        <v>9.1253765000000001E-2</v>
      </c>
      <c r="L13" s="439">
        <f>-(Input!L53-Input!L62)</f>
        <v>0.108512862</v>
      </c>
      <c r="M13" s="439">
        <f>-(Input!M53-Input!M62)</f>
        <v>5.1622599999999995E-4</v>
      </c>
      <c r="N13" s="439">
        <f>-(Input!N53-Input!N62)</f>
        <v>5.1622599999999995E-4</v>
      </c>
      <c r="O13" s="448">
        <f>-(Input!O53-Input!O62)</f>
        <v>5.1622599999999995E-4</v>
      </c>
      <c r="P13" s="448">
        <f>-(Input!P53-Input!P62)</f>
        <v>5.1622599999999995E-4</v>
      </c>
      <c r="Q13" s="448">
        <f>-(Input!Q53-Input!Q62)</f>
        <v>5.1622599999999995E-4</v>
      </c>
      <c r="R13" s="448">
        <f>-(Input!R53-Input!R62)</f>
        <v>5.1622599999999995E-4</v>
      </c>
      <c r="S13" s="448">
        <f>-(Input!S53-Input!S62)</f>
        <v>5.1622599999999995E-4</v>
      </c>
    </row>
    <row r="14" spans="2:19" x14ac:dyDescent="0.3">
      <c r="B14" s="212" t="s">
        <v>193</v>
      </c>
      <c r="C14" s="212"/>
      <c r="D14" s="212"/>
      <c r="E14" s="439">
        <f>Input!E58</f>
        <v>1.1484824170000001</v>
      </c>
      <c r="F14" s="439">
        <f>Input!F58</f>
        <v>3.6857485030000001</v>
      </c>
      <c r="G14" s="439">
        <f>Input!G58</f>
        <v>7.2169908380000001</v>
      </c>
      <c r="H14" s="439">
        <f>Input!H58</f>
        <v>26.064097663999998</v>
      </c>
      <c r="I14" s="439">
        <f>Input!I58</f>
        <v>23.422238238999999</v>
      </c>
      <c r="J14" s="439">
        <f>Input!J58</f>
        <v>14.508051373000001</v>
      </c>
      <c r="K14" s="439">
        <f>Input!K58</f>
        <v>7.4831519579999997</v>
      </c>
      <c r="L14" s="439">
        <f>Input!L58</f>
        <v>6.107955735</v>
      </c>
      <c r="M14" s="439">
        <f>Input!M58</f>
        <v>6.1545161190000002</v>
      </c>
      <c r="N14" s="439">
        <f ca="1">Input!N58</f>
        <v>2.1802392025585</v>
      </c>
      <c r="O14" s="448">
        <f ca="1">Input!O58</f>
        <v>0.47165982000000006</v>
      </c>
      <c r="P14" s="448">
        <f ca="1">Input!P58</f>
        <v>0.28527988000000004</v>
      </c>
      <c r="Q14" s="448">
        <f ca="1">Input!Q58</f>
        <v>0.17066666666666672</v>
      </c>
      <c r="R14" s="448">
        <f ca="1">Input!R58</f>
        <v>0.1137777777777778</v>
      </c>
      <c r="S14" s="448">
        <f ca="1">Input!S58</f>
        <v>7.5851851851851865E-2</v>
      </c>
    </row>
    <row r="15" spans="2:19" x14ac:dyDescent="0.3">
      <c r="B15" s="212" t="s">
        <v>709</v>
      </c>
      <c r="C15" s="212"/>
      <c r="D15" s="212"/>
      <c r="E15" s="439">
        <f>-E35</f>
        <v>-1.5049894260000001</v>
      </c>
      <c r="F15" s="439">
        <f t="shared" ref="F15:S15" si="3">-F35</f>
        <v>-2.0926050219999999</v>
      </c>
      <c r="G15" s="439">
        <f t="shared" si="3"/>
        <v>-4.0195790889999996</v>
      </c>
      <c r="H15" s="439">
        <f t="shared" si="3"/>
        <v>-15.95593686</v>
      </c>
      <c r="I15" s="439">
        <f t="shared" si="3"/>
        <v>-20.837969315999999</v>
      </c>
      <c r="J15" s="439">
        <f t="shared" si="3"/>
        <v>-19.446432218999998</v>
      </c>
      <c r="K15" s="439">
        <f t="shared" si="3"/>
        <v>-14.308121401999999</v>
      </c>
      <c r="L15" s="439">
        <f t="shared" si="3"/>
        <v>-8.6997799600000008</v>
      </c>
      <c r="M15" s="439">
        <f t="shared" si="3"/>
        <v>-7.4486179469999998</v>
      </c>
      <c r="N15" s="439">
        <f t="shared" ca="1" si="3"/>
        <v>-8.0672172343082664</v>
      </c>
      <c r="O15" s="448">
        <f t="shared" ca="1" si="3"/>
        <v>-8.0457568532709303</v>
      </c>
      <c r="P15" s="448">
        <f t="shared" ca="1" si="3"/>
        <v>-9.1038777684934384</v>
      </c>
      <c r="Q15" s="448">
        <f t="shared" ca="1" si="3"/>
        <v>-10.19240780916261</v>
      </c>
      <c r="R15" s="448">
        <f t="shared" ca="1" si="3"/>
        <v>-10.859190885434566</v>
      </c>
      <c r="S15" s="448">
        <f t="shared" ca="1" si="3"/>
        <v>-11.096967548594785</v>
      </c>
    </row>
    <row r="16" spans="2:19" x14ac:dyDescent="0.3">
      <c r="B16" s="212" t="s">
        <v>189</v>
      </c>
      <c r="C16" s="212"/>
      <c r="D16" s="212"/>
      <c r="E16" s="439">
        <v>14.589526361999999</v>
      </c>
      <c r="F16" s="439">
        <v>36.053940394999998</v>
      </c>
      <c r="G16" s="439">
        <v>92.714464442000008</v>
      </c>
      <c r="H16" s="439">
        <v>179.29361490300002</v>
      </c>
      <c r="I16" s="439">
        <v>85.305119116</v>
      </c>
      <c r="J16" s="439">
        <v>249.84184841500002</v>
      </c>
      <c r="K16" s="439">
        <v>288.73489282100002</v>
      </c>
      <c r="L16" s="439">
        <v>281.71081347000001</v>
      </c>
      <c r="M16" s="439">
        <v>17.606553857999927</v>
      </c>
      <c r="N16" s="439">
        <v>45.820204076573532</v>
      </c>
      <c r="O16" s="448">
        <v>8.5994188404178544</v>
      </c>
      <c r="P16" s="448">
        <v>2.7314331384782236</v>
      </c>
      <c r="Q16" s="448">
        <v>2.2204295163895154</v>
      </c>
      <c r="R16" s="448">
        <v>9.7768554074496024</v>
      </c>
      <c r="S16" s="448">
        <v>2.6760326708227922</v>
      </c>
    </row>
    <row r="17" spans="2:30" s="594" customFormat="1" x14ac:dyDescent="0.3">
      <c r="B17" s="213" t="s">
        <v>538</v>
      </c>
      <c r="C17" s="213"/>
      <c r="D17" s="213"/>
      <c r="E17" s="447">
        <f t="shared" ref="E17:S17" si="4">E5+SUM(E8:E16)</f>
        <v>12.015580364999998</v>
      </c>
      <c r="F17" s="447">
        <f t="shared" si="4"/>
        <v>58.240440744999994</v>
      </c>
      <c r="G17" s="447">
        <f t="shared" si="4"/>
        <v>222.32476918</v>
      </c>
      <c r="H17" s="447">
        <f t="shared" si="4"/>
        <v>477.59675022300002</v>
      </c>
      <c r="I17" s="447">
        <f t="shared" si="4"/>
        <v>326.81575087599998</v>
      </c>
      <c r="J17" s="447">
        <f t="shared" si="4"/>
        <v>491.957379167</v>
      </c>
      <c r="K17" s="447">
        <f t="shared" si="4"/>
        <v>480.3484543359998</v>
      </c>
      <c r="L17" s="447">
        <f t="shared" si="4"/>
        <v>465.40360460000011</v>
      </c>
      <c r="M17" s="447">
        <f t="shared" si="4"/>
        <v>200.26576853699993</v>
      </c>
      <c r="N17" s="447">
        <f t="shared" ca="1" si="4"/>
        <v>217.62928743671253</v>
      </c>
      <c r="O17" s="447">
        <f t="shared" ca="1" si="4"/>
        <v>181.11633336814816</v>
      </c>
      <c r="P17" s="447">
        <f t="shared" ca="1" si="4"/>
        <v>152.30788342332716</v>
      </c>
      <c r="Q17" s="447">
        <f t="shared" ca="1" si="4"/>
        <v>133.88571343983853</v>
      </c>
      <c r="R17" s="447">
        <f t="shared" ca="1" si="4"/>
        <v>128.03967473443379</v>
      </c>
      <c r="S17" s="447">
        <f t="shared" ca="1" si="4"/>
        <v>99.870275056381317</v>
      </c>
      <c r="U17" s="54"/>
      <c r="V17" s="54"/>
      <c r="W17" s="54"/>
      <c r="X17" s="54"/>
      <c r="Y17" s="54"/>
      <c r="Z17" s="54"/>
      <c r="AA17" s="54"/>
      <c r="AB17" s="54"/>
      <c r="AC17" s="54"/>
      <c r="AD17" s="54"/>
    </row>
    <row r="18" spans="2:30" s="121" customFormat="1" ht="8.1" customHeight="1" x14ac:dyDescent="0.3">
      <c r="B18" s="212"/>
      <c r="C18" s="212"/>
      <c r="D18" s="212"/>
      <c r="E18" s="592"/>
      <c r="F18" s="592"/>
      <c r="G18" s="592"/>
      <c r="H18" s="592"/>
      <c r="I18" s="592"/>
      <c r="J18" s="592"/>
      <c r="K18" s="592"/>
      <c r="L18" s="592"/>
      <c r="M18" s="592"/>
      <c r="N18" s="437"/>
      <c r="O18" s="437"/>
      <c r="P18" s="437"/>
      <c r="Q18" s="437"/>
      <c r="R18" s="437"/>
      <c r="S18" s="437"/>
      <c r="U18" s="54"/>
      <c r="V18" s="54"/>
      <c r="W18" s="54"/>
      <c r="X18" s="54"/>
      <c r="Y18" s="54"/>
      <c r="Z18" s="54"/>
      <c r="AA18" s="54"/>
      <c r="AB18" s="54"/>
      <c r="AC18" s="54"/>
      <c r="AD18" s="54"/>
    </row>
    <row r="19" spans="2:30" s="121" customFormat="1" x14ac:dyDescent="0.3">
      <c r="B19" s="595" t="s">
        <v>539</v>
      </c>
      <c r="C19" s="595"/>
      <c r="D19" s="595"/>
      <c r="E19" s="596">
        <f>Output_BS!E6-Output_BS!F6</f>
        <v>3.1528760599999996</v>
      </c>
      <c r="F19" s="596">
        <f>Output_BS!F6-Output_BS!G6</f>
        <v>-10.189851852</v>
      </c>
      <c r="G19" s="596">
        <f>Output_BS!G6-Output_BS!H6</f>
        <v>-11.660524047000001</v>
      </c>
      <c r="H19" s="596">
        <f>Output_BS!H6-Output_BS!I6</f>
        <v>15.869505519000001</v>
      </c>
      <c r="I19" s="596">
        <f>Output_BS!I6-Output_BS!J6</f>
        <v>-9.4601601930000001</v>
      </c>
      <c r="J19" s="596">
        <f>Output_BS!J6-Output_BS!K6</f>
        <v>-44.887007077</v>
      </c>
      <c r="K19" s="596">
        <f>Output_BS!K6-Output_BS!L6</f>
        <v>-64.427766628000001</v>
      </c>
      <c r="L19" s="596">
        <f>Output_BS!L6-Output_BS!M6</f>
        <v>94.309079350999994</v>
      </c>
      <c r="M19" s="596">
        <f>Output_BS!M6-Output_BS!N6</f>
        <v>13.537340521000001</v>
      </c>
      <c r="N19" s="596">
        <f>Output_BS!N6-Output_BS!O6</f>
        <v>-48.496663986937904</v>
      </c>
      <c r="O19" s="597">
        <f>Output_BS!O6-Output_BS!P6</f>
        <v>-9.4109848464517825</v>
      </c>
      <c r="P19" s="597">
        <f>Output_BS!P6-Output_BS!Q6</f>
        <v>-3.1301109731617203</v>
      </c>
      <c r="Q19" s="597">
        <f>Output_BS!Q6-Output_BS!R6</f>
        <v>-2.4810883226182057</v>
      </c>
      <c r="R19" s="597">
        <f>Output_BS!R6-Output_BS!S6</f>
        <v>-10.261200857019858</v>
      </c>
      <c r="S19" s="597">
        <f>Output_BS!S6-Output_BS!T6</f>
        <v>-2.8553746128941384</v>
      </c>
      <c r="U19" s="54"/>
      <c r="V19" s="54"/>
      <c r="W19" s="54"/>
      <c r="X19" s="54"/>
      <c r="Y19" s="54"/>
      <c r="Z19" s="54"/>
      <c r="AA19" s="54"/>
      <c r="AB19" s="54"/>
      <c r="AC19" s="54"/>
      <c r="AD19" s="54"/>
    </row>
    <row r="20" spans="2:30" s="121" customFormat="1" x14ac:dyDescent="0.3">
      <c r="B20" s="595" t="s">
        <v>540</v>
      </c>
      <c r="C20" s="595"/>
      <c r="D20" s="596"/>
      <c r="E20" s="596">
        <f>Output_BS!E8-Output_BS!F8</f>
        <v>-4.0130303870000006</v>
      </c>
      <c r="F20" s="596">
        <f>Output_BS!F8-Output_BS!G8</f>
        <v>-20.955090385999998</v>
      </c>
      <c r="G20" s="596">
        <f>Output_BS!G8-Output_BS!H8</f>
        <v>-53.746987074999993</v>
      </c>
      <c r="H20" s="596">
        <f>Output_BS!H8-Output_BS!I8</f>
        <v>-57.884404141000019</v>
      </c>
      <c r="I20" s="596">
        <f>Output_BS!I8-Output_BS!J8</f>
        <v>-15.525711272999985</v>
      </c>
      <c r="J20" s="596">
        <f>Output_BS!J8-Output_BS!K8</f>
        <v>-16.451416388000013</v>
      </c>
      <c r="K20" s="596">
        <f>Output_BS!K8-Output_BS!L8</f>
        <v>11.081291332000006</v>
      </c>
      <c r="L20" s="596">
        <f>Output_BS!L8-Output_BS!M8</f>
        <v>21.893009278999983</v>
      </c>
      <c r="M20" s="596">
        <f>Output_BS!M8-Output_BS!N8</f>
        <v>29.515951207000015</v>
      </c>
      <c r="N20" s="596">
        <f>Output_BS!N8-Output_BS!O8</f>
        <v>-61.286096376319975</v>
      </c>
      <c r="O20" s="597">
        <f>Output_BS!O8-Output_BS!P8</f>
        <v>-23.636080472817923</v>
      </c>
      <c r="P20" s="597">
        <f>Output_BS!P8-Output_BS!Q8</f>
        <v>-7.882457200390462</v>
      </c>
      <c r="Q20" s="597">
        <f>Output_BS!Q8-Output_BS!R8</f>
        <v>-6.3732725677723181</v>
      </c>
      <c r="R20" s="597">
        <f>Output_BS!R8-Output_BS!S8</f>
        <v>-25.651835508119888</v>
      </c>
      <c r="S20" s="597">
        <f>Output_BS!S8-Output_BS!T8</f>
        <v>-7.2370273598121173</v>
      </c>
      <c r="U20" s="54"/>
      <c r="V20" s="54"/>
      <c r="W20" s="54"/>
      <c r="X20" s="54"/>
      <c r="Y20" s="54"/>
      <c r="Z20" s="54"/>
      <c r="AA20" s="54"/>
      <c r="AB20" s="54"/>
      <c r="AC20" s="54"/>
      <c r="AD20" s="54"/>
    </row>
    <row r="21" spans="2:30" s="121" customFormat="1" x14ac:dyDescent="0.3">
      <c r="B21" s="595" t="s">
        <v>541</v>
      </c>
      <c r="C21" s="595"/>
      <c r="D21" s="595"/>
      <c r="E21" s="596">
        <f>Output_BS!E9-Output_BS!F9</f>
        <v>-0.16346697799999999</v>
      </c>
      <c r="F21" s="596">
        <f>Output_BS!F9-Output_BS!G9</f>
        <v>-0.203358966</v>
      </c>
      <c r="G21" s="596">
        <f>Output_BS!G9-Output_BS!H9</f>
        <v>-4.4301615860000005</v>
      </c>
      <c r="H21" s="596">
        <f>Output_BS!H9-Output_BS!I9</f>
        <v>-5.203232861</v>
      </c>
      <c r="I21" s="596">
        <f>Output_BS!I9-Output_BS!J9</f>
        <v>-11.49525105</v>
      </c>
      <c r="J21" s="596">
        <f>Output_BS!J9-Output_BS!K9</f>
        <v>-1.6717484650000003</v>
      </c>
      <c r="K21" s="596">
        <f>Output_BS!K9-Output_BS!L9</f>
        <v>1.2410878210000007</v>
      </c>
      <c r="L21" s="596">
        <f>Output_BS!L9-Output_BS!M9</f>
        <v>-4.5152908150000002</v>
      </c>
      <c r="M21" s="596">
        <f>Output_BS!M9-Output_BS!N9</f>
        <v>-15.591448945999996</v>
      </c>
      <c r="N21" s="596">
        <f>Output_BS!N9-Output_BS!O9</f>
        <v>6.3137956537901943</v>
      </c>
      <c r="O21" s="597">
        <f>Output_BS!O9-Output_BS!P9</f>
        <v>-6.1780726433503332</v>
      </c>
      <c r="P21" s="597">
        <f>Output_BS!P9-Output_BS!Q9</f>
        <v>-2.5399421211267139</v>
      </c>
      <c r="Q21" s="597">
        <f>Output_BS!Q9-Output_BS!R9</f>
        <v>-2.8620751304663514</v>
      </c>
      <c r="R21" s="597">
        <f>Output_BS!R9-Output_BS!S9</f>
        <v>-6.2214543155230757</v>
      </c>
      <c r="S21" s="597">
        <f>Output_BS!S9-Output_BS!T9</f>
        <v>-2.6893183606264017</v>
      </c>
      <c r="U21" s="54"/>
      <c r="V21" s="54"/>
      <c r="W21" s="54"/>
      <c r="X21" s="54"/>
      <c r="Y21" s="54"/>
      <c r="Z21" s="54"/>
      <c r="AA21" s="54"/>
      <c r="AB21" s="54"/>
      <c r="AC21" s="54"/>
      <c r="AD21" s="54"/>
    </row>
    <row r="22" spans="2:30" s="121" customFormat="1" x14ac:dyDescent="0.3">
      <c r="B22" s="595" t="s">
        <v>543</v>
      </c>
      <c r="C22" s="595"/>
      <c r="D22" s="595"/>
      <c r="E22" s="596">
        <f>Output_BS!F23-Output_BS!E23</f>
        <v>8.6468255040000006</v>
      </c>
      <c r="F22" s="596">
        <f>Output_BS!G23-Output_BS!F23</f>
        <v>14.240627432999998</v>
      </c>
      <c r="G22" s="596">
        <f>Output_BS!H23-Output_BS!G23</f>
        <v>22.204137028000002</v>
      </c>
      <c r="H22" s="596">
        <f>Output_BS!I23-Output_BS!H23</f>
        <v>67.548729082999984</v>
      </c>
      <c r="I22" s="596">
        <f>Output_BS!J23-Output_BS!I23</f>
        <v>-10.067854176999987</v>
      </c>
      <c r="J22" s="596">
        <f>Output_BS!K23-Output_BS!J23</f>
        <v>-3.0699554530000057</v>
      </c>
      <c r="K22" s="596">
        <f>Output_BS!L23-Output_BS!K23</f>
        <v>31.60065941900001</v>
      </c>
      <c r="L22" s="596">
        <f>Output_BS!M23-Output_BS!L23</f>
        <v>-14.26222871600001</v>
      </c>
      <c r="M22" s="596">
        <f>Output_BS!N23-Output_BS!M23</f>
        <v>-3.600707462999992</v>
      </c>
      <c r="N22" s="596">
        <f>Output_BS!O23-Output_BS!N23</f>
        <v>30.038405884623955</v>
      </c>
      <c r="O22" s="597">
        <f>Output_BS!P23-Output_BS!O23</f>
        <v>26.036185083051123</v>
      </c>
      <c r="P22" s="597">
        <f>Output_BS!Q23-Output_BS!P23</f>
        <v>9.2292419168736615</v>
      </c>
      <c r="Q22" s="597">
        <f>Output_BS!R23-Output_BS!Q23</f>
        <v>10.703425754228306</v>
      </c>
      <c r="R22" s="597">
        <f>Output_BS!S23-Output_BS!R23</f>
        <v>25.152837371736865</v>
      </c>
      <c r="S22" s="597">
        <f>Output_BS!T23-Output_BS!S23</f>
        <v>9.6752587267019123</v>
      </c>
      <c r="U22" s="54"/>
      <c r="V22" s="54"/>
      <c r="W22" s="54"/>
      <c r="X22" s="54"/>
      <c r="Y22" s="54"/>
      <c r="Z22" s="54"/>
      <c r="AA22" s="54"/>
      <c r="AB22" s="54"/>
      <c r="AC22" s="54"/>
      <c r="AD22" s="54"/>
    </row>
    <row r="23" spans="2:30" s="121" customFormat="1" x14ac:dyDescent="0.3">
      <c r="B23" s="595" t="s">
        <v>542</v>
      </c>
      <c r="C23" s="595"/>
      <c r="D23" s="595"/>
      <c r="E23" s="596">
        <f>Output_BS!E10-Output_BS!F10</f>
        <v>-0.86614398999999986</v>
      </c>
      <c r="F23" s="596">
        <f>Output_BS!F10-Output_BS!G10</f>
        <v>0.93248231199999987</v>
      </c>
      <c r="G23" s="596">
        <f>Output_BS!G10-Output_BS!H10</f>
        <v>-0.39011390000000001</v>
      </c>
      <c r="H23" s="596">
        <f>Output_BS!H10-Output_BS!I10</f>
        <v>-7.4422272810000001</v>
      </c>
      <c r="I23" s="596">
        <f>Output_BS!I10-Output_BS!J10</f>
        <v>5.5458404019999996</v>
      </c>
      <c r="J23" s="596">
        <f>Output_BS!J10-Output_BS!K10</f>
        <v>-1.9788040430000002</v>
      </c>
      <c r="K23" s="596">
        <f>Output_BS!K10-Output_BS!L10</f>
        <v>-8.5602283589999999</v>
      </c>
      <c r="L23" s="596">
        <f>Output_BS!L10-Output_BS!M10</f>
        <v>4.0527089729999997</v>
      </c>
      <c r="M23" s="596">
        <f>Output_BS!M10-Output_BS!N10</f>
        <v>-0.87275645400000101</v>
      </c>
      <c r="N23" s="596">
        <f>Output_BS!N10-Output_BS!O10</f>
        <v>-2.5345791503019246</v>
      </c>
      <c r="O23" s="597">
        <f>Output_BS!O10-Output_BS!P10</f>
        <v>-1.7165137137321764</v>
      </c>
      <c r="P23" s="597">
        <f>Output_BS!P10-Output_BS!Q10</f>
        <v>-0.57091563726844008</v>
      </c>
      <c r="Q23" s="597">
        <f>Output_BS!Q10-Output_BS!R10</f>
        <v>-0.45253734866660977</v>
      </c>
      <c r="R23" s="597">
        <f>Output_BS!R10-Output_BS!S10</f>
        <v>-1.87158860393615</v>
      </c>
      <c r="S23" s="597">
        <f>Output_BS!S10-Output_BS!T10</f>
        <v>-0.52080518254403785</v>
      </c>
      <c r="U23" s="54"/>
      <c r="V23" s="54"/>
      <c r="W23" s="54"/>
      <c r="X23" s="54"/>
      <c r="Y23" s="54"/>
      <c r="Z23" s="54"/>
      <c r="AA23" s="54"/>
      <c r="AB23" s="54"/>
      <c r="AC23" s="54"/>
      <c r="AD23" s="54"/>
    </row>
    <row r="24" spans="2:30" s="121" customFormat="1" x14ac:dyDescent="0.3">
      <c r="B24" s="595" t="s">
        <v>544</v>
      </c>
      <c r="C24" s="595"/>
      <c r="D24" s="595"/>
      <c r="E24" s="596">
        <f>Output_BS!F24-Output_BS!E24</f>
        <v>5.284540604</v>
      </c>
      <c r="F24" s="596">
        <f>Output_BS!G24-Output_BS!F24</f>
        <v>-2.607812682</v>
      </c>
      <c r="G24" s="596">
        <f>Output_BS!H24-Output_BS!G24</f>
        <v>7.109732021000001</v>
      </c>
      <c r="H24" s="596">
        <f>Output_BS!I24-Output_BS!H24</f>
        <v>22.212701901000003</v>
      </c>
      <c r="I24" s="596">
        <f>Output_BS!J24-Output_BS!I24</f>
        <v>-29.099065531000001</v>
      </c>
      <c r="J24" s="596">
        <f>Output_BS!K24-Output_BS!J24</f>
        <v>4.6272505839999996</v>
      </c>
      <c r="K24" s="596">
        <f>Output_BS!L24-Output_BS!K24</f>
        <v>0.27972265800000073</v>
      </c>
      <c r="L24" s="596">
        <f>Output_BS!M24-Output_BS!L24</f>
        <v>37.637497126</v>
      </c>
      <c r="M24" s="596">
        <f>Output_BS!N24-Output_BS!M24</f>
        <v>-32.995530794000004</v>
      </c>
      <c r="N24" s="596">
        <f>Output_BS!O24-Output_BS!N24</f>
        <v>13.440937865463635</v>
      </c>
      <c r="O24" s="597">
        <f>Output_BS!P24-Output_BS!O24</f>
        <v>3.7149311993684755</v>
      </c>
      <c r="P24" s="597">
        <f>Output_BS!Q24-Output_BS!P24</f>
        <v>1.235592990681333</v>
      </c>
      <c r="Q24" s="597">
        <f>Output_BS!R24-Output_BS!Q24</f>
        <v>0.97939509716225714</v>
      </c>
      <c r="R24" s="597">
        <f>Output_BS!S24-Output_BS!R24</f>
        <v>4.0505489944659558</v>
      </c>
      <c r="S24" s="597">
        <f>Output_BS!T24-Output_BS!S24</f>
        <v>1.1271424200969236</v>
      </c>
      <c r="U24" s="54"/>
      <c r="V24" s="54"/>
      <c r="W24" s="54"/>
      <c r="X24" s="54"/>
      <c r="Y24" s="54"/>
      <c r="Z24" s="54"/>
      <c r="AA24" s="54"/>
      <c r="AB24" s="54"/>
      <c r="AC24" s="54"/>
      <c r="AD24" s="54"/>
    </row>
    <row r="25" spans="2:30" s="121" customFormat="1" x14ac:dyDescent="0.3">
      <c r="B25" s="213" t="s">
        <v>545</v>
      </c>
      <c r="C25" s="213"/>
      <c r="D25" s="213"/>
      <c r="E25" s="598">
        <f t="shared" ref="E25:S25" si="5">SUM(E19:E24)</f>
        <v>12.041600813000001</v>
      </c>
      <c r="F25" s="598">
        <f t="shared" si="5"/>
        <v>-18.783004140999999</v>
      </c>
      <c r="G25" s="598">
        <f t="shared" si="5"/>
        <v>-40.913917558999984</v>
      </c>
      <c r="H25" s="598">
        <f t="shared" si="5"/>
        <v>35.101072219999963</v>
      </c>
      <c r="I25" s="598">
        <f t="shared" si="5"/>
        <v>-70.102201821999984</v>
      </c>
      <c r="J25" s="598">
        <f t="shared" si="5"/>
        <v>-63.431680842000013</v>
      </c>
      <c r="K25" s="598">
        <f t="shared" si="5"/>
        <v>-28.785233756999983</v>
      </c>
      <c r="L25" s="598">
        <f>SUM(L19:L24)</f>
        <v>139.11477519799996</v>
      </c>
      <c r="M25" s="598">
        <f>SUM(M19:M24)</f>
        <v>-10.007151928999974</v>
      </c>
      <c r="N25" s="598">
        <f t="shared" si="5"/>
        <v>-62.524200109682013</v>
      </c>
      <c r="O25" s="598">
        <f t="shared" si="5"/>
        <v>-11.190535393932617</v>
      </c>
      <c r="P25" s="598">
        <f t="shared" si="5"/>
        <v>-3.6585910243923419</v>
      </c>
      <c r="Q25" s="598">
        <f t="shared" si="5"/>
        <v>-0.48615251813292204</v>
      </c>
      <c r="R25" s="598">
        <f t="shared" si="5"/>
        <v>-14.802692918396151</v>
      </c>
      <c r="S25" s="598">
        <f t="shared" si="5"/>
        <v>-2.5001243690778594</v>
      </c>
      <c r="U25" s="54"/>
      <c r="V25" s="54"/>
      <c r="W25" s="54"/>
      <c r="X25" s="54"/>
      <c r="Y25" s="54"/>
      <c r="Z25" s="54"/>
      <c r="AA25" s="54"/>
      <c r="AB25" s="54"/>
      <c r="AC25" s="54"/>
      <c r="AD25" s="54"/>
    </row>
    <row r="26" spans="2:30" s="121" customFormat="1" ht="8.1" customHeight="1" x14ac:dyDescent="0.3">
      <c r="B26" s="212"/>
      <c r="C26" s="212"/>
      <c r="D26" s="212"/>
      <c r="E26" s="592"/>
      <c r="F26" s="592"/>
      <c r="G26" s="592"/>
      <c r="H26" s="592"/>
      <c r="I26" s="592"/>
      <c r="J26" s="592"/>
      <c r="K26" s="592"/>
      <c r="L26" s="592"/>
      <c r="M26" s="592"/>
      <c r="N26" s="592"/>
      <c r="O26" s="592"/>
      <c r="P26" s="592"/>
      <c r="Q26" s="592"/>
      <c r="R26" s="592"/>
      <c r="S26" s="592"/>
      <c r="U26" s="54"/>
      <c r="V26" s="54"/>
      <c r="W26" s="54"/>
      <c r="X26" s="54"/>
      <c r="Y26" s="54"/>
      <c r="Z26" s="54"/>
      <c r="AA26" s="54"/>
      <c r="AB26" s="54"/>
      <c r="AC26" s="54"/>
      <c r="AD26" s="54"/>
    </row>
    <row r="27" spans="2:30" s="121" customFormat="1" x14ac:dyDescent="0.3">
      <c r="B27" s="212" t="s">
        <v>546</v>
      </c>
      <c r="C27" s="212"/>
      <c r="D27" s="212"/>
      <c r="E27" s="599">
        <f>-Input!E90</f>
        <v>0</v>
      </c>
      <c r="F27" s="599">
        <f>-Input!F90</f>
        <v>0</v>
      </c>
      <c r="G27" s="599">
        <f>-Input!G90</f>
        <v>-5.5910227749999999</v>
      </c>
      <c r="H27" s="599">
        <f>-Input!H90</f>
        <v>-5.8910227749999997</v>
      </c>
      <c r="I27" s="599">
        <f>-Input!I90</f>
        <v>-7.3129436759999997</v>
      </c>
      <c r="J27" s="599">
        <f>-Input!J90</f>
        <v>-7.6388228519999997</v>
      </c>
      <c r="K27" s="599">
        <f>-Input!K90</f>
        <v>-17.360127232</v>
      </c>
      <c r="L27" s="599">
        <f>-Input!L90</f>
        <v>-12.3</v>
      </c>
      <c r="M27" s="599">
        <f>-Input!M90</f>
        <v>-15</v>
      </c>
      <c r="N27" s="599">
        <f ca="1">-Output_IS!O27</f>
        <v>-17.915039423174008</v>
      </c>
      <c r="O27" s="600">
        <f ca="1">-Output_IS!P27</f>
        <v>-16.024527248486191</v>
      </c>
      <c r="P27" s="600">
        <f ca="1">-Output_IS!Q27</f>
        <v>-14.371001889169102</v>
      </c>
      <c r="Q27" s="600">
        <f ca="1">-Output_IS!R27</f>
        <v>-10.999974256099389</v>
      </c>
      <c r="R27" s="600">
        <f ca="1">-Output_IS!S27</f>
        <v>-11.42694534633916</v>
      </c>
      <c r="S27" s="600">
        <f ca="1">-Output_IS!T27</f>
        <v>-8.8125350466079837</v>
      </c>
      <c r="U27" s="54"/>
      <c r="V27" s="54"/>
      <c r="W27" s="54"/>
      <c r="X27" s="54"/>
      <c r="Y27" s="54"/>
      <c r="Z27" s="54"/>
      <c r="AA27" s="54"/>
      <c r="AB27" s="54"/>
      <c r="AC27" s="54"/>
      <c r="AD27" s="54"/>
    </row>
    <row r="28" spans="2:30" s="121" customFormat="1" x14ac:dyDescent="0.3">
      <c r="B28" s="212" t="s">
        <v>547</v>
      </c>
      <c r="C28" s="212"/>
      <c r="D28" s="212"/>
      <c r="E28" s="439">
        <f>Output_BS!E16-Output_BS!F16</f>
        <v>-1.2651164029999999</v>
      </c>
      <c r="F28" s="439">
        <f>Output_BS!F16-Output_BS!G16</f>
        <v>0.47507782300000001</v>
      </c>
      <c r="G28" s="439">
        <f>Output_BS!G16-Output_BS!H16</f>
        <v>0.68181579200000009</v>
      </c>
      <c r="H28" s="439">
        <f>Output_BS!H16-Output_BS!I16</f>
        <v>-16.311627900000001</v>
      </c>
      <c r="I28" s="439">
        <f>Output_BS!I16-Output_BS!J16</f>
        <v>-65.568920895999995</v>
      </c>
      <c r="J28" s="439">
        <f>Output_BS!J16-Output_BS!K16</f>
        <v>62.417777012000002</v>
      </c>
      <c r="K28" s="439">
        <f>Output_BS!K16-Output_BS!L16</f>
        <v>11.719278702</v>
      </c>
      <c r="L28" s="439">
        <f>Output_BS!L16-Output_BS!M16</f>
        <v>1.5698752599999999</v>
      </c>
      <c r="M28" s="439">
        <f>Output_BS!M16-Output_BS!N16</f>
        <v>1.6421129079999996</v>
      </c>
      <c r="N28" s="439">
        <f>Output_BS!N16-Output_BS!O16</f>
        <v>-2.5011512415783814</v>
      </c>
      <c r="O28" s="448">
        <f>Output_BS!O16-Output_BS!P16</f>
        <v>-1.0168919600984543</v>
      </c>
      <c r="P28" s="448">
        <f>Output_BS!P16-Output_BS!Q16</f>
        <v>-0.33822014749329554</v>
      </c>
      <c r="Q28" s="448">
        <f>Output_BS!Q16-Output_BS!R16</f>
        <v>-0.26809083307746207</v>
      </c>
      <c r="R28" s="448">
        <f>Output_BS!R16-Output_BS!S16</f>
        <v>-1.1087609663289371</v>
      </c>
      <c r="S28" s="448">
        <f>Output_BS!S16-Output_BS!T16</f>
        <v>-0.30853386062097776</v>
      </c>
      <c r="U28" s="54"/>
      <c r="V28" s="54"/>
      <c r="W28" s="54"/>
      <c r="X28" s="54"/>
      <c r="Y28" s="54"/>
      <c r="Z28" s="54"/>
      <c r="AA28" s="54"/>
      <c r="AB28" s="54"/>
      <c r="AC28" s="54"/>
      <c r="AD28" s="54"/>
    </row>
    <row r="29" spans="2:30" x14ac:dyDescent="0.3">
      <c r="B29" s="212" t="s">
        <v>548</v>
      </c>
      <c r="C29" s="212"/>
      <c r="D29" s="212"/>
      <c r="E29" s="439">
        <f>Output_BS!F28-Output_BS!E28</f>
        <v>0.1243827</v>
      </c>
      <c r="F29" s="439">
        <f>Output_BS!G28-Output_BS!F28</f>
        <v>-5.0450627999999997E-2</v>
      </c>
      <c r="G29" s="439">
        <f>Output_BS!H28-Output_BS!G28</f>
        <v>1.9996675500000001</v>
      </c>
      <c r="H29" s="439">
        <f>Output_BS!I28-Output_BS!H28</f>
        <v>-1.9974926220000002</v>
      </c>
      <c r="I29" s="439">
        <f>Output_BS!J28-Output_BS!I28</f>
        <v>6.8783406389999993</v>
      </c>
      <c r="J29" s="439">
        <f>Output_BS!K28-Output_BS!J28</f>
        <v>0</v>
      </c>
      <c r="K29" s="439">
        <f>Output_BS!L28-Output_BS!K28</f>
        <v>0</v>
      </c>
      <c r="L29" s="439">
        <f>Output_BS!M28-Output_BS!L28</f>
        <v>0</v>
      </c>
      <c r="M29" s="439">
        <f>Output_BS!N28-Output_BS!M28</f>
        <v>4.452834481</v>
      </c>
      <c r="N29" s="439">
        <f>Output_BS!O28-Output_BS!N28</f>
        <v>-4.4072821199999996</v>
      </c>
      <c r="O29" s="448">
        <f>Output_BS!P28-Output_BS!O28</f>
        <v>0</v>
      </c>
      <c r="P29" s="448">
        <f>Output_BS!Q28-Output_BS!P28</f>
        <v>0</v>
      </c>
      <c r="Q29" s="448">
        <f>Output_BS!R28-Output_BS!Q28</f>
        <v>0</v>
      </c>
      <c r="R29" s="448">
        <f>Output_BS!S28-Output_BS!R28</f>
        <v>0</v>
      </c>
      <c r="S29" s="448">
        <f>Output_BS!T28-Output_BS!S28</f>
        <v>0</v>
      </c>
    </row>
    <row r="30" spans="2:30" x14ac:dyDescent="0.3">
      <c r="B30" s="213" t="s">
        <v>549</v>
      </c>
      <c r="C30" s="213"/>
      <c r="D30" s="213"/>
      <c r="E30" s="447">
        <f t="shared" ref="E30:S30" si="6">E17+E25+SUM(E27:E29)</f>
        <v>22.916447475000002</v>
      </c>
      <c r="F30" s="447">
        <f t="shared" si="6"/>
        <v>39.882063798999994</v>
      </c>
      <c r="G30" s="447">
        <f t="shared" si="6"/>
        <v>178.50131218800001</v>
      </c>
      <c r="H30" s="447">
        <f t="shared" si="6"/>
        <v>488.49767914599994</v>
      </c>
      <c r="I30" s="447">
        <f t="shared" si="6"/>
        <v>190.710025121</v>
      </c>
      <c r="J30" s="447">
        <f t="shared" si="6"/>
        <v>483.30465248500002</v>
      </c>
      <c r="K30" s="447">
        <f t="shared" si="6"/>
        <v>445.92237204899982</v>
      </c>
      <c r="L30" s="447">
        <f t="shared" si="6"/>
        <v>593.78825505800012</v>
      </c>
      <c r="M30" s="447">
        <f t="shared" si="6"/>
        <v>181.35356399699995</v>
      </c>
      <c r="N30" s="447">
        <f t="shared" ca="1" si="6"/>
        <v>130.28161454227811</v>
      </c>
      <c r="O30" s="447">
        <f t="shared" ca="1" si="6"/>
        <v>152.88437876563091</v>
      </c>
      <c r="P30" s="447">
        <f t="shared" ca="1" si="6"/>
        <v>133.94007036227242</v>
      </c>
      <c r="Q30" s="447">
        <f t="shared" ca="1" si="6"/>
        <v>122.13149583252877</v>
      </c>
      <c r="R30" s="447">
        <f t="shared" ca="1" si="6"/>
        <v>100.70127550336954</v>
      </c>
      <c r="S30" s="447">
        <f t="shared" ca="1" si="6"/>
        <v>88.249081780074505</v>
      </c>
    </row>
    <row r="31" spans="2:30" ht="6.9" customHeight="1" x14ac:dyDescent="0.3">
      <c r="B31" s="214"/>
      <c r="C31" s="214"/>
      <c r="D31" s="214"/>
      <c r="E31" s="593"/>
      <c r="F31" s="593"/>
      <c r="G31" s="593"/>
      <c r="H31" s="593"/>
      <c r="I31" s="593"/>
      <c r="J31" s="593"/>
      <c r="K31" s="593"/>
      <c r="L31" s="593"/>
      <c r="M31" s="593"/>
      <c r="N31" s="446"/>
      <c r="O31" s="446"/>
      <c r="P31" s="446"/>
      <c r="Q31" s="446"/>
      <c r="R31" s="446"/>
      <c r="S31" s="446"/>
    </row>
    <row r="32" spans="2:30" x14ac:dyDescent="0.3">
      <c r="B32" s="212" t="s">
        <v>237</v>
      </c>
      <c r="C32" s="212"/>
      <c r="D32" s="212"/>
      <c r="E32" s="439">
        <f>-Input!E155</f>
        <v>-74.228031927000004</v>
      </c>
      <c r="F32" s="439">
        <f>-Input!F155</f>
        <v>-37.392170219</v>
      </c>
      <c r="G32" s="439">
        <f>-Input!G155</f>
        <v>-76.238155000000006</v>
      </c>
      <c r="H32" s="439">
        <f>-Input!H155</f>
        <v>-208.81538049599999</v>
      </c>
      <c r="I32" s="439">
        <f>-Input!I155</f>
        <v>-48.393234714999998</v>
      </c>
      <c r="J32" s="439">
        <f>-Input!J155</f>
        <v>-5.8650082049999996</v>
      </c>
      <c r="K32" s="439">
        <f>-Input!K155</f>
        <v>-89.309139549999998</v>
      </c>
      <c r="L32" s="439">
        <f>-Input!L155</f>
        <v>-122.59183730700001</v>
      </c>
      <c r="M32" s="439">
        <f>-Input!M155</f>
        <v>-32.670468849000002</v>
      </c>
      <c r="N32" s="439">
        <f>-'Fixed Assets (F)'!N8</f>
        <v>-61.467163394333333</v>
      </c>
      <c r="O32" s="448">
        <f>-'Fixed Assets (F)'!O8</f>
        <v>-81.671545771111127</v>
      </c>
      <c r="P32" s="448">
        <f>-'Fixed Assets (F)'!P8</f>
        <v>-30.672467761481482</v>
      </c>
      <c r="Q32" s="448">
        <f>-'Fixed Assets (F)'!Q8</f>
        <v>-50.647245378641969</v>
      </c>
      <c r="R32" s="448">
        <f>-'Fixed Assets (F)'!R8</f>
        <v>-30.660484070411524</v>
      </c>
      <c r="S32" s="448">
        <f>-'Fixed Assets (F)'!S8</f>
        <v>-50.660065736844992</v>
      </c>
    </row>
    <row r="33" spans="2:31" x14ac:dyDescent="0.3">
      <c r="B33" s="212" t="s">
        <v>550</v>
      </c>
      <c r="C33" s="212"/>
      <c r="D33" s="212"/>
      <c r="E33" s="439">
        <f>Output_IS!F20</f>
        <v>0.12889536900000001</v>
      </c>
      <c r="F33" s="439">
        <f>Output_IS!G20</f>
        <v>0</v>
      </c>
      <c r="G33" s="439">
        <f>Output_IS!H20</f>
        <v>0.51643787299999999</v>
      </c>
      <c r="H33" s="439">
        <f>Output_IS!I20</f>
        <v>0.16311615400000001</v>
      </c>
      <c r="I33" s="439">
        <f>Output_IS!J20</f>
        <v>0.33304870800000003</v>
      </c>
      <c r="J33" s="439">
        <f>Output_IS!K20</f>
        <v>0.66657198799999995</v>
      </c>
      <c r="K33" s="439">
        <f>Output_IS!L20</f>
        <v>1.200300428</v>
      </c>
      <c r="L33" s="439">
        <f>Output_IS!M20</f>
        <v>3.2563636999999999E-2</v>
      </c>
      <c r="M33" s="439">
        <f>Output_IS!N20</f>
        <v>0.13380818</v>
      </c>
      <c r="N33" s="439">
        <f t="shared" ref="N33:S33" si="7">-N10</f>
        <v>0.3527491485555555</v>
      </c>
      <c r="O33" s="448">
        <f t="shared" si="7"/>
        <v>0.37762179072839508</v>
      </c>
      <c r="P33" s="448">
        <f t="shared" si="7"/>
        <v>0.41957976747599457</v>
      </c>
      <c r="Q33" s="448">
        <f t="shared" si="7"/>
        <v>0.40881775575110502</v>
      </c>
      <c r="R33" s="448">
        <f t="shared" si="7"/>
        <v>0.43611793372345009</v>
      </c>
      <c r="S33" s="448">
        <f t="shared" si="7"/>
        <v>0.44757006991494447</v>
      </c>
    </row>
    <row r="34" spans="2:31" x14ac:dyDescent="0.3">
      <c r="B34" s="212" t="s">
        <v>551</v>
      </c>
      <c r="C34" s="212"/>
      <c r="D34" s="212"/>
      <c r="E34" s="439">
        <f>Output_BS!E7-Output_BS!F7</f>
        <v>-10</v>
      </c>
      <c r="F34" s="439">
        <f>Output_BS!F7-Output_BS!G7</f>
        <v>3</v>
      </c>
      <c r="G34" s="439">
        <f>Output_BS!G7-Output_BS!H7</f>
        <v>0.90000000000000036</v>
      </c>
      <c r="H34" s="439">
        <f>Output_BS!H7-Output_BS!I7</f>
        <v>-56.449999999999996</v>
      </c>
      <c r="I34" s="439">
        <f>Output_BS!I7-Output_BS!J7</f>
        <v>7.4499999999999957</v>
      </c>
      <c r="J34" s="439">
        <f>Output_BS!J7-Output_BS!K7</f>
        <v>-9.8999999999999986</v>
      </c>
      <c r="K34" s="439">
        <f>Output_BS!K7-Output_BS!L7</f>
        <v>25</v>
      </c>
      <c r="L34" s="439">
        <f>Output_BS!L7-Output_BS!M7</f>
        <v>27</v>
      </c>
      <c r="M34" s="439">
        <f>Output_BS!M7-Output_BS!N7</f>
        <v>13</v>
      </c>
      <c r="N34" s="439">
        <f>Output_BS!N7-Output_BS!O7</f>
        <v>0</v>
      </c>
      <c r="O34" s="448">
        <f>Output_BS!O7-Output_BS!P7</f>
        <v>0</v>
      </c>
      <c r="P34" s="448">
        <f>Output_BS!P7-Output_BS!Q7</f>
        <v>0</v>
      </c>
      <c r="Q34" s="448">
        <f>Output_BS!Q7-Output_BS!R7</f>
        <v>0</v>
      </c>
      <c r="R34" s="448">
        <f>Output_BS!R7-Output_BS!S7</f>
        <v>0</v>
      </c>
      <c r="S34" s="448">
        <f>Output_BS!S7-Output_BS!T7</f>
        <v>0</v>
      </c>
    </row>
    <row r="35" spans="2:31" x14ac:dyDescent="0.3">
      <c r="B35" s="212" t="s">
        <v>699</v>
      </c>
      <c r="C35" s="212"/>
      <c r="D35" s="212"/>
      <c r="E35" s="439">
        <f>Output_IS!F21</f>
        <v>1.5049894260000001</v>
      </c>
      <c r="F35" s="439">
        <f>Output_IS!G21</f>
        <v>2.0926050219999999</v>
      </c>
      <c r="G35" s="439">
        <f>Output_IS!H21</f>
        <v>4.0195790889999996</v>
      </c>
      <c r="H35" s="439">
        <f>Output_IS!I21</f>
        <v>15.95593686</v>
      </c>
      <c r="I35" s="439">
        <f>Output_IS!J21</f>
        <v>20.837969315999999</v>
      </c>
      <c r="J35" s="439">
        <f>Output_IS!K21</f>
        <v>19.446432218999998</v>
      </c>
      <c r="K35" s="439">
        <f>Output_IS!L21</f>
        <v>14.308121401999999</v>
      </c>
      <c r="L35" s="439">
        <f>Output_IS!M21</f>
        <v>8.6997799600000008</v>
      </c>
      <c r="M35" s="439">
        <f>Output_IS!N21</f>
        <v>7.4486179469999998</v>
      </c>
      <c r="N35" s="439">
        <f ca="1">Output_IS!O21</f>
        <v>8.0672172343082664</v>
      </c>
      <c r="O35" s="439">
        <f ca="1">Output_IS!P21</f>
        <v>8.0457568532709303</v>
      </c>
      <c r="P35" s="439">
        <f ca="1">Output_IS!Q21</f>
        <v>9.1038777684934384</v>
      </c>
      <c r="Q35" s="439">
        <f ca="1">Output_IS!R21</f>
        <v>10.19240780916261</v>
      </c>
      <c r="R35" s="439">
        <f ca="1">Output_IS!S21</f>
        <v>10.859190885434566</v>
      </c>
      <c r="S35" s="439">
        <f ca="1">Output_IS!T21</f>
        <v>11.096967548594785</v>
      </c>
    </row>
    <row r="36" spans="2:31" x14ac:dyDescent="0.3">
      <c r="B36" s="213" t="s">
        <v>552</v>
      </c>
      <c r="C36" s="213"/>
      <c r="D36" s="213"/>
      <c r="E36" s="447">
        <f t="shared" ref="E36:S36" si="8">SUM(E32:E35)</f>
        <v>-82.594147132000003</v>
      </c>
      <c r="F36" s="447">
        <f t="shared" si="8"/>
        <v>-32.299565197</v>
      </c>
      <c r="G36" s="447">
        <f t="shared" si="8"/>
        <v>-70.802138037999995</v>
      </c>
      <c r="H36" s="447">
        <f t="shared" si="8"/>
        <v>-249.146327482</v>
      </c>
      <c r="I36" s="447">
        <f t="shared" si="8"/>
        <v>-19.772216691000004</v>
      </c>
      <c r="J36" s="447">
        <f t="shared" si="8"/>
        <v>4.3479960020000004</v>
      </c>
      <c r="K36" s="447">
        <f t="shared" si="8"/>
        <v>-48.800717719999994</v>
      </c>
      <c r="L36" s="447">
        <f t="shared" si="8"/>
        <v>-86.85949371000001</v>
      </c>
      <c r="M36" s="447">
        <f t="shared" si="8"/>
        <v>-12.088042722000001</v>
      </c>
      <c r="N36" s="447">
        <f t="shared" ca="1" si="8"/>
        <v>-53.047197011469514</v>
      </c>
      <c r="O36" s="447">
        <f t="shared" ca="1" si="8"/>
        <v>-73.248167127111799</v>
      </c>
      <c r="P36" s="447">
        <f t="shared" ca="1" si="8"/>
        <v>-21.14901022551205</v>
      </c>
      <c r="Q36" s="447">
        <f t="shared" ca="1" si="8"/>
        <v>-40.046019813728257</v>
      </c>
      <c r="R36" s="447">
        <f t="shared" ca="1" si="8"/>
        <v>-19.365175251253504</v>
      </c>
      <c r="S36" s="447">
        <f t="shared" ca="1" si="8"/>
        <v>-39.115528118335263</v>
      </c>
    </row>
    <row r="37" spans="2:31" x14ac:dyDescent="0.3">
      <c r="B37" s="214"/>
      <c r="C37" s="214"/>
      <c r="D37" s="214"/>
      <c r="E37" s="446"/>
      <c r="F37" s="446"/>
      <c r="G37" s="446"/>
      <c r="H37" s="446"/>
      <c r="I37" s="446"/>
      <c r="J37" s="446"/>
      <c r="K37" s="446"/>
      <c r="L37" s="446"/>
      <c r="M37" s="446"/>
      <c r="N37" s="446"/>
      <c r="O37" s="446"/>
      <c r="P37" s="446"/>
      <c r="Q37" s="446"/>
      <c r="R37" s="446"/>
      <c r="S37" s="446"/>
    </row>
    <row r="38" spans="2:31" x14ac:dyDescent="0.3">
      <c r="B38" s="212" t="s">
        <v>553</v>
      </c>
      <c r="C38" s="212"/>
      <c r="D38" s="212"/>
      <c r="E38" s="439">
        <f>SUM(Output_BS!F21:F22)-SUM(Output_BS!E21:E22)</f>
        <v>0</v>
      </c>
      <c r="F38" s="439">
        <f>SUM(Output_BS!G21:G22)-SUM(Output_BS!F21:F22)</f>
        <v>24.232938009000002</v>
      </c>
      <c r="G38" s="439">
        <f>SUM(Output_BS!H21:H22)-SUM(Output_BS!G21:G22)</f>
        <v>6.8208000969999993</v>
      </c>
      <c r="H38" s="439">
        <f>SUM(Output_BS!I21:I22)-SUM(Output_BS!H21:H22)</f>
        <v>30.893159047999998</v>
      </c>
      <c r="I38" s="439">
        <f>SUM(Output_BS!J21:J22)-SUM(Output_BS!I21:I22)</f>
        <v>-1.7629423539999962</v>
      </c>
      <c r="J38" s="439">
        <f>SUM(Output_BS!K21:K22)-SUM(Output_BS!J21:J22)</f>
        <v>-20.523725728000002</v>
      </c>
      <c r="K38" s="439">
        <f>SUM(Output_BS!L21:L22)-SUM(Output_BS!K21:K22)</f>
        <v>4.9450072079999998</v>
      </c>
      <c r="L38" s="439">
        <f>SUM(Output_BS!M21:M22)-SUM(Output_BS!L21:L22)</f>
        <v>-6.4833759240000006</v>
      </c>
      <c r="M38" s="439">
        <f>SUM(Output_BS!N21:N22)-SUM(Output_BS!M21:M22)</f>
        <v>-7.2822786939999986</v>
      </c>
      <c r="N38" s="439">
        <f ca="1">SUM(Output_BS!O21:O22)-SUM(Output_BS!N21:N22)</f>
        <v>12.291514100271897</v>
      </c>
      <c r="O38" s="448">
        <f ca="1">SUM(Output_BS!P21:P22)-SUM(Output_BS!O21:O22)</f>
        <v>6.7911110706048987</v>
      </c>
      <c r="P38" s="448">
        <f ca="1">SUM(Output_BS!Q21:Q22)-SUM(Output_BS!P21:P22)</f>
        <v>2.6162087268887504</v>
      </c>
      <c r="Q38" s="448">
        <f ca="1">SUM(Output_BS!R21:R22)-SUM(Output_BS!Q21:Q22)</f>
        <v>2.9207052128476434</v>
      </c>
      <c r="R38" s="448">
        <f ca="1">SUM(Output_BS!S21:S22)-SUM(Output_BS!R21:R22)</f>
        <v>7.3008465915507017</v>
      </c>
      <c r="S38" s="448">
        <f ca="1">SUM(Output_BS!T21:T22)-SUM(Output_BS!S21:S22)</f>
        <v>2.7006002866997036</v>
      </c>
    </row>
    <row r="39" spans="2:31" x14ac:dyDescent="0.3">
      <c r="B39" s="212" t="s">
        <v>715</v>
      </c>
      <c r="C39" s="212"/>
      <c r="D39" s="212"/>
      <c r="E39" s="439">
        <f>Output_BS!F27-Output_BS!E27</f>
        <v>21.556941201000001</v>
      </c>
      <c r="F39" s="439">
        <f>Output_BS!G27-Output_BS!F27</f>
        <v>28.419466901</v>
      </c>
      <c r="G39" s="439">
        <f>Output_BS!H27-Output_BS!G27</f>
        <v>-12.351148848000001</v>
      </c>
      <c r="H39" s="439">
        <f>Output_BS!I27-Output_BS!H27</f>
        <v>72.453429659999998</v>
      </c>
      <c r="I39" s="439">
        <f>Output_BS!J27-Output_BS!I27</f>
        <v>-40.293300051999992</v>
      </c>
      <c r="J39" s="439">
        <f>Output_BS!K27-Output_BS!J27</f>
        <v>-39.554309632000006</v>
      </c>
      <c r="K39" s="439">
        <f>Output_BS!L27-Output_BS!K27</f>
        <v>-12.315739873999998</v>
      </c>
      <c r="L39" s="439">
        <f>Output_BS!M27-Output_BS!L27</f>
        <v>19.013573470000001</v>
      </c>
      <c r="M39" s="439">
        <f>Output_BS!N27-Output_BS!M27</f>
        <v>-20.314229102000002</v>
      </c>
      <c r="N39" s="439">
        <f>Output_BS!O27-Output_BS!N27</f>
        <v>-13.917351724</v>
      </c>
      <c r="O39" s="448">
        <f>Output_BS!P27-Output_BS!O27</f>
        <v>2.2199986666666676</v>
      </c>
      <c r="P39" s="448">
        <f>Output_BS!Q27-Output_BS!P27</f>
        <v>-2.0727862222222222</v>
      </c>
      <c r="Q39" s="448">
        <f>Output_BS!R27-Output_BS!Q27</f>
        <v>-0.9482481481481484</v>
      </c>
      <c r="R39" s="448">
        <f>Output_BS!S27-Output_BS!R27</f>
        <v>-0.63209876543209909</v>
      </c>
      <c r="S39" s="448">
        <f>Output_BS!T27-Output_BS!S27</f>
        <v>-0.4213991769547325</v>
      </c>
    </row>
    <row r="40" spans="2:31" x14ac:dyDescent="0.3">
      <c r="B40" s="212" t="s">
        <v>554</v>
      </c>
      <c r="C40" s="212"/>
      <c r="D40" s="212"/>
      <c r="E40" s="437"/>
      <c r="F40" s="437"/>
      <c r="G40" s="437"/>
      <c r="H40" s="437"/>
      <c r="I40" s="437"/>
      <c r="J40" s="437"/>
      <c r="K40" s="437"/>
      <c r="L40" s="437"/>
      <c r="M40" s="437"/>
      <c r="N40" s="437"/>
      <c r="O40" s="450"/>
      <c r="P40" s="450"/>
      <c r="Q40" s="450"/>
      <c r="R40" s="450"/>
      <c r="S40" s="450"/>
    </row>
    <row r="41" spans="2:31" x14ac:dyDescent="0.3">
      <c r="B41" s="198" t="s">
        <v>213</v>
      </c>
      <c r="C41" s="198"/>
      <c r="D41" s="198"/>
      <c r="E41" s="439">
        <f>-Output_IS!F31</f>
        <v>0</v>
      </c>
      <c r="F41" s="439">
        <f>-Output_IS!G31</f>
        <v>0</v>
      </c>
      <c r="G41" s="439">
        <f>-Output_IS!H31</f>
        <v>-3.36</v>
      </c>
      <c r="H41" s="439">
        <f>-Output_IS!I31</f>
        <v>-12.5</v>
      </c>
      <c r="I41" s="439">
        <f>-Output_IS!J31</f>
        <v>-157.883028</v>
      </c>
      <c r="J41" s="439">
        <f>-Output_IS!K31</f>
        <v>-64.204178999999996</v>
      </c>
      <c r="K41" s="439">
        <f>-Output_IS!L31</f>
        <v>-94.504331100000002</v>
      </c>
      <c r="L41" s="439">
        <f>-Output_IS!M31</f>
        <v>-94.508169899999999</v>
      </c>
      <c r="M41" s="439">
        <f>-Output_IS!N31</f>
        <v>-80.706354000000005</v>
      </c>
      <c r="N41" s="439">
        <f>-Output_IS!O31</f>
        <v>-54</v>
      </c>
      <c r="O41" s="448">
        <f>-Output_IS!P31</f>
        <v>-54</v>
      </c>
      <c r="P41" s="448">
        <f>-Output_IS!Q31</f>
        <v>-54</v>
      </c>
      <c r="Q41" s="448">
        <f>-Output_IS!R31</f>
        <v>-54</v>
      </c>
      <c r="R41" s="448">
        <f>-Output_IS!S31</f>
        <v>-54</v>
      </c>
      <c r="S41" s="448">
        <f>-Output_IS!T31</f>
        <v>-54</v>
      </c>
    </row>
    <row r="42" spans="2:31" x14ac:dyDescent="0.3">
      <c r="B42" s="198" t="s">
        <v>555</v>
      </c>
      <c r="C42" s="198"/>
      <c r="D42" s="198"/>
      <c r="E42" s="439">
        <f>Output_BS!F36-Output_BS!E36</f>
        <v>53.62968</v>
      </c>
      <c r="F42" s="439">
        <f>Output_BS!G36-Output_BS!F36</f>
        <v>0</v>
      </c>
      <c r="G42" s="439">
        <f>Output_BS!H36-Output_BS!G36</f>
        <v>59.495679999999993</v>
      </c>
      <c r="H42" s="439">
        <f>Output_BS!I36-Output_BS!H36</f>
        <v>78.120379999999997</v>
      </c>
      <c r="I42" s="439">
        <f>Output_BS!J36-Output_BS!I36</f>
        <v>10.156000000000006</v>
      </c>
      <c r="J42" s="439">
        <f>Output_BS!K36-Output_BS!J36</f>
        <v>56.723619999999983</v>
      </c>
      <c r="K42" s="439">
        <f>Output_BS!L36-Output_BS!K36</f>
        <v>0</v>
      </c>
      <c r="L42" s="439">
        <f>Output_BS!M36-Output_BS!L36</f>
        <v>0</v>
      </c>
      <c r="M42" s="439">
        <f>Output_BS!N36-Output_BS!M36</f>
        <v>0</v>
      </c>
      <c r="N42" s="439">
        <f>Output_BS!O36-Output_BS!N36</f>
        <v>0</v>
      </c>
      <c r="O42" s="448">
        <f>Output_BS!P36-Output_BS!O36</f>
        <v>0</v>
      </c>
      <c r="P42" s="448">
        <f>Output_BS!Q36-Output_BS!P36</f>
        <v>0</v>
      </c>
      <c r="Q42" s="448">
        <f>Output_BS!R36-Output_BS!Q36</f>
        <v>0</v>
      </c>
      <c r="R42" s="448">
        <f>Output_BS!S36-Output_BS!R36</f>
        <v>0</v>
      </c>
      <c r="S42" s="448">
        <f>Output_BS!T36-Output_BS!S36</f>
        <v>0</v>
      </c>
    </row>
    <row r="43" spans="2:31" x14ac:dyDescent="0.3">
      <c r="B43" s="198" t="s">
        <v>556</v>
      </c>
      <c r="C43" s="198"/>
      <c r="D43" s="198"/>
      <c r="E43" s="439"/>
      <c r="F43" s="439"/>
      <c r="G43" s="439"/>
      <c r="H43" s="439"/>
      <c r="I43" s="439"/>
      <c r="J43" s="439"/>
      <c r="K43" s="439"/>
      <c r="L43" s="439"/>
      <c r="M43" s="439"/>
      <c r="N43" s="439"/>
      <c r="O43" s="448"/>
      <c r="P43" s="448"/>
      <c r="Q43" s="448"/>
      <c r="R43" s="448"/>
      <c r="S43" s="448"/>
    </row>
    <row r="44" spans="2:31" x14ac:dyDescent="0.3">
      <c r="B44" s="209" t="s">
        <v>557</v>
      </c>
      <c r="C44" s="209"/>
      <c r="D44" s="209"/>
      <c r="E44" s="452">
        <f t="shared" ref="E44:S44" si="9">SUM(E38:E43)</f>
        <v>75.186621201000008</v>
      </c>
      <c r="F44" s="452">
        <f t="shared" si="9"/>
        <v>52.652404910000001</v>
      </c>
      <c r="G44" s="452">
        <f t="shared" si="9"/>
        <v>50.605331248999988</v>
      </c>
      <c r="H44" s="452">
        <f t="shared" si="9"/>
        <v>168.966968708</v>
      </c>
      <c r="I44" s="452">
        <f t="shared" si="9"/>
        <v>-189.78327040599999</v>
      </c>
      <c r="J44" s="452">
        <f t="shared" si="9"/>
        <v>-67.558594360000029</v>
      </c>
      <c r="K44" s="452">
        <f t="shared" si="9"/>
        <v>-101.875063766</v>
      </c>
      <c r="L44" s="452">
        <f t="shared" si="9"/>
        <v>-81.977972354000002</v>
      </c>
      <c r="M44" s="452">
        <f t="shared" si="9"/>
        <v>-108.302861796</v>
      </c>
      <c r="N44" s="452">
        <f t="shared" ca="1" si="9"/>
        <v>-55.625837623728103</v>
      </c>
      <c r="O44" s="452">
        <f t="shared" ca="1" si="9"/>
        <v>-44.988890262728432</v>
      </c>
      <c r="P44" s="452">
        <f t="shared" ca="1" si="9"/>
        <v>-53.45657749533347</v>
      </c>
      <c r="Q44" s="452">
        <f t="shared" ca="1" si="9"/>
        <v>-52.027542935300502</v>
      </c>
      <c r="R44" s="452">
        <f t="shared" ca="1" si="9"/>
        <v>-47.331252173881396</v>
      </c>
      <c r="S44" s="452">
        <f t="shared" ca="1" si="9"/>
        <v>-51.720798890255026</v>
      </c>
    </row>
    <row r="45" spans="2:31" x14ac:dyDescent="0.3">
      <c r="B45" s="202"/>
    </row>
    <row r="46" spans="2:31" x14ac:dyDescent="0.3">
      <c r="B46" s="198" t="s">
        <v>558</v>
      </c>
      <c r="E46" s="374"/>
      <c r="F46" s="374"/>
      <c r="G46" s="374"/>
      <c r="H46" s="374"/>
      <c r="I46" s="374"/>
      <c r="J46" s="374"/>
      <c r="K46" s="374"/>
      <c r="L46" s="374"/>
      <c r="M46" s="374">
        <f t="shared" ref="M46:S46" si="10">M30+M36+M44</f>
        <v>60.962659478999939</v>
      </c>
      <c r="N46" s="374">
        <f t="shared" ca="1" si="10"/>
        <v>21.608579907080497</v>
      </c>
      <c r="O46" s="374">
        <f t="shared" ca="1" si="10"/>
        <v>34.647321375790682</v>
      </c>
      <c r="P46" s="374">
        <f t="shared" ca="1" si="10"/>
        <v>59.334482641426895</v>
      </c>
      <c r="Q46" s="374">
        <f t="shared" ca="1" si="10"/>
        <v>30.057933083500004</v>
      </c>
      <c r="R46" s="374">
        <f t="shared" ca="1" si="10"/>
        <v>34.004848078234645</v>
      </c>
      <c r="S46" s="374">
        <f t="shared" ca="1" si="10"/>
        <v>-2.5872452285157834</v>
      </c>
    </row>
    <row r="47" spans="2:31" x14ac:dyDescent="0.3">
      <c r="B47" s="198" t="s">
        <v>559</v>
      </c>
      <c r="E47" s="374"/>
      <c r="F47" s="374"/>
      <c r="G47" s="374"/>
      <c r="H47" s="374"/>
      <c r="I47" s="374"/>
      <c r="J47" s="374"/>
      <c r="K47" s="374"/>
      <c r="L47" s="374"/>
      <c r="M47" s="374">
        <f>SUM(Output_BS!M5:M6)</f>
        <v>281.71081347000001</v>
      </c>
      <c r="N47" s="374">
        <f>SUM(Output_BS!N5:N6)</f>
        <v>342.67347294899997</v>
      </c>
      <c r="O47" s="374">
        <f ca="1">SUM(Output_BS!O5:O6)</f>
        <v>364.2820528560805</v>
      </c>
      <c r="P47" s="374">
        <f ca="1">SUM(Output_BS!P5:P6)</f>
        <v>398.92937423187118</v>
      </c>
      <c r="Q47" s="374">
        <f ca="1">SUM(Output_BS!Q5:Q6)</f>
        <v>458.2638568732981</v>
      </c>
      <c r="R47" s="374">
        <f ca="1">SUM(Output_BS!R5:R6)</f>
        <v>488.32178995679811</v>
      </c>
      <c r="S47" s="374">
        <f ca="1">SUM(Output_BS!S5:S6)</f>
        <v>522.32663803503272</v>
      </c>
    </row>
    <row r="48" spans="2:31" x14ac:dyDescent="0.3">
      <c r="B48" s="115" t="s">
        <v>560</v>
      </c>
      <c r="C48" s="55"/>
      <c r="D48" s="454"/>
      <c r="E48" s="454"/>
      <c r="F48" s="454"/>
      <c r="G48" s="454"/>
      <c r="H48" s="454"/>
      <c r="I48" s="454"/>
      <c r="J48" s="454"/>
      <c r="K48" s="454"/>
      <c r="L48" s="454"/>
      <c r="M48" s="454">
        <f t="shared" ref="M48" si="11">M46+M47</f>
        <v>342.67347294899992</v>
      </c>
      <c r="N48" s="454">
        <f ca="1">N46+N47</f>
        <v>364.28205285608044</v>
      </c>
      <c r="O48" s="454">
        <f t="shared" ref="O48:S48" ca="1" si="12">O46+O47</f>
        <v>398.92937423187118</v>
      </c>
      <c r="P48" s="454">
        <f t="shared" ca="1" si="12"/>
        <v>458.2638568732981</v>
      </c>
      <c r="Q48" s="454">
        <f t="shared" ca="1" si="12"/>
        <v>488.32178995679811</v>
      </c>
      <c r="R48" s="454">
        <f t="shared" ca="1" si="12"/>
        <v>522.32663803503272</v>
      </c>
      <c r="S48" s="454">
        <f t="shared" ca="1" si="12"/>
        <v>519.73939280651689</v>
      </c>
      <c r="AE48" s="55"/>
    </row>
    <row r="49" spans="1:31" s="55" customFormat="1" x14ac:dyDescent="0.3">
      <c r="A49" s="54"/>
      <c r="B49" s="54"/>
      <c r="C49" s="54"/>
      <c r="D49" s="54"/>
      <c r="E49" s="453"/>
      <c r="F49" s="453"/>
      <c r="G49" s="453"/>
      <c r="H49" s="453"/>
      <c r="I49" s="453"/>
      <c r="J49" s="453"/>
      <c r="K49" s="453"/>
      <c r="L49" s="453"/>
      <c r="M49" s="453" t="str">
        <f>IF((M48-SUM(Output_BS!N5:N6))&lt;0.1,"OK","Recheck")</f>
        <v>OK</v>
      </c>
      <c r="N49" s="453" t="str">
        <f ca="1">IF((N48-SUM(Output_BS!O5:O6))&lt;0.1,"OK","Recheck")</f>
        <v>OK</v>
      </c>
      <c r="O49" s="453" t="str">
        <f ca="1">IF((O48-SUM(Output_BS!P5:P6))&lt;0.1,"OK","Recheck")</f>
        <v>OK</v>
      </c>
      <c r="P49" s="453" t="str">
        <f ca="1">IF((P48-SUM(Output_BS!Q5:Q6))&lt;0.1,"OK","Recheck")</f>
        <v>OK</v>
      </c>
      <c r="Q49" s="453" t="str">
        <f ca="1">IF((Q48-SUM(Output_BS!R5:R6))&lt;0.1,"OK","Recheck")</f>
        <v>OK</v>
      </c>
      <c r="R49" s="453" t="str">
        <f ca="1">IF((R48-SUM(Output_BS!S5:S6))&lt;0.1,"OK","Recheck")</f>
        <v>OK</v>
      </c>
      <c r="S49" s="453" t="str">
        <f ca="1">IF((S48-SUM(Output_BS!T5:T6))&lt;0.1,"OK","Recheck")</f>
        <v>OK</v>
      </c>
      <c r="T49" s="374"/>
      <c r="U49" s="54"/>
      <c r="V49" s="54"/>
      <c r="W49" s="54"/>
      <c r="X49" s="54"/>
      <c r="Y49" s="54"/>
      <c r="Z49" s="54"/>
      <c r="AA49" s="54"/>
      <c r="AB49" s="54"/>
      <c r="AC49" s="54"/>
      <c r="AD49" s="54"/>
      <c r="AE49" s="54"/>
    </row>
    <row r="50" spans="1:31" x14ac:dyDescent="0.3">
      <c r="A50" s="55"/>
      <c r="D50" s="374"/>
      <c r="E50" s="374"/>
      <c r="F50" s="374"/>
      <c r="G50" s="374"/>
      <c r="H50" s="374"/>
      <c r="I50" s="374"/>
      <c r="J50" s="374"/>
      <c r="K50" s="374"/>
      <c r="L50" s="374"/>
      <c r="M50" s="374"/>
      <c r="N50" s="374"/>
      <c r="O50" s="374"/>
      <c r="P50" s="374"/>
      <c r="Q50" s="374"/>
      <c r="R50" s="374"/>
      <c r="S50" s="374"/>
      <c r="T50" s="55"/>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BFBFBF"/>
  </sheetPr>
  <dimension ref="B2:T30"/>
  <sheetViews>
    <sheetView zoomScale="145" zoomScaleNormal="145" zoomScalePageLayoutView="145" workbookViewId="0">
      <pane xSplit="4" ySplit="3" topLeftCell="L4" activePane="bottomRight" state="frozen"/>
      <selection pane="topRight" activeCell="E1" sqref="E1"/>
      <selection pane="bottomLeft" activeCell="A4" sqref="A4"/>
      <selection pane="bottomRight" activeCell="S37" sqref="S37"/>
    </sheetView>
  </sheetViews>
  <sheetFormatPr defaultColWidth="8.88671875" defaultRowHeight="14.4" x14ac:dyDescent="0.3"/>
  <cols>
    <col min="1" max="1" width="5" style="54" customWidth="1"/>
    <col min="2" max="2" width="30.88671875" style="54" bestFit="1" customWidth="1"/>
    <col min="3" max="3" width="5.33203125" style="54" customWidth="1"/>
    <col min="4" max="4" width="5.44140625" style="54" customWidth="1"/>
    <col min="5" max="16384" width="8.88671875" style="54"/>
  </cols>
  <sheetData>
    <row r="2" spans="2:20" x14ac:dyDescent="0.3">
      <c r="E2" s="118" t="str">
        <f t="shared" ref="E2:M2" ca="1" si="0">IF(TODAY()&lt;E3,"Proj","")</f>
        <v/>
      </c>
      <c r="F2" s="118" t="str">
        <f t="shared" ca="1" si="0"/>
        <v/>
      </c>
      <c r="G2" s="118" t="str">
        <f t="shared" ca="1" si="0"/>
        <v/>
      </c>
      <c r="H2" s="118" t="str">
        <f t="shared" ca="1" si="0"/>
        <v/>
      </c>
      <c r="I2" s="118" t="str">
        <f t="shared" ca="1" si="0"/>
        <v/>
      </c>
      <c r="J2" s="118" t="str">
        <f t="shared" ca="1" si="0"/>
        <v/>
      </c>
      <c r="K2" s="118" t="str">
        <f t="shared" ca="1" si="0"/>
        <v/>
      </c>
      <c r="L2" s="118" t="str">
        <f t="shared" ca="1" si="0"/>
        <v/>
      </c>
      <c r="M2" s="118" t="str">
        <f t="shared" ca="1" si="0"/>
        <v/>
      </c>
      <c r="N2" s="118" t="str">
        <f ca="1">IF(TODAY()&lt;N3,"Proj","")</f>
        <v/>
      </c>
      <c r="O2" s="118" t="str">
        <f t="shared" ref="O2:T2" ca="1" si="1">IF(TODAY()&lt;O3,"Proj","")</f>
        <v/>
      </c>
      <c r="P2" s="118" t="str">
        <f t="shared" ca="1" si="1"/>
        <v/>
      </c>
      <c r="Q2" s="118" t="str">
        <f t="shared" ca="1" si="1"/>
        <v/>
      </c>
      <c r="R2" s="118" t="str">
        <f t="shared" ca="1" si="1"/>
        <v/>
      </c>
      <c r="S2" s="118" t="str">
        <f t="shared" ca="1" si="1"/>
        <v/>
      </c>
      <c r="T2" s="118" t="str">
        <f t="shared" ca="1" si="1"/>
        <v>Proj</v>
      </c>
    </row>
    <row r="3" spans="2:20" ht="15" thickBot="1" x14ac:dyDescent="0.35">
      <c r="B3" s="204" t="s">
        <v>0</v>
      </c>
      <c r="C3" s="208"/>
      <c r="D3" s="208"/>
      <c r="E3" s="208">
        <v>39447</v>
      </c>
      <c r="F3" s="208">
        <f t="shared" ref="F3:T3" si="2">DATE(YEAR(E3),MONTH(E3)+13,0)</f>
        <v>39813</v>
      </c>
      <c r="G3" s="208">
        <f t="shared" si="2"/>
        <v>40178</v>
      </c>
      <c r="H3" s="208">
        <f t="shared" si="2"/>
        <v>40543</v>
      </c>
      <c r="I3" s="208">
        <f t="shared" si="2"/>
        <v>40908</v>
      </c>
      <c r="J3" s="208">
        <f t="shared" si="2"/>
        <v>41274</v>
      </c>
      <c r="K3" s="208">
        <f t="shared" si="2"/>
        <v>41639</v>
      </c>
      <c r="L3" s="208">
        <f t="shared" si="2"/>
        <v>42004</v>
      </c>
      <c r="M3" s="208">
        <f t="shared" si="2"/>
        <v>42369</v>
      </c>
      <c r="N3" s="208">
        <f t="shared" si="2"/>
        <v>42735</v>
      </c>
      <c r="O3" s="208">
        <f t="shared" si="2"/>
        <v>43100</v>
      </c>
      <c r="P3" s="208">
        <f t="shared" si="2"/>
        <v>43465</v>
      </c>
      <c r="Q3" s="208">
        <f t="shared" si="2"/>
        <v>43830</v>
      </c>
      <c r="R3" s="208">
        <f t="shared" si="2"/>
        <v>44196</v>
      </c>
      <c r="S3" s="208">
        <f t="shared" si="2"/>
        <v>44561</v>
      </c>
      <c r="T3" s="208">
        <f t="shared" si="2"/>
        <v>44926</v>
      </c>
    </row>
    <row r="4" spans="2:20" ht="15" thickTop="1" x14ac:dyDescent="0.3">
      <c r="B4" s="198"/>
    </row>
    <row r="5" spans="2:20" x14ac:dyDescent="0.3">
      <c r="B5" s="198" t="s">
        <v>2</v>
      </c>
      <c r="C5" s="198"/>
      <c r="D5" s="198"/>
      <c r="E5" s="457" t="s">
        <v>121</v>
      </c>
      <c r="F5" s="455">
        <f>Output_IS!F5/Output_IS!F$5</f>
        <v>1</v>
      </c>
      <c r="G5" s="455">
        <f>Output_IS!G5/Output_IS!G$5</f>
        <v>1</v>
      </c>
      <c r="H5" s="455">
        <f>Output_IS!H5/Output_IS!H$5</f>
        <v>1</v>
      </c>
      <c r="I5" s="455">
        <f>Output_IS!I5/Output_IS!I$5</f>
        <v>1</v>
      </c>
      <c r="J5" s="455">
        <f>Output_IS!J5/Output_IS!J$5</f>
        <v>1</v>
      </c>
      <c r="K5" s="455">
        <f>Output_IS!K5/Output_IS!K$5</f>
        <v>1</v>
      </c>
      <c r="L5" s="455">
        <f>Output_IS!L5/Output_IS!L$5</f>
        <v>1</v>
      </c>
      <c r="M5" s="455">
        <f>Output_IS!M5/Output_IS!M$5</f>
        <v>1</v>
      </c>
      <c r="N5" s="455">
        <f>Output_IS!N5/Output_IS!N$5</f>
        <v>1</v>
      </c>
      <c r="O5" s="455">
        <f>Output_IS!O5/Output_IS!O$5</f>
        <v>1</v>
      </c>
      <c r="P5" s="464">
        <f>Output_IS!P5/Output_IS!P$5</f>
        <v>1</v>
      </c>
      <c r="Q5" s="464">
        <f>Output_IS!Q5/Output_IS!Q$5</f>
        <v>1</v>
      </c>
      <c r="R5" s="464">
        <f>Output_IS!R5/Output_IS!R$5</f>
        <v>1</v>
      </c>
      <c r="S5" s="464">
        <f>Output_IS!S5/Output_IS!S$5</f>
        <v>1</v>
      </c>
      <c r="T5" s="464">
        <f>Output_IS!T5/Output_IS!T$5</f>
        <v>1</v>
      </c>
    </row>
    <row r="6" spans="2:20" x14ac:dyDescent="0.3">
      <c r="B6" s="202" t="s">
        <v>122</v>
      </c>
      <c r="C6" s="202"/>
      <c r="D6" s="202"/>
      <c r="E6" s="458" t="s">
        <v>121</v>
      </c>
      <c r="F6" s="456">
        <f>Output_IS!F6/Output_IS!F$5</f>
        <v>0.90284219141160504</v>
      </c>
      <c r="G6" s="456">
        <f>Output_IS!G6/Output_IS!G$5</f>
        <v>0.66862646333414544</v>
      </c>
      <c r="H6" s="456">
        <f>Output_IS!H6/Output_IS!H$5</f>
        <v>0.53935012319828735</v>
      </c>
      <c r="I6" s="456">
        <f>Output_IS!I6/Output_IS!I$5</f>
        <v>0.62247391652924056</v>
      </c>
      <c r="J6" s="456">
        <f>Output_IS!J6/Output_IS!J$5</f>
        <v>0.76906688602486684</v>
      </c>
      <c r="K6" s="456">
        <f>Output_IS!K6/Output_IS!K$5</f>
        <v>0.78364503197346069</v>
      </c>
      <c r="L6" s="456">
        <f>Output_IS!L6/Output_IS!L$5</f>
        <v>0.78856661811981055</v>
      </c>
      <c r="M6" s="456">
        <f>Output_IS!M6/Output_IS!M$5</f>
        <v>0.75513449885589046</v>
      </c>
      <c r="N6" s="456">
        <f>Output_IS!N6/Output_IS!N$5</f>
        <v>0.73218868838723239</v>
      </c>
      <c r="O6" s="456">
        <f>Output_IS!O6/Output_IS!O$5</f>
        <v>0.77534843061634839</v>
      </c>
      <c r="P6" s="465">
        <f>Output_IS!P6/Output_IS!P$5</f>
        <v>0.79782063352609522</v>
      </c>
      <c r="Q6" s="465">
        <f>Output_IS!Q6/Output_IS!Q$5</f>
        <v>0.81299454245366909</v>
      </c>
      <c r="R6" s="465">
        <f>Output_IS!R6/Output_IS!R$5</f>
        <v>0.83926088658550502</v>
      </c>
      <c r="S6" s="465">
        <f>Output_IS!S6/Output_IS!S$5</f>
        <v>0.84435522294473542</v>
      </c>
      <c r="T6" s="465">
        <f>Output_IS!T6/Output_IS!T$5</f>
        <v>0.86023900730324987</v>
      </c>
    </row>
    <row r="7" spans="2:20" s="55" customFormat="1" x14ac:dyDescent="0.3">
      <c r="B7" s="205" t="s">
        <v>124</v>
      </c>
      <c r="C7" s="205"/>
      <c r="D7" s="205"/>
      <c r="E7" s="445" t="s">
        <v>121</v>
      </c>
      <c r="F7" s="459">
        <f>Output_IS!F7/Output_IS!F$5</f>
        <v>9.7157808588394942E-2</v>
      </c>
      <c r="G7" s="459">
        <f>Output_IS!G7/Output_IS!G$5</f>
        <v>0.33137353666585456</v>
      </c>
      <c r="H7" s="459">
        <f>Output_IS!H7/Output_IS!H$5</f>
        <v>0.46064987680171265</v>
      </c>
      <c r="I7" s="459">
        <f>Output_IS!I7/Output_IS!I$5</f>
        <v>0.37752608347075944</v>
      </c>
      <c r="J7" s="459">
        <f>Output_IS!J7/Output_IS!J$5</f>
        <v>0.23093311397513314</v>
      </c>
      <c r="K7" s="459">
        <f>Output_IS!K7/Output_IS!K$5</f>
        <v>0.21635496802653931</v>
      </c>
      <c r="L7" s="459">
        <f>Output_IS!L7/Output_IS!L$5</f>
        <v>0.21143338188018945</v>
      </c>
      <c r="M7" s="459">
        <f>Output_IS!M7/Output_IS!M$5</f>
        <v>0.24486550114410952</v>
      </c>
      <c r="N7" s="459">
        <f>Output_IS!N7/Output_IS!N$5</f>
        <v>0.26781131161276756</v>
      </c>
      <c r="O7" s="459">
        <f>Output_IS!O7/Output_IS!O$5</f>
        <v>0.22465156938365163</v>
      </c>
      <c r="P7" s="459">
        <f>Output_IS!P7/Output_IS!P$5</f>
        <v>0.2021793664739048</v>
      </c>
      <c r="Q7" s="459">
        <f>Output_IS!Q7/Output_IS!Q$5</f>
        <v>0.18700545754633086</v>
      </c>
      <c r="R7" s="459">
        <f>Output_IS!R7/Output_IS!R$5</f>
        <v>0.16073911341449501</v>
      </c>
      <c r="S7" s="459">
        <f>Output_IS!S7/Output_IS!S$5</f>
        <v>0.15564477705526461</v>
      </c>
      <c r="T7" s="459">
        <f>Output_IS!T7/Output_IS!T$5</f>
        <v>0.1397609926967501</v>
      </c>
    </row>
    <row r="8" spans="2:20" x14ac:dyDescent="0.3">
      <c r="B8" s="198"/>
      <c r="C8" s="198"/>
      <c r="D8" s="198"/>
      <c r="E8" s="198"/>
      <c r="F8" s="198"/>
      <c r="G8" s="198"/>
      <c r="H8" s="198"/>
      <c r="I8" s="198"/>
      <c r="J8" s="198"/>
      <c r="K8" s="198"/>
      <c r="L8" s="198"/>
      <c r="M8" s="198"/>
      <c r="N8" s="198"/>
      <c r="O8" s="198"/>
      <c r="P8" s="198"/>
      <c r="Q8" s="198"/>
      <c r="R8" s="198"/>
      <c r="S8" s="198"/>
      <c r="T8" s="198"/>
    </row>
    <row r="9" spans="2:20" x14ac:dyDescent="0.3">
      <c r="B9" s="198" t="s">
        <v>126</v>
      </c>
      <c r="C9" s="198"/>
      <c r="D9" s="198"/>
      <c r="E9" s="457" t="s">
        <v>121</v>
      </c>
      <c r="F9" s="455">
        <f>Output_IS!F10/Output_IS!F$5</f>
        <v>0.74478294078200591</v>
      </c>
      <c r="G9" s="455">
        <f>Output_IS!G10/Output_IS!G$5</f>
        <v>0.12597770881397169</v>
      </c>
      <c r="H9" s="455">
        <f>Output_IS!H10/Output_IS!H$5</f>
        <v>7.2971140492153128E-2</v>
      </c>
      <c r="I9" s="455">
        <f>Output_IS!I10/Output_IS!I$5</f>
        <v>4.4685124142297861E-2</v>
      </c>
      <c r="J9" s="455">
        <f>Output_IS!J10/Output_IS!J$5</f>
        <v>5.8454551825261575E-2</v>
      </c>
      <c r="K9" s="455">
        <f>Output_IS!K10/Output_IS!K$5</f>
        <v>7.5017179220415939E-2</v>
      </c>
      <c r="L9" s="455">
        <f>Output_IS!L10/Output_IS!L$5</f>
        <v>9.2279286679051886E-2</v>
      </c>
      <c r="M9" s="455">
        <f>Output_IS!M10/Output_IS!M$5</f>
        <v>9.3669126676892686E-2</v>
      </c>
      <c r="N9" s="455">
        <f>Output_IS!N10/Output_IS!N$5</f>
        <v>0.10027707629729428</v>
      </c>
      <c r="O9" s="455">
        <f>Output_IS!O10/Output_IS!O$5</f>
        <v>9.4412764733317611E-2</v>
      </c>
      <c r="P9" s="464">
        <f>Output_IS!P10/Output_IS!P$5</f>
        <v>9.5123924084739506E-2</v>
      </c>
      <c r="Q9" s="464">
        <f>Output_IS!Q10/Output_IS!Q$5</f>
        <v>9.6072901768933794E-2</v>
      </c>
      <c r="R9" s="464">
        <f>Output_IS!R10/Output_IS!R$5</f>
        <v>9.5203196862330308E-2</v>
      </c>
      <c r="S9" s="464">
        <f>Output_IS!S10/Output_IS!S$5</f>
        <v>9.5466674238667851E-2</v>
      </c>
      <c r="T9" s="464">
        <f>Output_IS!T10/Output_IS!T$5</f>
        <v>9.5580924289977331E-2</v>
      </c>
    </row>
    <row r="10" spans="2:20" x14ac:dyDescent="0.3">
      <c r="B10" s="205" t="s">
        <v>171</v>
      </c>
      <c r="C10" s="205"/>
      <c r="D10" s="205"/>
      <c r="E10" s="445" t="s">
        <v>121</v>
      </c>
      <c r="F10" s="463">
        <f>Output_IS!F11/Output_IS!F$5</f>
        <v>-0.35880023085112045</v>
      </c>
      <c r="G10" s="463">
        <f>Output_IS!G11/Output_IS!G$5</f>
        <v>0.31056297516304449</v>
      </c>
      <c r="H10" s="463">
        <f>Output_IS!H11/Output_IS!H$5</f>
        <v>0.4591055451179839</v>
      </c>
      <c r="I10" s="463">
        <f>Output_IS!I11/Output_IS!I$5</f>
        <v>0.44551716758300236</v>
      </c>
      <c r="J10" s="463">
        <f>Output_IS!J11/Output_IS!J$5</f>
        <v>0.32259994404670872</v>
      </c>
      <c r="K10" s="463">
        <f>Output_IS!K11/Output_IS!K$5</f>
        <v>0.28140703575165904</v>
      </c>
      <c r="L10" s="463">
        <f>Output_IS!L11/Output_IS!L$5</f>
        <v>0.19287376656199359</v>
      </c>
      <c r="M10" s="463">
        <f>Output_IS!M11/Output_IS!M$5</f>
        <v>0.2187914635797511</v>
      </c>
      <c r="N10" s="463">
        <f>Output_IS!N11/Output_IS!N$5</f>
        <v>0.23582240126517867</v>
      </c>
      <c r="O10" s="463">
        <f>Output_IS!O11/Output_IS!O$5</f>
        <v>0.1814332991628341</v>
      </c>
      <c r="P10" s="463">
        <f>Output_IS!P11/Output_IS!P$5</f>
        <v>0.15870351952237968</v>
      </c>
      <c r="Q10" s="463">
        <f>Output_IS!Q11/Output_IS!Q$5</f>
        <v>0.13315525773172573</v>
      </c>
      <c r="R10" s="463">
        <f>Output_IS!R11/Output_IS!R$5</f>
        <v>0.11185184086466297</v>
      </c>
      <c r="S10" s="463">
        <f>Output_IS!S11/Output_IS!S$5</f>
        <v>9.1180356401964688E-2</v>
      </c>
      <c r="T10" s="463">
        <f>Output_IS!T11/Output_IS!T$5</f>
        <v>7.2929420726658881E-2</v>
      </c>
    </row>
    <row r="11" spans="2:20" x14ac:dyDescent="0.3">
      <c r="B11" s="198"/>
      <c r="C11" s="198"/>
      <c r="D11" s="198"/>
      <c r="E11" s="198"/>
      <c r="F11" s="198"/>
      <c r="G11" s="198"/>
      <c r="H11" s="198"/>
      <c r="I11" s="198"/>
      <c r="J11" s="198"/>
      <c r="K11" s="198"/>
      <c r="L11" s="198"/>
      <c r="M11" s="198"/>
      <c r="N11" s="198"/>
      <c r="O11" s="198"/>
      <c r="P11" s="198"/>
      <c r="Q11" s="198"/>
      <c r="R11" s="198"/>
      <c r="S11" s="198"/>
      <c r="T11" s="198"/>
    </row>
    <row r="12" spans="2:20" x14ac:dyDescent="0.3">
      <c r="B12" s="198" t="s">
        <v>173</v>
      </c>
      <c r="C12" s="198"/>
      <c r="D12" s="198"/>
      <c r="E12" s="457" t="s">
        <v>121</v>
      </c>
      <c r="F12" s="455">
        <f>Output_IS!F14/Output_IS!F$5</f>
        <v>0.2888249013424905</v>
      </c>
      <c r="G12" s="455">
        <f>Output_IS!G14/Output_IS!G$5</f>
        <v>0.10516714731116161</v>
      </c>
      <c r="H12" s="455">
        <f>Output_IS!H14/Output_IS!H$5</f>
        <v>7.1426808808424405E-2</v>
      </c>
      <c r="I12" s="455">
        <f>Output_IS!I14/Output_IS!I$5</f>
        <v>0.11267620825454072</v>
      </c>
      <c r="J12" s="455">
        <f>Output_IS!J14/Output_IS!J$5</f>
        <v>0.1501213818968371</v>
      </c>
      <c r="K12" s="455">
        <f>Output_IS!K14/Output_IS!K$5</f>
        <v>0.14006924694553569</v>
      </c>
      <c r="L12" s="455">
        <f>Output_IS!L14/Output_IS!L$5</f>
        <v>7.3719671360856012E-2</v>
      </c>
      <c r="M12" s="455">
        <f>Output_IS!M14/Output_IS!M$5</f>
        <v>6.7595089112534271E-2</v>
      </c>
      <c r="N12" s="455">
        <f>Output_IS!N14/Output_IS!N$5</f>
        <v>6.8288165949705382E-2</v>
      </c>
      <c r="O12" s="455">
        <f>Output_IS!O14/Output_IS!O$5</f>
        <v>5.119449451250007E-2</v>
      </c>
      <c r="P12" s="464">
        <f>Output_IS!P14/Output_IS!P$5</f>
        <v>5.1648077133214378E-2</v>
      </c>
      <c r="Q12" s="464">
        <f>Output_IS!Q14/Output_IS!Q$5</f>
        <v>4.222270195432868E-2</v>
      </c>
      <c r="R12" s="464">
        <f>Output_IS!R14/Output_IS!R$5</f>
        <v>4.6315924312498286E-2</v>
      </c>
      <c r="S12" s="464">
        <f>Output_IS!S14/Output_IS!S$5</f>
        <v>3.1002253585367904E-2</v>
      </c>
      <c r="T12" s="464">
        <f>Output_IS!T14/Output_IS!T$5</f>
        <v>2.8749352319886092E-2</v>
      </c>
    </row>
    <row r="13" spans="2:20" x14ac:dyDescent="0.3">
      <c r="B13" s="202" t="s">
        <v>175</v>
      </c>
      <c r="C13" s="202"/>
      <c r="D13" s="202"/>
      <c r="E13" s="458" t="s">
        <v>121</v>
      </c>
      <c r="F13" s="456">
        <f>Output_IS!F15/Output_IS!F$5</f>
        <v>-1.0809829129441526E-3</v>
      </c>
      <c r="G13" s="456">
        <f>Output_IS!G15/Output_IS!G$5</f>
        <v>-2.0222882868385709E-4</v>
      </c>
      <c r="H13" s="456">
        <f>Output_IS!H15/Output_IS!H$5</f>
        <v>-1.0850516703037143E-4</v>
      </c>
      <c r="I13" s="456">
        <f>Output_IS!I15/Output_IS!I$5</f>
        <v>-4.647827060739995E-5</v>
      </c>
      <c r="J13" s="456">
        <f>Output_IS!J15/Output_IS!J$5</f>
        <v>-9.1898174594504049E-5</v>
      </c>
      <c r="K13" s="456">
        <f>Output_IS!K15/Output_IS!K$5</f>
        <v>-1.2526621440832968E-4</v>
      </c>
      <c r="L13" s="456">
        <f>Output_IS!L15/Output_IS!L$5</f>
        <v>-2.7406709451104945E-4</v>
      </c>
      <c r="M13" s="456">
        <f>Output_IS!M15/Output_IS!M$5</f>
        <v>-6.1373142187401387E-4</v>
      </c>
      <c r="N13" s="456">
        <f>Output_IS!N15/Output_IS!N$5</f>
        <v>-9.6914573813000301E-4</v>
      </c>
      <c r="O13" s="456">
        <f>Output_IS!O15/Output_IS!O$5</f>
        <v>-1.7642569765098292E-3</v>
      </c>
      <c r="P13" s="465">
        <f>Output_IS!P15/Output_IS!P$5</f>
        <v>-2.4220542819791292E-3</v>
      </c>
      <c r="Q13" s="465">
        <f>Output_IS!Q15/Output_IS!Q$5</f>
        <v>-3.1652474509915205E-3</v>
      </c>
      <c r="R13" s="465">
        <f>Output_IS!R15/Output_IS!R$5</f>
        <v>-3.8827287714547341E-3</v>
      </c>
      <c r="S13" s="465">
        <f>Output_IS!S15/Output_IS!S$5</f>
        <v>-4.1750461389312337E-3</v>
      </c>
      <c r="T13" s="465">
        <f>Output_IS!T15/Output_IS!T$5</f>
        <v>-4.7512517436101229E-3</v>
      </c>
    </row>
    <row r="14" spans="2:20" s="55" customFormat="1" x14ac:dyDescent="0.3">
      <c r="B14" s="205" t="s">
        <v>176</v>
      </c>
      <c r="C14" s="205"/>
      <c r="D14" s="205"/>
      <c r="E14" s="445" t="s">
        <v>121</v>
      </c>
      <c r="F14" s="459">
        <f>Output_IS!F16/Output_IS!F$5</f>
        <v>-0.64654414928066684</v>
      </c>
      <c r="G14" s="459">
        <f>Output_IS!G16/Output_IS!G$5</f>
        <v>0.20559805668056672</v>
      </c>
      <c r="H14" s="459">
        <f>Output_IS!H16/Output_IS!H$5</f>
        <v>0.38778724147658988</v>
      </c>
      <c r="I14" s="459">
        <f>Output_IS!I16/Output_IS!I$5</f>
        <v>0.33288743759906902</v>
      </c>
      <c r="J14" s="459">
        <f>Output_IS!J16/Output_IS!J$5</f>
        <v>0.1725704603244661</v>
      </c>
      <c r="K14" s="459">
        <f>Output_IS!K16/Output_IS!K$5</f>
        <v>0.14146305502053169</v>
      </c>
      <c r="L14" s="459">
        <f>Output_IS!L16/Output_IS!L$5</f>
        <v>0.11942816229564862</v>
      </c>
      <c r="M14" s="459">
        <f>Output_IS!M16/Output_IS!M$5</f>
        <v>0.15181010588909088</v>
      </c>
      <c r="N14" s="459">
        <f>Output_IS!N16/Output_IS!N$5</f>
        <v>0.16850338105360332</v>
      </c>
      <c r="O14" s="459">
        <f>Output_IS!O16/Output_IS!O$5</f>
        <v>0.13123544348613492</v>
      </c>
      <c r="P14" s="459">
        <f>Output_IS!P16/Output_IS!P$5</f>
        <v>0.10792784044653649</v>
      </c>
      <c r="Q14" s="459">
        <f>Output_IS!Q16/Output_IS!Q$5</f>
        <v>9.17707393183642E-2</v>
      </c>
      <c r="R14" s="459">
        <f>Output_IS!R16/Output_IS!R$5</f>
        <v>6.6348829115615848E-2</v>
      </c>
      <c r="S14" s="459">
        <f>Output_IS!S16/Output_IS!S$5</f>
        <v>6.0900889592089169E-2</v>
      </c>
      <c r="T14" s="459">
        <f>Output_IS!T16/Output_IS!T$5</f>
        <v>4.4180068406772785E-2</v>
      </c>
    </row>
    <row r="15" spans="2:20" x14ac:dyDescent="0.3">
      <c r="B15" s="198"/>
      <c r="C15" s="198"/>
      <c r="D15" s="198"/>
      <c r="E15" s="198"/>
      <c r="F15" s="198"/>
      <c r="G15" s="198"/>
      <c r="H15" s="198"/>
      <c r="I15" s="198"/>
      <c r="J15" s="198"/>
      <c r="K15" s="198"/>
      <c r="L15" s="198"/>
      <c r="M15" s="198"/>
      <c r="N15" s="198"/>
      <c r="O15" s="198"/>
      <c r="P15" s="198"/>
      <c r="Q15" s="198"/>
      <c r="R15" s="198"/>
      <c r="S15" s="198"/>
      <c r="T15" s="198"/>
    </row>
    <row r="16" spans="2:20" x14ac:dyDescent="0.3">
      <c r="B16" s="198" t="s">
        <v>178</v>
      </c>
      <c r="C16" s="198"/>
      <c r="D16" s="198"/>
      <c r="E16" s="437" t="s">
        <v>121</v>
      </c>
      <c r="F16" s="455">
        <f>Output_IS!F19/Output_IS!F$5</f>
        <v>4.457746821400535E-2</v>
      </c>
      <c r="G16" s="455">
        <f>Output_IS!G19/Output_IS!G$5</f>
        <v>1.4691589800430366E-2</v>
      </c>
      <c r="H16" s="455">
        <f>Output_IS!H19/Output_IS!H$5</f>
        <v>3.6100241022232315E-3</v>
      </c>
      <c r="I16" s="455">
        <f>Output_IS!I19/Output_IS!I$5</f>
        <v>5.8463870289636099E-3</v>
      </c>
      <c r="J16" s="455">
        <f>Output_IS!J19/Output_IS!J$5</f>
        <v>4.5432713941596752E-3</v>
      </c>
      <c r="K16" s="455">
        <f>Output_IS!K19/Output_IS!K$5</f>
        <v>1.4939207275603801E-3</v>
      </c>
      <c r="L16" s="455">
        <f>Output_IS!L19/Output_IS!L$5</f>
        <v>6.6740829600171652E-3</v>
      </c>
      <c r="M16" s="455">
        <f>Output_IS!M19/Output_IS!M$5</f>
        <v>1.1634279528983688E-3</v>
      </c>
      <c r="N16" s="455">
        <f>Output_IS!N19/Output_IS!N$5</f>
        <v>3.2409297147935161E-3</v>
      </c>
      <c r="O16" s="455">
        <f>Output_IS!O19/Output_IS!O$5</f>
        <v>2.2860464556476558E-3</v>
      </c>
      <c r="P16" s="464">
        <f>Output_IS!P19/Output_IS!P$5</f>
        <v>2.1978273155357476E-3</v>
      </c>
      <c r="Q16" s="464">
        <f>Output_IS!Q19/Output_IS!Q$5</f>
        <v>2.2533734089927177E-3</v>
      </c>
      <c r="R16" s="464">
        <f>Output_IS!R19/Output_IS!R$5</f>
        <v>2.3447917748313867E-3</v>
      </c>
      <c r="S16" s="464">
        <f>Output_IS!S19/Output_IS!S$5</f>
        <v>2.0082957586064331E-3</v>
      </c>
      <c r="T16" s="464">
        <f>Output_IS!T19/Output_IS!T$5</f>
        <v>1.9103127414428769E-3</v>
      </c>
    </row>
    <row r="17" spans="2:20" x14ac:dyDescent="0.3">
      <c r="B17" s="198" t="s">
        <v>179</v>
      </c>
      <c r="C17" s="198"/>
      <c r="D17" s="198"/>
      <c r="E17" s="437" t="s">
        <v>121</v>
      </c>
      <c r="F17" s="455">
        <f>Output_IS!F20/Output_IS!F$5</f>
        <v>1.6385596562165414E-2</v>
      </c>
      <c r="G17" s="455">
        <f>Output_IS!G20/Output_IS!G$5</f>
        <v>0</v>
      </c>
      <c r="H17" s="455">
        <f>Output_IS!H20/Output_IS!H$5</f>
        <v>1.8094696052040444E-3</v>
      </c>
      <c r="I17" s="455">
        <f>Output_IS!I20/Output_IS!I$5</f>
        <v>2.2289126869615256E-4</v>
      </c>
      <c r="J17" s="455">
        <f>Output_IS!J20/Output_IS!J$5</f>
        <v>4.1569337512778297E-4</v>
      </c>
      <c r="K17" s="455">
        <f>Output_IS!K20/Output_IS!K$5</f>
        <v>7.0181683810385993E-4</v>
      </c>
      <c r="L17" s="455">
        <f>Output_IS!L20/Output_IS!L$5</f>
        <v>1.105675141544767E-3</v>
      </c>
      <c r="M17" s="455">
        <f>Output_IS!M20/Output_IS!M$5</f>
        <v>3.4270013000475807E-5</v>
      </c>
      <c r="N17" s="455">
        <f>Output_IS!N20/Output_IS!N$5</f>
        <v>1.5025056575378547E-4</v>
      </c>
      <c r="O17" s="455">
        <f>Output_IS!O20/Output_IS!O$5</f>
        <v>3.1462622015306649E-4</v>
      </c>
      <c r="P17" s="464">
        <f>Output_IS!P20/Output_IS!P$5</f>
        <v>2.9547438687715054E-4</v>
      </c>
      <c r="Q17" s="464">
        <f>Output_IS!Q20/Output_IS!Q$5</f>
        <v>3.1542910915391918E-4</v>
      </c>
      <c r="R17" s="464">
        <f>Output_IS!R20/Output_IS!R$5</f>
        <v>2.9807234774391767E-4</v>
      </c>
      <c r="S17" s="464">
        <f>Output_IS!S20/Output_IS!S$5</f>
        <v>2.8272372003013E-4</v>
      </c>
      <c r="T17" s="464">
        <f>Output_IS!T20/Output_IS!T$5</f>
        <v>2.8146436198811758E-4</v>
      </c>
    </row>
    <row r="18" spans="2:20" x14ac:dyDescent="0.3">
      <c r="B18" s="198" t="s">
        <v>183</v>
      </c>
      <c r="C18" s="198"/>
      <c r="D18" s="198"/>
      <c r="E18" s="457" t="s">
        <v>121</v>
      </c>
      <c r="F18" s="455">
        <f>Output_IS!F21/Output_IS!F$5</f>
        <v>0.19131912772413803</v>
      </c>
      <c r="G18" s="455">
        <f>Output_IS!G21/Output_IS!G$5</f>
        <v>2.7648013888326498E-2</v>
      </c>
      <c r="H18" s="455">
        <f>Output_IS!H21/Output_IS!H$5</f>
        <v>1.4083603406172462E-2</v>
      </c>
      <c r="I18" s="455">
        <f>Output_IS!I21/Output_IS!I$5</f>
        <v>2.1803107311867496E-2</v>
      </c>
      <c r="J18" s="455">
        <f>Output_IS!J21/Output_IS!J$5</f>
        <v>2.6008825699384539E-2</v>
      </c>
      <c r="K18" s="455">
        <f>Output_IS!K21/Output_IS!K$5</f>
        <v>2.0474658128507506E-2</v>
      </c>
      <c r="L18" s="455">
        <f>Output_IS!L21/Output_IS!L$5</f>
        <v>1.318014539306326E-2</v>
      </c>
      <c r="M18" s="455">
        <f>Output_IS!M21/Output_IS!M$5</f>
        <v>9.1556594962190156E-3</v>
      </c>
      <c r="N18" s="455">
        <f>Output_IS!N21/Output_IS!N$5</f>
        <v>8.363906157460254E-3</v>
      </c>
      <c r="O18" s="455">
        <f ca="1">Output_IS!O21/Output_IS!O$5</f>
        <v>7.1953626988963317E-3</v>
      </c>
      <c r="P18" s="464">
        <f ca="1">Output_IS!P21/Output_IS!P$5</f>
        <v>6.2954922929560142E-3</v>
      </c>
      <c r="Q18" s="464">
        <f ca="1">Output_IS!Q21/Output_IS!Q$5</f>
        <v>6.8440574998086621E-3</v>
      </c>
      <c r="R18" s="464">
        <f ca="1">Output_IS!R21/Output_IS!R$5</f>
        <v>7.4313673564857831E-3</v>
      </c>
      <c r="S18" s="464">
        <f ca="1">Output_IS!S21/Output_IS!S$5</f>
        <v>7.0397261984511223E-3</v>
      </c>
      <c r="T18" s="464">
        <f ca="1">Output_IS!T21/Output_IS!T$5</f>
        <v>6.9785740848614889E-3</v>
      </c>
    </row>
    <row r="19" spans="2:20" x14ac:dyDescent="0.3">
      <c r="B19" s="202" t="s">
        <v>193</v>
      </c>
      <c r="C19" s="202"/>
      <c r="D19" s="202"/>
      <c r="E19" s="458" t="s">
        <v>121</v>
      </c>
      <c r="F19" s="456">
        <f>Output_IS!F22/Output_IS!F$5</f>
        <v>0.1459988026699596</v>
      </c>
      <c r="G19" s="456">
        <f>Output_IS!G22/Output_IS!G$5</f>
        <v>4.8697018657839486E-2</v>
      </c>
      <c r="H19" s="456">
        <f>Output_IS!H22/Output_IS!H$5</f>
        <v>2.5286537345794283E-2</v>
      </c>
      <c r="I19" s="456">
        <f>Output_IS!I22/Output_IS!I$5</f>
        <v>3.5615478009304861E-2</v>
      </c>
      <c r="J19" s="456">
        <f>Output_IS!J22/Output_IS!J$5</f>
        <v>2.9234370327048162E-2</v>
      </c>
      <c r="K19" s="456">
        <f>Output_IS!K22/Output_IS!K$5</f>
        <v>1.5275161460351114E-2</v>
      </c>
      <c r="L19" s="456">
        <f>Output_IS!L22/Output_IS!L$5</f>
        <v>6.893220153348683E-3</v>
      </c>
      <c r="M19" s="456">
        <f>Output_IS!M22/Output_IS!M$5</f>
        <v>6.4280203849705351E-3</v>
      </c>
      <c r="N19" s="456">
        <f>Output_IS!N22/Output_IS!N$5</f>
        <v>6.9107847429099034E-3</v>
      </c>
      <c r="O19" s="456">
        <f ca="1">Output_IS!O22/Output_IS!O$5</f>
        <v>1.9446125444651011E-3</v>
      </c>
      <c r="P19" s="465">
        <f ca="1">Output_IS!P22/Output_IS!P$5</f>
        <v>3.6905549295836182E-4</v>
      </c>
      <c r="Q19" s="465">
        <f ca="1">Output_IS!Q22/Output_IS!Q$5</f>
        <v>2.1446596185809968E-4</v>
      </c>
      <c r="R19" s="465">
        <f ca="1">Output_IS!R22/Output_IS!R$5</f>
        <v>1.2443445349260486E-4</v>
      </c>
      <c r="S19" s="465">
        <f ca="1">Output_IS!S22/Output_IS!S$5</f>
        <v>7.3759123628456142E-5</v>
      </c>
      <c r="T19" s="465">
        <f ca="1">Output_IS!T22/Output_IS!T$5</f>
        <v>4.7701118824044567E-5</v>
      </c>
    </row>
    <row r="20" spans="2:20" s="55" customFormat="1" x14ac:dyDescent="0.3">
      <c r="B20" s="205" t="s">
        <v>190</v>
      </c>
      <c r="C20" s="205"/>
      <c r="D20" s="205"/>
      <c r="E20" s="445" t="s">
        <v>121</v>
      </c>
      <c r="F20" s="459">
        <f>Output_IS!F23/Output_IS!F$5</f>
        <v>-0.64363487030952693</v>
      </c>
      <c r="G20" s="459">
        <f>Output_IS!G23/Output_IS!G$5</f>
        <v>0.16454920441182627</v>
      </c>
      <c r="H20" s="459">
        <f>Output_IS!H23/Output_IS!H$5</f>
        <v>0.3704622771757029</v>
      </c>
      <c r="I20" s="459">
        <f>Output_IS!I23/Output_IS!I$5</f>
        <v>0.31010270051857153</v>
      </c>
      <c r="J20" s="459">
        <f>Output_IS!J23/Output_IS!J$5</f>
        <v>0.16513985190988734</v>
      </c>
      <c r="K20" s="459">
        <f>Output_IS!K23/Output_IS!K$5</f>
        <v>0.14567832943516035</v>
      </c>
      <c r="L20" s="459">
        <f>Output_IS!L23/Output_IS!L$5</f>
        <v>0.12006261991221256</v>
      </c>
      <c r="M20" s="459">
        <f>Output_IS!M23/Output_IS!M$5</f>
        <v>0.1532943879864419</v>
      </c>
      <c r="N20" s="459">
        <f>Output_IS!N23/Output_IS!N$5</f>
        <v>0.16686524365912186</v>
      </c>
      <c r="O20" s="459">
        <f ca="1">Output_IS!O23/Output_IS!O$5</f>
        <v>0.13451431296955871</v>
      </c>
      <c r="P20" s="459">
        <f ca="1">Output_IS!P23/Output_IS!P$5</f>
        <v>0.11195152039107739</v>
      </c>
      <c r="Q20" s="459">
        <f ca="1">Output_IS!Q23/Output_IS!Q$5</f>
        <v>9.6461998471253738E-2</v>
      </c>
      <c r="R20" s="459">
        <f ca="1">Output_IS!R23/Output_IS!R$5</f>
        <v>7.1608666206950139E-2</v>
      </c>
      <c r="S20" s="459">
        <f ca="1">Output_IS!S23/Output_IS!S$5</f>
        <v>6.6140949972675209E-2</v>
      </c>
      <c r="T20" s="459">
        <f ca="1">Output_IS!T23/Output_IS!T$5</f>
        <v>4.9481768353189612E-2</v>
      </c>
    </row>
    <row r="21" spans="2:20" x14ac:dyDescent="0.3">
      <c r="B21" s="198"/>
      <c r="C21" s="198"/>
      <c r="D21" s="198"/>
      <c r="E21" s="198"/>
      <c r="F21" s="198"/>
      <c r="G21" s="198"/>
      <c r="H21" s="198"/>
      <c r="I21" s="198"/>
      <c r="J21" s="198"/>
      <c r="K21" s="198"/>
      <c r="L21" s="198"/>
      <c r="M21" s="198"/>
      <c r="N21" s="198"/>
      <c r="O21" s="198"/>
      <c r="P21" s="198"/>
      <c r="Q21" s="198"/>
      <c r="R21" s="198"/>
      <c r="S21" s="198"/>
      <c r="T21" s="198"/>
    </row>
    <row r="22" spans="2:20" x14ac:dyDescent="0.3">
      <c r="B22" s="198" t="s">
        <v>197</v>
      </c>
      <c r="C22" s="198"/>
      <c r="D22" s="198"/>
      <c r="E22" s="437" t="s">
        <v>121</v>
      </c>
      <c r="F22" s="455">
        <f>Output_IS!F25/Output_IS!F$5</f>
        <v>-7.6169351652406736E-2</v>
      </c>
      <c r="G22" s="455">
        <f>Output_IS!G25/Output_IS!G$5</f>
        <v>2.7378683533250936E-3</v>
      </c>
      <c r="H22" s="455">
        <f>Output_IS!H25/Output_IS!H$5</f>
        <v>1.3733134745551809E-3</v>
      </c>
      <c r="I22" s="455">
        <f>Output_IS!I25/Output_IS!I$5</f>
        <v>3.2052266648206526E-2</v>
      </c>
      <c r="J22" s="455">
        <f>Output_IS!J25/Output_IS!J$5</f>
        <v>1.7858803328425085E-2</v>
      </c>
      <c r="K22" s="455">
        <f>Output_IS!K25/Output_IS!K$5</f>
        <v>2.4995777801391204E-2</v>
      </c>
      <c r="L22" s="455">
        <f>Output_IS!L25/Output_IS!L$5</f>
        <v>1.6167329698338066E-2</v>
      </c>
      <c r="M22" s="455">
        <f>Output_IS!M25/Output_IS!M$5</f>
        <v>2.7732111784924678E-2</v>
      </c>
      <c r="N22" s="455">
        <f>Output_IS!N25/Output_IS!N$5</f>
        <v>3.082639428463637E-2</v>
      </c>
      <c r="O22" s="455">
        <f ca="1">Output_IS!O25/Output_IS!O$5</f>
        <v>2.6902862593911742E-2</v>
      </c>
      <c r="P22" s="464">
        <f ca="1">Output_IS!P25/Output_IS!P$5</f>
        <v>2.2390304078215479E-2</v>
      </c>
      <c r="Q22" s="464">
        <f ca="1">Output_IS!Q25/Output_IS!Q$5</f>
        <v>1.9292399694250749E-2</v>
      </c>
      <c r="R22" s="464">
        <f ca="1">Output_IS!R25/Output_IS!R$5</f>
        <v>1.4321733241390029E-2</v>
      </c>
      <c r="S22" s="464">
        <f ca="1">Output_IS!S25/Output_IS!S$5</f>
        <v>1.3228189994535042E-2</v>
      </c>
      <c r="T22" s="464">
        <f ca="1">Output_IS!T25/Output_IS!T$5</f>
        <v>9.8963536706379238E-3</v>
      </c>
    </row>
    <row r="23" spans="2:20" x14ac:dyDescent="0.3">
      <c r="B23" s="198" t="s">
        <v>199</v>
      </c>
      <c r="C23" s="198"/>
      <c r="D23" s="198"/>
      <c r="E23" s="437" t="s">
        <v>121</v>
      </c>
      <c r="F23" s="455">
        <f>Output_IS!F26/Output_IS!F$5</f>
        <v>0</v>
      </c>
      <c r="G23" s="455">
        <f>Output_IS!G26/Output_IS!G$5</f>
        <v>0</v>
      </c>
      <c r="H23" s="455">
        <f>Output_IS!H26/Output_IS!H$5</f>
        <v>0</v>
      </c>
      <c r="I23" s="455">
        <f>Output_IS!I26/Output_IS!I$5</f>
        <v>0</v>
      </c>
      <c r="J23" s="455">
        <f>Output_IS!J26/Output_IS!J$5</f>
        <v>0</v>
      </c>
      <c r="K23" s="455">
        <f>Output_IS!K26/Output_IS!K$5</f>
        <v>0</v>
      </c>
      <c r="L23" s="455">
        <f>Output_IS!L26/Output_IS!L$5</f>
        <v>0</v>
      </c>
      <c r="M23" s="455">
        <f>Output_IS!M26/Output_IS!M$5</f>
        <v>0</v>
      </c>
      <c r="N23" s="455">
        <f>Output_IS!N26/Output_IS!N$5</f>
        <v>0</v>
      </c>
      <c r="O23" s="455">
        <f>Output_IS!O26/Output_IS!O$5</f>
        <v>0</v>
      </c>
      <c r="P23" s="464">
        <f>Output_IS!P26/Output_IS!P$5</f>
        <v>0</v>
      </c>
      <c r="Q23" s="464">
        <f>Output_IS!Q26/Output_IS!Q$5</f>
        <v>0</v>
      </c>
      <c r="R23" s="464">
        <f>Output_IS!R26/Output_IS!R$5</f>
        <v>0</v>
      </c>
      <c r="S23" s="464">
        <f>Output_IS!S26/Output_IS!S$5</f>
        <v>0</v>
      </c>
      <c r="T23" s="464">
        <f>Output_IS!T26/Output_IS!T$5</f>
        <v>0</v>
      </c>
    </row>
    <row r="24" spans="2:20" x14ac:dyDescent="0.3">
      <c r="B24" s="198" t="s">
        <v>208</v>
      </c>
      <c r="C24" s="198"/>
      <c r="D24" s="198"/>
      <c r="E24" s="457" t="s">
        <v>121</v>
      </c>
      <c r="F24" s="455">
        <f>Output_IS!F27/Output_IS!F$5</f>
        <v>0</v>
      </c>
      <c r="G24" s="455">
        <f>Output_IS!G27/Output_IS!G$5</f>
        <v>0</v>
      </c>
      <c r="H24" s="455">
        <f>Output_IS!H27/Output_IS!H$5</f>
        <v>1.9589550461505505E-2</v>
      </c>
      <c r="I24" s="455">
        <f>Output_IS!I27/Output_IS!I$5</f>
        <v>8.0498314117783774E-3</v>
      </c>
      <c r="J24" s="455">
        <f>Output_IS!J27/Output_IS!J$5</f>
        <v>9.1276205725314384E-3</v>
      </c>
      <c r="K24" s="455">
        <f>Output_IS!K27/Output_IS!K$5</f>
        <v>8.0427239628109749E-3</v>
      </c>
      <c r="L24" s="455">
        <f>Output_IS!L27/Output_IS!L$5</f>
        <v>1.5991547354906686E-2</v>
      </c>
      <c r="M24" s="455">
        <f>Output_IS!M27/Output_IS!M$5</f>
        <v>1.2944535645875565E-2</v>
      </c>
      <c r="N24" s="455">
        <f>Output_IS!N27/Output_IS!N$5</f>
        <v>1.6843204102370887E-2</v>
      </c>
      <c r="O24" s="455">
        <f ca="1">Output_IS!O27/Output_IS!O$5</f>
        <v>1.5978893671854448E-2</v>
      </c>
      <c r="P24" s="464">
        <f ca="1">Output_IS!P27/Output_IS!P$5</f>
        <v>1.2538570283800668E-2</v>
      </c>
      <c r="Q24" s="464">
        <f ca="1">Output_IS!Q27/Output_IS!Q$5</f>
        <v>1.080374382878042E-2</v>
      </c>
      <c r="R24" s="464">
        <f ca="1">Output_IS!R27/Output_IS!R$5</f>
        <v>8.0201706151784152E-3</v>
      </c>
      <c r="S24" s="464">
        <f ca="1">Output_IS!S27/Output_IS!S$5</f>
        <v>7.4077863969396231E-3</v>
      </c>
      <c r="T24" s="464">
        <f ca="1">Output_IS!T27/Output_IS!T$5</f>
        <v>5.5419580555572372E-3</v>
      </c>
    </row>
    <row r="25" spans="2:20" x14ac:dyDescent="0.3">
      <c r="B25" s="198" t="s">
        <v>203</v>
      </c>
      <c r="C25" s="198"/>
      <c r="D25" s="198"/>
      <c r="E25" s="458" t="s">
        <v>121</v>
      </c>
      <c r="F25" s="456">
        <f>Output_IS!F28/Output_IS!F$5</f>
        <v>0</v>
      </c>
      <c r="G25" s="456">
        <f>Output_IS!G28/Output_IS!G$5</f>
        <v>0</v>
      </c>
      <c r="H25" s="456">
        <f>Output_IS!H28/Output_IS!H$5</f>
        <v>0</v>
      </c>
      <c r="I25" s="456">
        <f>Output_IS!I28/Output_IS!I$5</f>
        <v>0</v>
      </c>
      <c r="J25" s="456">
        <f>Output_IS!J28/Output_IS!J$5</f>
        <v>0</v>
      </c>
      <c r="K25" s="456">
        <f>Output_IS!K28/Output_IS!K$5</f>
        <v>0</v>
      </c>
      <c r="L25" s="456">
        <f>Output_IS!L28/Output_IS!L$5</f>
        <v>0</v>
      </c>
      <c r="M25" s="456">
        <f>Output_IS!M28/Output_IS!M$5</f>
        <v>0</v>
      </c>
      <c r="N25" s="456">
        <f>Output_IS!N28/Output_IS!N$5</f>
        <v>0</v>
      </c>
      <c r="O25" s="456">
        <f>Output_IS!O28/Output_IS!O$5</f>
        <v>0</v>
      </c>
      <c r="P25" s="465">
        <f>Output_IS!P28/Output_IS!P$5</f>
        <v>0</v>
      </c>
      <c r="Q25" s="465">
        <f>Output_IS!Q28/Output_IS!Q$5</f>
        <v>0</v>
      </c>
      <c r="R25" s="465">
        <f>Output_IS!R28/Output_IS!R$5</f>
        <v>0</v>
      </c>
      <c r="S25" s="465">
        <f>Output_IS!S28/Output_IS!S$5</f>
        <v>0</v>
      </c>
      <c r="T25" s="465">
        <f>Output_IS!T28/Output_IS!T$5</f>
        <v>0</v>
      </c>
    </row>
    <row r="26" spans="2:20" ht="15" thickBot="1" x14ac:dyDescent="0.35">
      <c r="B26" s="206" t="s">
        <v>201</v>
      </c>
      <c r="C26" s="206"/>
      <c r="D26" s="206"/>
      <c r="E26" s="460" t="s">
        <v>121</v>
      </c>
      <c r="F26" s="462">
        <f>Input!E84/Output_IS!F$5</f>
        <v>-0.56746551865712014</v>
      </c>
      <c r="G26" s="462">
        <f>Input!F84/Output_IS!G$5</f>
        <v>0.16181133605850118</v>
      </c>
      <c r="H26" s="462">
        <f>Input!G84/Output_IS!H$5</f>
        <v>0.36908896370114774</v>
      </c>
      <c r="I26" s="462">
        <f>Input!H84/Output_IS!I$5</f>
        <v>0.27805043387036499</v>
      </c>
      <c r="J26" s="462">
        <f>Input!I84/Output_IS!J$5</f>
        <v>0.14728104858146226</v>
      </c>
      <c r="K26" s="462">
        <f>Input!J84/Output_IS!K$5</f>
        <v>0.12068255163376915</v>
      </c>
      <c r="L26" s="462">
        <f>Input!K84/Output_IS!L$5</f>
        <v>0.10389529021387449</v>
      </c>
      <c r="M26" s="462">
        <f>Input!L84/Output_IS!M$5</f>
        <v>0.12556227620151722</v>
      </c>
      <c r="N26" s="462">
        <f>Input!M84/Output_IS!N$5</f>
        <v>0.13603884937448552</v>
      </c>
      <c r="O26" s="462">
        <f ca="1">Input!N84/Output_IS!O$5</f>
        <v>0.10761145037564696</v>
      </c>
      <c r="P26" s="462">
        <f ca="1">Input!O84/Output_IS!P$5</f>
        <v>8.9561216312861916E-2</v>
      </c>
      <c r="Q26" s="462">
        <f ca="1">Input!P84/Output_IS!Q$5</f>
        <v>7.7169598777002996E-2</v>
      </c>
      <c r="R26" s="462">
        <f ca="1">Input!Q84/Output_IS!R$5</f>
        <v>5.7286932965560103E-2</v>
      </c>
      <c r="S26" s="462">
        <f ca="1">Input!R84/Output_IS!S$5</f>
        <v>5.2912759978140163E-2</v>
      </c>
      <c r="T26" s="462">
        <f ca="1">Input!S84/Output_IS!T$5</f>
        <v>3.9585414682551688E-2</v>
      </c>
    </row>
    <row r="27" spans="2:20" ht="15" thickTop="1" x14ac:dyDescent="0.3">
      <c r="B27" s="198"/>
      <c r="C27" s="198"/>
      <c r="D27" s="198"/>
      <c r="E27" s="198"/>
      <c r="F27" s="198"/>
      <c r="G27" s="198"/>
      <c r="H27" s="198"/>
      <c r="I27" s="198"/>
      <c r="J27" s="198"/>
      <c r="K27" s="198"/>
      <c r="L27" s="198"/>
      <c r="M27" s="198"/>
      <c r="N27" s="198"/>
      <c r="O27" s="198"/>
      <c r="P27" s="198"/>
      <c r="Q27" s="198"/>
      <c r="R27" s="198"/>
      <c r="S27" s="198"/>
      <c r="T27" s="198"/>
    </row>
    <row r="28" spans="2:20" x14ac:dyDescent="0.3">
      <c r="B28" s="198" t="s">
        <v>213</v>
      </c>
      <c r="C28" s="198"/>
      <c r="D28" s="198"/>
      <c r="E28" s="437" t="s">
        <v>121</v>
      </c>
      <c r="F28" s="455">
        <f>Output_IS!F31/Output_IS!F$5</f>
        <v>0</v>
      </c>
      <c r="G28" s="455">
        <f>Output_IS!G31/Output_IS!G$5</f>
        <v>0</v>
      </c>
      <c r="H28" s="455">
        <f>Output_IS!H31/Output_IS!H$5</f>
        <v>1.1772602652411569E-2</v>
      </c>
      <c r="I28" s="455">
        <f>Output_IS!I31/Output_IS!I$5</f>
        <v>1.7080716963826324E-2</v>
      </c>
      <c r="J28" s="455">
        <f>Output_IS!J31/Output_IS!J$5</f>
        <v>0.19706105205702901</v>
      </c>
      <c r="K28" s="455">
        <f>Output_IS!K31/Output_IS!K$5</f>
        <v>6.7598961117511361E-2</v>
      </c>
      <c r="L28" s="455">
        <f>Output_IS!L31/Output_IS!L$5</f>
        <v>8.7054113476985301E-2</v>
      </c>
      <c r="M28" s="455">
        <f>Output_IS!M31/Output_IS!M$5</f>
        <v>9.9460518219269434E-2</v>
      </c>
      <c r="N28" s="455">
        <f>Output_IS!N31/Output_IS!N$5</f>
        <v>9.062357285201314E-2</v>
      </c>
      <c r="O28" s="455">
        <f>Output_IS!O31/Output_IS!O$5</f>
        <v>4.8164016717930684E-2</v>
      </c>
      <c r="P28" s="464">
        <f>Output_IS!P31/Output_IS!P$5</f>
        <v>4.2252902992142807E-2</v>
      </c>
      <c r="Q28" s="464">
        <f>Output_IS!Q31/Output_IS!Q$5</f>
        <v>4.0595789441363272E-2</v>
      </c>
      <c r="R28" s="464">
        <f>Output_IS!R31/Output_IS!R$5</f>
        <v>3.9371838800394493E-2</v>
      </c>
      <c r="S28" s="464">
        <f>Output_IS!S31/Output_IS!S$5</f>
        <v>3.5006771565849297E-2</v>
      </c>
      <c r="T28" s="464">
        <f>Output_IS!T31/Output_IS!T$5</f>
        <v>3.3959097287820782E-2</v>
      </c>
    </row>
    <row r="29" spans="2:20" ht="15" thickBot="1" x14ac:dyDescent="0.35">
      <c r="B29" s="207" t="s">
        <v>216</v>
      </c>
      <c r="C29" s="207"/>
      <c r="D29" s="207"/>
      <c r="E29" s="461" t="s">
        <v>121</v>
      </c>
      <c r="F29" s="462">
        <f>Output_IS!F32/Output_IS!F$5</f>
        <v>-0.56746551865712014</v>
      </c>
      <c r="G29" s="462">
        <f>Output_IS!G32/Output_IS!G$5</f>
        <v>0.16181133605850118</v>
      </c>
      <c r="H29" s="462">
        <f>Output_IS!H32/Output_IS!H$5</f>
        <v>0.33772681058723064</v>
      </c>
      <c r="I29" s="462">
        <f>Output_IS!I32/Output_IS!I$5</f>
        <v>0.25291988549476024</v>
      </c>
      <c r="J29" s="462">
        <f>Output_IS!J32/Output_IS!J$5</f>
        <v>-5.8907624048098191E-2</v>
      </c>
      <c r="K29" s="462">
        <f>Output_IS!K32/Output_IS!K$5</f>
        <v>4.5040866553446815E-2</v>
      </c>
      <c r="L29" s="462">
        <f>Output_IS!L32/Output_IS!L$5</f>
        <v>8.4962938198250158E-4</v>
      </c>
      <c r="M29" s="462">
        <f>Output_IS!M32/Output_IS!M$5</f>
        <v>1.315722233637224E-2</v>
      </c>
      <c r="N29" s="462">
        <f>Output_IS!N32/Output_IS!N$5</f>
        <v>2.8572072420101485E-2</v>
      </c>
      <c r="O29" s="462">
        <f ca="1">Output_IS!O32/Output_IS!O$5</f>
        <v>4.3468539985861816E-2</v>
      </c>
      <c r="P29" s="466">
        <f ca="1">Output_IS!P32/Output_IS!P$5</f>
        <v>3.4769743036918439E-2</v>
      </c>
      <c r="Q29" s="466">
        <f ca="1">Output_IS!Q32/Output_IS!Q$5</f>
        <v>2.5770065506859296E-2</v>
      </c>
      <c r="R29" s="466">
        <f ca="1">Output_IS!R32/Output_IS!R$5</f>
        <v>9.8949235499871946E-3</v>
      </c>
      <c r="S29" s="466">
        <f ca="1">Output_IS!S32/Output_IS!S$5</f>
        <v>1.0498202015351246E-2</v>
      </c>
      <c r="T29" s="466">
        <f ca="1">Output_IS!T32/Output_IS!T$5</f>
        <v>8.4359339173669819E-5</v>
      </c>
    </row>
    <row r="30" spans="2:20" ht="15" thickTop="1" x14ac:dyDescent="0.3"/>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BFBFBF"/>
  </sheetPr>
  <dimension ref="B2:T42"/>
  <sheetViews>
    <sheetView zoomScale="115" zoomScaleNormal="115" zoomScalePageLayoutView="115" workbookViewId="0">
      <pane xSplit="2" ySplit="3" topLeftCell="L4" activePane="bottomRight" state="frozen"/>
      <selection pane="topRight" activeCell="C1" sqref="C1"/>
      <selection pane="bottomLeft" activeCell="A4" sqref="A4"/>
      <selection pane="bottomRight" activeCell="W38" sqref="W38"/>
    </sheetView>
  </sheetViews>
  <sheetFormatPr defaultColWidth="8.88671875" defaultRowHeight="14.4" x14ac:dyDescent="0.3"/>
  <cols>
    <col min="1" max="1" width="7.88671875" style="54" customWidth="1"/>
    <col min="2" max="2" width="23.109375" style="54" bestFit="1" customWidth="1"/>
    <col min="3" max="3" width="5" style="54" customWidth="1"/>
    <col min="4" max="4" width="5.88671875" style="54" customWidth="1"/>
    <col min="5" max="16384" width="8.88671875" style="54"/>
  </cols>
  <sheetData>
    <row r="2" spans="2:20" x14ac:dyDescent="0.3">
      <c r="C2" s="115"/>
      <c r="D2" s="115"/>
      <c r="E2" s="118" t="str">
        <f t="shared" ref="E2:T2" ca="1" si="0">IF(TODAY()&lt;E3,"Proj","")</f>
        <v/>
      </c>
      <c r="F2" s="118" t="str">
        <f t="shared" ca="1" si="0"/>
        <v/>
      </c>
      <c r="G2" s="118" t="str">
        <f t="shared" ca="1" si="0"/>
        <v/>
      </c>
      <c r="H2" s="118" t="str">
        <f t="shared" ca="1" si="0"/>
        <v/>
      </c>
      <c r="I2" s="118" t="str">
        <f t="shared" ca="1" si="0"/>
        <v/>
      </c>
      <c r="J2" s="118" t="str">
        <f t="shared" ca="1" si="0"/>
        <v/>
      </c>
      <c r="K2" s="118" t="str">
        <f t="shared" ca="1" si="0"/>
        <v/>
      </c>
      <c r="L2" s="118" t="str">
        <f t="shared" ca="1" si="0"/>
        <v/>
      </c>
      <c r="M2" s="118" t="str">
        <f t="shared" ca="1" si="0"/>
        <v/>
      </c>
      <c r="N2" s="118" t="str">
        <f t="shared" ca="1" si="0"/>
        <v/>
      </c>
      <c r="O2" s="118" t="str">
        <f t="shared" ca="1" si="0"/>
        <v/>
      </c>
      <c r="P2" s="118" t="str">
        <f t="shared" ca="1" si="0"/>
        <v/>
      </c>
      <c r="Q2" s="118" t="str">
        <f t="shared" ca="1" si="0"/>
        <v/>
      </c>
      <c r="R2" s="118" t="str">
        <f t="shared" ca="1" si="0"/>
        <v/>
      </c>
      <c r="S2" s="118" t="str">
        <f t="shared" ca="1" si="0"/>
        <v/>
      </c>
      <c r="T2" s="118" t="str">
        <f t="shared" ca="1" si="0"/>
        <v>Proj</v>
      </c>
    </row>
    <row r="3" spans="2:20" ht="15" thickBot="1" x14ac:dyDescent="0.35">
      <c r="B3" s="204" t="s">
        <v>220</v>
      </c>
      <c r="C3" s="211"/>
      <c r="D3" s="211"/>
      <c r="E3" s="208">
        <v>39447</v>
      </c>
      <c r="F3" s="208">
        <v>39813</v>
      </c>
      <c r="G3" s="208">
        <v>40178</v>
      </c>
      <c r="H3" s="208">
        <v>40543</v>
      </c>
      <c r="I3" s="208">
        <v>40908</v>
      </c>
      <c r="J3" s="208">
        <v>41274</v>
      </c>
      <c r="K3" s="208">
        <v>41639</v>
      </c>
      <c r="L3" s="208">
        <v>42004</v>
      </c>
      <c r="M3" s="208">
        <v>42369</v>
      </c>
      <c r="N3" s="208">
        <v>42735</v>
      </c>
      <c r="O3" s="208">
        <v>43100</v>
      </c>
      <c r="P3" s="208">
        <v>43465</v>
      </c>
      <c r="Q3" s="208">
        <v>43830</v>
      </c>
      <c r="R3" s="208">
        <v>44196</v>
      </c>
      <c r="S3" s="208">
        <v>44561</v>
      </c>
      <c r="T3" s="208">
        <v>44926</v>
      </c>
    </row>
    <row r="4" spans="2:20" ht="15" thickTop="1" x14ac:dyDescent="0.3">
      <c r="B4" s="115" t="s">
        <v>221</v>
      </c>
      <c r="C4" s="115"/>
      <c r="D4" s="115"/>
      <c r="E4" s="115"/>
      <c r="F4" s="115"/>
      <c r="G4" s="115"/>
      <c r="H4" s="115"/>
      <c r="I4" s="115"/>
      <c r="J4" s="115"/>
      <c r="K4" s="115"/>
      <c r="L4" s="115"/>
      <c r="M4" s="115"/>
      <c r="N4" s="115"/>
      <c r="O4" s="115"/>
      <c r="P4" s="115"/>
      <c r="Q4" s="115"/>
      <c r="R4" s="115"/>
      <c r="S4" s="115"/>
      <c r="T4" s="115"/>
    </row>
    <row r="5" spans="2:20" x14ac:dyDescent="0.3">
      <c r="B5" s="198" t="s">
        <v>184</v>
      </c>
      <c r="C5" s="198"/>
      <c r="D5" s="198"/>
      <c r="E5" s="437" t="s">
        <v>121</v>
      </c>
      <c r="F5" s="455">
        <f>Output_BS!F5/Output_BS!F$18</f>
        <v>0.13062355652627763</v>
      </c>
      <c r="G5" s="455">
        <f>Output_BS!G5/Output_BS!G$18</f>
        <v>0.13802048524116176</v>
      </c>
      <c r="H5" s="455">
        <f>Output_BS!H5/Output_BS!H$18</f>
        <v>0.19189255033577637</v>
      </c>
      <c r="I5" s="455">
        <f>Output_BS!I5/Output_BS!I$18</f>
        <v>0.24309516803077408</v>
      </c>
      <c r="J5" s="455">
        <f>Output_BS!J5/Output_BS!J$18</f>
        <v>0.10902110201522361</v>
      </c>
      <c r="K5" s="455">
        <f>Output_BS!K5/Output_BS!K$18</f>
        <v>0.29873722137143849</v>
      </c>
      <c r="L5" s="455">
        <f>Output_BS!L5/Output_BS!L$18</f>
        <v>0.2527036715359513</v>
      </c>
      <c r="M5" s="455">
        <f>Output_BS!M5/Output_BS!M$18</f>
        <v>0.38738966962821864</v>
      </c>
      <c r="N5" s="455">
        <f>Output_BS!N5/Output_BS!N$18</f>
        <v>0.49837570389568797</v>
      </c>
      <c r="O5" s="455">
        <f ca="1">Output_BS!O5/Output_BS!O$18</f>
        <v>0.40349596711001534</v>
      </c>
      <c r="P5" s="464">
        <f ca="1">Output_BS!P5/Output_BS!P$18</f>
        <v>0.39332384792349551</v>
      </c>
      <c r="Q5" s="464">
        <f ca="1">Output_BS!Q5/Output_BS!Q$18</f>
        <v>0.43772888745388366</v>
      </c>
      <c r="R5" s="464">
        <f ca="1">Output_BS!R5/Output_BS!R$18</f>
        <v>0.45528758183408613</v>
      </c>
      <c r="S5" s="464">
        <f ca="1">Output_BS!S5/Output_BS!S$18</f>
        <v>0.45532841416760805</v>
      </c>
      <c r="T5" s="464">
        <f ca="1">Output_BS!T5/Output_BS!T$18</f>
        <v>0.44335449804016386</v>
      </c>
    </row>
    <row r="6" spans="2:20" x14ac:dyDescent="0.3">
      <c r="B6" s="198" t="s">
        <v>185</v>
      </c>
      <c r="C6" s="198"/>
      <c r="D6" s="198"/>
      <c r="E6" s="437" t="s">
        <v>121</v>
      </c>
      <c r="F6" s="455">
        <f>Output_BS!F6/Output_BS!F$18</f>
        <v>1.9134420255701778E-2</v>
      </c>
      <c r="G6" s="455">
        <f>Output_BS!G6/Output_BS!G$18</f>
        <v>6.932044593274754E-2</v>
      </c>
      <c r="H6" s="455">
        <f>Output_BS!H6/Output_BS!H$18</f>
        <v>6.5951145820615426E-2</v>
      </c>
      <c r="I6" s="455">
        <f>Output_BS!I6/Output_BS!I$18</f>
        <v>1.1123281175232258E-2</v>
      </c>
      <c r="J6" s="455">
        <f>Output_BS!J6/Output_BS!J$18</f>
        <v>2.7744458184279886E-2</v>
      </c>
      <c r="K6" s="455">
        <f>Output_BS!K6/Output_BS!K$18</f>
        <v>9.9009488263982467E-2</v>
      </c>
      <c r="L6" s="455">
        <f>Output_BS!L6/Output_BS!L$18</f>
        <v>0.19737415911763465</v>
      </c>
      <c r="M6" s="455">
        <f>Output_BS!M6/Output_BS!M$18</f>
        <v>5.0187952508269032E-2</v>
      </c>
      <c r="N6" s="455">
        <f>Output_BS!N6/Output_BS!N$18</f>
        <v>2.8886208075098896E-2</v>
      </c>
      <c r="O6" s="455">
        <f ca="1">Output_BS!O6/Output_BS!O$18</f>
        <v>9.1387676741856411E-2</v>
      </c>
      <c r="P6" s="464">
        <f ca="1">Output_BS!P6/Output_BS!P$18</f>
        <v>9.3594033957617534E-2</v>
      </c>
      <c r="Q6" s="464">
        <f ca="1">Output_BS!Q6/Output_BS!Q$18</f>
        <v>9.23119035093308E-2</v>
      </c>
      <c r="R6" s="464">
        <f ca="1">Output_BS!R6/Output_BS!R$18</f>
        <v>9.2275745331168765E-2</v>
      </c>
      <c r="S6" s="464">
        <f ca="1">Output_BS!S6/Output_BS!S$18</f>
        <v>9.8056967245448684E-2</v>
      </c>
      <c r="T6" s="464">
        <f ca="1">Output_BS!T6/Output_BS!T$18</f>
        <v>9.9686361952828512E-2</v>
      </c>
    </row>
    <row r="7" spans="2:20" x14ac:dyDescent="0.3">
      <c r="B7" s="198" t="s">
        <v>223</v>
      </c>
      <c r="C7" s="198"/>
      <c r="D7" s="198"/>
      <c r="E7" s="437" t="s">
        <v>121</v>
      </c>
      <c r="F7" s="455">
        <f>Output_BS!F7/Output_BS!F$18</f>
        <v>0.10264759325706438</v>
      </c>
      <c r="G7" s="455">
        <f>Output_BS!G7/Output_BS!G$18</f>
        <v>4.0255974862005509E-2</v>
      </c>
      <c r="H7" s="455">
        <f>Output_BS!H7/Output_BS!H$18</f>
        <v>1.6964413870264289E-2</v>
      </c>
      <c r="I7" s="455">
        <f>Output_BS!I7/Output_BS!I$18</f>
        <v>8.8688958647180627E-2</v>
      </c>
      <c r="J7" s="455">
        <f>Output_BS!J7/Output_BS!J$18</f>
        <v>8.8339157662335605E-2</v>
      </c>
      <c r="K7" s="455">
        <f>Output_BS!K7/Output_BS!K$18</f>
        <v>0.10347960636025365</v>
      </c>
      <c r="L7" s="455">
        <f>Output_BS!L7/Output_BS!L$18</f>
        <v>6.2351706266773908E-2</v>
      </c>
      <c r="M7" s="455">
        <f>Output_BS!M7/Output_BS!M$18</f>
        <v>2.0192725361535054E-2</v>
      </c>
      <c r="N7" s="455">
        <f>Output_BS!N7/Output_BS!N$18</f>
        <v>0</v>
      </c>
      <c r="O7" s="455">
        <f ca="1">Output_BS!O7/Output_BS!O$18</f>
        <v>0</v>
      </c>
      <c r="P7" s="464">
        <f ca="1">Output_BS!P7/Output_BS!P$18</f>
        <v>0</v>
      </c>
      <c r="Q7" s="464">
        <f ca="1">Output_BS!Q7/Output_BS!Q$18</f>
        <v>0</v>
      </c>
      <c r="R7" s="464">
        <f ca="1">Output_BS!R7/Output_BS!R$18</f>
        <v>0</v>
      </c>
      <c r="S7" s="464">
        <f ca="1">Output_BS!S7/Output_BS!S$18</f>
        <v>0</v>
      </c>
      <c r="T7" s="464">
        <f ca="1">Output_BS!T7/Output_BS!T$18</f>
        <v>0</v>
      </c>
    </row>
    <row r="8" spans="2:20" x14ac:dyDescent="0.3">
      <c r="B8" s="198" t="s">
        <v>522</v>
      </c>
      <c r="C8" s="198"/>
      <c r="D8" s="198"/>
      <c r="E8" s="437" t="s">
        <v>121</v>
      </c>
      <c r="F8" s="455">
        <f>Output_BS!F8/Output_BS!F$18</f>
        <v>4.1192791089301573E-2</v>
      </c>
      <c r="G8" s="455">
        <f>Output_BS!G8/Output_BS!G$18</f>
        <v>0.14358800602705793</v>
      </c>
      <c r="H8" s="455">
        <f>Output_BS!H8/Output_BS!H$18</f>
        <v>0.21891076514360006</v>
      </c>
      <c r="I8" s="455">
        <f>Output_BS!I8/Output_BS!I$18</f>
        <v>0.19368294916095086</v>
      </c>
      <c r="J8" s="455">
        <f>Output_BS!J8/Output_BS!J$18</f>
        <v>0.24389499241669366</v>
      </c>
      <c r="K8" s="455">
        <f>Output_BS!K8/Output_BS!K$18</f>
        <v>0.2683729894233281</v>
      </c>
      <c r="L8" s="455">
        <f>Output_BS!L8/Output_BS!L$18</f>
        <v>0.24550259241767949</v>
      </c>
      <c r="M8" s="455">
        <f>Output_BS!M8/Output_BS!M$18</f>
        <v>0.21062929158433005</v>
      </c>
      <c r="N8" s="455">
        <f>Output_BS!N8/Output_BS!N$18</f>
        <v>0.16323210314765035</v>
      </c>
      <c r="O8" s="455">
        <f ca="1">Output_BS!O8/Output_BS!O$18</f>
        <v>0.22737849481230812</v>
      </c>
      <c r="P8" s="464">
        <f ca="1">Output_BS!P8/Output_BS!P$18</f>
        <v>0.23313772247223222</v>
      </c>
      <c r="Q8" s="464">
        <f ca="1">Output_BS!Q8/Output_BS!Q$18</f>
        <v>0.23004291735517374</v>
      </c>
      <c r="R8" s="464">
        <f ca="1">Output_BS!R8/Output_BS!R$18</f>
        <v>0.23016625988947012</v>
      </c>
      <c r="S8" s="464">
        <f ca="1">Output_BS!S8/Output_BS!S$18</f>
        <v>0.24464693420890304</v>
      </c>
      <c r="T8" s="464">
        <f ca="1">Output_BS!T8/Output_BS!T$18</f>
        <v>0.24883027369014704</v>
      </c>
    </row>
    <row r="9" spans="2:20" x14ac:dyDescent="0.3">
      <c r="B9" s="198" t="s">
        <v>232</v>
      </c>
      <c r="C9" s="198"/>
      <c r="D9" s="198"/>
      <c r="E9" s="437" t="s">
        <v>121</v>
      </c>
      <c r="F9" s="455">
        <f>Output_BS!F9/Output_BS!F$18</f>
        <v>1.7337997423617177E-3</v>
      </c>
      <c r="G9" s="455">
        <f>Output_BS!G9/Output_BS!G$18</f>
        <v>2.1408526770885158E-3</v>
      </c>
      <c r="H9" s="455">
        <f>Output_BS!H9/Output_BS!H$18</f>
        <v>1.3355800846768023E-2</v>
      </c>
      <c r="I9" s="455">
        <f>Output_BS!I9/Output_BS!I$18</f>
        <v>1.4186917495509047E-2</v>
      </c>
      <c r="J9" s="455">
        <f>Output_BS!J9/Output_BS!J$18</f>
        <v>3.4471370127215462E-2</v>
      </c>
      <c r="K9" s="455">
        <f>Output_BS!K9/Output_BS!K$18</f>
        <v>3.6890735828807981E-2</v>
      </c>
      <c r="L9" s="455">
        <f>Output_BS!L9/Output_BS!L$18</f>
        <v>3.4186775074105114E-2</v>
      </c>
      <c r="M9" s="455">
        <f>Output_BS!M9/Output_BS!M$18</f>
        <v>4.107955841589199E-2</v>
      </c>
      <c r="N9" s="455">
        <f>Output_BS!N9/Output_BS!N$18</f>
        <v>6.4683154539093526E-2</v>
      </c>
      <c r="O9" s="455">
        <f ca="1">Output_BS!O9/Output_BS!O$18</f>
        <v>4.8532391602378454E-2</v>
      </c>
      <c r="P9" s="464">
        <f ca="1">Output_BS!P9/Output_BS!P$18</f>
        <v>5.1144692785157049E-2</v>
      </c>
      <c r="Q9" s="464">
        <f ca="1">Output_BS!Q9/Output_BS!Q$18</f>
        <v>5.1403475175750439E-2</v>
      </c>
      <c r="R9" s="464">
        <f ca="1">Output_BS!R9/Output_BS!R$18</f>
        <v>5.3043440984229438E-2</v>
      </c>
      <c r="S9" s="464">
        <f ca="1">Output_BS!S9/Output_BS!S$18</f>
        <v>5.6708844136859893E-2</v>
      </c>
      <c r="T9" s="464">
        <f ca="1">Output_BS!T9/Output_BS!T$18</f>
        <v>5.8735682909571006E-2</v>
      </c>
    </row>
    <row r="10" spans="2:20" x14ac:dyDescent="0.3">
      <c r="B10" s="198" t="s">
        <v>234</v>
      </c>
      <c r="C10" s="198"/>
      <c r="D10" s="198"/>
      <c r="E10" s="437" t="s">
        <v>121</v>
      </c>
      <c r="F10" s="456">
        <f>Output_BS!F10/Output_BS!F$18</f>
        <v>1.0603314820391797E-2</v>
      </c>
      <c r="G10" s="456">
        <f>Output_BS!G10/Output_BS!G$18</f>
        <v>5.779607819473648E-4</v>
      </c>
      <c r="H10" s="456">
        <f>Output_BS!H10/Output_BS!H$18</f>
        <v>1.364422500017124E-3</v>
      </c>
      <c r="I10" s="456">
        <f>Output_BS!I10/Output_BS!I$18</f>
        <v>1.1247888464530145E-2</v>
      </c>
      <c r="J10" s="456">
        <f>Output_BS!J10/Output_BS!J$18</f>
        <v>3.8269625799673122E-3</v>
      </c>
      <c r="K10" s="456">
        <f>Output_BS!K10/Output_BS!K$18</f>
        <v>6.9503348373270348E-3</v>
      </c>
      <c r="L10" s="456">
        <f>Output_BS!L10/Output_BS!L$18</f>
        <v>2.0149005602407129E-2</v>
      </c>
      <c r="M10" s="456">
        <f>Output_BS!M10/Output_BS!M$18</f>
        <v>1.3782815290461888E-2</v>
      </c>
      <c r="N10" s="456">
        <f>Output_BS!N10/Output_BS!N$18</f>
        <v>1.499601670314419E-2</v>
      </c>
      <c r="O10" s="456">
        <f ca="1">Output_BS!O10/Output_BS!O$18</f>
        <v>1.6683494641495007E-2</v>
      </c>
      <c r="P10" s="465">
        <f ca="1">Output_BS!P10/Output_BS!P$18</f>
        <v>1.7084412745343572E-2</v>
      </c>
      <c r="Q10" s="465">
        <f ca="1">Output_BS!Q10/Output_BS!Q$18</f>
        <v>1.68498592833046E-2</v>
      </c>
      <c r="R10" s="465">
        <f ca="1">Output_BS!R10/Output_BS!R$18</f>
        <v>1.6842877787059451E-2</v>
      </c>
      <c r="S10" s="465">
        <f ca="1">Output_BS!S10/Output_BS!S$18</f>
        <v>1.7896665082969956E-2</v>
      </c>
      <c r="T10" s="465">
        <f ca="1">Output_BS!T10/Output_BS!T$18</f>
        <v>1.8193697935583526E-2</v>
      </c>
    </row>
    <row r="11" spans="2:20" s="55" customFormat="1" x14ac:dyDescent="0.3">
      <c r="B11" s="205" t="s">
        <v>523</v>
      </c>
      <c r="C11" s="205"/>
      <c r="D11" s="205"/>
      <c r="E11" s="445" t="s">
        <v>121</v>
      </c>
      <c r="F11" s="463">
        <f>Output_BS!F11/Output_BS!F$18</f>
        <v>0.30593547569109891</v>
      </c>
      <c r="G11" s="463">
        <f>Output_BS!G11/Output_BS!G$18</f>
        <v>0.39390372552200859</v>
      </c>
      <c r="H11" s="463">
        <f>Output_BS!H11/Output_BS!H$18</f>
        <v>0.50843909851704117</v>
      </c>
      <c r="I11" s="463">
        <f>Output_BS!I11/Output_BS!I$18</f>
        <v>0.56202516297417704</v>
      </c>
      <c r="J11" s="463">
        <f>Output_BS!J11/Output_BS!J$18</f>
        <v>0.50729804298571557</v>
      </c>
      <c r="K11" s="463">
        <f>Output_BS!K11/Output_BS!K$18</f>
        <v>0.81344037608513764</v>
      </c>
      <c r="L11" s="463">
        <f>Output_BS!L11/Output_BS!L$18</f>
        <v>0.81226791001455168</v>
      </c>
      <c r="M11" s="463">
        <f>Output_BS!M11/Output_BS!M$18</f>
        <v>0.72326201278870661</v>
      </c>
      <c r="N11" s="463">
        <f>Output_BS!N11/Output_BS!N$18</f>
        <v>0.77017318636067489</v>
      </c>
      <c r="O11" s="463">
        <f ca="1">Output_BS!O11/Output_BS!O$18</f>
        <v>0.7874780249080533</v>
      </c>
      <c r="P11" s="463">
        <f ca="1">Output_BS!P11/Output_BS!P$18</f>
        <v>0.7882847098838458</v>
      </c>
      <c r="Q11" s="463">
        <f ca="1">Output_BS!Q11/Output_BS!Q$18</f>
        <v>0.82833704277744313</v>
      </c>
      <c r="R11" s="463">
        <f ca="1">Output_BS!R11/Output_BS!R$18</f>
        <v>0.84761590582601376</v>
      </c>
      <c r="S11" s="463">
        <f ca="1">Output_BS!S11/Output_BS!S$18</f>
        <v>0.87263782484178964</v>
      </c>
      <c r="T11" s="463">
        <f ca="1">Output_BS!T11/Output_BS!T$18</f>
        <v>0.86880051452829388</v>
      </c>
    </row>
    <row r="12" spans="2:20" x14ac:dyDescent="0.3">
      <c r="B12" s="198"/>
      <c r="C12" s="198"/>
      <c r="D12" s="198"/>
      <c r="E12" s="198"/>
      <c r="F12" s="198"/>
      <c r="G12" s="198"/>
      <c r="H12" s="198"/>
      <c r="I12" s="198"/>
      <c r="J12" s="198"/>
      <c r="K12" s="198"/>
      <c r="L12" s="198"/>
      <c r="M12" s="198"/>
      <c r="N12" s="198"/>
      <c r="O12" s="198"/>
      <c r="P12" s="198"/>
      <c r="Q12" s="198"/>
      <c r="R12" s="198"/>
      <c r="S12" s="198"/>
      <c r="T12" s="198"/>
    </row>
    <row r="13" spans="2:20" x14ac:dyDescent="0.3">
      <c r="B13" s="198" t="s">
        <v>236</v>
      </c>
      <c r="C13" s="198"/>
      <c r="D13" s="198"/>
      <c r="E13" s="437" t="s">
        <v>121</v>
      </c>
      <c r="F13" s="441">
        <f>Output_BS!F14/Output_BS!F$18</f>
        <v>0.67950358801816835</v>
      </c>
      <c r="G13" s="441">
        <f>Output_BS!G14/Output_BS!G$18</f>
        <v>0.60070970306266658</v>
      </c>
      <c r="H13" s="441">
        <f>Output_BS!H14/Output_BS!H$18</f>
        <v>0.49089573495802452</v>
      </c>
      <c r="I13" s="441">
        <f>Output_BS!I14/Output_BS!I$18</f>
        <v>0.41451194890275389</v>
      </c>
      <c r="J13" s="441">
        <f>Output_BS!J14/Output_BS!J$18</f>
        <v>0.36089366441779358</v>
      </c>
      <c r="K13" s="441">
        <f>Output_BS!K14/Output_BS!K$18</f>
        <v>0.15511776623853885</v>
      </c>
      <c r="L13" s="441">
        <f>Output_BS!L14/Output_BS!L$18</f>
        <v>0.17418320405608517</v>
      </c>
      <c r="M13" s="441">
        <f>Output_BS!M14/Output_BS!M$18</f>
        <v>0.26466524640830774</v>
      </c>
      <c r="N13" s="441">
        <f>Output_BS!N14/Output_BS!N$18</f>
        <v>0.21930021532206503</v>
      </c>
      <c r="O13" s="441">
        <f ca="1">Output_BS!O14/Output_BS!O$18</f>
        <v>0.14660052517950772</v>
      </c>
      <c r="P13" s="467">
        <f ca="1">Output_BS!P14/Output_BS!P$18</f>
        <v>0.1509639985358863</v>
      </c>
      <c r="Q13" s="467">
        <f ca="1">Output_BS!Q14/Output_BS!Q$18</f>
        <v>0.11486166491349153</v>
      </c>
      <c r="R13" s="467">
        <f ca="1">Output_BS!R14/Output_BS!R$18</f>
        <v>9.8166177842285263E-2</v>
      </c>
      <c r="S13" s="467">
        <f ca="1">Output_BS!S14/Output_BS!S$18</f>
        <v>7.5749530609754978E-2</v>
      </c>
      <c r="T13" s="467">
        <f ca="1">Output_BS!T14/Output_BS!T$18</f>
        <v>8.103449140597177E-2</v>
      </c>
    </row>
    <row r="14" spans="2:20" x14ac:dyDescent="0.3">
      <c r="B14" s="198" t="s">
        <v>238</v>
      </c>
      <c r="C14" s="198"/>
      <c r="D14" s="198"/>
      <c r="E14" s="437" t="s">
        <v>121</v>
      </c>
      <c r="F14" s="441">
        <f>Output_BS!F15/Output_BS!F$18</f>
        <v>2.6185683320758581E-4</v>
      </c>
      <c r="G14" s="441">
        <f>Output_BS!G15/Output_BS!G$18</f>
        <v>1.0758429409858403E-4</v>
      </c>
      <c r="H14" s="441">
        <f>Output_BS!H15/Output_BS!H$18</f>
        <v>8.4694446900090877E-6</v>
      </c>
      <c r="I14" s="441">
        <f>Output_BS!I15/Output_BS!I$18</f>
        <v>0</v>
      </c>
      <c r="J14" s="441">
        <f>Output_BS!J15/Output_BS!J$18</f>
        <v>1.545998571492617E-4</v>
      </c>
      <c r="K14" s="441">
        <f>Output_BS!K15/Output_BS!K$18</f>
        <v>8.132109637193737E-5</v>
      </c>
      <c r="L14" s="441">
        <f>Output_BS!L15/Output_BS!L$18</f>
        <v>1.1103039182050675E-3</v>
      </c>
      <c r="M14" s="441">
        <f>Output_BS!M15/Output_BS!M$18</f>
        <v>6.6268525855621831E-4</v>
      </c>
      <c r="N14" s="441">
        <f>Output_BS!N15/Output_BS!N$18</f>
        <v>2.2575017348989672E-4</v>
      </c>
      <c r="O14" s="441">
        <f ca="1">Output_BS!O15/Output_BS!O$18</f>
        <v>5.2750941648938954E-2</v>
      </c>
      <c r="P14" s="467">
        <f ca="1">Output_BS!P15/Output_BS!P$18</f>
        <v>4.7262809964359713E-2</v>
      </c>
      <c r="Q14" s="467">
        <f ca="1">Output_BS!Q15/Output_BS!Q$18</f>
        <v>4.3497587353053375E-2</v>
      </c>
      <c r="R14" s="467">
        <f ca="1">Output_BS!R15/Output_BS!R$18</f>
        <v>4.0919422380074406E-2</v>
      </c>
      <c r="S14" s="467">
        <f ca="1">Output_BS!S15/Output_BS!S$18</f>
        <v>3.7480978842061134E-2</v>
      </c>
      <c r="T14" s="467">
        <f ca="1">Output_BS!T15/Output_BS!T$18</f>
        <v>3.5798505052488119E-2</v>
      </c>
    </row>
    <row r="15" spans="2:20" x14ac:dyDescent="0.3">
      <c r="B15" s="198" t="s">
        <v>524</v>
      </c>
      <c r="C15" s="198"/>
      <c r="D15" s="198"/>
      <c r="E15" s="437" t="s">
        <v>121</v>
      </c>
      <c r="F15" s="441">
        <f>Output_BS!F16/Output_BS!F$18</f>
        <v>1.4299079457525111E-2</v>
      </c>
      <c r="G15" s="441">
        <f>Output_BS!G16/Output_BS!G$18</f>
        <v>5.2789871212264071E-3</v>
      </c>
      <c r="H15" s="441">
        <f>Output_BS!H16/Output_BS!H$18</f>
        <v>6.566970802443959E-4</v>
      </c>
      <c r="I15" s="441">
        <f>Output_BS!I16/Output_BS!I$18</f>
        <v>2.3462888123069153E-2</v>
      </c>
      <c r="J15" s="441">
        <f>Output_BS!J16/Output_BS!J$18</f>
        <v>0.13165369273934144</v>
      </c>
      <c r="K15" s="441">
        <f>Output_BS!K16/Output_BS!K$18</f>
        <v>3.1360536579951553E-2</v>
      </c>
      <c r="L15" s="441">
        <f>Output_BS!L16/Output_BS!L$18</f>
        <v>1.2438582011158087E-2</v>
      </c>
      <c r="M15" s="441">
        <f>Output_BS!M16/Output_BS!M$18</f>
        <v>9.9561793183988966E-3</v>
      </c>
      <c r="N15" s="441">
        <f>Output_BS!N16/Output_BS!N$18</f>
        <v>7.3358281332514853E-3</v>
      </c>
      <c r="O15" s="441">
        <f ca="1">Output_BS!O16/Output_BS!O$18</f>
        <v>9.8747788087139646E-3</v>
      </c>
      <c r="P15" s="467">
        <f ca="1">Output_BS!P16/Output_BS!P$18</f>
        <v>1.0113183922569675E-2</v>
      </c>
      <c r="Q15" s="467">
        <f ca="1">Output_BS!Q16/Output_BS!Q$18</f>
        <v>9.9746449528515593E-3</v>
      </c>
      <c r="R15" s="467">
        <f ca="1">Output_BS!R16/Output_BS!R$18</f>
        <v>9.9707379270445179E-3</v>
      </c>
      <c r="S15" s="467">
        <f ca="1">Output_BS!S16/Output_BS!S$18</f>
        <v>1.0595420484725265E-2</v>
      </c>
      <c r="T15" s="467">
        <f ca="1">Output_BS!T16/Output_BS!T$18</f>
        <v>1.0771482650884869E-2</v>
      </c>
    </row>
    <row r="16" spans="2:20" x14ac:dyDescent="0.3">
      <c r="B16" s="205" t="s">
        <v>525</v>
      </c>
      <c r="C16" s="205"/>
      <c r="D16" s="205"/>
      <c r="E16" s="451" t="s">
        <v>121</v>
      </c>
      <c r="F16" s="471">
        <f>Output_BS!F17/Output_BS!F$18</f>
        <v>0.69406452430890098</v>
      </c>
      <c r="G16" s="471">
        <f>Output_BS!G17/Output_BS!G$18</f>
        <v>0.60609627447799153</v>
      </c>
      <c r="H16" s="471">
        <f>Output_BS!H17/Output_BS!H$18</f>
        <v>0.49156090148295889</v>
      </c>
      <c r="I16" s="471">
        <f>Output_BS!I17/Output_BS!I$18</f>
        <v>0.43797483702582307</v>
      </c>
      <c r="J16" s="471">
        <f>Output_BS!J17/Output_BS!J$18</f>
        <v>0.49270195701428432</v>
      </c>
      <c r="K16" s="471">
        <f>Output_BS!K17/Output_BS!K$18</f>
        <v>0.18655962391486233</v>
      </c>
      <c r="L16" s="471">
        <f>Output_BS!L17/Output_BS!L$18</f>
        <v>0.18773208998544832</v>
      </c>
      <c r="M16" s="471">
        <f>Output_BS!M17/Output_BS!M$18</f>
        <v>0.27673798721129345</v>
      </c>
      <c r="N16" s="471">
        <f>Output_BS!N17/Output_BS!N$18</f>
        <v>0.22982681363932506</v>
      </c>
      <c r="O16" s="471">
        <f ca="1">Output_BS!O17/Output_BS!O$18</f>
        <v>0.2125219750919467</v>
      </c>
      <c r="P16" s="471">
        <f ca="1">Output_BS!P17/Output_BS!P$18</f>
        <v>0.21171529011615428</v>
      </c>
      <c r="Q16" s="471">
        <f ca="1">Output_BS!Q17/Output_BS!Q$18</f>
        <v>0.17166295722255689</v>
      </c>
      <c r="R16" s="471">
        <f ca="1">Output_BS!R17/Output_BS!R$18</f>
        <v>0.15238409417398624</v>
      </c>
      <c r="S16" s="471">
        <f ca="1">Output_BS!S17/Output_BS!S$18</f>
        <v>0.1273621751582103</v>
      </c>
      <c r="T16" s="471">
        <f ca="1">Output_BS!T17/Output_BS!T$18</f>
        <v>0.13119948547170615</v>
      </c>
    </row>
    <row r="17" spans="2:20" ht="15" thickBot="1" x14ac:dyDescent="0.35">
      <c r="B17" s="206" t="s">
        <v>526</v>
      </c>
      <c r="C17" s="206"/>
      <c r="D17" s="206"/>
      <c r="E17" s="460" t="s">
        <v>121</v>
      </c>
      <c r="F17" s="470">
        <f>Output_BS!F18/Output_BS!F$18</f>
        <v>1</v>
      </c>
      <c r="G17" s="470">
        <f>Output_BS!G18/Output_BS!G$18</f>
        <v>1</v>
      </c>
      <c r="H17" s="470">
        <f>Output_BS!H18/Output_BS!H$18</f>
        <v>1</v>
      </c>
      <c r="I17" s="470">
        <f>Output_BS!I18/Output_BS!I$18</f>
        <v>1</v>
      </c>
      <c r="J17" s="470">
        <f>Output_BS!J18/Output_BS!J$18</f>
        <v>1</v>
      </c>
      <c r="K17" s="470">
        <f>Output_BS!K18/Output_BS!K$18</f>
        <v>1</v>
      </c>
      <c r="L17" s="470">
        <f>Output_BS!L18/Output_BS!L$18</f>
        <v>1</v>
      </c>
      <c r="M17" s="470">
        <f>Output_BS!M18/Output_BS!M$18</f>
        <v>1</v>
      </c>
      <c r="N17" s="470">
        <f>Output_BS!N18/Output_BS!N$18</f>
        <v>1</v>
      </c>
      <c r="O17" s="470">
        <f ca="1">Output_BS!O18/Output_BS!O$18</f>
        <v>1</v>
      </c>
      <c r="P17" s="470">
        <f ca="1">Output_BS!P18/Output_BS!P$18</f>
        <v>1</v>
      </c>
      <c r="Q17" s="470">
        <f ca="1">Output_BS!Q18/Output_BS!Q$18</f>
        <v>1</v>
      </c>
      <c r="R17" s="470">
        <f ca="1">Output_BS!R18/Output_BS!R$18</f>
        <v>1</v>
      </c>
      <c r="S17" s="470">
        <f ca="1">Output_BS!S18/Output_BS!S$18</f>
        <v>1</v>
      </c>
      <c r="T17" s="470">
        <f ca="1">Output_BS!T18/Output_BS!T$18</f>
        <v>1</v>
      </c>
    </row>
    <row r="18" spans="2:20" ht="15" thickTop="1" x14ac:dyDescent="0.3">
      <c r="B18" s="198"/>
      <c r="C18" s="198"/>
      <c r="D18" s="198"/>
      <c r="E18" s="445"/>
      <c r="F18" s="198"/>
      <c r="G18" s="198"/>
      <c r="H18" s="198"/>
      <c r="I18" s="198"/>
      <c r="J18" s="198"/>
      <c r="K18" s="198"/>
      <c r="L18" s="198"/>
      <c r="M18" s="198"/>
      <c r="N18" s="198"/>
      <c r="O18" s="198"/>
      <c r="P18" s="198"/>
      <c r="Q18" s="198"/>
      <c r="R18" s="198"/>
      <c r="S18" s="198"/>
      <c r="T18" s="198"/>
    </row>
    <row r="19" spans="2:20" x14ac:dyDescent="0.3">
      <c r="B19" s="115" t="s">
        <v>248</v>
      </c>
      <c r="C19" s="115"/>
      <c r="D19" s="115"/>
      <c r="E19" s="115"/>
      <c r="F19" s="115"/>
      <c r="G19" s="115"/>
      <c r="H19" s="115"/>
      <c r="I19" s="115"/>
      <c r="J19" s="115"/>
      <c r="K19" s="115"/>
      <c r="L19" s="115"/>
      <c r="M19" s="115"/>
      <c r="N19" s="115"/>
      <c r="O19" s="115"/>
      <c r="P19" s="115"/>
      <c r="Q19" s="115"/>
      <c r="R19" s="115"/>
      <c r="S19" s="115"/>
      <c r="T19" s="115"/>
    </row>
    <row r="20" spans="2:20" x14ac:dyDescent="0.3">
      <c r="B20" s="198" t="s">
        <v>194</v>
      </c>
      <c r="C20" s="198"/>
      <c r="D20" s="198"/>
      <c r="E20" s="437" t="s">
        <v>121</v>
      </c>
      <c r="F20" s="441">
        <f>Output_BS!F21/Output_BS!F$42</f>
        <v>0</v>
      </c>
      <c r="G20" s="441">
        <f>Output_BS!G21/Output_BS!G$42</f>
        <v>0</v>
      </c>
      <c r="H20" s="441">
        <f>Output_BS!H21/Output_BS!H$42</f>
        <v>0</v>
      </c>
      <c r="I20" s="441">
        <f>Output_BS!I21/Output_BS!I$42</f>
        <v>0</v>
      </c>
      <c r="J20" s="441">
        <f>Output_BS!J21/Output_BS!J$42</f>
        <v>0</v>
      </c>
      <c r="K20" s="441">
        <f>Output_BS!K21/Output_BS!K$42</f>
        <v>0</v>
      </c>
      <c r="L20" s="441">
        <f>Output_BS!L21/Output_BS!L$42</f>
        <v>0</v>
      </c>
      <c r="M20" s="441">
        <f>Output_BS!M21/Output_BS!M$42</f>
        <v>0</v>
      </c>
      <c r="N20" s="441">
        <f>Output_BS!N21/Output_BS!N$42</f>
        <v>0</v>
      </c>
      <c r="O20" s="441">
        <f ca="1">Output_BS!O21/Output_BS!O$42</f>
        <v>0</v>
      </c>
      <c r="P20" s="467">
        <f ca="1">Output_BS!P21/Output_BS!P$42</f>
        <v>0</v>
      </c>
      <c r="Q20" s="467">
        <f ca="1">Output_BS!Q21/Output_BS!Q$42</f>
        <v>0</v>
      </c>
      <c r="R20" s="467">
        <f ca="1">Output_BS!R21/Output_BS!R$42</f>
        <v>0</v>
      </c>
      <c r="S20" s="467">
        <f ca="1">Output_BS!S21/Output_BS!S$42</f>
        <v>0</v>
      </c>
      <c r="T20" s="467">
        <f ca="1">Output_BS!T21/Output_BS!T$42</f>
        <v>0</v>
      </c>
    </row>
    <row r="21" spans="2:20" x14ac:dyDescent="0.3">
      <c r="B21" s="198" t="s">
        <v>195</v>
      </c>
      <c r="C21" s="198"/>
      <c r="D21" s="198"/>
      <c r="E21" s="437" t="s">
        <v>121</v>
      </c>
      <c r="F21" s="441">
        <f>Output_BS!F22/Output_BS!F$42</f>
        <v>0</v>
      </c>
      <c r="G21" s="441">
        <f>Output_BS!G22/Output_BS!G$42</f>
        <v>0.13936007761754882</v>
      </c>
      <c r="H21" s="441">
        <f>Output_BS!H22/Output_BS!H$42</f>
        <v>8.6362043516226381E-2</v>
      </c>
      <c r="I21" s="441">
        <f>Output_BS!I22/Output_BS!I$42</f>
        <v>8.7833825739604438E-2</v>
      </c>
      <c r="J21" s="441">
        <f>Output_BS!J22/Output_BS!J$42</f>
        <v>9.649001582250602E-2</v>
      </c>
      <c r="K21" s="441">
        <f>Output_BS!K22/Output_BS!K$42</f>
        <v>6.3138844500431501E-2</v>
      </c>
      <c r="L21" s="441">
        <f>Output_BS!L22/Output_BS!L$42</f>
        <v>6.9530314762265177E-2</v>
      </c>
      <c r="M21" s="441">
        <f>Output_BS!M22/Output_BS!M$42</f>
        <v>5.9214173572269151E-2</v>
      </c>
      <c r="N21" s="441">
        <f>Output_BS!N22/Output_BS!N$42</f>
        <v>4.7451985855658539E-2</v>
      </c>
      <c r="O21" s="441">
        <f ca="1">Output_BS!O22/Output_BS!O$42</f>
        <v>5.8594360240387708E-2</v>
      </c>
      <c r="P21" s="467">
        <f ca="1">Output_BS!P22/Output_BS!P$42</f>
        <v>6.0933129471099218E-2</v>
      </c>
      <c r="Q21" s="467">
        <f ca="1">Output_BS!Q22/Output_BS!Q$42</f>
        <v>6.0767400530457996E-2</v>
      </c>
      <c r="R21" s="467">
        <f ca="1">Output_BS!R22/Output_BS!R$42</f>
        <v>6.2187232510346059E-2</v>
      </c>
      <c r="S21" s="467">
        <f ca="1">Output_BS!S22/Output_BS!S$42</f>
        <v>6.6491819387085219E-2</v>
      </c>
      <c r="T21" s="467">
        <f ca="1">Output_BS!T22/Output_BS!T$42</f>
        <v>6.839536014540229E-2</v>
      </c>
    </row>
    <row r="22" spans="2:20" x14ac:dyDescent="0.3">
      <c r="B22" s="198" t="s">
        <v>527</v>
      </c>
      <c r="C22" s="198"/>
      <c r="D22" s="198"/>
      <c r="E22" s="437" t="s">
        <v>121</v>
      </c>
      <c r="F22" s="441">
        <f>Output_BS!F23/Output_BS!F$42</f>
        <v>8.9831067000347528E-2</v>
      </c>
      <c r="G22" s="441">
        <f>Output_BS!G23/Output_BS!G$42</f>
        <v>0.13222381189029214</v>
      </c>
      <c r="H22" s="441">
        <f>Output_BS!H23/Output_BS!H$42</f>
        <v>0.12569287304866167</v>
      </c>
      <c r="I22" s="441">
        <f>Output_BS!I23/Output_BS!I$42</f>
        <v>0.15985975463697374</v>
      </c>
      <c r="J22" s="441">
        <f>Output_BS!J23/Output_BS!J$42</f>
        <v>0.16461712556263575</v>
      </c>
      <c r="K22" s="441">
        <f>Output_BS!K23/Output_BS!K$42</f>
        <v>0.15857388247263368</v>
      </c>
      <c r="L22" s="441">
        <f>Output_BS!L23/Output_BS!L$42</f>
        <v>0.20452567473833283</v>
      </c>
      <c r="M22" s="441">
        <f>Output_BS!M23/Output_BS!M$42</f>
        <v>0.18164990474501874</v>
      </c>
      <c r="N22" s="441">
        <f>Output_BS!N23/Output_BS!N$42</f>
        <v>0.1744004340368315</v>
      </c>
      <c r="O22" s="441">
        <f ca="1">Output_BS!O23/Output_BS!O$42</f>
        <v>0.19478865043686402</v>
      </c>
      <c r="P22" s="467">
        <f ca="1">Output_BS!P23/Output_BS!P$42</f>
        <v>0.20678682064900103</v>
      </c>
      <c r="Q22" s="467">
        <f ca="1">Output_BS!Q23/Output_BS!Q$42</f>
        <v>0.20663001837845779</v>
      </c>
      <c r="R22" s="467">
        <f ca="1">Output_BS!R23/Output_BS!R$42</f>
        <v>0.21232361952725842</v>
      </c>
      <c r="S22" s="467">
        <f ca="1">Output_BS!S23/Output_BS!S$42</f>
        <v>0.22725986351261301</v>
      </c>
      <c r="T22" s="467">
        <f ca="1">Output_BS!T23/Output_BS!T$42</f>
        <v>0.23423083251961385</v>
      </c>
    </row>
    <row r="23" spans="2:20" x14ac:dyDescent="0.3">
      <c r="B23" s="198" t="s">
        <v>250</v>
      </c>
      <c r="C23" s="198"/>
      <c r="D23" s="198"/>
      <c r="E23" s="437" t="s">
        <v>121</v>
      </c>
      <c r="F23" s="441">
        <f>Output_BS!F24/Output_BS!F$42</f>
        <v>6.1065666784086779E-2</v>
      </c>
      <c r="G23" s="441">
        <f>Output_BS!G24/Output_BS!G$42</f>
        <v>1.9215022700435003E-2</v>
      </c>
      <c r="H23" s="441">
        <f>Output_BS!H24/Output_BS!H$42</f>
        <v>2.9064710656631985E-2</v>
      </c>
      <c r="I23" s="441">
        <f>Output_BS!I24/Output_BS!I$42</f>
        <v>4.6313474894111209E-2</v>
      </c>
      <c r="J23" s="441">
        <f>Output_BS!J24/Output_BS!J$42</f>
        <v>5.7149751192377592E-3</v>
      </c>
      <c r="K23" s="441">
        <f>Output_BS!K24/Output_BS!K$42</f>
        <v>1.3041401167163071E-2</v>
      </c>
      <c r="L23" s="441">
        <f>Output_BS!L24/Output_BS!L$42</f>
        <v>1.3205450293294051E-2</v>
      </c>
      <c r="M23" s="441">
        <f>Output_BS!M24/Output_BS!M$42</f>
        <v>7.1620623633884009E-2</v>
      </c>
      <c r="N23" s="441">
        <f>Output_BS!N24/Output_BS!N$42</f>
        <v>2.0177453632630002E-2</v>
      </c>
      <c r="O23" s="441">
        <f ca="1">Output_BS!O24/Output_BS!O$42</f>
        <v>3.6074750635064955E-2</v>
      </c>
      <c r="P23" s="467">
        <f ca="1">Output_BS!P24/Output_BS!P$42</f>
        <v>3.6945697235395862E-2</v>
      </c>
      <c r="Q23" s="467">
        <f ca="1">Output_BS!Q24/Output_BS!Q$42</f>
        <v>3.6439583743374193E-2</v>
      </c>
      <c r="R23" s="467">
        <f ca="1">Output_BS!R24/Output_BS!R$42</f>
        <v>3.64253105141258E-2</v>
      </c>
      <c r="S23" s="467">
        <f ca="1">Output_BS!S24/Output_BS!S$42</f>
        <v>3.8707414035727875E-2</v>
      </c>
      <c r="T23" s="467">
        <f ca="1">Output_BS!T24/Output_BS!T$42</f>
        <v>3.9350608061995321E-2</v>
      </c>
    </row>
    <row r="24" spans="2:20" x14ac:dyDescent="0.3">
      <c r="B24" s="205" t="s">
        <v>528</v>
      </c>
      <c r="C24" s="205"/>
      <c r="D24" s="205"/>
      <c r="E24" s="445" t="s">
        <v>121</v>
      </c>
      <c r="F24" s="463">
        <f>Output_BS!F25/Output_BS!F$42</f>
        <v>0.1508967337844343</v>
      </c>
      <c r="G24" s="463">
        <f>Output_BS!G25/Output_BS!G$42</f>
        <v>0.29079891220827597</v>
      </c>
      <c r="H24" s="463">
        <f>Output_BS!H25/Output_BS!H$42</f>
        <v>0.24111962722152006</v>
      </c>
      <c r="I24" s="463">
        <f>Output_BS!I25/Output_BS!I$42</f>
        <v>0.29400705527068938</v>
      </c>
      <c r="J24" s="463">
        <f>Output_BS!J25/Output_BS!J$42</f>
        <v>0.26682211650437954</v>
      </c>
      <c r="K24" s="463">
        <f>Output_BS!K25/Output_BS!K$42</f>
        <v>0.23475412814022822</v>
      </c>
      <c r="L24" s="463">
        <f>Output_BS!L25/Output_BS!L$42</f>
        <v>0.28726143979389207</v>
      </c>
      <c r="M24" s="463">
        <f>Output_BS!M25/Output_BS!M$42</f>
        <v>0.31248470195117195</v>
      </c>
      <c r="N24" s="463">
        <f>Output_BS!N25/Output_BS!N$42</f>
        <v>0.24202987352512004</v>
      </c>
      <c r="O24" s="463">
        <f ca="1">Output_BS!O25/Output_BS!O$42</f>
        <v>0.28945776131231665</v>
      </c>
      <c r="P24" s="463">
        <f ca="1">Output_BS!P25/Output_BS!P$42</f>
        <v>0.30466564735549606</v>
      </c>
      <c r="Q24" s="463">
        <f ca="1">Output_BS!Q25/Output_BS!Q$42</f>
        <v>0.30383700265229002</v>
      </c>
      <c r="R24" s="463">
        <f ca="1">Output_BS!R25/Output_BS!R$42</f>
        <v>0.31093616255173029</v>
      </c>
      <c r="S24" s="463">
        <f ca="1">Output_BS!S25/Output_BS!S$42</f>
        <v>0.33245909693542608</v>
      </c>
      <c r="T24" s="463">
        <f ca="1">Output_BS!T25/Output_BS!T$42</f>
        <v>0.34197680072701148</v>
      </c>
    </row>
    <row r="25" spans="2:20" x14ac:dyDescent="0.3">
      <c r="B25" s="198"/>
      <c r="C25" s="198"/>
      <c r="D25" s="198"/>
      <c r="E25" s="198"/>
      <c r="F25" s="198"/>
      <c r="G25" s="198"/>
      <c r="H25" s="198"/>
      <c r="I25" s="198"/>
      <c r="J25" s="198"/>
      <c r="K25" s="198"/>
      <c r="L25" s="198"/>
      <c r="M25" s="198"/>
      <c r="N25" s="198"/>
      <c r="O25" s="198"/>
      <c r="P25" s="198"/>
      <c r="Q25" s="198"/>
      <c r="R25" s="198"/>
      <c r="S25" s="198"/>
      <c r="T25" s="198"/>
    </row>
    <row r="26" spans="2:20" x14ac:dyDescent="0.3">
      <c r="B26" s="198" t="s">
        <v>710</v>
      </c>
      <c r="C26" s="198"/>
      <c r="D26" s="198"/>
      <c r="E26" s="437" t="s">
        <v>121</v>
      </c>
      <c r="F26" s="441">
        <f>Output_BS!E27/Output_BS!F$42</f>
        <v>0</v>
      </c>
      <c r="G26" s="441">
        <f>Output_BS!F27/Output_BS!G$42</f>
        <v>0.12397081186988382</v>
      </c>
      <c r="H26" s="441">
        <f>Output_BS!G27/Output_BS!H$42</f>
        <v>0.13898696242484543</v>
      </c>
      <c r="I26" s="441">
        <f>Output_BS!H27/Output_BS!I$42</f>
        <v>5.334844223928787E-2</v>
      </c>
      <c r="J26" s="441">
        <f>Output_BS!I27/Output_BS!J$42</f>
        <v>0.17648382314404798</v>
      </c>
      <c r="K26" s="441">
        <f>Output_BS!J27/Output_BS!K$42</f>
        <v>0.11109791644826138</v>
      </c>
      <c r="L26" s="441">
        <f>Output_BS!K27/Output_BS!L$42</f>
        <v>4.7123984306913246E-2</v>
      </c>
      <c r="M26" s="441">
        <f>Output_BS!L27/Output_BS!M$42</f>
        <v>2.7827655951877563E-2</v>
      </c>
      <c r="N26" s="441">
        <f>Output_BS!M27/Output_BS!N$42</f>
        <v>5.6821466266626278E-2</v>
      </c>
      <c r="O26" s="441">
        <f ca="1">Output_BS!N27/Output_BS!O$42</f>
        <v>2.2571343162019461E-2</v>
      </c>
      <c r="P26" s="467">
        <f ca="1">Output_BS!O27/Output_BS!P$42</f>
        <v>3.292259906152627E-3</v>
      </c>
      <c r="Q26" s="467">
        <f ca="1">Output_BS!P27/Output_BS!Q$42</f>
        <v>5.6875221488573357E-3</v>
      </c>
      <c r="R26" s="467">
        <f ca="1">Output_BS!Q27/Output_BS!R$42</f>
        <v>3.1896348930225702E-3</v>
      </c>
      <c r="S26" s="467">
        <f ca="1">Output_BS!R27/Output_BS!S$42</f>
        <v>2.0090544360245907E-3</v>
      </c>
      <c r="T26" s="467">
        <f ca="1">Output_BS!S27/Output_BS!T$42</f>
        <v>1.3208752768468304E-3</v>
      </c>
    </row>
    <row r="27" spans="2:20" x14ac:dyDescent="0.3">
      <c r="B27" s="198" t="s">
        <v>256</v>
      </c>
      <c r="C27" s="198"/>
      <c r="D27" s="198"/>
      <c r="E27" s="437" t="s">
        <v>121</v>
      </c>
      <c r="F27" s="441">
        <f>Output_BS!E28/Output_BS!F$42</f>
        <v>0</v>
      </c>
      <c r="G27" s="441">
        <f>Output_BS!F28/Output_BS!G$42</f>
        <v>7.1530669206691026E-4</v>
      </c>
      <c r="H27" s="441">
        <f>Output_BS!G28/Output_BS!H$42</f>
        <v>2.0560889634330782E-4</v>
      </c>
      <c r="I27" s="441">
        <f>Output_BS!H28/Output_BS!I$42</f>
        <v>2.9401341507013174E-3</v>
      </c>
      <c r="J27" s="441">
        <f>Output_BS!I28/Output_BS!J$42</f>
        <v>1.2201866192753862E-4</v>
      </c>
      <c r="K27" s="441">
        <f>Output_BS!J28/Output_BS!K$42</f>
        <v>1.1071438525180236E-2</v>
      </c>
      <c r="L27" s="441">
        <f>Output_BS!K28/Output_BS!L$42</f>
        <v>1.0840541910864684E-2</v>
      </c>
      <c r="M27" s="441">
        <f>Output_BS!L28/Output_BS!M$42</f>
        <v>1.0802250093500221E-2</v>
      </c>
      <c r="N27" s="441">
        <f>Output_BS!M28/Output_BS!N$42</f>
        <v>1.0700610488707411E-2</v>
      </c>
      <c r="O27" s="441">
        <f ca="1">Output_BS!N28/Output_BS!O$42</f>
        <v>1.5496995522374041E-2</v>
      </c>
      <c r="P27" s="467">
        <f ca="1">Output_BS!O28/Output_BS!P$42</f>
        <v>8.5439313154881888E-3</v>
      </c>
      <c r="Q27" s="467">
        <f ca="1">Output_BS!P28/Output_BS!Q$42</f>
        <v>8.0963957359795231E-3</v>
      </c>
      <c r="R27" s="467">
        <f ca="1">Output_BS!Q28/Output_BS!R$42</f>
        <v>7.8492161705417344E-3</v>
      </c>
      <c r="S27" s="467">
        <f ca="1">Output_BS!R28/Output_BS!S$42</f>
        <v>7.4162361017313973E-3</v>
      </c>
      <c r="T27" s="467">
        <f ca="1">Output_BS!S28/Output_BS!T$42</f>
        <v>7.3138308786343045E-3</v>
      </c>
    </row>
    <row r="28" spans="2:20" x14ac:dyDescent="0.3">
      <c r="B28" s="209" t="s">
        <v>529</v>
      </c>
      <c r="C28" s="209"/>
      <c r="D28" s="209"/>
      <c r="E28" s="451" t="s">
        <v>121</v>
      </c>
      <c r="F28" s="471">
        <f>Output_BS!E29/Output_BS!F$42</f>
        <v>0</v>
      </c>
      <c r="G28" s="471">
        <f>Output_BS!F29/Output_BS!G$42</f>
        <v>0.12468611856195073</v>
      </c>
      <c r="H28" s="471">
        <f>Output_BS!G29/Output_BS!H$42</f>
        <v>0.13919257132118873</v>
      </c>
      <c r="I28" s="471">
        <f>Output_BS!H29/Output_BS!I$42</f>
        <v>5.6288576389989194E-2</v>
      </c>
      <c r="J28" s="471">
        <f>Output_BS!I29/Output_BS!J$42</f>
        <v>0.17660584180597549</v>
      </c>
      <c r="K28" s="471">
        <f>Output_BS!J29/Output_BS!K$42</f>
        <v>0.12216935497344161</v>
      </c>
      <c r="L28" s="471">
        <f>Output_BS!K29/Output_BS!L$42</f>
        <v>5.796452621777793E-2</v>
      </c>
      <c r="M28" s="471">
        <f>Output_BS!L29/Output_BS!M$42</f>
        <v>3.8629906045377777E-2</v>
      </c>
      <c r="N28" s="471">
        <f>Output_BS!M29/Output_BS!N$42</f>
        <v>6.7522076755333685E-2</v>
      </c>
      <c r="O28" s="471">
        <f ca="1">Output_BS!N29/Output_BS!O$42</f>
        <v>3.8068338684393507E-2</v>
      </c>
      <c r="P28" s="471">
        <f ca="1">Output_BS!O29/Output_BS!P$42</f>
        <v>1.1836191221640816E-2</v>
      </c>
      <c r="Q28" s="471">
        <f ca="1">Output_BS!P29/Output_BS!Q$42</f>
        <v>1.378391788483686E-2</v>
      </c>
      <c r="R28" s="471">
        <f ca="1">Output_BS!Q29/Output_BS!R$42</f>
        <v>1.1038851063564304E-2</v>
      </c>
      <c r="S28" s="471">
        <f ca="1">Output_BS!R29/Output_BS!S$42</f>
        <v>9.4252905377559884E-3</v>
      </c>
      <c r="T28" s="471">
        <f ca="1">Output_BS!S29/Output_BS!T$42</f>
        <v>8.6347061554811356E-3</v>
      </c>
    </row>
    <row r="29" spans="2:20" x14ac:dyDescent="0.3">
      <c r="B29" s="115" t="s">
        <v>530</v>
      </c>
      <c r="C29" s="115"/>
      <c r="D29" s="115"/>
      <c r="E29" s="118" t="s">
        <v>121</v>
      </c>
      <c r="F29" s="472">
        <f>Output_BS!E30/Output_BS!F$42</f>
        <v>7.8946136075107014E-3</v>
      </c>
      <c r="G29" s="472">
        <f>Output_BS!F30/Output_BS!G$42</f>
        <v>0.20922633912544605</v>
      </c>
      <c r="H29" s="472">
        <f>Output_BS!G30/Output_BS!H$42</f>
        <v>0.27981982436929675</v>
      </c>
      <c r="I29" s="472">
        <f>Output_BS!H30/Output_BS!I$42</f>
        <v>0.17922081238105303</v>
      </c>
      <c r="J29" s="472">
        <f>Output_BS!I30/Output_BS!J$42</f>
        <v>0.50904882106521288</v>
      </c>
      <c r="K29" s="472">
        <f>Output_BS!J30/Output_BS!K$42</f>
        <v>0.38711792576346421</v>
      </c>
      <c r="L29" s="472">
        <f>Output_BS!K30/Output_BS!L$42</f>
        <v>0.28782281961522188</v>
      </c>
      <c r="M29" s="472">
        <f>Output_BS!L30/Output_BS!M$42</f>
        <v>0.3248766583191362</v>
      </c>
      <c r="N29" s="472">
        <f>Output_BS!M30/Output_BS!N$42</f>
        <v>0.37706657445876035</v>
      </c>
      <c r="O29" s="472">
        <f ca="1">Output_BS!N30/Output_BS!O$42</f>
        <v>0.25176039829019536</v>
      </c>
      <c r="P29" s="472">
        <f ca="1">Output_BS!O30/Output_BS!P$42</f>
        <v>0.27189979848868046</v>
      </c>
      <c r="Q29" s="472">
        <f ca="1">Output_BS!P30/Output_BS!Q$42</f>
        <v>0.30249101969368791</v>
      </c>
      <c r="R29" s="472">
        <f ca="1">Output_BS!Q30/Output_BS!R$42</f>
        <v>0.30559983748238806</v>
      </c>
      <c r="S29" s="472">
        <f ca="1">Output_BS!R30/Output_BS!S$42</f>
        <v>0.30320952885499564</v>
      </c>
      <c r="T29" s="472">
        <f ca="1">Output_BS!S30/Output_BS!T$42</f>
        <v>0.33650312561984042</v>
      </c>
    </row>
    <row r="30" spans="2:20" x14ac:dyDescent="0.3">
      <c r="B30" s="198"/>
      <c r="C30" s="198"/>
      <c r="D30" s="198"/>
      <c r="E30" s="437"/>
      <c r="F30" s="198"/>
      <c r="G30" s="198"/>
      <c r="H30" s="198"/>
      <c r="I30" s="198"/>
      <c r="J30" s="198"/>
      <c r="K30" s="198"/>
      <c r="L30" s="198"/>
      <c r="M30" s="198"/>
      <c r="N30" s="198"/>
      <c r="O30" s="198"/>
      <c r="P30" s="198"/>
      <c r="Q30" s="198"/>
      <c r="R30" s="198"/>
      <c r="S30" s="198"/>
      <c r="T30" s="198"/>
    </row>
    <row r="31" spans="2:20" x14ac:dyDescent="0.3">
      <c r="B31" s="115" t="s">
        <v>262</v>
      </c>
      <c r="C31" s="115"/>
      <c r="D31" s="115"/>
      <c r="E31" s="118"/>
      <c r="F31" s="115"/>
      <c r="G31" s="115"/>
      <c r="H31" s="115"/>
      <c r="I31" s="115"/>
      <c r="J31" s="115"/>
      <c r="K31" s="115"/>
      <c r="L31" s="115"/>
      <c r="M31" s="115"/>
      <c r="N31" s="115"/>
      <c r="O31" s="115"/>
      <c r="P31" s="115"/>
      <c r="Q31" s="115"/>
      <c r="R31" s="115"/>
      <c r="S31" s="115"/>
      <c r="T31" s="115"/>
    </row>
    <row r="32" spans="2:20" x14ac:dyDescent="0.3">
      <c r="B32" s="202" t="s">
        <v>263</v>
      </c>
      <c r="C32" s="202"/>
      <c r="D32" s="202"/>
      <c r="E32" s="468" t="s">
        <v>121</v>
      </c>
      <c r="F32" s="441">
        <f>Output_BS!F36/Output_BS!F$42</f>
        <v>0.68979182668747263</v>
      </c>
      <c r="G32" s="441">
        <f>Output_BS!G36/Output_BS!G$42</f>
        <v>0.38645735867525283</v>
      </c>
      <c r="H32" s="441">
        <f>Output_BS!H36/Output_BS!H$42</f>
        <v>0.3523472050974697</v>
      </c>
      <c r="I32" s="441">
        <f>Output_BS!I36/Output_BS!I$42</f>
        <v>0.29040644405465177</v>
      </c>
      <c r="J32" s="441">
        <f>Output_BS!J36/Output_BS!J$42</f>
        <v>0.34465427770121737</v>
      </c>
      <c r="K32" s="441">
        <f>Output_BS!K36/Output_BS!K$42</f>
        <v>0.43253787717202213</v>
      </c>
      <c r="L32" s="441">
        <f>Output_BS!L36/Output_BS!L$42</f>
        <v>0.42351723083278497</v>
      </c>
      <c r="M32" s="441">
        <f>Output_BS!M36/Output_BS!M$42</f>
        <v>0.42202124985811629</v>
      </c>
      <c r="N32" s="441">
        <f>Output_BS!N36/Output_BS!N$42</f>
        <v>0.41805040372157332</v>
      </c>
      <c r="O32" s="441">
        <f ca="1">Output_BS!O36/Output_BS!O$42</f>
        <v>0.36910341062103674</v>
      </c>
      <c r="P32" s="467">
        <f ca="1">Output_BS!P36/Output_BS!P$42</f>
        <v>0.33162131837640829</v>
      </c>
      <c r="Q32" s="467">
        <f ca="1">Output_BS!Q36/Output_BS!Q$42</f>
        <v>0.31425082071943666</v>
      </c>
      <c r="R32" s="467">
        <f ca="1">Output_BS!R36/Output_BS!R$42</f>
        <v>0.30465687498890459</v>
      </c>
      <c r="S32" s="467">
        <f ca="1">Output_BS!S36/Output_BS!S$42</f>
        <v>0.28785133010006586</v>
      </c>
      <c r="T32" s="467">
        <f ca="1">Output_BS!T36/Output_BS!T$42</f>
        <v>0.28387660771079209</v>
      </c>
    </row>
    <row r="33" spans="2:20" x14ac:dyDescent="0.3">
      <c r="B33" s="198" t="s">
        <v>264</v>
      </c>
      <c r="C33" s="198"/>
      <c r="D33" s="198"/>
      <c r="E33" s="468" t="s">
        <v>121</v>
      </c>
      <c r="F33" s="441">
        <f>Output_BS!F38/Output_BS!F$42</f>
        <v>-6.3242132178358682E-2</v>
      </c>
      <c r="G33" s="441">
        <f>Output_BS!G38/Output_BS!G$42</f>
        <v>0</v>
      </c>
      <c r="H33" s="441">
        <f>Output_BS!H38/Output_BS!H$42</f>
        <v>0.29443215708911841</v>
      </c>
      <c r="I33" s="441">
        <f>Output_BS!I38/Output_BS!I$42</f>
        <v>0.22589937068589425</v>
      </c>
      <c r="J33" s="441">
        <f>Output_BS!J38/Output_BS!J$42</f>
        <v>0.14606616157906896</v>
      </c>
      <c r="K33" s="441">
        <f>Output_BS!K38/Output_BS!K$42</f>
        <v>0.20010724660790247</v>
      </c>
      <c r="L33" s="441">
        <f>Output_BS!L38/Output_BS!L$42</f>
        <v>0.1816280612365519</v>
      </c>
      <c r="M33" s="441">
        <f>Output_BS!M38/Output_BS!M$42</f>
        <v>0.11127449278694618</v>
      </c>
      <c r="N33" s="441">
        <f>Output_BS!N38/Output_BS!N$42</f>
        <v>0.17502031331727963</v>
      </c>
      <c r="O33" s="441">
        <f ca="1">Output_BS!O38/Output_BS!O$42</f>
        <v>0.2125070548782034</v>
      </c>
      <c r="P33" s="467">
        <f ca="1">Output_BS!P38/Output_BS!P$42</f>
        <v>0.23780143645867877</v>
      </c>
      <c r="Q33" s="467">
        <f ca="1">Output_BS!Q38/Output_BS!Q$42</f>
        <v>0.25837390211008177</v>
      </c>
      <c r="R33" s="467">
        <f ca="1">Output_BS!R38/Output_BS!R$42</f>
        <v>0.2599483878397581</v>
      </c>
      <c r="S33" s="467">
        <f ca="1">Output_BS!S38/Output_BS!S$42</f>
        <v>0.25860392894017575</v>
      </c>
      <c r="T33" s="467">
        <f ca="1">Output_BS!T38/Output_BS!T$42</f>
        <v>0.25090920219090085</v>
      </c>
    </row>
    <row r="34" spans="2:20" x14ac:dyDescent="0.3">
      <c r="B34" s="198" t="s">
        <v>265</v>
      </c>
      <c r="C34" s="198"/>
      <c r="D34" s="198"/>
      <c r="E34" s="468" t="s">
        <v>121</v>
      </c>
      <c r="F34" s="441">
        <f>Output_BS!F40/Output_BS!F$42</f>
        <v>0</v>
      </c>
      <c r="G34" s="441">
        <f>Output_BS!G40/Output_BS!G$42</f>
        <v>3.4911552562275766E-2</v>
      </c>
      <c r="H34" s="441">
        <f>Output_BS!H40/Output_BS!H$42</f>
        <v>1.6964413870264282E-3</v>
      </c>
      <c r="I34" s="441">
        <f>Output_BS!I40/Output_BS!I$42</f>
        <v>1.5796720384440625E-2</v>
      </c>
      <c r="J34" s="441">
        <f>Output_BS!J40/Output_BS!J$42</f>
        <v>3.4170816805974717E-2</v>
      </c>
      <c r="K34" s="441">
        <f>Output_BS!K40/Output_BS!K$42</f>
        <v>4.3312566580509533E-2</v>
      </c>
      <c r="L34" s="441">
        <f>Output_BS!L40/Output_BS!L$42</f>
        <v>3.5359215390341252E-2</v>
      </c>
      <c r="M34" s="441">
        <f>Output_BS!M40/Output_BS!M$42</f>
        <v>-5.0792470717092018E-6</v>
      </c>
      <c r="N34" s="441">
        <f>Output_BS!N40/Output_BS!N$42</f>
        <v>-5.0314558559397954E-6</v>
      </c>
      <c r="O34" s="441">
        <f ca="1">Output_BS!O40/Output_BS!O$42</f>
        <v>0</v>
      </c>
      <c r="P34" s="467">
        <f ca="1">Output_BS!P40/Output_BS!P$42</f>
        <v>0</v>
      </c>
      <c r="Q34" s="467">
        <f ca="1">Output_BS!Q40/Output_BS!Q$42</f>
        <v>0</v>
      </c>
      <c r="R34" s="467">
        <f ca="1">Output_BS!R40/Output_BS!R$42</f>
        <v>0</v>
      </c>
      <c r="S34" s="467">
        <f ca="1">Output_BS!S40/Output_BS!S$42</f>
        <v>0</v>
      </c>
      <c r="T34" s="467">
        <f ca="1">Output_BS!T40/Output_BS!T$42</f>
        <v>0</v>
      </c>
    </row>
    <row r="35" spans="2:20" x14ac:dyDescent="0.3">
      <c r="B35" s="210" t="s">
        <v>266</v>
      </c>
      <c r="C35" s="210"/>
      <c r="D35" s="210"/>
      <c r="E35" s="469" t="s">
        <v>121</v>
      </c>
      <c r="F35" s="459">
        <f>Output_BS!F41/Output_BS!F$42</f>
        <v>0.62654969450911391</v>
      </c>
      <c r="G35" s="459">
        <f>Output_BS!G41/Output_BS!G$42</f>
        <v>0.42136891123752862</v>
      </c>
      <c r="H35" s="459">
        <f>Output_BS!H41/Output_BS!H$42</f>
        <v>0.64847580357361456</v>
      </c>
      <c r="I35" s="459">
        <f>Output_BS!I41/Output_BS!I$42</f>
        <v>0.5498056683167547</v>
      </c>
      <c r="J35" s="459">
        <f>Output_BS!J41/Output_BS!J$42</f>
        <v>0.61014462549845727</v>
      </c>
      <c r="K35" s="459">
        <f>Output_BS!K41/Output_BS!K$42</f>
        <v>0.70604673827972941</v>
      </c>
      <c r="L35" s="459">
        <f>Output_BS!L41/Output_BS!L$42</f>
        <v>0.67397171886537111</v>
      </c>
      <c r="M35" s="459">
        <f>Output_BS!M41/Output_BS!M$42</f>
        <v>0.61935186375567508</v>
      </c>
      <c r="N35" s="459">
        <f>Output_BS!N41/Output_BS!N$42</f>
        <v>0.71485352582021977</v>
      </c>
      <c r="O35" s="459">
        <f ca="1">Output_BS!O41/Output_BS!O$42</f>
        <v>0.69736824079738002</v>
      </c>
      <c r="P35" s="473">
        <f ca="1">Output_BS!P41/Output_BS!P$42</f>
        <v>0.68078851626165238</v>
      </c>
      <c r="Q35" s="473">
        <f ca="1">Output_BS!Q41/Output_BS!Q$42</f>
        <v>0.68477652196732985</v>
      </c>
      <c r="R35" s="473">
        <f ca="1">Output_BS!R41/Output_BS!R$42</f>
        <v>0.67908827277015271</v>
      </c>
      <c r="S35" s="473">
        <f ca="1">Output_BS!S41/Output_BS!S$42</f>
        <v>0.65878529733882618</v>
      </c>
      <c r="T35" s="473">
        <f ca="1">Output_BS!T41/Output_BS!T$42</f>
        <v>0.64982878487645634</v>
      </c>
    </row>
    <row r="36" spans="2:20" ht="15" thickBot="1" x14ac:dyDescent="0.35">
      <c r="B36" s="206" t="s">
        <v>531</v>
      </c>
      <c r="C36" s="206"/>
      <c r="D36" s="206"/>
      <c r="E36" s="460" t="s">
        <v>121</v>
      </c>
      <c r="F36" s="470">
        <f>Output_BS!F42/Output_BS!F$42</f>
        <v>1</v>
      </c>
      <c r="G36" s="470">
        <f>Output_BS!G42/Output_BS!G$42</f>
        <v>1</v>
      </c>
      <c r="H36" s="470">
        <f>Output_BS!H42/Output_BS!H$42</f>
        <v>1</v>
      </c>
      <c r="I36" s="470">
        <f>Output_BS!I42/Output_BS!I$42</f>
        <v>1</v>
      </c>
      <c r="J36" s="470">
        <f>Output_BS!J42/Output_BS!J$42</f>
        <v>1</v>
      </c>
      <c r="K36" s="470">
        <f>Output_BS!K42/Output_BS!K$42</f>
        <v>1</v>
      </c>
      <c r="L36" s="470">
        <f>Output_BS!L42/Output_BS!L$42</f>
        <v>1</v>
      </c>
      <c r="M36" s="470">
        <f>Output_BS!M42/Output_BS!M$42</f>
        <v>1</v>
      </c>
      <c r="N36" s="470">
        <f>Output_BS!N42/Output_BS!N$42</f>
        <v>1</v>
      </c>
      <c r="O36" s="470">
        <f ca="1">Output_BS!O42/Output_BS!O$42</f>
        <v>1</v>
      </c>
      <c r="P36" s="470">
        <f ca="1">Output_BS!P42/Output_BS!P$42</f>
        <v>1</v>
      </c>
      <c r="Q36" s="470">
        <f ca="1">Output_BS!Q42/Output_BS!Q$42</f>
        <v>1</v>
      </c>
      <c r="R36" s="470">
        <f ca="1">Output_BS!R42/Output_BS!R$42</f>
        <v>1</v>
      </c>
      <c r="S36" s="470">
        <f ca="1">Output_BS!S42/Output_BS!S$42</f>
        <v>1</v>
      </c>
      <c r="T36" s="470">
        <f ca="1">Output_BS!T42/Output_BS!T$42</f>
        <v>1</v>
      </c>
    </row>
    <row r="37" spans="2:20" ht="15" thickTop="1" x14ac:dyDescent="0.3">
      <c r="B37" s="198"/>
    </row>
    <row r="38" spans="2:20" x14ac:dyDescent="0.3">
      <c r="B38" s="198"/>
    </row>
    <row r="39" spans="2:20" x14ac:dyDescent="0.3">
      <c r="B39" s="115"/>
    </row>
    <row r="40" spans="2:20" x14ac:dyDescent="0.3">
      <c r="B40" s="198"/>
    </row>
    <row r="41" spans="2:20" x14ac:dyDescent="0.3">
      <c r="B41" s="198"/>
    </row>
    <row r="42" spans="2:20" x14ac:dyDescent="0.3">
      <c r="B42" s="198"/>
    </row>
  </sheetData>
  <pageMargins left="0.7" right="0.7" top="0.75" bottom="0.75" header="0.3" footer="0.3"/>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BFBFBF"/>
  </sheetPr>
  <dimension ref="B2:T43"/>
  <sheetViews>
    <sheetView zoomScale="115" zoomScaleNormal="115" zoomScalePageLayoutView="115" workbookViewId="0">
      <pane xSplit="2" ySplit="3" topLeftCell="L4" activePane="bottomRight" state="frozen"/>
      <selection pane="topRight" activeCell="C1" sqref="C1"/>
      <selection pane="bottomLeft" activeCell="A4" sqref="A4"/>
      <selection pane="bottomRight" activeCell="W28" sqref="W28"/>
    </sheetView>
  </sheetViews>
  <sheetFormatPr defaultColWidth="8.88671875" defaultRowHeight="14.4" x14ac:dyDescent="0.3"/>
  <cols>
    <col min="1" max="1" width="8.88671875" style="54"/>
    <col min="2" max="2" width="33" style="54" bestFit="1" customWidth="1"/>
    <col min="3" max="4" width="4.33203125" style="54" customWidth="1"/>
    <col min="5" max="7" width="9.33203125" style="54" bestFit="1" customWidth="1"/>
    <col min="8" max="20" width="9.44140625" style="54" bestFit="1" customWidth="1"/>
    <col min="21" max="16384" width="8.88671875" style="54"/>
  </cols>
  <sheetData>
    <row r="2" spans="2:20" x14ac:dyDescent="0.3">
      <c r="C2" s="115"/>
      <c r="D2" s="115"/>
      <c r="E2" s="118" t="str">
        <f t="shared" ref="E2:T2" ca="1" si="0">IF(TODAY()&lt;E3,"Proj","")</f>
        <v/>
      </c>
      <c r="F2" s="118" t="str">
        <f t="shared" ca="1" si="0"/>
        <v/>
      </c>
      <c r="G2" s="118" t="str">
        <f t="shared" ca="1" si="0"/>
        <v/>
      </c>
      <c r="H2" s="118" t="str">
        <f t="shared" ca="1" si="0"/>
        <v/>
      </c>
      <c r="I2" s="118" t="str">
        <f t="shared" ca="1" si="0"/>
        <v/>
      </c>
      <c r="J2" s="118" t="str">
        <f t="shared" ca="1" si="0"/>
        <v/>
      </c>
      <c r="K2" s="118" t="str">
        <f t="shared" ca="1" si="0"/>
        <v/>
      </c>
      <c r="L2" s="118" t="str">
        <f t="shared" ca="1" si="0"/>
        <v/>
      </c>
      <c r="M2" s="118" t="str">
        <f t="shared" ca="1" si="0"/>
        <v/>
      </c>
      <c r="N2" s="118" t="str">
        <f t="shared" ca="1" si="0"/>
        <v/>
      </c>
      <c r="O2" s="118" t="str">
        <f t="shared" ca="1" si="0"/>
        <v/>
      </c>
      <c r="P2" s="118" t="str">
        <f ca="1">IF(TODAY()&lt;P3,"Proj","")</f>
        <v/>
      </c>
      <c r="Q2" s="118" t="str">
        <f t="shared" ca="1" si="0"/>
        <v/>
      </c>
      <c r="R2" s="118" t="str">
        <f t="shared" ca="1" si="0"/>
        <v/>
      </c>
      <c r="S2" s="118" t="str">
        <f t="shared" ca="1" si="0"/>
        <v/>
      </c>
      <c r="T2" s="118" t="str">
        <f t="shared" ca="1" si="0"/>
        <v>Proj</v>
      </c>
    </row>
    <row r="3" spans="2:20" ht="15" thickBot="1" x14ac:dyDescent="0.35">
      <c r="B3" s="204" t="s">
        <v>561</v>
      </c>
      <c r="C3" s="211"/>
      <c r="D3" s="211"/>
      <c r="E3" s="208">
        <v>39447</v>
      </c>
      <c r="F3" s="208">
        <v>39813</v>
      </c>
      <c r="G3" s="208">
        <v>40178</v>
      </c>
      <c r="H3" s="208">
        <v>40543</v>
      </c>
      <c r="I3" s="208">
        <v>40908</v>
      </c>
      <c r="J3" s="208">
        <v>41274</v>
      </c>
      <c r="K3" s="208">
        <v>41639</v>
      </c>
      <c r="L3" s="208">
        <v>42004</v>
      </c>
      <c r="M3" s="208">
        <v>42369</v>
      </c>
      <c r="N3" s="208">
        <v>42735</v>
      </c>
      <c r="O3" s="208">
        <v>43100</v>
      </c>
      <c r="P3" s="208">
        <v>43465</v>
      </c>
      <c r="Q3" s="208">
        <v>43830</v>
      </c>
      <c r="R3" s="208">
        <v>44196</v>
      </c>
      <c r="S3" s="208">
        <v>44561</v>
      </c>
      <c r="T3" s="208">
        <v>44926</v>
      </c>
    </row>
    <row r="4" spans="2:20" s="198" customFormat="1" ht="15" thickTop="1" x14ac:dyDescent="0.3">
      <c r="B4" s="210"/>
      <c r="C4" s="210"/>
      <c r="D4" s="210"/>
      <c r="E4" s="210"/>
      <c r="F4" s="210"/>
      <c r="G4" s="210"/>
      <c r="H4" s="210"/>
      <c r="I4" s="210"/>
      <c r="J4" s="210"/>
      <c r="K4" s="210"/>
      <c r="L4" s="210"/>
      <c r="M4" s="210"/>
      <c r="N4" s="210"/>
      <c r="O4" s="210"/>
      <c r="P4" s="210"/>
      <c r="Q4" s="210"/>
      <c r="R4" s="210"/>
      <c r="S4" s="210"/>
      <c r="T4" s="210"/>
    </row>
    <row r="5" spans="2:20" x14ac:dyDescent="0.3">
      <c r="B5" s="210" t="s">
        <v>562</v>
      </c>
      <c r="C5" s="210"/>
      <c r="D5" s="210"/>
      <c r="E5" s="210"/>
      <c r="F5" s="210"/>
      <c r="G5" s="210"/>
      <c r="H5" s="210"/>
      <c r="I5" s="210"/>
      <c r="J5" s="210"/>
      <c r="K5" s="210"/>
      <c r="L5" s="210"/>
      <c r="M5" s="210"/>
      <c r="N5" s="210"/>
      <c r="O5" s="210"/>
      <c r="P5" s="210"/>
      <c r="Q5" s="210"/>
      <c r="R5" s="210"/>
      <c r="S5" s="210"/>
      <c r="T5" s="210"/>
    </row>
    <row r="6" spans="2:20" x14ac:dyDescent="0.3">
      <c r="B6" s="215" t="s">
        <v>563</v>
      </c>
      <c r="C6" s="215"/>
      <c r="D6" s="215"/>
      <c r="E6" s="474">
        <f>Input!D104</f>
        <v>1.357032</v>
      </c>
      <c r="F6" s="474">
        <f>Input!E104</f>
        <v>6.72</v>
      </c>
      <c r="G6" s="474">
        <f>Input!F104</f>
        <v>6.72</v>
      </c>
      <c r="H6" s="474">
        <f>Input!G104</f>
        <v>6.25</v>
      </c>
      <c r="I6" s="474">
        <f>Input!H104</f>
        <v>10.156019000000001</v>
      </c>
      <c r="J6" s="474">
        <f>Input!I104</f>
        <v>20.312038000000001</v>
      </c>
      <c r="K6" s="474">
        <f>Input!J104</f>
        <v>21.327638</v>
      </c>
      <c r="L6" s="474">
        <f>Input!K104</f>
        <v>27</v>
      </c>
      <c r="M6" s="474">
        <f>Input!L104</f>
        <v>27</v>
      </c>
      <c r="N6" s="474">
        <f>Input!M104</f>
        <v>27</v>
      </c>
      <c r="O6" s="474">
        <f>Input!N104</f>
        <v>27</v>
      </c>
      <c r="P6" s="475">
        <f>Input!O104</f>
        <v>27</v>
      </c>
      <c r="Q6" s="475">
        <f>Input!P104</f>
        <v>27</v>
      </c>
      <c r="R6" s="475">
        <f>Input!Q104</f>
        <v>27</v>
      </c>
      <c r="S6" s="475">
        <f>Input!R104</f>
        <v>27</v>
      </c>
      <c r="T6" s="475">
        <f>Input!S104</f>
        <v>27</v>
      </c>
    </row>
    <row r="7" spans="2:20" x14ac:dyDescent="0.3">
      <c r="B7" s="202" t="s">
        <v>2</v>
      </c>
      <c r="C7" s="202"/>
      <c r="D7" s="202"/>
      <c r="E7" s="268">
        <f>Output_IS!E5</f>
        <v>0</v>
      </c>
      <c r="F7" s="268">
        <f>Output_IS!F5</f>
        <v>7.8663824360000003</v>
      </c>
      <c r="G7" s="268">
        <f>Output_IS!G5</f>
        <v>75.687354268999997</v>
      </c>
      <c r="H7" s="268">
        <f>Output_IS!H5</f>
        <v>285.40842659899999</v>
      </c>
      <c r="I7" s="268">
        <f>Output_IS!I5</f>
        <v>731.81939765599998</v>
      </c>
      <c r="J7" s="268">
        <f>Output_IS!J5</f>
        <v>801.188394926</v>
      </c>
      <c r="K7" s="268">
        <f>Output_IS!K5</f>
        <v>949.78055784599997</v>
      </c>
      <c r="L7" s="268">
        <f>Output_IS!L5</f>
        <v>1085.5814541719999</v>
      </c>
      <c r="M7" s="268">
        <f>Output_IS!M5</f>
        <v>950.20789748599998</v>
      </c>
      <c r="N7" s="268">
        <f>Output_IS!N5</f>
        <v>890.56689622900001</v>
      </c>
      <c r="O7" s="436">
        <f>Output_IS!O5</f>
        <v>1121.1689489322985</v>
      </c>
      <c r="P7" s="476">
        <f>Output_IS!P5</f>
        <v>1278.0186963731614</v>
      </c>
      <c r="Q7" s="476">
        <f>Output_IS!Q5</f>
        <v>1330.1872125925233</v>
      </c>
      <c r="R7" s="476">
        <f>Output_IS!R5</f>
        <v>1371.5386846361603</v>
      </c>
      <c r="S7" s="476">
        <f>Output_IS!S5</f>
        <v>1542.5586989198246</v>
      </c>
      <c r="T7" s="476">
        <f>Output_IS!T5</f>
        <v>1590.1482758013935</v>
      </c>
    </row>
    <row r="8" spans="2:20" x14ac:dyDescent="0.3">
      <c r="B8" s="202" t="s">
        <v>526</v>
      </c>
      <c r="C8" s="202"/>
      <c r="D8" s="202"/>
      <c r="E8" s="268">
        <f>Output_BS!E18</f>
        <v>12.654372351999999</v>
      </c>
      <c r="F8" s="268">
        <f>Output_BS!F18</f>
        <v>97.42069621600001</v>
      </c>
      <c r="G8" s="268">
        <f>Output_BS!G18</f>
        <v>173.88723100099998</v>
      </c>
      <c r="H8" s="268">
        <f>Output_BS!H18</f>
        <v>359.57623096499992</v>
      </c>
      <c r="I8" s="268">
        <f>Output_BS!I18</f>
        <v>705.273812593</v>
      </c>
      <c r="J8" s="268">
        <f>Output_BS!J18</f>
        <v>623.73245860700013</v>
      </c>
      <c r="K8" s="268">
        <f>Output_BS!K18</f>
        <v>628.14309298499995</v>
      </c>
      <c r="L8" s="268">
        <f>Output_BS!L18</f>
        <v>641.52213940800004</v>
      </c>
      <c r="M8" s="268">
        <f>Output_BS!M18</f>
        <v>643.79620716099998</v>
      </c>
      <c r="N8" s="268">
        <f>Output_BS!N18</f>
        <v>649.91129677499998</v>
      </c>
      <c r="O8" s="436">
        <f ca="1">Output_BS!O18</f>
        <v>736.09636806892968</v>
      </c>
      <c r="P8" s="476">
        <f ca="1">Output_BS!P18</f>
        <v>819.2949757578931</v>
      </c>
      <c r="Q8" s="476">
        <f ca="1">Output_BS!Q18</f>
        <v>864.58224477501062</v>
      </c>
      <c r="R8" s="476">
        <f ca="1">Output_BS!R18</f>
        <v>891.80879312142531</v>
      </c>
      <c r="S8" s="476">
        <f ca="1">Output_BS!S18</f>
        <v>943.87502015554469</v>
      </c>
      <c r="T8" s="476">
        <f ca="1">Output_BS!T18</f>
        <v>957.09076626982335</v>
      </c>
    </row>
    <row r="9" spans="2:20" x14ac:dyDescent="0.3">
      <c r="B9" s="202" t="s">
        <v>564</v>
      </c>
      <c r="C9" s="202"/>
      <c r="D9" s="202"/>
      <c r="E9" s="268">
        <f>Output_BS!E41</f>
        <v>11.885273598000001</v>
      </c>
      <c r="F9" s="268">
        <f>Output_BS!F41</f>
        <v>61.038907453</v>
      </c>
      <c r="G9" s="268">
        <f>Output_BS!G41</f>
        <v>73.270673205000008</v>
      </c>
      <c r="H9" s="268">
        <f>Output_BS!H41</f>
        <v>233.17648532100003</v>
      </c>
      <c r="I9" s="268">
        <f>Output_BS!I41</f>
        <v>387.76353987900001</v>
      </c>
      <c r="J9" s="268">
        <f>Output_BS!J41</f>
        <v>380.56700736799996</v>
      </c>
      <c r="K9" s="268">
        <f>Output_BS!K41</f>
        <v>443.49838197499997</v>
      </c>
      <c r="L9" s="268">
        <f>Output_BS!L41</f>
        <v>432.36777898699995</v>
      </c>
      <c r="M9" s="268">
        <f>Output_BS!M41</f>
        <v>398.736380784</v>
      </c>
      <c r="N9" s="268">
        <f>Output_BS!N41</f>
        <v>464.59138196999999</v>
      </c>
      <c r="O9" s="436">
        <f ca="1">Output_BS!O41</f>
        <v>513.33022925757029</v>
      </c>
      <c r="P9" s="476">
        <f ca="1">Output_BS!P41</f>
        <v>557.76661092684253</v>
      </c>
      <c r="Q9" s="476">
        <f ca="1">Output_BS!Q41</f>
        <v>592.04562253173845</v>
      </c>
      <c r="R9" s="476">
        <f ca="1">Output_BS!R41</f>
        <v>605.61689296206328</v>
      </c>
      <c r="S9" s="476">
        <f ca="1">Output_BS!S41</f>
        <v>621.81098580386094</v>
      </c>
      <c r="T9" s="476">
        <f ca="1">Output_BS!T41</f>
        <v>621.94512966159562</v>
      </c>
    </row>
    <row r="10" spans="2:20" s="198" customFormat="1" x14ac:dyDescent="0.3">
      <c r="B10" s="210" t="s">
        <v>237</v>
      </c>
      <c r="C10" s="210"/>
      <c r="D10" s="210"/>
      <c r="E10" s="618"/>
      <c r="F10" s="618">
        <f>'Fixed Assets (F)'!E8/F7</f>
        <v>8.1419044693138041</v>
      </c>
      <c r="G10" s="618">
        <f>'Fixed Assets (F)'!F8/G7</f>
        <v>0.64668738265101844</v>
      </c>
      <c r="H10" s="618">
        <f>'Fixed Assets (F)'!G8/H7</f>
        <v>0.26221327239979331</v>
      </c>
      <c r="I10" s="618">
        <f>'Fixed Assets (F)'!H8/I7</f>
        <v>0.23703320721561333</v>
      </c>
      <c r="J10" s="618">
        <f>'Fixed Assets (F)'!I8/J7</f>
        <v>6.1306330159133997E-2</v>
      </c>
      <c r="K10" s="618">
        <f>'Fixed Assets (F)'!J8/K7</f>
        <v>1.0319381204462585E-2</v>
      </c>
      <c r="L10" s="618">
        <f>'Fixed Assets (F)'!K8/L7</f>
        <v>8.6395198288953118E-2</v>
      </c>
      <c r="M10" s="618">
        <f>'Fixed Assets (F)'!L8/M7</f>
        <v>0.13182343760497478</v>
      </c>
      <c r="N10" s="618">
        <f>-'DCF 2017'!D12/N7</f>
        <v>3.6685024996257136E-2</v>
      </c>
      <c r="O10" s="618">
        <f>-'DCF 2017'!E12/O7</f>
        <v>5.4824175654230513E-2</v>
      </c>
      <c r="P10" s="618">
        <f>-'DCF 2017'!F12/P7</f>
        <v>6.3904812975650177E-2</v>
      </c>
      <c r="Q10" s="618">
        <f>-'DCF 2017'!G12/Q7</f>
        <v>2.3058760053557503E-2</v>
      </c>
      <c r="R10" s="618">
        <f>-'DCF 2017'!H12/R7</f>
        <v>3.6927318161702159E-2</v>
      </c>
      <c r="S10" s="618">
        <f>-'DCF 2017'!I12/S7</f>
        <v>1.9876380776875136E-2</v>
      </c>
      <c r="T10" s="618">
        <f>-'DCF 2017'!J12/T7</f>
        <v>3.1858705573424358E-2</v>
      </c>
    </row>
    <row r="11" spans="2:20" x14ac:dyDescent="0.3">
      <c r="B11" s="210" t="s">
        <v>565</v>
      </c>
      <c r="C11" s="210"/>
      <c r="D11" s="210"/>
      <c r="E11" s="210"/>
      <c r="F11" s="210"/>
      <c r="G11" s="210"/>
      <c r="H11" s="210"/>
      <c r="I11" s="210"/>
      <c r="J11" s="210"/>
      <c r="K11" s="210"/>
      <c r="L11" s="210"/>
      <c r="M11" s="210"/>
      <c r="N11" s="210"/>
      <c r="O11" s="210"/>
      <c r="P11" s="210"/>
      <c r="Q11" s="210"/>
      <c r="R11" s="210"/>
      <c r="S11" s="210"/>
      <c r="T11" s="210"/>
    </row>
    <row r="12" spans="2:20" x14ac:dyDescent="0.3">
      <c r="B12" s="215" t="s">
        <v>125</v>
      </c>
      <c r="C12" s="215"/>
      <c r="D12" s="215"/>
      <c r="E12" s="477" t="str">
        <f>Input!D14</f>
        <v>na</v>
      </c>
      <c r="F12" s="477">
        <f>Input!E14</f>
        <v>9.7157808588394942E-2</v>
      </c>
      <c r="G12" s="477">
        <f>Input!F14</f>
        <v>0.33137353666585456</v>
      </c>
      <c r="H12" s="477">
        <f>Input!G14</f>
        <v>0.46064987680171265</v>
      </c>
      <c r="I12" s="477">
        <f>Input!H14</f>
        <v>0.37752608347075944</v>
      </c>
      <c r="J12" s="477">
        <f>Input!I14</f>
        <v>0.23093311397513314</v>
      </c>
      <c r="K12" s="477">
        <f>Input!J14</f>
        <v>0.21635496802653931</v>
      </c>
      <c r="L12" s="477">
        <f>Input!K14</f>
        <v>0.21143338188018945</v>
      </c>
      <c r="M12" s="477">
        <f>Input!L14</f>
        <v>0.24486550114410952</v>
      </c>
      <c r="N12" s="477">
        <f>Input!M14</f>
        <v>0.26781131161276756</v>
      </c>
      <c r="O12" s="477">
        <f>Input!N14</f>
        <v>0.22465156938365163</v>
      </c>
      <c r="P12" s="478">
        <f>Input!O14</f>
        <v>0.2021793664739048</v>
      </c>
      <c r="Q12" s="478">
        <f>Input!P14</f>
        <v>0.18700545754633086</v>
      </c>
      <c r="R12" s="478">
        <f>Input!Q14</f>
        <v>0.16073911341449501</v>
      </c>
      <c r="S12" s="478">
        <f>Input!R14</f>
        <v>0.15564477705526461</v>
      </c>
      <c r="T12" s="478">
        <f>Input!S14</f>
        <v>0.1397609926967501</v>
      </c>
    </row>
    <row r="13" spans="2:20" x14ac:dyDescent="0.3">
      <c r="B13" s="202" t="s">
        <v>172</v>
      </c>
      <c r="C13" s="202"/>
      <c r="D13" s="202"/>
      <c r="E13" s="455">
        <f>Input!D25</f>
        <v>0</v>
      </c>
      <c r="F13" s="455">
        <f>Input!E25</f>
        <v>-0.35880023085112045</v>
      </c>
      <c r="G13" s="455">
        <f>Input!F25</f>
        <v>0.31056297516304449</v>
      </c>
      <c r="H13" s="455">
        <f>Input!G25</f>
        <v>0.4591055451179839</v>
      </c>
      <c r="I13" s="455">
        <f>Input!H25</f>
        <v>0.44551716758300236</v>
      </c>
      <c r="J13" s="455">
        <f>Input!I25</f>
        <v>0.32259994404670872</v>
      </c>
      <c r="K13" s="455">
        <f>Input!J25</f>
        <v>0.28140703575165904</v>
      </c>
      <c r="L13" s="455">
        <f>Input!K25</f>
        <v>0.19287376656199359</v>
      </c>
      <c r="M13" s="455">
        <f>Input!L25</f>
        <v>0.2187914635797511</v>
      </c>
      <c r="N13" s="455">
        <f>Input!M25</f>
        <v>0.23582240126517867</v>
      </c>
      <c r="O13" s="455">
        <f>Input!N25</f>
        <v>0.1814332991628341</v>
      </c>
      <c r="P13" s="464">
        <f>Input!O25</f>
        <v>0.15870351952237968</v>
      </c>
      <c r="Q13" s="464">
        <f>Input!P25</f>
        <v>0.13315525773172573</v>
      </c>
      <c r="R13" s="464">
        <f>Input!Q25</f>
        <v>0.11185184086466297</v>
      </c>
      <c r="S13" s="464">
        <f>Input!R25</f>
        <v>9.1180356401964688E-2</v>
      </c>
      <c r="T13" s="464">
        <f>Input!S25</f>
        <v>7.2929420726658881E-2</v>
      </c>
    </row>
    <row r="14" spans="2:20" x14ac:dyDescent="0.3">
      <c r="B14" s="202" t="s">
        <v>177</v>
      </c>
      <c r="C14" s="202"/>
      <c r="D14" s="202"/>
      <c r="E14" s="455">
        <f>Input!D36</f>
        <v>0</v>
      </c>
      <c r="F14" s="455">
        <f>Input!E36</f>
        <v>-0.64654414928066684</v>
      </c>
      <c r="G14" s="455">
        <f>Input!F36</f>
        <v>0.20559805668056672</v>
      </c>
      <c r="H14" s="455">
        <f>Input!G36</f>
        <v>0.38778724147658988</v>
      </c>
      <c r="I14" s="455">
        <f>Input!H36</f>
        <v>0.33288743759906902</v>
      </c>
      <c r="J14" s="455">
        <f>Input!I36</f>
        <v>0.1725704603244661</v>
      </c>
      <c r="K14" s="455">
        <f>Input!J36</f>
        <v>0.14146305502053169</v>
      </c>
      <c r="L14" s="455">
        <f>Input!K36</f>
        <v>0.11942816229564862</v>
      </c>
      <c r="M14" s="455">
        <f>Input!L36</f>
        <v>0.15181010588909088</v>
      </c>
      <c r="N14" s="455">
        <f>Input!M36</f>
        <v>0.16850338105360332</v>
      </c>
      <c r="O14" s="455">
        <f>Input!N36</f>
        <v>0.13123544348613492</v>
      </c>
      <c r="P14" s="464">
        <f>Input!O36</f>
        <v>0.10792784044653649</v>
      </c>
      <c r="Q14" s="464">
        <f>Input!P36</f>
        <v>9.17707393183642E-2</v>
      </c>
      <c r="R14" s="464">
        <f>Input!Q36</f>
        <v>6.6348829115615848E-2</v>
      </c>
      <c r="S14" s="464">
        <f>Input!R36</f>
        <v>6.0900889592089169E-2</v>
      </c>
      <c r="T14" s="464">
        <f>Input!S36</f>
        <v>4.4180068406772785E-2</v>
      </c>
    </row>
    <row r="15" spans="2:20" x14ac:dyDescent="0.3">
      <c r="B15" s="202" t="s">
        <v>202</v>
      </c>
      <c r="C15" s="202"/>
      <c r="D15" s="202"/>
      <c r="E15" s="457">
        <f>Input!D78</f>
        <v>0</v>
      </c>
      <c r="F15" s="455">
        <f>Input!E78</f>
        <v>-0.56746551865712014</v>
      </c>
      <c r="G15" s="455">
        <f>Input!F78</f>
        <v>0.16181133605850118</v>
      </c>
      <c r="H15" s="455">
        <f>Input!G78</f>
        <v>0.36908896370114774</v>
      </c>
      <c r="I15" s="455">
        <f>Input!H78</f>
        <v>0.27805043387036499</v>
      </c>
      <c r="J15" s="455">
        <f>Input!I78</f>
        <v>0.14728104858146226</v>
      </c>
      <c r="K15" s="455">
        <f>Input!J78</f>
        <v>0.12068255163376915</v>
      </c>
      <c r="L15" s="455">
        <f>Input!K78</f>
        <v>0.10389529021387449</v>
      </c>
      <c r="M15" s="455">
        <f>Input!L78</f>
        <v>0.12556227620151722</v>
      </c>
      <c r="N15" s="455">
        <f>Input!M78</f>
        <v>0.13603884937448552</v>
      </c>
      <c r="O15" s="455">
        <f ca="1">Input!N78</f>
        <v>0.10761145037564696</v>
      </c>
      <c r="P15" s="464">
        <f ca="1">Input!O78</f>
        <v>8.9561216312861916E-2</v>
      </c>
      <c r="Q15" s="464">
        <f ca="1">Input!P78</f>
        <v>7.7169598777002996E-2</v>
      </c>
      <c r="R15" s="464">
        <f ca="1">Input!Q78</f>
        <v>5.7286932965560103E-2</v>
      </c>
      <c r="S15" s="464">
        <f ca="1">Input!R78</f>
        <v>5.2912759978140163E-2</v>
      </c>
      <c r="T15" s="464">
        <f ca="1">Input!S78</f>
        <v>3.9585414682551688E-2</v>
      </c>
    </row>
    <row r="16" spans="2:20" x14ac:dyDescent="0.3">
      <c r="B16" s="198" t="s">
        <v>566</v>
      </c>
      <c r="C16" s="198"/>
      <c r="D16" s="198"/>
      <c r="E16" s="437" t="s">
        <v>121</v>
      </c>
      <c r="F16" s="441">
        <f>Input!E77*2/SUM(Input!D$172:E$172)</f>
        <v>-8.1106482095759574E-2</v>
      </c>
      <c r="G16" s="441">
        <f>Input!F77*2/SUM(Input!E$172:F$172)</f>
        <v>9.0281710841456003E-2</v>
      </c>
      <c r="H16" s="441">
        <f>Input!G77*2/SUM(Input!F$172:G$172)</f>
        <v>0.39493276640458602</v>
      </c>
      <c r="I16" s="441">
        <f>Input!H77*2/SUM(Input!G$172:H$172)</f>
        <v>0.38218095076204356</v>
      </c>
      <c r="J16" s="441">
        <f>Input!I77*2/SUM(Input!H$172:I$172)</f>
        <v>0.17757608744683245</v>
      </c>
      <c r="K16" s="441">
        <f>Input!J77*2/SUM(Input!I$172:J$172)</f>
        <v>0.18312034461769966</v>
      </c>
      <c r="L16" s="441">
        <f>Input!K77*2/SUM(Input!J$172:K$172)</f>
        <v>0.17766383981299549</v>
      </c>
      <c r="M16" s="441">
        <f>Input!L77*2/SUM(Input!K$172:L$172)</f>
        <v>0.1856509195429821</v>
      </c>
      <c r="N16" s="441">
        <f>Input!M77*2/SUM(Input!L$172:M$172)</f>
        <v>0.18729379784132938</v>
      </c>
      <c r="O16" s="441">
        <f ca="1">Input!N77*2/SUM(Input!M$172:N$172)</f>
        <v>0.17409805121724209</v>
      </c>
      <c r="P16" s="467">
        <f ca="1">Input!O77*2/SUM(Input!N$172:O$172)</f>
        <v>0.1471795627152501</v>
      </c>
      <c r="Q16" s="467">
        <f ca="1">Input!P77*2/SUM(Input!O$172:P$172)</f>
        <v>0.12192101923153154</v>
      </c>
      <c r="R16" s="467">
        <f ca="1">Input!Q77*2/SUM(Input!P$172:Q$172)</f>
        <v>8.9468965613176937E-2</v>
      </c>
      <c r="S16" s="467">
        <f ca="1">Input!R77*2/SUM(Input!Q$172:R$172)</f>
        <v>8.892712088846183E-2</v>
      </c>
      <c r="T16" s="467">
        <f ca="1">Input!S77*2/SUM(Input!R$172:S$172)</f>
        <v>6.6225998756884022E-2</v>
      </c>
    </row>
    <row r="17" spans="2:20" x14ac:dyDescent="0.3">
      <c r="B17" s="198" t="s">
        <v>567</v>
      </c>
      <c r="C17" s="198"/>
      <c r="D17" s="198"/>
      <c r="E17" s="437" t="s">
        <v>121</v>
      </c>
      <c r="F17" s="441">
        <f>Input!E77*2/SUM(Input!D$243:E$243)</f>
        <v>-0.12242580512157256</v>
      </c>
      <c r="G17" s="441">
        <f>Input!F77*2/SUM(Input!E$243:F$243)</f>
        <v>0.1823707863132325</v>
      </c>
      <c r="H17" s="441">
        <f>Input!G77*2/SUM(Input!F$243:G$243)</f>
        <v>0.68749927988686166</v>
      </c>
      <c r="I17" s="441">
        <f>Input!H77*2/SUM(Input!G$243:H$243)</f>
        <v>0.65540210897971907</v>
      </c>
      <c r="J17" s="441">
        <f>Input!I77*2/SUM(Input!H$243:I$243)</f>
        <v>0.30715911879022517</v>
      </c>
      <c r="K17" s="441">
        <f>Input!J77*2/SUM(Input!I$243:J$243)</f>
        <v>0.27818651940808786</v>
      </c>
      <c r="L17" s="441">
        <f>Input!K77*2/SUM(Input!J$243:K$243)</f>
        <v>0.25754345871319295</v>
      </c>
      <c r="M17" s="441">
        <f>Input!L77*2/SUM(Input!K$243:L$243)</f>
        <v>0.28711266829869914</v>
      </c>
      <c r="N17" s="441">
        <f>Input!M77*2/SUM(Input!L$243:M$243)</f>
        <v>0.28066211022225968</v>
      </c>
      <c r="O17" s="441">
        <f ca="1">Input!N77*2/SUM(Input!M$243:N$243)</f>
        <v>0.2467490549867149</v>
      </c>
      <c r="P17" s="467">
        <f ca="1">Input!O77*2/SUM(Input!N$243:O$243)</f>
        <v>0.2137265364316667</v>
      </c>
      <c r="Q17" s="467">
        <f ca="1">Input!P77*2/SUM(Input!O$243:P$243)</f>
        <v>0.17855091554435562</v>
      </c>
      <c r="R17" s="467">
        <f ca="1">Input!Q77*2/SUM(Input!P$243:Q$243)</f>
        <v>0.13120765436000795</v>
      </c>
      <c r="S17" s="467">
        <f ca="1">Input!R77*2/SUM(Input!Q$243:R$243)</f>
        <v>0.13299524900835716</v>
      </c>
      <c r="T17" s="467">
        <f ca="1">Input!S77*2/SUM(Input!R$243:S$243)</f>
        <v>0.10122029250209703</v>
      </c>
    </row>
    <row r="18" spans="2:20" x14ac:dyDescent="0.3">
      <c r="B18" s="115" t="s">
        <v>219</v>
      </c>
      <c r="C18" s="115"/>
      <c r="D18" s="115"/>
      <c r="E18" s="479"/>
      <c r="F18" s="479"/>
      <c r="G18" s="479">
        <f>Input!F105</f>
        <v>1822.4809400297609</v>
      </c>
      <c r="H18" s="479">
        <f>Input!G105</f>
        <v>15960.012420799998</v>
      </c>
      <c r="I18" s="479">
        <f>Input!H105</f>
        <v>19455.623139145362</v>
      </c>
      <c r="J18" s="479">
        <f>Input!I105</f>
        <v>5449.3263177235085</v>
      </c>
      <c r="K18" s="479">
        <f>Input!J105</f>
        <v>5016.1728345633001</v>
      </c>
      <c r="L18" s="479">
        <f>Input!K105</f>
        <v>3534.3212222222155</v>
      </c>
      <c r="M18" s="479">
        <f>Input!L105</f>
        <v>3963.3432027037074</v>
      </c>
      <c r="N18" s="479">
        <f>Input!M105</f>
        <v>3931.5442908888886</v>
      </c>
      <c r="O18" s="479">
        <f ca="1">Input!N105</f>
        <v>3805.0213810211212</v>
      </c>
      <c r="P18" s="480">
        <f ca="1">Input!O105</f>
        <v>3645.7919136767518</v>
      </c>
      <c r="Q18" s="480">
        <f ca="1">Input!P105</f>
        <v>3269.5930224035519</v>
      </c>
      <c r="R18" s="480">
        <f ca="1">Input!Q105</f>
        <v>2502.6396455675854</v>
      </c>
      <c r="S18" s="480">
        <f ca="1">Input!R105</f>
        <v>2599.7812163628773</v>
      </c>
      <c r="T18" s="480">
        <f ca="1">Input!S105</f>
        <v>2004.9682910272134</v>
      </c>
    </row>
    <row r="19" spans="2:20" x14ac:dyDescent="0.3">
      <c r="B19" s="198" t="s">
        <v>295</v>
      </c>
      <c r="C19" s="198"/>
      <c r="D19" s="198"/>
      <c r="E19" s="198"/>
      <c r="F19" s="198"/>
      <c r="G19" s="198"/>
      <c r="H19" s="198"/>
      <c r="I19" s="198"/>
      <c r="J19" s="198"/>
      <c r="K19" s="198"/>
      <c r="L19" s="198"/>
      <c r="M19" s="434">
        <f>'DCF 2017'!C15</f>
        <v>186.95821301280012</v>
      </c>
      <c r="N19" s="434">
        <f>'DCF 2017'!D15</f>
        <v>123.06889436059996</v>
      </c>
      <c r="O19" s="434">
        <f ca="1">'DCF 2017'!E15</f>
        <v>32.296389226937926</v>
      </c>
      <c r="P19" s="481">
        <f ca="1">'DCF 2017'!F15</f>
        <v>69.24280388780366</v>
      </c>
      <c r="Q19" s="481">
        <f ca="1">'DCF 2017'!G15</f>
        <v>108.04862465746278</v>
      </c>
      <c r="R19" s="481">
        <f ca="1">'DCF 2017'!H15</f>
        <v>77.731135247432476</v>
      </c>
      <c r="S19" s="481">
        <f ca="1">'DCF 2017'!I15</f>
        <v>69.58641017471956</v>
      </c>
      <c r="T19" s="481">
        <f ca="1">'DCF 2017'!J15</f>
        <v>44.248940404032098</v>
      </c>
    </row>
    <row r="20" spans="2:20" x14ac:dyDescent="0.3">
      <c r="B20" s="198" t="s">
        <v>296</v>
      </c>
      <c r="C20" s="198"/>
      <c r="D20" s="198"/>
      <c r="E20" s="198"/>
      <c r="F20" s="198"/>
      <c r="G20" s="198"/>
      <c r="H20" s="198"/>
      <c r="I20" s="198"/>
      <c r="J20" s="198"/>
      <c r="K20" s="198"/>
      <c r="L20" s="198"/>
      <c r="M20" s="434">
        <f>'DCF 2017'!C59</f>
        <v>192.7025821900001</v>
      </c>
      <c r="N20" s="434">
        <f>'DCF 2017'!D59</f>
        <v>89.513492206999956</v>
      </c>
      <c r="O20" s="434">
        <f ca="1">'DCF 2017'!E59</f>
        <v>24.216777815763209</v>
      </c>
      <c r="P20" s="481">
        <f ca="1">'DCF 2017'!F59</f>
        <v>71.817308142458472</v>
      </c>
      <c r="Q20" s="481">
        <f ca="1">'DCF 2017'!G59</f>
        <v>101.30894494733457</v>
      </c>
      <c r="R20" s="481">
        <f ca="1">'DCF 2017'!H59</f>
        <v>71.549666064801883</v>
      </c>
      <c r="S20" s="481">
        <f ca="1">'DCF 2017'!I59</f>
        <v>67.567805292490519</v>
      </c>
      <c r="T20" s="481">
        <f ca="1">'DCF 2017'!J59</f>
        <v>37.65056747490123</v>
      </c>
    </row>
    <row r="21" spans="2:20" x14ac:dyDescent="0.3">
      <c r="B21" s="115" t="s">
        <v>568</v>
      </c>
      <c r="C21" s="115"/>
      <c r="D21" s="115"/>
      <c r="E21" s="115"/>
      <c r="F21" s="115"/>
      <c r="G21" s="115"/>
      <c r="H21" s="115"/>
      <c r="I21" s="115"/>
      <c r="J21" s="115"/>
      <c r="K21" s="115"/>
      <c r="L21" s="115"/>
      <c r="M21" s="115"/>
      <c r="N21" s="115"/>
      <c r="O21" s="641">
        <f t="shared" ref="O21:T21" ca="1" si="1">IF(O19&lt;0,"",O7/O19)</f>
        <v>34.714993711964205</v>
      </c>
      <c r="P21" s="495">
        <f t="shared" ca="1" si="1"/>
        <v>18.457061595078908</v>
      </c>
      <c r="Q21" s="495">
        <f t="shared" ca="1" si="1"/>
        <v>12.311005501546187</v>
      </c>
      <c r="R21" s="495">
        <f t="shared" ca="1" si="1"/>
        <v>17.644650116974372</v>
      </c>
      <c r="S21" s="495">
        <f t="shared" ca="1" si="1"/>
        <v>22.16752804242558</v>
      </c>
      <c r="T21" s="495">
        <f t="shared" ca="1" si="1"/>
        <v>35.936414776985131</v>
      </c>
    </row>
    <row r="22" spans="2:20" ht="8.1" customHeight="1" x14ac:dyDescent="0.3">
      <c r="B22" s="198"/>
      <c r="C22" s="198"/>
      <c r="D22" s="198"/>
      <c r="E22" s="198"/>
      <c r="F22" s="198"/>
      <c r="G22" s="198"/>
      <c r="H22" s="198"/>
      <c r="I22" s="198"/>
      <c r="J22" s="198"/>
      <c r="K22" s="198"/>
      <c r="L22" s="198"/>
      <c r="M22" s="198"/>
      <c r="N22" s="198"/>
      <c r="O22" s="198"/>
      <c r="P22" s="198"/>
      <c r="Q22" s="198"/>
      <c r="R22" s="198"/>
      <c r="S22" s="198"/>
      <c r="T22" s="198"/>
    </row>
    <row r="23" spans="2:20" x14ac:dyDescent="0.3">
      <c r="B23" s="210" t="s">
        <v>569</v>
      </c>
      <c r="C23" s="210"/>
      <c r="D23" s="210"/>
      <c r="E23" s="210"/>
      <c r="F23" s="210"/>
      <c r="G23" s="210"/>
      <c r="H23" s="210"/>
      <c r="I23" s="210"/>
      <c r="J23" s="210"/>
      <c r="K23" s="210"/>
      <c r="L23" s="210"/>
      <c r="M23" s="210"/>
      <c r="N23" s="210"/>
      <c r="O23" s="210"/>
      <c r="P23" s="210"/>
      <c r="Q23" s="210"/>
      <c r="R23" s="210"/>
      <c r="S23" s="210"/>
      <c r="T23" s="210"/>
    </row>
    <row r="24" spans="2:20" x14ac:dyDescent="0.3">
      <c r="B24" s="215" t="s">
        <v>570</v>
      </c>
      <c r="C24" s="215"/>
      <c r="D24" s="215"/>
      <c r="E24" s="446" t="s">
        <v>121</v>
      </c>
      <c r="F24" s="505">
        <f>365/(F7/AVERAGE(Input!D127:E127))</f>
        <v>88.954222779412291</v>
      </c>
      <c r="G24" s="505">
        <f>365/(G7/AVERAGE(Input!E127:F127))</f>
        <v>66.571173524078475</v>
      </c>
      <c r="H24" s="505">
        <f>365/(H7/AVERAGE(Input!F127:G127))</f>
        <v>55.404623932012541</v>
      </c>
      <c r="I24" s="505">
        <f>365/(I7/AVERAGE(Input!G127:H127))</f>
        <v>46.38659429407744</v>
      </c>
      <c r="J24" s="505">
        <f>365/(J7/AVERAGE(Input!H127:I127))</f>
        <v>59.234230850286878</v>
      </c>
      <c r="K24" s="505">
        <f>365/(K7/AVERAGE(Input!I127:J127))</f>
        <v>55.606473074955694</v>
      </c>
      <c r="L24" s="505">
        <f>365/(L7/AVERAGE(Input!J127:K127))</f>
        <v>51.441918620635811</v>
      </c>
      <c r="M24" s="505">
        <f>365/(M7/AVERAGE(Input!K127:L127))</f>
        <v>54.866525724832897</v>
      </c>
      <c r="N24" s="505">
        <f>365/(N7/AVERAGE(Input!L127:M127))</f>
        <v>48.857793339720168</v>
      </c>
      <c r="O24" s="505">
        <f>365/(O7/AVERAGE(Input!M127:N127))</f>
        <v>43.157487638993999</v>
      </c>
      <c r="P24" s="506">
        <f>365/(P7/AVERAGE(Input!N127:O127))</f>
        <v>48.548183929715343</v>
      </c>
      <c r="Q24" s="506">
        <f>365/(Q7/AVERAGE(Input!O127:P127))</f>
        <v>50.70783698355212</v>
      </c>
      <c r="R24" s="506">
        <f>365/(R7/AVERAGE(Input!P127:Q127))</f>
        <v>50.942376790101889</v>
      </c>
      <c r="S24" s="506">
        <f>365/(S7/AVERAGE(Input!Q127:R127))</f>
        <v>48.854923918645284</v>
      </c>
      <c r="T24" s="506">
        <f>365/(T7/AVERAGE(Input!R127:S127))</f>
        <v>50.948116226526579</v>
      </c>
    </row>
    <row r="25" spans="2:20" x14ac:dyDescent="0.3">
      <c r="B25" s="198" t="s">
        <v>571</v>
      </c>
      <c r="C25" s="198"/>
      <c r="D25" s="198"/>
      <c r="E25" s="437" t="s">
        <v>121</v>
      </c>
      <c r="F25" s="258">
        <f>365/(Input!E11/AVERAGE(Input!D140:E140))</f>
        <v>4.4801790621491628</v>
      </c>
      <c r="G25" s="258">
        <f>365/(Input!F11/AVERAGE(Input!E140:F140))</f>
        <v>1.9516127483134904</v>
      </c>
      <c r="H25" s="258">
        <f>365/(Input!G11/AVERAGE(Input!F140:G140))</f>
        <v>6.1349367867278257</v>
      </c>
      <c r="I25" s="258">
        <f>365/(Input!H11/AVERAGE(Input!G140:H140))</f>
        <v>5.9324875719072629</v>
      </c>
      <c r="J25" s="258">
        <f>365/(Input!I11/AVERAGE(Input!H140:I140))</f>
        <v>9.3317970523243012</v>
      </c>
      <c r="K25" s="258">
        <f>365/(Input!J11/AVERAGE(Input!I140:J140))</f>
        <v>10.953953702928734</v>
      </c>
      <c r="L25" s="258">
        <f>365/(Input!K11/AVERAGE(Input!J140:K140))</f>
        <v>9.6156661527080249</v>
      </c>
      <c r="M25" s="258">
        <f>365/(Input!L11/AVERAGE(Input!K140:L140))</f>
        <v>12.304720533224435</v>
      </c>
      <c r="N25" s="258">
        <f>365/(Input!M11/AVERAGE(Input!L140:M140))</f>
        <v>19.167694853272781</v>
      </c>
      <c r="O25" s="258">
        <f>365/(Input!N11/AVERAGE(Input!M140:N140))</f>
        <v>16.325517351253456</v>
      </c>
      <c r="P25" s="259">
        <f>365/(Input!O11/AVERAGE(Input!N140:O140))</f>
        <v>13.894208090550876</v>
      </c>
      <c r="Q25" s="259">
        <f>365/(Input!P11/AVERAGE(Input!O140:P140))</f>
        <v>14.571366322535003</v>
      </c>
      <c r="R25" s="259">
        <f>365/(Input!Q11/AVERAGE(Input!P140:Q140))</f>
        <v>14.546226788461643</v>
      </c>
      <c r="S25" s="259">
        <f>365/(Input!R11/AVERAGE(Input!Q140:R140))</f>
        <v>14.128258157920619</v>
      </c>
      <c r="T25" s="259">
        <f>365/(Input!S11/AVERAGE(Input!R140:S140))</f>
        <v>14.641203389719607</v>
      </c>
    </row>
    <row r="26" spans="2:20" x14ac:dyDescent="0.3">
      <c r="B26" s="198" t="s">
        <v>572</v>
      </c>
      <c r="C26" s="198"/>
      <c r="D26" s="198"/>
      <c r="E26" s="437" t="s">
        <v>121</v>
      </c>
      <c r="F26" s="258">
        <f>365/((Output_IS!F6+Output_BS!F9-Output_BS!E9)/AVERAGE(Input!D188:E188,Input!D192:E192,Input!D196:E196))</f>
        <v>74.149605142839832</v>
      </c>
      <c r="G26" s="258">
        <f>365/((Output_IS!G6+Output_BS!G9-Output_BS!F9)/AVERAGE(Input!E188:F188,Input!E192:F192,Input!E196:F196))</f>
        <v>38.005548059063337</v>
      </c>
      <c r="H26" s="258">
        <f>365/((Output_IS!H6+Output_BS!H9-Output_BS!G9)/AVERAGE(Input!F188:G188,Input!F192:G192,Input!F196:G196))</f>
        <v>26.193348017407207</v>
      </c>
      <c r="I26" s="258">
        <f>365/((Output_IS!I6+Output_BS!I9-Output_BS!H9)/AVERAGE(Input!G188:H188,Input!G192:H192,Input!G196:H196))</f>
        <v>20.853509115640055</v>
      </c>
      <c r="J26" s="258">
        <f>365/((Output_IS!J6+Output_BS!J9-Output_BS!I9)/AVERAGE(Input!H188:I188,Input!H192:I192,Input!H196:I196))</f>
        <v>20.878784985817049</v>
      </c>
      <c r="K26" s="258">
        <f>365/((Output_IS!K6+Output_BS!K9-Output_BS!J9)/AVERAGE(Input!I188:J188,Input!I192:J192,Input!I196:J196))</f>
        <v>16.496294467314783</v>
      </c>
      <c r="L26" s="258">
        <f>365/((Output_IS!L6+Output_BS!L9-Output_BS!K9)/AVERAGE(Input!J188:K188,Input!J192:K192,Input!J196:K196))</f>
        <v>16.426106001810439</v>
      </c>
      <c r="M26" s="258">
        <f>365/((Output_IS!M6+Output_BS!M9-Output_BS!L9)/AVERAGE(Input!K188:L188,Input!K192:L192,Input!K196:L196))</f>
        <v>20.90712460603827</v>
      </c>
      <c r="N26" s="258">
        <f>365/((Output_IS!N6+Output_BS!N9-Output_BS!M9)/AVERAGE(Input!L188:M188,Input!L192:M192,Input!L196:M196))</f>
        <v>20.982902739663658</v>
      </c>
      <c r="O26" s="258">
        <f>365/((Output_IS!O6+Output_BS!O9-Output_BS!N9)/AVERAGE(Input!M188:N188,Input!M192:N192,Input!M196:N196))</f>
        <v>18.097257604858136</v>
      </c>
      <c r="P26" s="259">
        <f>365/((Output_IS!P6+Output_BS!P9-Output_BS!O9)/AVERAGE(Input!N188:O188,Input!N192:O192,Input!N196:O196))</f>
        <v>18.550089888776608</v>
      </c>
      <c r="Q26" s="259">
        <f>365/((Output_IS!Q6+Output_BS!Q9-Output_BS!P9)/AVERAGE(Input!O188:P188,Input!O192:P192,Input!O196:P196))</f>
        <v>19.533791670721911</v>
      </c>
      <c r="R26" s="259">
        <f>365/((Output_IS!R6+Output_BS!R9-Output_BS!Q9)/AVERAGE(Input!P188:Q188,Input!P192:Q192,Input!P196:Q196))</f>
        <v>19.40022339165942</v>
      </c>
      <c r="S26" s="259">
        <f>365/((Output_IS!S6+Output_BS!S9-Output_BS!R9)/AVERAGE(Input!Q188:R188,Input!Q192:R192,Input!Q196:R196))</f>
        <v>18.772960725219495</v>
      </c>
      <c r="T26" s="259">
        <f>365/((Output_IS!T6+Output_BS!T9-Output_BS!S9)/AVERAGE(Input!R188:S188,Input!R192:S192,Input!R196:S196))</f>
        <v>19.470841904076114</v>
      </c>
    </row>
    <row r="27" spans="2:20" x14ac:dyDescent="0.3">
      <c r="B27" s="198" t="s">
        <v>573</v>
      </c>
      <c r="C27" s="198"/>
      <c r="D27" s="198"/>
      <c r="E27" s="437" t="s">
        <v>121</v>
      </c>
      <c r="F27" s="258">
        <f>F7/AVERAGE(Output_BS!E14:F14)</f>
        <v>0.2330689579112861</v>
      </c>
      <c r="G27" s="258">
        <f>G7/AVERAGE(Output_BS!F14:G14)</f>
        <v>0.88702982616095272</v>
      </c>
      <c r="H27" s="258">
        <f>H7/AVERAGE(Output_BS!G14:H14)</f>
        <v>2.0315922596828631</v>
      </c>
      <c r="I27" s="258">
        <f>I7/AVERAGE(Output_BS!H14:I14)</f>
        <v>3.1217044570701229</v>
      </c>
      <c r="J27" s="258">
        <f>J7/AVERAGE(Output_BS!I14:J14)</f>
        <v>3.0967063060203803</v>
      </c>
      <c r="K27" s="258">
        <f>K7/AVERAGE(Output_BS!J14:K14)</f>
        <v>5.889431806301177</v>
      </c>
      <c r="L27" s="258">
        <f>L7/AVERAGE(Output_BS!K14:L14)</f>
        <v>10.379472762378956</v>
      </c>
      <c r="M27" s="258">
        <f>M7/AVERAGE(Output_BS!L14:M14)</f>
        <v>6.7358895070275366</v>
      </c>
      <c r="N27" s="258">
        <f>N7/AVERAGE(Output_BS!M14:N14)</f>
        <v>5.6920478012416735</v>
      </c>
      <c r="O27" s="258">
        <f>O7/AVERAGE(Output_BS!N14:O14)</f>
        <v>8.9536718688263139</v>
      </c>
      <c r="P27" s="259">
        <f>P7/AVERAGE(Output_BS!O14:P14)</f>
        <v>11.036613890628445</v>
      </c>
      <c r="Q27" s="259">
        <f>Q7/AVERAGE(Output_BS!P14:Q14)</f>
        <v>11.930390167395855</v>
      </c>
      <c r="R27" s="259">
        <f>R7/AVERAGE(Output_BS!Q14:R14)</f>
        <v>14.680417550372264</v>
      </c>
      <c r="S27" s="259">
        <f>S7/AVERAGE(Output_BS!R14:S14)</f>
        <v>19.39794095184946</v>
      </c>
      <c r="T27" s="259">
        <f>T7/AVERAGE(Output_BS!S14:T14)</f>
        <v>21.336331433826036</v>
      </c>
    </row>
    <row r="28" spans="2:20" x14ac:dyDescent="0.3">
      <c r="B28" s="198" t="s">
        <v>574</v>
      </c>
      <c r="C28" s="198"/>
      <c r="D28" s="198"/>
      <c r="E28" s="437" t="s">
        <v>121</v>
      </c>
      <c r="F28" s="258">
        <f>F7/AVERAGE(Output_BS!E18:F18)</f>
        <v>0.14292759547345568</v>
      </c>
      <c r="G28" s="258">
        <f>G7/AVERAGE(Output_BS!F18:G18)</f>
        <v>0.55794428895152071</v>
      </c>
      <c r="H28" s="258">
        <f>H7/AVERAGE(Output_BS!G18:H18)</f>
        <v>1.0700205241692464</v>
      </c>
      <c r="I28" s="258">
        <f>I7/AVERAGE(Output_BS!H18:I18)</f>
        <v>1.37450226364411</v>
      </c>
      <c r="J28" s="258">
        <f>J7/AVERAGE(Output_BS!I18:J18)</f>
        <v>1.2056954316740471</v>
      </c>
      <c r="K28" s="258">
        <f>K7/AVERAGE(Output_BS!J18:K18)</f>
        <v>1.5173721647302267</v>
      </c>
      <c r="L28" s="258">
        <f>L7/AVERAGE(Output_BS!K18:L18)</f>
        <v>1.7100278506105921</v>
      </c>
      <c r="M28" s="258">
        <f>M7/AVERAGE(Output_BS!L18:M18)</f>
        <v>1.4785564992866767</v>
      </c>
      <c r="N28" s="258">
        <f>N7/AVERAGE(Output_BS!M18:N18)</f>
        <v>1.3767669948879828</v>
      </c>
      <c r="O28" s="258">
        <f ca="1">O7/AVERAGE(Output_BS!N18:O18)</f>
        <v>1.617839464197403</v>
      </c>
      <c r="P28" s="259">
        <f ca="1">P7/AVERAGE(Output_BS!O18:P18)</f>
        <v>1.643340374042169</v>
      </c>
      <c r="Q28" s="259">
        <f ca="1">Q7/AVERAGE(Output_BS!P18:Q18)</f>
        <v>1.5799099796261313</v>
      </c>
      <c r="R28" s="259">
        <f ca="1">R7/AVERAGE(Output_BS!Q18:R18)</f>
        <v>1.5617691676208971</v>
      </c>
      <c r="S28" s="259">
        <f ca="1">S7/AVERAGE(Output_BS!R18:S18)</f>
        <v>1.6806365973954163</v>
      </c>
      <c r="T28" s="259">
        <f ca="1">T7/AVERAGE(Output_BS!S18:T18)</f>
        <v>1.6729898950907003</v>
      </c>
    </row>
    <row r="29" spans="2:20" ht="6.9" customHeight="1" x14ac:dyDescent="0.3">
      <c r="B29" s="198"/>
      <c r="C29" s="198"/>
      <c r="D29" s="198"/>
      <c r="E29" s="198"/>
      <c r="F29" s="198"/>
      <c r="G29" s="198"/>
      <c r="H29" s="198"/>
      <c r="I29" s="198"/>
      <c r="J29" s="198"/>
      <c r="K29" s="198"/>
      <c r="L29" s="198"/>
      <c r="M29" s="198"/>
      <c r="N29" s="198"/>
      <c r="O29" s="198"/>
      <c r="P29" s="198"/>
      <c r="Q29" s="198"/>
      <c r="R29" s="198"/>
      <c r="S29" s="198"/>
      <c r="T29" s="198"/>
    </row>
    <row r="30" spans="2:20" x14ac:dyDescent="0.3">
      <c r="B30" s="210" t="s">
        <v>575</v>
      </c>
      <c r="C30" s="210"/>
      <c r="D30" s="210"/>
      <c r="E30" s="210"/>
      <c r="F30" s="210"/>
      <c r="G30" s="210"/>
      <c r="H30" s="210"/>
      <c r="I30" s="210"/>
      <c r="J30" s="210"/>
      <c r="K30" s="210"/>
      <c r="L30" s="210"/>
      <c r="M30" s="210"/>
      <c r="N30" s="210"/>
      <c r="O30" s="210"/>
      <c r="P30" s="210"/>
      <c r="Q30" s="210"/>
      <c r="R30" s="210"/>
      <c r="S30" s="210"/>
      <c r="T30" s="210"/>
    </row>
    <row r="31" spans="2:20" x14ac:dyDescent="0.3">
      <c r="B31" s="215" t="s">
        <v>576</v>
      </c>
      <c r="C31" s="215"/>
      <c r="D31" s="215"/>
      <c r="E31" s="505">
        <f>Output_BS!E11-Output_BS!E25</f>
        <v>10.420145171</v>
      </c>
      <c r="F31" s="505">
        <f>Output_BS!F11-Output_BS!F25</f>
        <v>15.103982177000002</v>
      </c>
      <c r="G31" s="505">
        <f>Output_BS!G11-Output_BS!G25</f>
        <v>17.92861048999999</v>
      </c>
      <c r="H31" s="505">
        <f>Output_BS!H11-Output_BS!H25</f>
        <v>96.121727951999958</v>
      </c>
      <c r="I31" s="505">
        <f>Output_BS!I11-Output_BS!I25</f>
        <v>189.02615266400002</v>
      </c>
      <c r="J31" s="505">
        <f>Output_BS!J11-Output_BS!J25</f>
        <v>149.99264086000002</v>
      </c>
      <c r="K31" s="505">
        <f>Output_BS!K11-Output_BS!K25</f>
        <v>363.49776965199999</v>
      </c>
      <c r="L31" s="505">
        <f>Output_BS!L11-Output_BS!L25</f>
        <v>336.80327397900004</v>
      </c>
      <c r="M31" s="505">
        <f>Output_BS!M11-Output_BS!M25</f>
        <v>264.45687470499996</v>
      </c>
      <c r="N31" s="505">
        <f>Output_BS!N11-Output_BS!N25</f>
        <v>343.24630532799995</v>
      </c>
      <c r="O31" s="505">
        <f ca="1">Output_BS!O11-Output_BS!O25</f>
        <v>366.59090725755271</v>
      </c>
      <c r="P31" s="506">
        <f ca="1">Output_BS!P11-Output_BS!P25</f>
        <v>396.22666811021924</v>
      </c>
      <c r="Q31" s="506">
        <f ca="1">Output_BS!Q11-Output_BS!Q25</f>
        <v>453.47342207598797</v>
      </c>
      <c r="R31" s="506">
        <f ca="1">Output_BS!R11-Output_BS!R25</f>
        <v>478.61571414215507</v>
      </c>
      <c r="S31" s="506">
        <f ca="1">Output_BS!S11-Output_BS!S25</f>
        <v>509.86120769021545</v>
      </c>
      <c r="T31" s="506">
        <f ca="1">Output_BS!T11-Output_BS!T25</f>
        <v>504.2181119311835</v>
      </c>
    </row>
    <row r="32" spans="2:20" x14ac:dyDescent="0.3">
      <c r="B32" s="202" t="s">
        <v>577</v>
      </c>
      <c r="C32" s="202"/>
      <c r="D32" s="202"/>
      <c r="E32" s="439">
        <f>(Output_BS!E11-Output_BS!E5)-(Output_BS!E25-Output_BS!E21-Output_BS!E22)</f>
        <v>4.4201451709999997</v>
      </c>
      <c r="F32" s="439">
        <f>(Output_BS!F11-Output_BS!F5)-(Output_BS!F25-Output_BS!F21-Output_BS!F22)</f>
        <v>2.3785443580000027</v>
      </c>
      <c r="G32" s="439">
        <f>(Output_BS!G11-Output_BS!G5)-(Output_BS!G25-Output_BS!G21-Output_BS!G22)</f>
        <v>18.161548498999991</v>
      </c>
      <c r="H32" s="439">
        <f>(Output_BS!H11-Output_BS!H5)-(Output_BS!H25-Output_BS!H21-Output_BS!H22)</f>
        <v>58.175466057999955</v>
      </c>
      <c r="I32" s="439">
        <f>(Output_BS!I11-Output_BS!I5)-(Output_BS!I25-Output_BS!I21-Output_BS!I22)</f>
        <v>79.524393838000009</v>
      </c>
      <c r="J32" s="439">
        <f>(Output_BS!J11-Output_BS!J5)-(Output_BS!J25-Output_BS!J21-Output_BS!J22)</f>
        <v>142.17659566000003</v>
      </c>
      <c r="K32" s="439">
        <f>(Output_BS!K11-Output_BS!K5)-(Output_BS!K25-Output_BS!K21-Output_BS!K22)</f>
        <v>215.508276502</v>
      </c>
      <c r="L32" s="439">
        <f>(Output_BS!L11-Output_BS!L5)-(Output_BS!L25-Output_BS!L21-Output_BS!L22)</f>
        <v>219.29351025900002</v>
      </c>
      <c r="M32" s="439">
        <f>(Output_BS!M11-Output_BS!M5)-(Output_BS!M25-Output_BS!M21-Output_BS!M22)</f>
        <v>53.178735060999969</v>
      </c>
      <c r="N32" s="439">
        <f>(Output_BS!N11-Output_BS!N5)-(Output_BS!N25-Output_BS!N21-Output_BS!N22)</f>
        <v>50.18588699</v>
      </c>
      <c r="O32" s="439">
        <f ca="1">(Output_BS!O11-Output_BS!O5)-(Output_BS!O25-Output_BS!O21-Output_BS!O22)</f>
        <v>112.71008709968203</v>
      </c>
      <c r="P32" s="448">
        <f ca="1">(Output_BS!P11-Output_BS!P5)-(Output_BS!P25-Output_BS!P21-Output_BS!P22)</f>
        <v>123.90062249361455</v>
      </c>
      <c r="Q32" s="448">
        <f ca="1">(Output_BS!Q11-Output_BS!Q5)-(Output_BS!Q25-Output_BS!Q21-Output_BS!Q22)</f>
        <v>127.5592135180068</v>
      </c>
      <c r="R32" s="448">
        <f ca="1">(Output_BS!R11-Output_BS!R5)-(Output_BS!R25-Output_BS!R21-Output_BS!R22)</f>
        <v>128.04536603613974</v>
      </c>
      <c r="S32" s="448">
        <f ca="1">(Output_BS!S11-Output_BS!S5)-(Output_BS!S25-Output_BS!S21-Output_BS!S22)</f>
        <v>142.84805895453607</v>
      </c>
      <c r="T32" s="448">
        <f ca="1">(Output_BS!T11-Output_BS!T5)-(Output_BS!T25-Output_BS!T21-Output_BS!T22)</f>
        <v>145.3481833236138</v>
      </c>
    </row>
    <row r="33" spans="2:20" x14ac:dyDescent="0.3">
      <c r="B33" s="198" t="s">
        <v>578</v>
      </c>
      <c r="C33" s="198"/>
      <c r="D33" s="198"/>
      <c r="E33" s="437" t="s">
        <v>121</v>
      </c>
      <c r="F33" s="258">
        <f>AVERAGE(Output_BS!E11:F11)/AVERAGE(Output_BS!E25:F25)</f>
        <v>2.6499578127466168</v>
      </c>
      <c r="G33" s="258">
        <f>AVERAGE(Output_BS!F11:G11)/AVERAGE(Output_BS!F25:G25)</f>
        <v>1.5061172317912415</v>
      </c>
      <c r="H33" s="258">
        <f>AVERAGE(Output_BS!G11:H11)/AVERAGE(Output_BS!G25:H25)</f>
        <v>1.8308643134043452</v>
      </c>
      <c r="I33" s="258">
        <f>AVERAGE(Output_BS!H11:I11)/AVERAGE(Output_BS!H25:I25)</f>
        <v>1.9697048455476125</v>
      </c>
      <c r="J33" s="258">
        <f>AVERAGE(Output_BS!I11:J11)/AVERAGE(Output_BS!I25:J25)</f>
        <v>1.906998243621786</v>
      </c>
      <c r="K33" s="258">
        <f>AVERAGE(Output_BS!J11:K11)/AVERAGE(Output_BS!J25:K25)</f>
        <v>2.6359199691920936</v>
      </c>
      <c r="L33" s="258">
        <f>AVERAGE(Output_BS!K11:L11)/AVERAGE(Output_BS!K25:L25)</f>
        <v>3.1109697700628627</v>
      </c>
      <c r="M33" s="258">
        <f>AVERAGE(Output_BS!L11:M11)/AVERAGE(Output_BS!L25:M25)</f>
        <v>2.5598467479790394</v>
      </c>
      <c r="N33" s="258">
        <f>AVERAGE(Output_BS!M11:N11)/AVERAGE(Output_BS!M25:N25)</f>
        <v>2.6952484049616108</v>
      </c>
      <c r="O33" s="258">
        <f ca="1">AVERAGE(Output_BS!N11:O11)/AVERAGE(Output_BS!N25:O25)</f>
        <v>2.9165791786718667</v>
      </c>
      <c r="P33" s="259">
        <f ca="1">AVERAGE(Output_BS!O11:P11)/AVERAGE(Output_BS!O25:P25)</f>
        <v>2.6486942110100786</v>
      </c>
      <c r="Q33" s="259">
        <f ca="1">AVERAGE(Output_BS!P11:Q11)/AVERAGE(Output_BS!P25:Q25)</f>
        <v>2.6585885784102441</v>
      </c>
      <c r="R33" s="259">
        <f ca="1">AVERAGE(Output_BS!Q11:R11)/AVERAGE(Output_BS!Q25:R25)</f>
        <v>2.7261303690289709</v>
      </c>
      <c r="S33" s="259">
        <f ca="1">AVERAGE(Output_BS!R11:S11)/AVERAGE(Output_BS!R25:S25)</f>
        <v>2.6722797264156237</v>
      </c>
      <c r="T33" s="259">
        <f ca="1">AVERAGE(Output_BS!S11:T11)/AVERAGE(Output_BS!S25:T25)</f>
        <v>2.5817736519389012</v>
      </c>
    </row>
    <row r="34" spans="2:20" x14ac:dyDescent="0.3">
      <c r="B34" s="198" t="s">
        <v>579</v>
      </c>
      <c r="C34" s="198"/>
      <c r="D34" s="198"/>
      <c r="E34" s="437" t="s">
        <v>121</v>
      </c>
      <c r="F34" s="258">
        <f>SUM(Output_BS!E5:F8)/SUM(Output_BS!E25:F25)</f>
        <v>2.561127277761214</v>
      </c>
      <c r="G34" s="258">
        <f>SUM(Output_BS!F5:G8)/SUM(Output_BS!F25:G25)</f>
        <v>1.4804585469881564</v>
      </c>
      <c r="H34" s="258">
        <f>SUM(Output_BS!G5:H8)/SUM(Output_BS!G25:H25)</f>
        <v>1.7888600080055927</v>
      </c>
      <c r="I34" s="258">
        <f>SUM(Output_BS!H5:I8)/SUM(Output_BS!H25:I25)</f>
        <v>1.8907011310212043</v>
      </c>
      <c r="J34" s="258">
        <f>SUM(Output_BS!I5:J8)/SUM(Output_BS!I25:J25)</f>
        <v>1.7950974098479413</v>
      </c>
      <c r="K34" s="258">
        <f>SUM(Output_BS!J5:K8)/SUM(Output_BS!J25:K25)</f>
        <v>2.472081582842506</v>
      </c>
      <c r="L34" s="258">
        <f>SUM(Output_BS!K5:L8)/SUM(Output_BS!K25:L25)</f>
        <v>2.9228846273261575</v>
      </c>
      <c r="M34" s="258">
        <f>SUM(Output_BS!L5:M8)/SUM(Output_BS!L25:M25)</f>
        <v>2.3777847826646585</v>
      </c>
      <c r="N34" s="258">
        <f>SUM(Output_BS!M5:N8)/SUM(Output_BS!M25:N25)</f>
        <v>2.4522615194209525</v>
      </c>
      <c r="O34" s="258">
        <f ca="1">SUM(Output_BS!N5:O8)/SUM(Output_BS!N25:O25)</f>
        <v>2.6471447087653779</v>
      </c>
      <c r="P34" s="259">
        <f ca="1">SUM(Output_BS!O5:P8)/SUM(Output_BS!O25:P25)</f>
        <v>2.4241222042699939</v>
      </c>
      <c r="Q34" s="259">
        <f ca="1">SUM(Output_BS!P5:Q8)/SUM(Output_BS!P25:Q25)</f>
        <v>2.434287023728618</v>
      </c>
      <c r="R34" s="259">
        <f ca="1">SUM(Output_BS!Q5:R8)/SUM(Output_BS!Q25:R25)</f>
        <v>2.501429215947697</v>
      </c>
      <c r="S34" s="259">
        <f ca="1">SUM(Output_BS!R5:S8)/SUM(Output_BS!R25:S25)</f>
        <v>2.4477076844385746</v>
      </c>
      <c r="T34" s="259">
        <f ca="1">SUM(Output_BS!S5:T8)/SUM(Output_BS!S25:T25)</f>
        <v>2.3570878376682751</v>
      </c>
    </row>
    <row r="35" spans="2:20" x14ac:dyDescent="0.3">
      <c r="B35" s="198" t="s">
        <v>580</v>
      </c>
      <c r="C35" s="198"/>
      <c r="D35" s="198"/>
      <c r="E35" s="437" t="s">
        <v>121</v>
      </c>
      <c r="F35" s="258">
        <f>SUM(Output_BS!E5:F7)/SUM(Output_BS!E25:F25)</f>
        <v>2.3017126952548677</v>
      </c>
      <c r="G35" s="258">
        <f>SUM(Output_BS!F5:G7)/SUM(Output_BS!F25:G25)</f>
        <v>1.0364165019967526</v>
      </c>
      <c r="H35" s="258">
        <f>SUM(Output_BS!G5:H7)/SUM(Output_BS!G25:H25)</f>
        <v>1.0335207802878019</v>
      </c>
      <c r="I35" s="258">
        <f>SUM(Output_BS!H5:I7)/SUM(Output_BS!H25:I25)</f>
        <v>1.158478854909132</v>
      </c>
      <c r="J35" s="258">
        <f>SUM(Output_BS!I5:J7)/SUM(Output_BS!I25:J25)</f>
        <v>1.0226540150711161</v>
      </c>
      <c r="K35" s="258">
        <f>SUM(Output_BS!J5:K7)/SUM(Output_BS!J25:K25)</f>
        <v>1.4503632197444962</v>
      </c>
      <c r="L35" s="258">
        <f>SUM(Output_BS!K5:L7)/SUM(Output_BS!K25:L25)</f>
        <v>1.9399814662858312</v>
      </c>
      <c r="M35" s="258">
        <f>SUM(Output_BS!L5:M7)/SUM(Output_BS!L25:M25)</f>
        <v>1.617402649465483</v>
      </c>
      <c r="N35" s="258">
        <f>SUM(Output_BS!M5:N7)/SUM(Output_BS!M25:N25)</f>
        <v>1.7780468004803409</v>
      </c>
      <c r="O35" s="258">
        <f ca="1">SUM(Output_BS!N5:O7)/SUM(Output_BS!N25:O25)</f>
        <v>1.9087985484301953</v>
      </c>
      <c r="P35" s="259">
        <f ca="1">SUM(Output_BS!O5:P7)/SUM(Output_BS!O25:P25)</f>
        <v>1.6495454512961243</v>
      </c>
      <c r="Q35" s="259">
        <f ca="1">SUM(Output_BS!P5:Q7)/SUM(Output_BS!P25:Q25)</f>
        <v>1.6732149602220727</v>
      </c>
      <c r="R35" s="259">
        <f ca="1">SUM(Output_BS!Q5:R7)/SUM(Output_BS!Q25:R25)</f>
        <v>1.7529763714550597</v>
      </c>
      <c r="S35" s="259">
        <f ca="1">SUM(Output_BS!R5:S7)/SUM(Output_BS!R25:S25)</f>
        <v>1.7097889079004418</v>
      </c>
      <c r="T35" s="259">
        <f ca="1">SUM(Output_BS!S5:T7)/SUM(Output_BS!S25:T25)</f>
        <v>1.6254276754022576</v>
      </c>
    </row>
    <row r="36" spans="2:20" ht="6" customHeight="1" x14ac:dyDescent="0.3">
      <c r="B36" s="198"/>
      <c r="C36" s="198"/>
      <c r="D36" s="198"/>
      <c r="E36" s="198"/>
      <c r="F36" s="198"/>
      <c r="G36" s="198"/>
      <c r="H36" s="198"/>
      <c r="I36" s="198"/>
      <c r="J36" s="198"/>
      <c r="K36" s="198"/>
      <c r="L36" s="198"/>
      <c r="M36" s="198"/>
      <c r="N36" s="198"/>
      <c r="O36" s="198"/>
      <c r="P36" s="198"/>
      <c r="Q36" s="198"/>
      <c r="R36" s="198"/>
      <c r="S36" s="198"/>
      <c r="T36" s="198"/>
    </row>
    <row r="37" spans="2:20" x14ac:dyDescent="0.3">
      <c r="B37" s="210" t="s">
        <v>581</v>
      </c>
      <c r="C37" s="210"/>
      <c r="D37" s="210"/>
      <c r="E37" s="210"/>
      <c r="F37" s="210"/>
      <c r="G37" s="210"/>
      <c r="H37" s="210"/>
      <c r="I37" s="210"/>
      <c r="J37" s="210"/>
      <c r="K37" s="210"/>
      <c r="L37" s="210"/>
      <c r="M37" s="210"/>
      <c r="N37" s="210"/>
      <c r="O37" s="210"/>
      <c r="P37" s="210"/>
      <c r="Q37" s="210"/>
      <c r="R37" s="210"/>
      <c r="S37" s="210"/>
      <c r="T37" s="210"/>
    </row>
    <row r="38" spans="2:20" x14ac:dyDescent="0.3">
      <c r="B38" s="215" t="s">
        <v>582</v>
      </c>
      <c r="C38" s="215"/>
      <c r="D38" s="215"/>
      <c r="E38" s="446" t="s">
        <v>121</v>
      </c>
      <c r="F38" s="505">
        <f>AVERAGE(Output_BS!E30:F30)/AVERAGE(Output_BS!E41:F41)</f>
        <v>0.50944538535192163</v>
      </c>
      <c r="G38" s="505">
        <f>AVERAGE(Output_BS!F30:G30)/AVERAGE(Output_BS!F41:G41)</f>
        <v>1.0200191668221088</v>
      </c>
      <c r="H38" s="505">
        <f>AVERAGE(Output_BS!G30:H30)/AVERAGE(Output_BS!G41:H41)</f>
        <v>0.74080081059305736</v>
      </c>
      <c r="I38" s="505">
        <f>AVERAGE(Output_BS!H30:I30)/AVERAGE(Output_BS!H41:I41)</f>
        <v>0.71489999088884626</v>
      </c>
      <c r="J38" s="505">
        <f>AVERAGE(Output_BS!I30:J30)/AVERAGE(Output_BS!I41:J41)</f>
        <v>0.72973243867753723</v>
      </c>
      <c r="K38" s="505">
        <f>AVERAGE(Output_BS!J30:K30)/AVERAGE(Output_BS!J41:K41)</f>
        <v>0.51914589276717338</v>
      </c>
      <c r="L38" s="505">
        <f>AVERAGE(Output_BS!K30:L30)/AVERAGE(Output_BS!K41:L41)</f>
        <v>0.44961101248445801</v>
      </c>
      <c r="M38" s="505">
        <f>AVERAGE(Output_BS!L30:M30)/AVERAGE(Output_BS!L41:M41)</f>
        <v>0.54651896691643664</v>
      </c>
      <c r="N38" s="505">
        <f>AVERAGE(Output_BS!M30:N30)/AVERAGE(Output_BS!M41:N41)</f>
        <v>0.49851256932720017</v>
      </c>
      <c r="O38" s="505">
        <f ca="1">AVERAGE(Output_BS!N30:O30)/AVERAGE(Output_BS!N41:O41)</f>
        <v>0.417299350920464</v>
      </c>
      <c r="P38" s="506">
        <f ca="1">AVERAGE(Output_BS!O30:P30)/AVERAGE(Output_BS!O41:P41)</f>
        <v>0.45214819563750003</v>
      </c>
      <c r="Q38" s="506">
        <f ca="1">AVERAGE(Output_BS!P30:Q30)/AVERAGE(Output_BS!P41:Q41)</f>
        <v>0.46448017470459552</v>
      </c>
      <c r="R38" s="506">
        <f ca="1">AVERAGE(Output_BS!Q30:R30)/AVERAGE(Output_BS!Q41:R41)</f>
        <v>0.4665158299391779</v>
      </c>
      <c r="S38" s="506">
        <f ca="1">AVERAGE(Output_BS!R30:S30)/AVERAGE(Output_BS!R41:S41)</f>
        <v>0.495553298921804</v>
      </c>
      <c r="T38" s="506">
        <f ca="1">AVERAGE(Output_BS!S30:T30)/AVERAGE(Output_BS!S41:T41)</f>
        <v>0.52840718754091154</v>
      </c>
    </row>
    <row r="39" spans="2:20" x14ac:dyDescent="0.3">
      <c r="B39" s="198" t="s">
        <v>583</v>
      </c>
      <c r="C39" s="198"/>
      <c r="D39" s="198"/>
      <c r="E39" s="437" t="s">
        <v>121</v>
      </c>
      <c r="F39" s="258">
        <f>SUM(Output_BS!E21:F22,Output_BS!E27:F27)/SUM(Output_BS!E18:F18)</f>
        <v>0.19583854438103737</v>
      </c>
      <c r="G39" s="258">
        <f>SUM(Output_BS!F21:G22,Output_BS!F27:G27)/SUM(Output_BS!F18:G18)</f>
        <v>0.35298005588831666</v>
      </c>
      <c r="H39" s="258">
        <f>SUM(Output_BS!G21:H22,Output_BS!G27:H27)/SUM(Output_BS!G18:H18)</f>
        <v>0.26785029089791146</v>
      </c>
      <c r="I39" s="258">
        <f>SUM(Output_BS!H21:I22,Output_BS!H27:I27)/SUM(Output_BS!H18:I18)</f>
        <v>0.22604552151186474</v>
      </c>
      <c r="J39" s="258">
        <f>SUM(Output_BS!I21:J22,Output_BS!I27:J27)/SUM(Output_BS!I18:J18)</f>
        <v>0.22723363784981965</v>
      </c>
      <c r="K39" s="258">
        <f>SUM(Output_BS!J21:K22,Output_BS!J27:K27)/SUM(Output_BS!J18:K18)</f>
        <v>0.15964897765583713</v>
      </c>
      <c r="L39" s="258">
        <f>SUM(Output_BS!K21:L22,Output_BS!K27:L27)/SUM(Output_BS!K18:L18)</f>
        <v>0.10428881610661803</v>
      </c>
      <c r="M39" s="258">
        <f>SUM(Output_BS!L21:M22,Output_BS!L27:M27)/SUM(Output_BS!L18:M18)</f>
        <v>0.10703289903643706</v>
      </c>
      <c r="N39" s="258">
        <f>SUM(Output_BS!M21:N22,Output_BS!M27:N27)/SUM(Output_BS!M18:N18)</f>
        <v>9.4692995283159734E-2</v>
      </c>
      <c r="O39" s="258">
        <f ca="1">SUM(Output_BS!N21:O22,Output_BS!N27:O27)/SUM(Output_BS!N18:O18)</f>
        <v>6.7303158210727451E-2</v>
      </c>
      <c r="P39" s="259">
        <f ca="1">SUM(Output_BS!O21:P22,Output_BS!O27:P27)/SUM(Output_BS!O18:P18)</f>
        <v>6.4721952877875688E-2</v>
      </c>
      <c r="Q39" s="259">
        <f ca="1">SUM(Output_BS!P21:Q22,Output_BS!P27:Q27)/SUM(Output_BS!P18:Q18)</f>
        <v>6.5457561964565855E-2</v>
      </c>
      <c r="R39" s="259">
        <f ca="1">SUM(Output_BS!Q21:R22,Output_BS!Q27:R27)/SUM(Output_BS!Q18:R18)</f>
        <v>6.418751555925839E-2</v>
      </c>
      <c r="S39" s="259">
        <f ca="1">SUM(Output_BS!R21:S22,Output_BS!R27:S27)/SUM(Output_BS!R18:S18)</f>
        <v>6.6122270668856037E-2</v>
      </c>
      <c r="T39" s="259">
        <f ca="1">SUM(Output_BS!S21:T22,Output_BS!S27:T27)/SUM(Output_BS!S18:T18)</f>
        <v>6.8558588392520659E-2</v>
      </c>
    </row>
    <row r="40" spans="2:20" x14ac:dyDescent="0.3">
      <c r="B40" s="198" t="s">
        <v>584</v>
      </c>
      <c r="C40" s="198"/>
      <c r="D40" s="198"/>
      <c r="E40" s="437" t="s">
        <v>121</v>
      </c>
      <c r="F40" s="258">
        <f>SUM(Output_BS!E21:F22,Output_BS!E27:F27)/SUM(Output_BS!E41:F41)</f>
        <v>0.29560758708999435</v>
      </c>
      <c r="G40" s="258">
        <f>SUM(Output_BS!F21:G22,Output_BS!F27:G27)/SUM(Output_BS!F41:G41)</f>
        <v>0.71302647840033873</v>
      </c>
      <c r="H40" s="258">
        <f>SUM(Output_BS!G21:H22,Output_BS!G27:H27)/SUM(Output_BS!G41:H41)</f>
        <v>0.46627400351267029</v>
      </c>
      <c r="I40" s="258">
        <f>SUM(Output_BS!H21:I22,Output_BS!H27:I27)/SUM(Output_BS!H41:I41)</f>
        <v>0.3876454627811613</v>
      </c>
      <c r="J40" s="258">
        <f>SUM(Output_BS!I21:J22,Output_BS!I27:J27)/SUM(Output_BS!I41:J41)</f>
        <v>0.39305339454753696</v>
      </c>
      <c r="K40" s="258">
        <f>SUM(Output_BS!J21:K22,Output_BS!J27:K27)/SUM(Output_BS!J41:K41)</f>
        <v>0.24253008869034329</v>
      </c>
      <c r="L40" s="258">
        <f>SUM(Output_BS!K21:L22,Output_BS!K27:L27)/SUM(Output_BS!K41:L41)</f>
        <v>0.15117821630712003</v>
      </c>
      <c r="M40" s="258">
        <f>SUM(Output_BS!L21:M22,Output_BS!L27:M27)/SUM(Output_BS!L41:M41)</f>
        <v>0.1655284084439019</v>
      </c>
      <c r="N40" s="258">
        <f>SUM(Output_BS!M21:N22,Output_BS!M27:N27)/SUM(Output_BS!M41:N41)</f>
        <v>0.14189864365905613</v>
      </c>
      <c r="O40" s="258">
        <f ca="1">SUM(Output_BS!N21:O22,Output_BS!N27:O27)/SUM(Output_BS!N41:O41)</f>
        <v>9.5388722446961297E-2</v>
      </c>
      <c r="P40" s="259">
        <f ca="1">SUM(Output_BS!O21:P22,Output_BS!O27:P27)/SUM(Output_BS!O41:P41)</f>
        <v>9.3985867089742478E-2</v>
      </c>
      <c r="Q40" s="259">
        <f ca="1">SUM(Output_BS!P21:Q22,Output_BS!P27:Q27)/SUM(Output_BS!P41:Q41)</f>
        <v>9.5861301781604277E-2</v>
      </c>
      <c r="R40" s="259">
        <f ca="1">SUM(Output_BS!Q21:R22,Output_BS!Q27:R27)/SUM(Output_BS!Q41:R41)</f>
        <v>9.4132007652119709E-2</v>
      </c>
      <c r="S40" s="259">
        <f ca="1">SUM(Output_BS!R21:S22,Output_BS!R27:S27)/SUM(Output_BS!R41:S41)</f>
        <v>9.8889380031008084E-2</v>
      </c>
      <c r="T40" s="259">
        <f ca="1">SUM(Output_BS!S21:T22,Output_BS!S27:T27)/SUM(Output_BS!S41:T41)</f>
        <v>0.10478543926678752</v>
      </c>
    </row>
    <row r="41" spans="2:20" x14ac:dyDescent="0.3">
      <c r="B41" s="198" t="s">
        <v>585</v>
      </c>
      <c r="C41" s="198"/>
      <c r="D41" s="198"/>
      <c r="E41" s="437" t="s">
        <v>121</v>
      </c>
      <c r="F41" s="258">
        <f>(SUM(Output_BS!E21:F22,Output_BS!E27:F27)-SUM(Output_BS!E5:F7))/SUM(Output_BS!E41:F41)</f>
        <v>-0.19265968518966778</v>
      </c>
      <c r="G41" s="258">
        <f>(SUM(Output_BS!F21:G22,Output_BS!F27:G27)-SUM(Output_BS!F5:G7))/SUM(Output_BS!F41:G41)</f>
        <v>0.20938804526991051</v>
      </c>
      <c r="H41" s="258">
        <f>(SUM(Output_BS!G21:H22,Output_BS!G27:H27)-SUM(Output_BS!G5:H7))/SUM(Output_BS!G41:H41)</f>
        <v>3.3282691831957832E-3</v>
      </c>
      <c r="I41" s="258">
        <f>(SUM(Output_BS!H21:I22,Output_BS!H27:I27)-SUM(Output_BS!H5:I7))/SUM(Output_BS!H41:I41)</f>
        <v>-0.16097125625748768</v>
      </c>
      <c r="J41" s="258">
        <f>(SUM(Output_BS!I21:J22,Output_BS!I27:J27)-SUM(Output_BS!I5:J7))/SUM(Output_BS!I41:J41)</f>
        <v>-0.10445218477458287</v>
      </c>
      <c r="K41" s="258">
        <f>(SUM(Output_BS!J21:K22,Output_BS!J27:K27)-SUM(Output_BS!J5:K7))/SUM(Output_BS!J41:K41)</f>
        <v>-0.3099102557511984</v>
      </c>
      <c r="L41" s="258">
        <f>(SUM(Output_BS!K21:L22,Output_BS!K27:L27)-SUM(Output_BS!K5:L7))/SUM(Output_BS!K41:L41)</f>
        <v>-0.5836106931412518</v>
      </c>
      <c r="M41" s="258">
        <f>(SUM(Output_BS!L21:M22,Output_BS!L27:M27)-SUM(Output_BS!L5:M7))/SUM(Output_BS!L41:M41)</f>
        <v>-0.58461307377751104</v>
      </c>
      <c r="N41" s="258">
        <f>(SUM(Output_BS!M21:N22,Output_BS!M27:N27)-SUM(Output_BS!M5:N7))/SUM(Output_BS!M41:N41)</f>
        <v>-0.59638907731699076</v>
      </c>
      <c r="O41" s="258">
        <f ca="1">(SUM(Output_BS!N21:O22,Output_BS!N27:O27)-SUM(Output_BS!N5:O7))/SUM(Output_BS!N41:O41)</f>
        <v>-0.6275276316743571</v>
      </c>
      <c r="P41" s="259">
        <f ca="1">(SUM(Output_BS!O21:P22,Output_BS!O27:P27)-SUM(Output_BS!O5:P7))/SUM(Output_BS!O41:P41)</f>
        <v>-0.61856541534756548</v>
      </c>
      <c r="Q41" s="259">
        <f ca="1">(SUM(Output_BS!P21:Q22,Output_BS!P27:Q27)-SUM(Output_BS!P5:Q7))/SUM(Output_BS!P41:Q41)</f>
        <v>-0.64964583943811682</v>
      </c>
      <c r="R41" s="259">
        <f ca="1">(SUM(Output_BS!Q21:R22,Output_BS!Q27:R27)-SUM(Output_BS!Q5:R7))/SUM(Output_BS!Q41:R41)</f>
        <v>-0.69622891170905332</v>
      </c>
      <c r="S41" s="259">
        <f ca="1">(SUM(Output_BS!R21:S22,Output_BS!R27:S27)-SUM(Output_BS!R5:S7))/SUM(Output_BS!R41:S41)</f>
        <v>-0.72449783927181</v>
      </c>
      <c r="T41" s="259">
        <f ca="1">(SUM(Output_BS!S21:T22,Output_BS!S27:T27)-SUM(Output_BS!S5:T7))/SUM(Output_BS!S41:T41)</f>
        <v>-0.73305247596756096</v>
      </c>
    </row>
    <row r="42" spans="2:20" x14ac:dyDescent="0.3">
      <c r="B42" s="198" t="s">
        <v>586</v>
      </c>
      <c r="C42" s="198"/>
      <c r="D42" s="198"/>
      <c r="E42" s="437" t="s">
        <v>121</v>
      </c>
      <c r="F42" s="258">
        <f>SUM(Output_BS!E21:F22,Output_BS!E27:F27)/2/Output_IS!F11</f>
        <v>-3.8188216075424943</v>
      </c>
      <c r="G42" s="258">
        <f>SUM(Output_BS!F21:G22,Output_BS!F27:G27)/2/Output_IS!G11</f>
        <v>2.0370873525014006</v>
      </c>
      <c r="H42" s="258">
        <f>SUM(Output_BS!G21:H22,Output_BS!G27:H27)/2/Output_IS!H11</f>
        <v>0.54523970746758021</v>
      </c>
      <c r="I42" s="258">
        <f>SUM(Output_BS!H21:I22,Output_BS!H27:I27)/2/Output_IS!I11</f>
        <v>0.36913566170609213</v>
      </c>
      <c r="J42" s="258">
        <f>SUM(Output_BS!I21:J22,Output_BS!I27:J27)/2/Output_IS!J11</f>
        <v>0.58421232931686018</v>
      </c>
      <c r="K42" s="258">
        <f>SUM(Output_BS!J21:K22,Output_BS!J27:K27)/2/Output_IS!K11</f>
        <v>0.37388589142763051</v>
      </c>
      <c r="L42" s="258">
        <f>SUM(Output_BS!K21:L22,Output_BS!K27:L27)/2/Output_IS!L11</f>
        <v>0.31619965515260434</v>
      </c>
      <c r="M42" s="258">
        <f>SUM(Output_BS!L21:M22,Output_BS!L27:M27)/2/Output_IS!M11</f>
        <v>0.33086359979745622</v>
      </c>
      <c r="N42" s="258">
        <f>SUM(Output_BS!M21:N22,Output_BS!M27:N27)/2/Output_IS!N11</f>
        <v>0.29165696404012736</v>
      </c>
      <c r="O42" s="258">
        <f ca="1">SUM(Output_BS!N21:O22,Output_BS!N27:O27)/2/Output_IS!O11</f>
        <v>0.22928889493426291</v>
      </c>
      <c r="P42" s="259">
        <f ca="1">SUM(Output_BS!O21:P22,Output_BS!O27:P27)/2/Output_IS!P11</f>
        <v>0.24816328512161429</v>
      </c>
      <c r="Q42" s="259">
        <f ca="1">SUM(Output_BS!P21:Q22,Output_BS!P27:Q27)/2/Output_IS!Q11</f>
        <v>0.31114954025369373</v>
      </c>
      <c r="R42" s="259">
        <f ca="1">SUM(Output_BS!Q21:R22,Output_BS!Q27:R27)/2/Output_IS!R11</f>
        <v>0.36744351363869615</v>
      </c>
      <c r="S42" s="259">
        <f ca="1">SUM(Output_BS!R21:S22,Output_BS!R27:S27)/2/Output_IS!S11</f>
        <v>0.4314919095558743</v>
      </c>
      <c r="T42" s="259">
        <f ca="1">SUM(Output_BS!S21:T22,Output_BS!S27:T27)/2/Output_IS!T11</f>
        <v>0.56190873731952484</v>
      </c>
    </row>
    <row r="43" spans="2:20" x14ac:dyDescent="0.3">
      <c r="B43" s="198" t="s">
        <v>587</v>
      </c>
      <c r="C43" s="198"/>
      <c r="D43" s="198"/>
      <c r="E43" s="437" t="s">
        <v>121</v>
      </c>
      <c r="F43" s="258">
        <f>(SUM(Output_BS!E21:F22,Output_BS!E27:F27)-SUM(Output_BS!E5:F7))/2/Output_IS!F11</f>
        <v>2.4888839151501632</v>
      </c>
      <c r="G43" s="258">
        <f>(SUM(Output_BS!F21:G22,Output_BS!F27:G27)-SUM(Output_BS!F5:G7))/2/Output_IS!G11</f>
        <v>0.59821304215975779</v>
      </c>
      <c r="H43" s="258">
        <f>(SUM(Output_BS!G21:H22,Output_BS!G27:H27)-SUM(Output_BS!G5:H7))/2/Output_IS!H11</f>
        <v>3.8919272834169899E-3</v>
      </c>
      <c r="I43" s="258">
        <f>(SUM(Output_BS!H21:I22,Output_BS!H27:I27)-SUM(Output_BS!H5:I7))/2/Output_IS!I11</f>
        <v>-0.15328499079534774</v>
      </c>
      <c r="J43" s="258">
        <f>(SUM(Output_BS!I21:J22,Output_BS!I27:J27)-SUM(Output_BS!I5:J7))/2/Output_IS!J11</f>
        <v>-0.15525181824123374</v>
      </c>
      <c r="K43" s="258">
        <f>(SUM(Output_BS!J21:K22,Output_BS!J27:K27)-SUM(Output_BS!J5:K7))/2/Output_IS!K11</f>
        <v>-0.47775957556360454</v>
      </c>
      <c r="L43" s="258">
        <f>(SUM(Output_BS!K21:L22,Output_BS!K27:L27)-SUM(Output_BS!K5:L7))/2/Output_IS!L11</f>
        <v>-1.2206619738107407</v>
      </c>
      <c r="M43" s="258">
        <f>(SUM(Output_BS!L21:M22,Output_BS!L27:M27)-SUM(Output_BS!L5:M7))/2/Output_IS!M11</f>
        <v>-1.1685437436211212</v>
      </c>
      <c r="N43" s="258">
        <f>(SUM(Output_BS!M21:N22,Output_BS!M27:N27)-SUM(Output_BS!M5:N7))/2/Output_IS!N11</f>
        <v>-1.2258117709348886</v>
      </c>
      <c r="O43" s="258">
        <f ca="1">(SUM(Output_BS!N21:O22,Output_BS!N27:O27)-SUM(Output_BS!N5:O7))/2/Output_IS!O11</f>
        <v>-1.5084080540792704</v>
      </c>
      <c r="P43" s="259">
        <f ca="1">(SUM(Output_BS!O21:P22,Output_BS!O27:P27)-SUM(Output_BS!O5:P7))/2/Output_IS!P11</f>
        <v>-1.6332798780128619</v>
      </c>
      <c r="Q43" s="259">
        <f ca="1">(SUM(Output_BS!P21:Q22,Output_BS!P27:Q27)-SUM(Output_BS!P5:Q7))/2/Output_IS!Q11</f>
        <v>-2.1086403012699848</v>
      </c>
      <c r="R43" s="259">
        <f ca="1">(SUM(Output_BS!Q21:R22,Output_BS!Q27:R27)-SUM(Output_BS!Q5:R7))/2/Output_IS!R11</f>
        <v>-2.7177238008208922</v>
      </c>
      <c r="S43" s="259">
        <f ca="1">(SUM(Output_BS!R21:S22,Output_BS!R27:S27)-SUM(Output_BS!R5:S7))/2/Output_IS!S11</f>
        <v>-3.1612591366077289</v>
      </c>
      <c r="T43" s="259">
        <f ca="1">(SUM(Output_BS!S21:T22,Output_BS!S27:T27)-SUM(Output_BS!S5:T7))/2/Output_IS!T11</f>
        <v>-3.9309716506617809</v>
      </c>
    </row>
  </sheetData>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InBS</vt:lpstr>
      <vt:lpstr>InIS</vt:lpstr>
      <vt:lpstr>InCF</vt:lpstr>
      <vt:lpstr>InBS_Q</vt:lpstr>
      <vt:lpstr>InIS_Q</vt:lpstr>
      <vt:lpstr>InCF_Q</vt:lpstr>
      <vt:lpstr>Raw Data</vt:lpstr>
      <vt:lpstr>Revenue Forecast</vt:lpstr>
      <vt:lpstr>Fixed Assets (F)</vt:lpstr>
      <vt:lpstr>LT.Debt (F)</vt:lpstr>
      <vt:lpstr>Input</vt:lpstr>
      <vt:lpstr>ERP-Beta</vt:lpstr>
      <vt:lpstr>DCF 2017</vt:lpstr>
      <vt:lpstr>Assumption</vt:lpstr>
      <vt:lpstr>Output_BS</vt:lpstr>
      <vt:lpstr>Output_IS</vt:lpstr>
      <vt:lpstr>Output_CF</vt:lpstr>
      <vt:lpstr>IS_Common Size</vt:lpstr>
      <vt:lpstr>BS_Common Size</vt:lpstr>
      <vt:lpstr>Ratio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2022-10-28T17:46:08Z</dcterms:modified>
</cp:coreProperties>
</file>