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autoCompressPictures="0" defaultThemeVersion="124226"/>
  <bookViews>
    <workbookView xWindow="0" yWindow="0" windowWidth="20805" windowHeight="16440" tabRatio="0"/>
  </bookViews>
  <sheets>
    <sheet name="Ini" sheetId="62" r:id="rId1"/>
    <sheet name="PG" sheetId="63" r:id="rId2"/>
    <sheet name="ProjD" sheetId="72" r:id="rId3"/>
    <sheet name="ProjI" sheetId="73" r:id="rId4"/>
    <sheet name="ProjR" sheetId="74" r:id="rId5"/>
    <sheet name="DM" sheetId="64" r:id="rId6"/>
    <sheet name="RC" sheetId="65" r:id="rId7"/>
    <sheet name="Graf" sheetId="66" r:id="rId8"/>
    <sheet name="GrafAE" sheetId="75" r:id="rId9"/>
    <sheet name="AD" sheetId="67" r:id="rId10"/>
    <sheet name="RI" sheetId="68" r:id="rId11"/>
    <sheet name="Dúvidas" sheetId="69" r:id="rId12"/>
    <sheet name="Sugestões" sheetId="70" r:id="rId13"/>
    <sheet name="Sobre a LUZ" sheetId="71" r:id="rId14"/>
  </sheets>
  <definedNames>
    <definedName name="_xlnm.Print_Area" localSheetId="10">RI!$C$5:$Q$106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64"/>
  <c r="G9"/>
  <c r="G17" i="68" s="1"/>
  <c r="F25" i="64"/>
  <c r="F29"/>
  <c r="H10"/>
  <c r="I10"/>
  <c r="J10"/>
  <c r="K10"/>
  <c r="L10"/>
  <c r="M10"/>
  <c r="M34" s="1"/>
  <c r="N10"/>
  <c r="O10"/>
  <c r="O18" i="68" s="1"/>
  <c r="G10" i="64"/>
  <c r="P10"/>
  <c r="H34"/>
  <c r="Q89" i="73"/>
  <c r="D19"/>
  <c r="S89" s="1"/>
  <c r="S97" s="1"/>
  <c r="O97" s="1"/>
  <c r="Q90"/>
  <c r="D20"/>
  <c r="S90"/>
  <c r="Q91"/>
  <c r="D21"/>
  <c r="S91"/>
  <c r="Q92"/>
  <c r="D22"/>
  <c r="S92"/>
  <c r="Q93"/>
  <c r="D23"/>
  <c r="S93"/>
  <c r="Q94"/>
  <c r="D24"/>
  <c r="S94"/>
  <c r="Q95"/>
  <c r="D25"/>
  <c r="S95"/>
  <c r="Q96"/>
  <c r="D26"/>
  <c r="S96"/>
  <c r="R89"/>
  <c r="R90"/>
  <c r="R91"/>
  <c r="R92"/>
  <c r="R93"/>
  <c r="R94"/>
  <c r="R95"/>
  <c r="R96"/>
  <c r="R79"/>
  <c r="S79"/>
  <c r="R80"/>
  <c r="S80"/>
  <c r="R81"/>
  <c r="S81"/>
  <c r="R82"/>
  <c r="S82"/>
  <c r="R83"/>
  <c r="S83"/>
  <c r="R84"/>
  <c r="S84"/>
  <c r="R85"/>
  <c r="S85"/>
  <c r="R86"/>
  <c r="S86"/>
  <c r="L89"/>
  <c r="N89"/>
  <c r="O89"/>
  <c r="L90"/>
  <c r="N90"/>
  <c r="O90"/>
  <c r="L91"/>
  <c r="N91"/>
  <c r="O91"/>
  <c r="L92"/>
  <c r="N92"/>
  <c r="O92"/>
  <c r="L93"/>
  <c r="N93"/>
  <c r="O93"/>
  <c r="L94"/>
  <c r="N94"/>
  <c r="O94"/>
  <c r="L95"/>
  <c r="N95"/>
  <c r="O95"/>
  <c r="L96"/>
  <c r="N96"/>
  <c r="O96"/>
  <c r="M89"/>
  <c r="M90"/>
  <c r="M91"/>
  <c r="M92"/>
  <c r="M93"/>
  <c r="M94"/>
  <c r="M95"/>
  <c r="M96"/>
  <c r="K79"/>
  <c r="M79"/>
  <c r="N79"/>
  <c r="O79"/>
  <c r="K80"/>
  <c r="M80"/>
  <c r="N80"/>
  <c r="O80"/>
  <c r="K81"/>
  <c r="M81"/>
  <c r="N81"/>
  <c r="O81"/>
  <c r="K82"/>
  <c r="M82"/>
  <c r="N82"/>
  <c r="O82"/>
  <c r="K83"/>
  <c r="M83"/>
  <c r="N83"/>
  <c r="O83"/>
  <c r="K84"/>
  <c r="M84"/>
  <c r="N84"/>
  <c r="O84"/>
  <c r="K85"/>
  <c r="M85"/>
  <c r="N85"/>
  <c r="O85"/>
  <c r="K86"/>
  <c r="M86"/>
  <c r="N86"/>
  <c r="O86"/>
  <c r="L79"/>
  <c r="L80"/>
  <c r="L81"/>
  <c r="L82"/>
  <c r="L83"/>
  <c r="L84"/>
  <c r="L85"/>
  <c r="L86"/>
  <c r="J69"/>
  <c r="L69"/>
  <c r="M69"/>
  <c r="N69"/>
  <c r="O69"/>
  <c r="J70"/>
  <c r="L70"/>
  <c r="M70"/>
  <c r="N70"/>
  <c r="O70"/>
  <c r="J71"/>
  <c r="L71"/>
  <c r="M71"/>
  <c r="N71"/>
  <c r="O71"/>
  <c r="J72"/>
  <c r="L72"/>
  <c r="M72"/>
  <c r="N72"/>
  <c r="O72"/>
  <c r="J73"/>
  <c r="L73"/>
  <c r="M73"/>
  <c r="N73"/>
  <c r="O73"/>
  <c r="J74"/>
  <c r="L74"/>
  <c r="M74"/>
  <c r="N74"/>
  <c r="O74"/>
  <c r="J75"/>
  <c r="L75"/>
  <c r="M75"/>
  <c r="N75"/>
  <c r="O75"/>
  <c r="J76"/>
  <c r="L76"/>
  <c r="M76"/>
  <c r="N76"/>
  <c r="O76"/>
  <c r="K69"/>
  <c r="K70"/>
  <c r="K71"/>
  <c r="K72"/>
  <c r="K73"/>
  <c r="K74"/>
  <c r="K75"/>
  <c r="K76"/>
  <c r="I59"/>
  <c r="K59"/>
  <c r="L59"/>
  <c r="M59"/>
  <c r="N59"/>
  <c r="O59"/>
  <c r="I60"/>
  <c r="K60"/>
  <c r="L60"/>
  <c r="M60"/>
  <c r="N60"/>
  <c r="O60"/>
  <c r="I61"/>
  <c r="K61"/>
  <c r="L61"/>
  <c r="M61"/>
  <c r="N61"/>
  <c r="O61"/>
  <c r="I62"/>
  <c r="K62"/>
  <c r="L62"/>
  <c r="M62"/>
  <c r="N62"/>
  <c r="O62"/>
  <c r="I63"/>
  <c r="K63"/>
  <c r="L63"/>
  <c r="M63"/>
  <c r="N63"/>
  <c r="O63"/>
  <c r="I64"/>
  <c r="K64"/>
  <c r="L64"/>
  <c r="M64"/>
  <c r="N64"/>
  <c r="O64"/>
  <c r="I65"/>
  <c r="K65"/>
  <c r="L65"/>
  <c r="M65"/>
  <c r="N65"/>
  <c r="O65"/>
  <c r="I66"/>
  <c r="K66"/>
  <c r="L66"/>
  <c r="M66"/>
  <c r="N66"/>
  <c r="O66"/>
  <c r="J59"/>
  <c r="J60"/>
  <c r="J61"/>
  <c r="J62"/>
  <c r="J63"/>
  <c r="J64"/>
  <c r="J65"/>
  <c r="J66"/>
  <c r="H49"/>
  <c r="J49"/>
  <c r="K49"/>
  <c r="L49"/>
  <c r="M49"/>
  <c r="N49"/>
  <c r="O49"/>
  <c r="H50"/>
  <c r="J50"/>
  <c r="K50"/>
  <c r="L50"/>
  <c r="M50"/>
  <c r="N50"/>
  <c r="O50"/>
  <c r="H51"/>
  <c r="J51"/>
  <c r="K51"/>
  <c r="L51"/>
  <c r="M51"/>
  <c r="N51"/>
  <c r="O51"/>
  <c r="H52"/>
  <c r="J52"/>
  <c r="K52"/>
  <c r="L52"/>
  <c r="M52"/>
  <c r="N52"/>
  <c r="O52"/>
  <c r="H53"/>
  <c r="J53"/>
  <c r="K53"/>
  <c r="L53"/>
  <c r="M53"/>
  <c r="N53"/>
  <c r="O53"/>
  <c r="H54"/>
  <c r="J54"/>
  <c r="K54"/>
  <c r="L54"/>
  <c r="M54"/>
  <c r="N54"/>
  <c r="O54"/>
  <c r="H55"/>
  <c r="J55"/>
  <c r="K55"/>
  <c r="L55"/>
  <c r="M55"/>
  <c r="N55"/>
  <c r="O55"/>
  <c r="H56"/>
  <c r="J56"/>
  <c r="K56"/>
  <c r="L56"/>
  <c r="M56"/>
  <c r="N56"/>
  <c r="O56"/>
  <c r="I49"/>
  <c r="I50"/>
  <c r="I51"/>
  <c r="I52"/>
  <c r="I53"/>
  <c r="I54"/>
  <c r="I55"/>
  <c r="I56"/>
  <c r="G39"/>
  <c r="I39"/>
  <c r="J39"/>
  <c r="K39"/>
  <c r="L39"/>
  <c r="M39"/>
  <c r="N39"/>
  <c r="O39"/>
  <c r="G40"/>
  <c r="I40"/>
  <c r="J40"/>
  <c r="K40"/>
  <c r="L40"/>
  <c r="M40"/>
  <c r="N40"/>
  <c r="O40"/>
  <c r="G41"/>
  <c r="I41"/>
  <c r="J41"/>
  <c r="K41"/>
  <c r="L41"/>
  <c r="M41"/>
  <c r="N41"/>
  <c r="O41"/>
  <c r="G42"/>
  <c r="I42"/>
  <c r="J42"/>
  <c r="K42"/>
  <c r="L42"/>
  <c r="M42"/>
  <c r="N42"/>
  <c r="O42"/>
  <c r="G43"/>
  <c r="I43"/>
  <c r="J43"/>
  <c r="K43"/>
  <c r="L43"/>
  <c r="M43"/>
  <c r="N43"/>
  <c r="O43"/>
  <c r="G44"/>
  <c r="I44"/>
  <c r="J44"/>
  <c r="K44"/>
  <c r="L44"/>
  <c r="M44"/>
  <c r="N44"/>
  <c r="O44"/>
  <c r="G45"/>
  <c r="I45"/>
  <c r="J45"/>
  <c r="K45"/>
  <c r="L45"/>
  <c r="M45"/>
  <c r="N45"/>
  <c r="O45"/>
  <c r="G46"/>
  <c r="I46"/>
  <c r="J46"/>
  <c r="K46"/>
  <c r="L46"/>
  <c r="M46"/>
  <c r="N46"/>
  <c r="O46"/>
  <c r="H39"/>
  <c r="H40"/>
  <c r="H41"/>
  <c r="H42"/>
  <c r="H43"/>
  <c r="H44"/>
  <c r="H45"/>
  <c r="H46"/>
  <c r="F29"/>
  <c r="H29"/>
  <c r="I29"/>
  <c r="J29"/>
  <c r="K29"/>
  <c r="L29"/>
  <c r="M29"/>
  <c r="N29"/>
  <c r="O29"/>
  <c r="F30"/>
  <c r="H30"/>
  <c r="I30"/>
  <c r="J30"/>
  <c r="K30"/>
  <c r="L30"/>
  <c r="M30"/>
  <c r="N30"/>
  <c r="O30"/>
  <c r="F31"/>
  <c r="H31"/>
  <c r="I31"/>
  <c r="J31"/>
  <c r="K31"/>
  <c r="L31"/>
  <c r="M31"/>
  <c r="N31"/>
  <c r="O31"/>
  <c r="F32"/>
  <c r="H32"/>
  <c r="I32"/>
  <c r="J32"/>
  <c r="K32"/>
  <c r="L32"/>
  <c r="M32"/>
  <c r="N32"/>
  <c r="O32"/>
  <c r="F33"/>
  <c r="H33"/>
  <c r="I33"/>
  <c r="J33"/>
  <c r="K33"/>
  <c r="L33"/>
  <c r="M33"/>
  <c r="N33"/>
  <c r="O33"/>
  <c r="F34"/>
  <c r="H34"/>
  <c r="I34"/>
  <c r="J34"/>
  <c r="K34"/>
  <c r="L34"/>
  <c r="M34"/>
  <c r="N34"/>
  <c r="O34"/>
  <c r="F35"/>
  <c r="H35"/>
  <c r="I35"/>
  <c r="J35"/>
  <c r="K35"/>
  <c r="L35"/>
  <c r="M35"/>
  <c r="N35"/>
  <c r="O35"/>
  <c r="F36"/>
  <c r="H36"/>
  <c r="I36"/>
  <c r="J36"/>
  <c r="K36"/>
  <c r="L36"/>
  <c r="M36"/>
  <c r="N36"/>
  <c r="O36"/>
  <c r="G37"/>
  <c r="G38"/>
  <c r="G29"/>
  <c r="G30"/>
  <c r="G31"/>
  <c r="G32"/>
  <c r="G33"/>
  <c r="G34"/>
  <c r="G35"/>
  <c r="G36"/>
  <c r="E19"/>
  <c r="F19" s="1"/>
  <c r="F97" s="1"/>
  <c r="F18" i="64" s="1"/>
  <c r="G19" i="73"/>
  <c r="I19"/>
  <c r="K19"/>
  <c r="M19"/>
  <c r="O19"/>
  <c r="E20"/>
  <c r="F20"/>
  <c r="G20"/>
  <c r="H20"/>
  <c r="I20"/>
  <c r="J20"/>
  <c r="K20"/>
  <c r="L20"/>
  <c r="M20"/>
  <c r="N20"/>
  <c r="O20"/>
  <c r="E21"/>
  <c r="F21"/>
  <c r="G21"/>
  <c r="H21"/>
  <c r="I21"/>
  <c r="J21"/>
  <c r="K21"/>
  <c r="L21"/>
  <c r="M21"/>
  <c r="N21"/>
  <c r="O21"/>
  <c r="E22"/>
  <c r="F22"/>
  <c r="G22"/>
  <c r="H22"/>
  <c r="I22"/>
  <c r="J22"/>
  <c r="K22"/>
  <c r="L22"/>
  <c r="M22"/>
  <c r="N22"/>
  <c r="O22"/>
  <c r="E23"/>
  <c r="F23"/>
  <c r="G23"/>
  <c r="H23"/>
  <c r="I23"/>
  <c r="J23"/>
  <c r="K23"/>
  <c r="L23"/>
  <c r="M23"/>
  <c r="N23"/>
  <c r="O23"/>
  <c r="E24"/>
  <c r="F24"/>
  <c r="G24"/>
  <c r="H24"/>
  <c r="I24"/>
  <c r="J24"/>
  <c r="K24"/>
  <c r="L24"/>
  <c r="M24"/>
  <c r="N24"/>
  <c r="O24"/>
  <c r="E25"/>
  <c r="F25"/>
  <c r="G25"/>
  <c r="H25"/>
  <c r="I25"/>
  <c r="J25"/>
  <c r="K25"/>
  <c r="L25"/>
  <c r="M25"/>
  <c r="N25"/>
  <c r="O25"/>
  <c r="E26"/>
  <c r="F26"/>
  <c r="G26"/>
  <c r="H26"/>
  <c r="I26"/>
  <c r="J26"/>
  <c r="K26"/>
  <c r="L26"/>
  <c r="M26"/>
  <c r="N26"/>
  <c r="O26"/>
  <c r="F10" i="64"/>
  <c r="I18" i="68"/>
  <c r="E10" i="64"/>
  <c r="E15" i="68"/>
  <c r="F15"/>
  <c r="P15"/>
  <c r="Q15"/>
  <c r="C16"/>
  <c r="D16"/>
  <c r="C17"/>
  <c r="D17"/>
  <c r="C18"/>
  <c r="D18"/>
  <c r="G18"/>
  <c r="H18"/>
  <c r="J18"/>
  <c r="L18"/>
  <c r="N18"/>
  <c r="C19"/>
  <c r="D19"/>
  <c r="E19"/>
  <c r="F19"/>
  <c r="G19"/>
  <c r="H19"/>
  <c r="I19"/>
  <c r="J19"/>
  <c r="K19"/>
  <c r="L19"/>
  <c r="M19"/>
  <c r="N19"/>
  <c r="O19"/>
  <c r="P19"/>
  <c r="C20"/>
  <c r="D20"/>
  <c r="P20"/>
  <c r="C21"/>
  <c r="D21"/>
  <c r="P21"/>
  <c r="C22"/>
  <c r="D22"/>
  <c r="P22"/>
  <c r="C23"/>
  <c r="P23"/>
  <c r="C24"/>
  <c r="D24"/>
  <c r="P24"/>
  <c r="C25"/>
  <c r="D25"/>
  <c r="P25"/>
  <c r="C26"/>
  <c r="D26"/>
  <c r="P26"/>
  <c r="C27"/>
  <c r="D27"/>
  <c r="E27"/>
  <c r="F27"/>
  <c r="G27"/>
  <c r="H27"/>
  <c r="I27"/>
  <c r="J27"/>
  <c r="K27"/>
  <c r="L27"/>
  <c r="M27"/>
  <c r="N27"/>
  <c r="O27"/>
  <c r="P27"/>
  <c r="C28"/>
  <c r="D28"/>
  <c r="P28"/>
  <c r="C29"/>
  <c r="D29"/>
  <c r="P29"/>
  <c r="C30"/>
  <c r="D30"/>
  <c r="P30"/>
  <c r="H7" i="64"/>
  <c r="H15" i="68" s="1"/>
  <c r="I7" i="64"/>
  <c r="I15" i="68" s="1"/>
  <c r="J7" i="64"/>
  <c r="J15" i="68" s="1"/>
  <c r="K7" i="64"/>
  <c r="K15" i="68" s="1"/>
  <c r="L7" i="64"/>
  <c r="L15" i="68" s="1"/>
  <c r="M7" i="64"/>
  <c r="M15" i="68" s="1"/>
  <c r="N7" i="64"/>
  <c r="N15" i="68" s="1"/>
  <c r="O7" i="64"/>
  <c r="O15" i="68" s="1"/>
  <c r="G7" i="64"/>
  <c r="G15" i="68" s="1"/>
  <c r="H8" i="64"/>
  <c r="H32" s="1"/>
  <c r="I8"/>
  <c r="J8"/>
  <c r="J32" s="1"/>
  <c r="K8"/>
  <c r="K16" s="1"/>
  <c r="L8"/>
  <c r="L16" s="1"/>
  <c r="M8"/>
  <c r="M16"/>
  <c r="M13" s="1"/>
  <c r="N8"/>
  <c r="O8"/>
  <c r="O16" s="1"/>
  <c r="H9"/>
  <c r="H33" s="1"/>
  <c r="I9"/>
  <c r="I17" i="68" s="1"/>
  <c r="J9" i="64"/>
  <c r="K9"/>
  <c r="K17" i="68" s="1"/>
  <c r="L9" i="64"/>
  <c r="M9"/>
  <c r="N9"/>
  <c r="O9"/>
  <c r="O17" i="68" s="1"/>
  <c r="P9" i="64"/>
  <c r="P17" i="68" s="1"/>
  <c r="P8" i="64"/>
  <c r="P16" i="68" s="1"/>
  <c r="G34" i="64"/>
  <c r="L16" i="68"/>
  <c r="I33" i="64"/>
  <c r="O16" i="68"/>
  <c r="K16"/>
  <c r="M17"/>
  <c r="M16"/>
  <c r="I32" i="64"/>
  <c r="N16" i="68"/>
  <c r="H17"/>
  <c r="H16"/>
  <c r="H16" i="64"/>
  <c r="H13"/>
  <c r="H14" s="1"/>
  <c r="J16"/>
  <c r="I16"/>
  <c r="I13" s="1"/>
  <c r="G16"/>
  <c r="G23" i="68" s="1"/>
  <c r="F26" i="64"/>
  <c r="F18" i="68"/>
  <c r="M23"/>
  <c r="G16"/>
  <c r="I16"/>
  <c r="E18"/>
  <c r="N16" i="64"/>
  <c r="N23" i="68" s="1"/>
  <c r="D11" i="65"/>
  <c r="F8" i="64"/>
  <c r="F16" i="68" s="1"/>
  <c r="F9" i="64"/>
  <c r="F17" i="68" s="1"/>
  <c r="G32" i="64"/>
  <c r="S8" s="1"/>
  <c r="H23" i="68"/>
  <c r="J13" i="64"/>
  <c r="J20" i="68" s="1"/>
  <c r="J23"/>
  <c r="N13" i="64"/>
  <c r="N14" s="1"/>
  <c r="J14"/>
  <c r="J21" i="68" s="1"/>
  <c r="C8" i="65"/>
  <c r="R78" i="73"/>
  <c r="R77"/>
  <c r="Q88"/>
  <c r="Q87"/>
  <c r="Q97"/>
  <c r="L88"/>
  <c r="L87"/>
  <c r="K78"/>
  <c r="K77"/>
  <c r="J68"/>
  <c r="J67"/>
  <c r="I58"/>
  <c r="I57"/>
  <c r="H48"/>
  <c r="H47"/>
  <c r="F28"/>
  <c r="F27"/>
  <c r="E25" i="68"/>
  <c r="D18" i="73"/>
  <c r="N28"/>
  <c r="D17"/>
  <c r="L67"/>
  <c r="E18"/>
  <c r="E17"/>
  <c r="N27"/>
  <c r="H27"/>
  <c r="O47"/>
  <c r="M47"/>
  <c r="K67"/>
  <c r="M27"/>
  <c r="G27"/>
  <c r="J27"/>
  <c r="K47"/>
  <c r="L57"/>
  <c r="N57"/>
  <c r="M67"/>
  <c r="J57"/>
  <c r="I27"/>
  <c r="O27"/>
  <c r="L47"/>
  <c r="N47"/>
  <c r="O57"/>
  <c r="M57"/>
  <c r="S77"/>
  <c r="M77"/>
  <c r="N87"/>
  <c r="N77"/>
  <c r="S87"/>
  <c r="O87"/>
  <c r="O77"/>
  <c r="R87"/>
  <c r="M87"/>
  <c r="L77"/>
  <c r="J37"/>
  <c r="M37"/>
  <c r="O37"/>
  <c r="I37"/>
  <c r="K37"/>
  <c r="H37"/>
  <c r="N37"/>
  <c r="L37"/>
  <c r="L27"/>
  <c r="K27"/>
  <c r="I47"/>
  <c r="J47"/>
  <c r="K57"/>
  <c r="N67"/>
  <c r="O67"/>
  <c r="G28"/>
  <c r="S88"/>
  <c r="O88"/>
  <c r="O78"/>
  <c r="M68"/>
  <c r="K58"/>
  <c r="O58"/>
  <c r="L48"/>
  <c r="I48"/>
  <c r="L38"/>
  <c r="H38"/>
  <c r="R88"/>
  <c r="R97" s="1"/>
  <c r="M88"/>
  <c r="L78"/>
  <c r="N68"/>
  <c r="L58"/>
  <c r="J58"/>
  <c r="M48"/>
  <c r="I38"/>
  <c r="M38"/>
  <c r="M78"/>
  <c r="O68"/>
  <c r="M58"/>
  <c r="J48"/>
  <c r="N48"/>
  <c r="J38"/>
  <c r="N38"/>
  <c r="S78"/>
  <c r="N88"/>
  <c r="N78"/>
  <c r="L68"/>
  <c r="K68"/>
  <c r="N58"/>
  <c r="K48"/>
  <c r="O48"/>
  <c r="K38"/>
  <c r="O38"/>
  <c r="O28"/>
  <c r="M28"/>
  <c r="L28"/>
  <c r="K28"/>
  <c r="I28"/>
  <c r="H28"/>
  <c r="J28"/>
  <c r="I18"/>
  <c r="M18"/>
  <c r="F18"/>
  <c r="J18"/>
  <c r="N18"/>
  <c r="G18"/>
  <c r="K18"/>
  <c r="O18"/>
  <c r="H18"/>
  <c r="L18"/>
  <c r="H17"/>
  <c r="L17"/>
  <c r="F17"/>
  <c r="I17"/>
  <c r="M17"/>
  <c r="J17"/>
  <c r="N17"/>
  <c r="G17"/>
  <c r="G97" s="1"/>
  <c r="G18" i="64"/>
  <c r="G25" i="68" s="1"/>
  <c r="K17" i="73"/>
  <c r="O17"/>
  <c r="E8" i="64"/>
  <c r="E29" i="72"/>
  <c r="F29"/>
  <c r="G29"/>
  <c r="H29"/>
  <c r="I29"/>
  <c r="J29"/>
  <c r="K29"/>
  <c r="L29"/>
  <c r="M29"/>
  <c r="N29"/>
  <c r="D29"/>
  <c r="L18" i="64"/>
  <c r="L25" i="68" s="1"/>
  <c r="K97" i="73"/>
  <c r="K18" i="64"/>
  <c r="M97" i="73"/>
  <c r="M18" i="64"/>
  <c r="M25" i="68" s="1"/>
  <c r="H18" i="64"/>
  <c r="H25" i="68" s="1"/>
  <c r="I97" i="73"/>
  <c r="I18" i="64"/>
  <c r="I25" i="68" s="1"/>
  <c r="N18" i="64"/>
  <c r="N25" i="68" s="1"/>
  <c r="O18" i="64"/>
  <c r="O25" i="68" s="1"/>
  <c r="J18" i="64"/>
  <c r="J25" i="68" s="1"/>
  <c r="E16" i="64"/>
  <c r="E23" i="68" s="1"/>
  <c r="K25"/>
  <c r="V13" i="66"/>
  <c r="V12"/>
  <c r="V11"/>
  <c r="V10"/>
  <c r="V8"/>
  <c r="V9"/>
  <c r="V7"/>
  <c r="Z7" i="75"/>
  <c r="Y7"/>
  <c r="X7"/>
  <c r="W7"/>
  <c r="V7"/>
  <c r="U7"/>
  <c r="T7"/>
  <c r="C7" i="65"/>
  <c r="C36" i="68" s="1"/>
  <c r="K103"/>
  <c r="K104"/>
  <c r="K106"/>
  <c r="D104"/>
  <c r="E104"/>
  <c r="D105"/>
  <c r="E105"/>
  <c r="D106"/>
  <c r="E106"/>
  <c r="C34"/>
  <c r="F34"/>
  <c r="I34"/>
  <c r="C35"/>
  <c r="I35"/>
  <c r="I36"/>
  <c r="C37"/>
  <c r="I37"/>
  <c r="C38"/>
  <c r="I38"/>
  <c r="C39"/>
  <c r="I39"/>
  <c r="C40"/>
  <c r="F40"/>
  <c r="I40"/>
  <c r="I41"/>
  <c r="G29" i="64"/>
  <c r="I29"/>
  <c r="K29"/>
  <c r="M29"/>
  <c r="O29"/>
  <c r="E29"/>
  <c r="O20" i="75"/>
  <c r="O25" s="1"/>
  <c r="O19"/>
  <c r="O24" s="1"/>
  <c r="O18"/>
  <c r="O23" s="1"/>
  <c r="O7"/>
  <c r="P22" s="1"/>
  <c r="O9"/>
  <c r="O14" s="1"/>
  <c r="O10"/>
  <c r="O15" s="1"/>
  <c r="O8"/>
  <c r="O13" s="1"/>
  <c r="P8"/>
  <c r="G25" i="64"/>
  <c r="H25" s="1"/>
  <c r="I25" s="1"/>
  <c r="J25" s="1"/>
  <c r="K25" s="1"/>
  <c r="L25" s="1"/>
  <c r="M25" s="1"/>
  <c r="N25" s="1"/>
  <c r="O25" s="1"/>
  <c r="E25"/>
  <c r="E9"/>
  <c r="E17" i="68" s="1"/>
  <c r="X7" i="66"/>
  <c r="Q8" i="75"/>
  <c r="X9" i="66"/>
  <c r="Q10" i="75"/>
  <c r="W8" i="66"/>
  <c r="Y8"/>
  <c r="X8"/>
  <c r="Q9" i="75"/>
  <c r="W9" i="66"/>
  <c r="P10" i="75"/>
  <c r="E26" i="64"/>
  <c r="F16"/>
  <c r="F23" i="68" s="1"/>
  <c r="G11" i="64"/>
  <c r="R9" i="75"/>
  <c r="Y7" i="66"/>
  <c r="R8" i="75"/>
  <c r="G26" i="64"/>
  <c r="Y9" i="66"/>
  <c r="R10" i="75"/>
  <c r="C60" i="69"/>
  <c r="C61"/>
  <c r="C62"/>
  <c r="C63"/>
  <c r="C64"/>
  <c r="C65"/>
  <c r="C66"/>
  <c r="C67"/>
  <c r="C68"/>
  <c r="C69"/>
  <c r="C70"/>
  <c r="C71"/>
  <c r="C72"/>
  <c r="C73"/>
  <c r="C59"/>
  <c r="C7"/>
  <c r="H11" i="64"/>
  <c r="S9" i="75"/>
  <c r="H26" i="64"/>
  <c r="Z9" i="66"/>
  <c r="S10" i="75"/>
  <c r="Z7" i="66"/>
  <c r="S8" i="75"/>
  <c r="AA8" i="66"/>
  <c r="R20" i="75"/>
  <c r="I11" i="64"/>
  <c r="J11" s="1"/>
  <c r="T9" i="75"/>
  <c r="AB8" i="66"/>
  <c r="U9" i="75"/>
  <c r="AA7" i="66"/>
  <c r="T8" i="75"/>
  <c r="AA9" i="66"/>
  <c r="S20" i="75"/>
  <c r="P25" s="1"/>
  <c r="AB7" i="66"/>
  <c r="U8" i="75"/>
  <c r="J26" i="64"/>
  <c r="AB9" i="66"/>
  <c r="U10" i="75"/>
  <c r="AC8" i="66"/>
  <c r="V9" i="75"/>
  <c r="U20"/>
  <c r="AC7" i="66"/>
  <c r="V8" i="75"/>
  <c r="AC9" i="66"/>
  <c r="AD8"/>
  <c r="L26" i="64"/>
  <c r="AD9" i="66"/>
  <c r="W10" i="75"/>
  <c r="AE8" i="66"/>
  <c r="X9" i="75"/>
  <c r="AD7" i="66"/>
  <c r="W8" i="75"/>
  <c r="AB10" i="66"/>
  <c r="U18" i="75"/>
  <c r="AE9" i="66"/>
  <c r="AF8"/>
  <c r="AE7"/>
  <c r="AF7"/>
  <c r="AG8"/>
  <c r="Z9" i="75"/>
  <c r="X20"/>
  <c r="N26" i="64"/>
  <c r="AF9" i="66"/>
  <c r="Y10" i="75"/>
  <c r="Y20"/>
  <c r="AG9" i="66"/>
  <c r="Z10" i="75"/>
  <c r="AG7" i="66"/>
  <c r="Z8" i="75"/>
  <c r="P18" i="68"/>
  <c r="Q12" i="64"/>
  <c r="Q19" i="68" s="1"/>
  <c r="Q8" i="64"/>
  <c r="Q16" i="68" s="1"/>
  <c r="Q18" i="64"/>
  <c r="Q25" i="68" s="1"/>
  <c r="Q20" i="64"/>
  <c r="Q27" i="68" s="1"/>
  <c r="Q10" i="64"/>
  <c r="Q18" i="68" s="1"/>
  <c r="Q9" i="64"/>
  <c r="Q17" i="68" s="1"/>
  <c r="J16" l="1"/>
  <c r="O33" i="64"/>
  <c r="L33"/>
  <c r="J33"/>
  <c r="F13"/>
  <c r="Q20" i="75"/>
  <c r="H35" i="64"/>
  <c r="P9" i="75"/>
  <c r="O34" i="64"/>
  <c r="N34"/>
  <c r="K34"/>
  <c r="J34"/>
  <c r="E13"/>
  <c r="O32"/>
  <c r="M32"/>
  <c r="P13" i="75"/>
  <c r="P15"/>
  <c r="I35" i="64"/>
  <c r="E11"/>
  <c r="P20" i="75"/>
  <c r="W7" i="66"/>
  <c r="E16" i="68"/>
  <c r="N20"/>
  <c r="N97" i="73"/>
  <c r="F25" i="68"/>
  <c r="N19" i="73"/>
  <c r="L19"/>
  <c r="L97" s="1"/>
  <c r="J19"/>
  <c r="J97" s="1"/>
  <c r="H19"/>
  <c r="H97" s="1"/>
  <c r="N33" i="64"/>
  <c r="P14" i="75"/>
  <c r="K33" i="64"/>
  <c r="O26"/>
  <c r="Y8" i="75"/>
  <c r="X8"/>
  <c r="Y9"/>
  <c r="X10"/>
  <c r="M26" i="64"/>
  <c r="W9" i="75"/>
  <c r="V10"/>
  <c r="K26" i="64"/>
  <c r="T20" i="75"/>
  <c r="T10"/>
  <c r="I26" i="64"/>
  <c r="Z8" i="66"/>
  <c r="N29" i="64"/>
  <c r="L29"/>
  <c r="J29"/>
  <c r="H29"/>
  <c r="G33"/>
  <c r="S9" s="1"/>
  <c r="J17" i="68"/>
  <c r="N32" i="64"/>
  <c r="N17" i="68"/>
  <c r="M33" i="64"/>
  <c r="K32"/>
  <c r="L17" i="68"/>
  <c r="L32" i="64"/>
  <c r="K18" i="68"/>
  <c r="M18"/>
  <c r="O13" i="64"/>
  <c r="O20" i="68" s="1"/>
  <c r="O23"/>
  <c r="Z20" i="75"/>
  <c r="K13" i="64"/>
  <c r="V20" i="75"/>
  <c r="K23" i="68"/>
  <c r="J15" i="64"/>
  <c r="L34"/>
  <c r="I34"/>
  <c r="S10" s="1"/>
  <c r="D9" i="65" s="1"/>
  <c r="F38" i="68" s="1"/>
  <c r="P12" i="75"/>
  <c r="K11" i="64"/>
  <c r="J35"/>
  <c r="I14"/>
  <c r="I20" i="68"/>
  <c r="H21"/>
  <c r="H15" i="64"/>
  <c r="S18" i="75"/>
  <c r="P23" s="1"/>
  <c r="Z10" i="66"/>
  <c r="O14" i="64"/>
  <c r="K14"/>
  <c r="K20" i="68"/>
  <c r="E20"/>
  <c r="E14" i="64"/>
  <c r="Y18" i="75"/>
  <c r="N21" i="68"/>
  <c r="N15" i="64"/>
  <c r="AF10" i="66"/>
  <c r="M14" i="64"/>
  <c r="M20" i="68"/>
  <c r="L13" i="64"/>
  <c r="W20" i="75"/>
  <c r="L23" i="68"/>
  <c r="Q16" i="64"/>
  <c r="Q23" i="68" s="1"/>
  <c r="G13" i="64"/>
  <c r="Q13" s="1"/>
  <c r="Q20" i="68" s="1"/>
  <c r="I23"/>
  <c r="H20"/>
  <c r="F20" l="1"/>
  <c r="F14" i="64"/>
  <c r="E28"/>
  <c r="F11"/>
  <c r="G8" i="65"/>
  <c r="I7" i="67" s="1"/>
  <c r="I28" i="64"/>
  <c r="J28" s="1"/>
  <c r="J17"/>
  <c r="U19" i="75"/>
  <c r="J22" i="68"/>
  <c r="AB11" i="66"/>
  <c r="M21" i="68"/>
  <c r="AE10" i="66"/>
  <c r="M15" i="64"/>
  <c r="X18" i="75"/>
  <c r="N22" i="68"/>
  <c r="Y19" i="75"/>
  <c r="N17" i="64"/>
  <c r="AF11" i="66"/>
  <c r="E21" i="68"/>
  <c r="W10" i="66"/>
  <c r="E15" i="64"/>
  <c r="P18" i="75"/>
  <c r="Z11" i="66"/>
  <c r="H22" i="68"/>
  <c r="H17" i="64"/>
  <c r="S19" i="75"/>
  <c r="P24" s="1"/>
  <c r="G20" i="68"/>
  <c r="G14" i="64"/>
  <c r="L14"/>
  <c r="L20" i="68"/>
  <c r="K37"/>
  <c r="AC10" i="66"/>
  <c r="K21" i="68"/>
  <c r="K15" i="64"/>
  <c r="V18" i="75"/>
  <c r="AG10" i="66"/>
  <c r="O21" i="68"/>
  <c r="O15" i="64"/>
  <c r="D7" i="65"/>
  <c r="Z18" i="75"/>
  <c r="I15" i="64"/>
  <c r="AA10" i="66"/>
  <c r="I21" i="68"/>
  <c r="T18" i="75"/>
  <c r="K35" i="64"/>
  <c r="K28"/>
  <c r="L11"/>
  <c r="D6" i="65" l="1"/>
  <c r="F35" i="68" s="1"/>
  <c r="F21"/>
  <c r="Q18" i="75"/>
  <c r="X10" i="66"/>
  <c r="F15" i="64"/>
  <c r="G35"/>
  <c r="F28"/>
  <c r="G28" s="1"/>
  <c r="H28" s="1"/>
  <c r="J19"/>
  <c r="J24" i="68"/>
  <c r="D8" i="65"/>
  <c r="F37" i="68" s="1"/>
  <c r="F36"/>
  <c r="M11" i="64"/>
  <c r="L28"/>
  <c r="L35"/>
  <c r="O17"/>
  <c r="AG11" i="66"/>
  <c r="O22" i="68"/>
  <c r="Z19" i="75"/>
  <c r="K22" i="68"/>
  <c r="V19" i="75"/>
  <c r="K17" i="64"/>
  <c r="AC11" i="66"/>
  <c r="L21" i="68"/>
  <c r="AD10" i="66"/>
  <c r="L15" i="64"/>
  <c r="W18" i="75"/>
  <c r="H24" i="68"/>
  <c r="H19" i="64"/>
  <c r="I22" i="68"/>
  <c r="T19" i="75"/>
  <c r="I17" i="64"/>
  <c r="AA11" i="66"/>
  <c r="C7" i="67"/>
  <c r="K105" i="68" s="1"/>
  <c r="D7" i="67"/>
  <c r="C105" i="68" s="1"/>
  <c r="Y10" i="66"/>
  <c r="G21" i="68"/>
  <c r="G15" i="64"/>
  <c r="R18" i="75"/>
  <c r="E17" i="64"/>
  <c r="P19" i="75"/>
  <c r="Q15" i="64"/>
  <c r="Q22" i="68" s="1"/>
  <c r="E22"/>
  <c r="W11" i="66"/>
  <c r="N24" i="68"/>
  <c r="N19" i="64"/>
  <c r="M22" i="68"/>
  <c r="AE11" i="66"/>
  <c r="M17" i="64"/>
  <c r="X19" i="75"/>
  <c r="Q14" i="64"/>
  <c r="Q21" i="68" s="1"/>
  <c r="X11" i="66" l="1"/>
  <c r="F22" i="68"/>
  <c r="F17" i="64"/>
  <c r="Q19" i="75"/>
  <c r="J21" i="64"/>
  <c r="J26" i="68"/>
  <c r="AB12" i="66"/>
  <c r="M19" i="64"/>
  <c r="M24" i="68"/>
  <c r="H21" i="64"/>
  <c r="H26" i="68"/>
  <c r="Z12" i="66"/>
  <c r="N11" i="64"/>
  <c r="M35"/>
  <c r="M28"/>
  <c r="N26" i="68"/>
  <c r="AF12" i="66"/>
  <c r="N21" i="64"/>
  <c r="E19"/>
  <c r="E24" i="68"/>
  <c r="G17" i="64"/>
  <c r="Q17" s="1"/>
  <c r="Q24" i="68" s="1"/>
  <c r="R19" i="75"/>
  <c r="G22" i="68"/>
  <c r="Y11" i="66"/>
  <c r="I19" i="64"/>
  <c r="I24" i="68"/>
  <c r="L17" i="64"/>
  <c r="AD11" i="66"/>
  <c r="L22" i="68"/>
  <c r="W19" i="75"/>
  <c r="K19" i="64"/>
  <c r="K24" i="68"/>
  <c r="O19" i="64"/>
  <c r="O24" i="68"/>
  <c r="F19" i="64" l="1"/>
  <c r="F24" i="68"/>
  <c r="J28"/>
  <c r="J23" i="64"/>
  <c r="J30" i="68" s="1"/>
  <c r="J22" i="64"/>
  <c r="H22"/>
  <c r="H23"/>
  <c r="H30" i="68" s="1"/>
  <c r="H28"/>
  <c r="M21" i="64"/>
  <c r="M26" i="68"/>
  <c r="AE12" i="66"/>
  <c r="O26" i="68"/>
  <c r="O21" i="64"/>
  <c r="AG12" i="66"/>
  <c r="K21" i="64"/>
  <c r="K26" i="68"/>
  <c r="AC12" i="66"/>
  <c r="L19" i="64"/>
  <c r="L24" i="68"/>
  <c r="AA12" i="66"/>
  <c r="I21" i="64"/>
  <c r="I26" i="68"/>
  <c r="G19" i="64"/>
  <c r="G24" i="68"/>
  <c r="W12" i="66"/>
  <c r="E21" i="64"/>
  <c r="E26" i="68"/>
  <c r="N28"/>
  <c r="N22" i="64"/>
  <c r="N23"/>
  <c r="N30" i="68" s="1"/>
  <c r="N28" i="64"/>
  <c r="N35"/>
  <c r="O11"/>
  <c r="Q11" s="1"/>
  <c r="X12" i="66" l="1"/>
  <c r="F21" i="64"/>
  <c r="F26" i="68"/>
  <c r="J29"/>
  <c r="AB13" i="66"/>
  <c r="J30" i="64"/>
  <c r="I22"/>
  <c r="I28" i="68"/>
  <c r="I23" i="64"/>
  <c r="I30" i="68" s="1"/>
  <c r="K23" i="64"/>
  <c r="K30" i="68" s="1"/>
  <c r="K22" i="64"/>
  <c r="K28" i="68"/>
  <c r="H29"/>
  <c r="Z13" i="66"/>
  <c r="H30" i="64"/>
  <c r="G26" i="68"/>
  <c r="Y12" i="66"/>
  <c r="G21" i="64"/>
  <c r="O22"/>
  <c r="O23"/>
  <c r="O30" i="68" s="1"/>
  <c r="O28"/>
  <c r="O35" i="64"/>
  <c r="S11" s="1"/>
  <c r="O28"/>
  <c r="N29" i="68"/>
  <c r="AF13" i="66"/>
  <c r="N30" i="64"/>
  <c r="E28" i="68"/>
  <c r="E23" i="64"/>
  <c r="E22"/>
  <c r="L21"/>
  <c r="AD12" i="66"/>
  <c r="L26" i="68"/>
  <c r="M23" i="64"/>
  <c r="M30" i="68" s="1"/>
  <c r="M22" i="64"/>
  <c r="M28" i="68"/>
  <c r="Q19" i="64"/>
  <c r="Q26" i="68" s="1"/>
  <c r="F23" i="64" l="1"/>
  <c r="F30" i="68" s="1"/>
  <c r="F28"/>
  <c r="F22" i="64"/>
  <c r="M29" i="68"/>
  <c r="M30" i="64"/>
  <c r="AE13" i="66"/>
  <c r="L22" i="64"/>
  <c r="L23"/>
  <c r="L30" i="68" s="1"/>
  <c r="L28"/>
  <c r="E30"/>
  <c r="D10" i="65"/>
  <c r="F39" i="68" s="1"/>
  <c r="O29"/>
  <c r="AG13" i="66"/>
  <c r="O30" i="64"/>
  <c r="K29" i="68"/>
  <c r="AC13" i="66"/>
  <c r="K30" i="64"/>
  <c r="I29" i="68"/>
  <c r="AA13" i="66"/>
  <c r="I30" i="64"/>
  <c r="E29" i="68"/>
  <c r="W13" i="66"/>
  <c r="E30" i="64"/>
  <c r="G22"/>
  <c r="G23"/>
  <c r="G28" i="68"/>
  <c r="Q21" i="64"/>
  <c r="Q28" i="68" s="1"/>
  <c r="F30" i="64" l="1"/>
  <c r="X13" i="66"/>
  <c r="F29" i="68"/>
  <c r="G29"/>
  <c r="G30" i="64"/>
  <c r="G10" i="65"/>
  <c r="Y13" i="66"/>
  <c r="G9" i="65"/>
  <c r="G30" i="68"/>
  <c r="G7" i="65"/>
  <c r="K36" i="68" s="1"/>
  <c r="Q22" i="64"/>
  <c r="Q29" i="68" s="1"/>
  <c r="Q23" i="64"/>
  <c r="Q30" i="68" s="1"/>
  <c r="L29"/>
  <c r="L30" i="64"/>
  <c r="AD13" i="66"/>
  <c r="G6" i="65"/>
  <c r="G6" i="63"/>
  <c r="H8" i="67" l="1"/>
  <c r="D8" s="1"/>
  <c r="C106" i="68" s="1"/>
  <c r="K35"/>
  <c r="G11" i="65"/>
  <c r="K40" i="68" s="1"/>
  <c r="K39"/>
  <c r="G12" i="65"/>
  <c r="K38" i="68"/>
  <c r="H5" i="67"/>
  <c r="D5" s="1"/>
  <c r="C103" i="68" s="1"/>
  <c r="K41" l="1"/>
  <c r="D6" i="67"/>
  <c r="C104" i="68" s="1"/>
</calcChain>
</file>

<file path=xl/comments1.xml><?xml version="1.0" encoding="utf-8"?>
<comments xmlns="http://schemas.openxmlformats.org/spreadsheetml/2006/main">
  <authors>
    <author>Produção 1</author>
  </authors>
  <commentList>
    <comment ref="C5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Defina o conhecimento dos sócios sobre o mercardo no qual a empresa está inserida.</t>
        </r>
      </text>
    </comment>
    <comment ref="C6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Insira quantos anos de histórico de Fluxo de Caixa a sua empresa possui. O Valuation é feito para empresas que já existentes. Portanto, para saber o valor presente de projeções, sugerimos que use a planilha de Estudo de Viabilidade Econômica.
</t>
        </r>
      </text>
    </comment>
    <comment ref="C7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A Taxa SELIC é também conhecida como taxa básica de juros da Economia Brasileira. É uma ferramenta de política monetária utilizada pelo Banco Central do Brasil para atingir a meta das taxas de jutos estabelecida pelo Comitê de Política Monetária.</t>
        </r>
      </text>
    </comment>
    <comment ref="C8" authorId="0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Insira a Taxa de Desconto, ela tem que refletir o risco que o seu negócio no mercado.</t>
        </r>
      </text>
    </comment>
    <comment ref="C9" authorId="0">
      <text>
        <r>
          <rPr>
            <sz val="9"/>
            <color indexed="81"/>
            <rFont val="Segoe UI"/>
            <family val="2"/>
          </rPr>
          <t xml:space="preserve">
A taxa Mínima de Atratividade é uma taxa de jutos que um investidor se propõe a ganhar quando faz um financiamento.</t>
        </r>
      </text>
    </comment>
  </commentList>
</comments>
</file>

<file path=xl/comments2.xml><?xml version="1.0" encoding="utf-8"?>
<comments xmlns="http://schemas.openxmlformats.org/spreadsheetml/2006/main">
  <authors>
    <author>Héctor Valente</author>
  </authors>
  <commentList>
    <comment ref="C14" authorId="0">
      <text>
        <r>
          <rPr>
            <sz val="12"/>
            <color indexed="81"/>
            <rFont val="Segoe UI"/>
            <family val="2"/>
          </rPr>
          <t>O que é? Ebitda é a sigla em inglês para earnings before interest, taxes, depreciation and amortization, que traduzido literalmente para o português significa: "Lucros antes de juros, impostos, depreciação e amortização", também conhecido como LAJIDA É  um termo muito utilizado por analistas financeiros na análise de balanços de contabilidade de empresas de capital aberto.</t>
        </r>
      </text>
    </comment>
  </commentList>
</comments>
</file>

<file path=xl/sharedStrings.xml><?xml version="1.0" encoding="utf-8"?>
<sst xmlns="http://schemas.openxmlformats.org/spreadsheetml/2006/main" count="302" uniqueCount="178">
  <si>
    <t>Faça previsões orçamentárias para seu financeiro e acompanhe automaticamente com um fluxo de caiax integrado em uma só planilha.</t>
  </si>
  <si>
    <t>Posso adicionar mais linhas e colunas na planilha?</t>
  </si>
  <si>
    <t xml:space="preserve">Nós recomendamos fortemente que você utilize a estrutura pronta apresentada, pois existem diversas fórmulas que podem ser afetadas pela adição de linhas e colunas. Além disso, para facilitar o preenchimento mantemos a planilha desbloqueada apenas nos locais para preenchimento. </t>
  </si>
  <si>
    <t>Posso remover linhas?</t>
  </si>
  <si>
    <t>Eles são avisos sobre como a sua projeção está. A partir deles, você pode refinar suas projeções e pensar em medidas mais agressivas para tornar seu projeto mais agressivo.</t>
  </si>
  <si>
    <t>Para que servem os alertas?</t>
  </si>
  <si>
    <t>Como desbloquear a planilha?</t>
  </si>
  <si>
    <t>Basta entrar no menu superior "Revisão" e escolher o item desproteger planilha no grupo Alterações. As planilhas não possuem senhas, apenas estão bloqueadas para melhorar a usabilidade delas.</t>
  </si>
  <si>
    <t>Essa planilha pode ser apresentada para instituições financeiras?</t>
  </si>
  <si>
    <t>Sim. Porém esses dados não garantem aprovações ou reprovações por parte dessas instituições. Sendo usados como dados complementares.</t>
  </si>
  <si>
    <t>Como redimensiono uma coluna ou linha da planilha?</t>
  </si>
  <si>
    <t>Com a planilha desbloqueada(ver pergunta 5), clique sobre o número da linha com o botão diretiro e escolha a opção altura da linha no caso das linhas ou na letra da coluna com o botão direito e escolha a opção largura da coluna no caso de colunas.</t>
  </si>
  <si>
    <t>Como faço para imprimir uma planilha?</t>
  </si>
  <si>
    <t>Como mudo a moeda da planilha?</t>
  </si>
  <si>
    <t>Escolha Opção Arquivo e vá ao item imprimir no seu menu superior.</t>
  </si>
  <si>
    <t>Selecione os campos que deseja mudar a moeda. Clique com o botão direito escolha a opção formatar células. Altere o símbolo para o formato que desejar na guia Número.</t>
  </si>
  <si>
    <t>Por que não aproveitar esse kit pronto da LUZ e aproveita para montar aquela estratégia matadora, por um preço menor?</t>
  </si>
  <si>
    <t>1. PREMISSAS GERAIS</t>
  </si>
  <si>
    <t>DÚVIDAS FREQUENTES</t>
  </si>
  <si>
    <t>SUGESTÕES PARA VOCÊ</t>
  </si>
  <si>
    <t>SOBRE A LUZ</t>
  </si>
  <si>
    <t>Clique Aqui</t>
  </si>
  <si>
    <t>AVALIE ESTA PLANILHA E GANHE 10% DE DESCONTO &gt;</t>
  </si>
  <si>
    <t>Clique abaixo para selecionar sua dúvida:</t>
  </si>
  <si>
    <t>Veja a resposta abaixo:</t>
  </si>
  <si>
    <t>1. Posso adicionar mais linhas e colunas na planilha?</t>
  </si>
  <si>
    <t>PLANILHA DE</t>
  </si>
  <si>
    <r>
      <t xml:space="preserve">IMPORTANTE: </t>
    </r>
    <r>
      <rPr>
        <b/>
        <sz val="18"/>
        <color rgb="FF333333"/>
        <rFont val="Calibri"/>
        <family val="2"/>
        <scheme val="minor"/>
      </rPr>
      <t>LEIA OS PASSOS E ENTENDA A PLANILHA</t>
    </r>
  </si>
  <si>
    <t>Dúvidas? Clique nos Links presentes em toda a planilha para ver vídeos explicativos sobre o método, preenchimento e análise de cada aba!</t>
  </si>
  <si>
    <t>Passo 1</t>
  </si>
  <si>
    <t>PREMISSAS GERAIS</t>
  </si>
  <si>
    <t>Aqui você vai falar sobre a parte de PREMISSAS GERAIS. Faça um bom resumo sobre esse tópico e observe se possui subtópicos ou não.</t>
  </si>
  <si>
    <t>Passo 2</t>
  </si>
  <si>
    <t>Passo 3</t>
  </si>
  <si>
    <t>Passo 4</t>
  </si>
  <si>
    <t>Passo 5</t>
  </si>
  <si>
    <t>Passo 6</t>
  </si>
  <si>
    <t>RESULTADOS CONSOLIDADOS</t>
  </si>
  <si>
    <t>GRÁFICOS</t>
  </si>
  <si>
    <t>RELATÓRIO DE IMPRESSÃO</t>
  </si>
  <si>
    <t>Kit Finanças</t>
  </si>
  <si>
    <t>Planilha de Fluxo de Caixa</t>
  </si>
  <si>
    <t>Essa planilha é a melhor solução para controlar seus gastos que você pode encontrar. Aceita por mais de 2.000 usuários, ela deixa os sistemas e programas complexos para trás! Baixe a demonstração e comprove.</t>
  </si>
  <si>
    <t>Planilha de Estudo de Viabilidade Econômica</t>
  </si>
  <si>
    <t>Controle o fluxo de caixa de uma empresa com a Planilha de Fluxo de Caixa 3.0</t>
  </si>
  <si>
    <t>Planilha de Fluxo de Caixa Avançado</t>
  </si>
  <si>
    <t>http://luz.vc/ferramentas/planilhas-avancadas/planilha-de-fluxo-de-caixa-avancado/</t>
  </si>
  <si>
    <t>Planilha de Formação de Preços para Serviços</t>
  </si>
  <si>
    <t>Com a Planilha de Formação de Preços para Serviços em excel você descobrirá qual o preço ideal que você deve praticar no seu mercado, levando em consideração todos os fatores importantes para a sua empresa, desde os seus custos até os preços dos seus concorrentes.</t>
  </si>
  <si>
    <t>2. DEMONSTRATIVO</t>
  </si>
  <si>
    <t>3. RESULTADOS CONSOLIDADOS</t>
  </si>
  <si>
    <t>4. GRÁFICOS</t>
  </si>
  <si>
    <t>5. ALERTA E DICAS</t>
  </si>
  <si>
    <t>6. RELATÓRIO DE IMPRESSÃO</t>
  </si>
  <si>
    <t>http://luz.vc/ferramentas/planilhas-avancadas/planilha-de-fluxo-de-caixa-avancado/?utm_source=referral&amp;utm_medium=produtos&amp;utm_campaign=VAL3</t>
  </si>
  <si>
    <t>DEMONSTRATIVO</t>
  </si>
  <si>
    <t>ALERTA E DICAS</t>
  </si>
  <si>
    <t>!</t>
  </si>
  <si>
    <t>Qual é o conhecimento dos sócios sobre o mercado no qual a empresa avaliada está inserida?</t>
  </si>
  <si>
    <t>Taxa SELIC</t>
  </si>
  <si>
    <t>Taxa de desconto</t>
  </si>
  <si>
    <t>Taxa Média de Atratividade (TMA)</t>
  </si>
  <si>
    <t>Qual é o risco que o negócio exercido pela empresa tem de dar errado?</t>
  </si>
  <si>
    <t>Clique e veja a tabela com taxas</t>
  </si>
  <si>
    <t>1 - Conhecimento pleno</t>
  </si>
  <si>
    <t>2 - Bom conhecimento</t>
  </si>
  <si>
    <t>3 - Conhecimento razoável</t>
  </si>
  <si>
    <t>4 - Pouco conhecimento</t>
  </si>
  <si>
    <t>5 - Nenhum conhecimento</t>
  </si>
  <si>
    <t>Procure usar uma taxa de desconto significamente mais alta que o SELIC</t>
  </si>
  <si>
    <t>Ano 1</t>
  </si>
  <si>
    <t>Inicial
( Ano 0 )</t>
  </si>
  <si>
    <t>Descrição da despesa</t>
  </si>
  <si>
    <t>Despesas variáveis</t>
  </si>
  <si>
    <t>Despesas fixas</t>
  </si>
  <si>
    <t>Digite o nome da despesa</t>
  </si>
  <si>
    <t>Digite o nome do investimento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</si>
  <si>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</si>
  <si>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</si>
  <si>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</si>
  <si>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</si>
  <si>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</si>
  <si>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</si>
  <si>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</si>
  <si>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</si>
  <si>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</si>
  <si>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Perpetuidade</t>
  </si>
  <si>
    <t>Total</t>
  </si>
  <si>
    <t>Projeção de Receitas</t>
  </si>
  <si>
    <t>Projeção de Despesas</t>
  </si>
  <si>
    <t>Projeção de Investimentos</t>
  </si>
  <si>
    <t>Impostos</t>
  </si>
  <si>
    <t>(R$) Depreciação</t>
  </si>
  <si>
    <t>LAIR</t>
  </si>
  <si>
    <t>(%) Lucratividade</t>
  </si>
  <si>
    <t>Impostos sobre as vendas</t>
  </si>
  <si>
    <t>Lucro operacional</t>
  </si>
  <si>
    <t>Receita líquida</t>
  </si>
  <si>
    <t>custos fixos projetados</t>
  </si>
  <si>
    <t>Fluxo de Caixa livre</t>
  </si>
  <si>
    <t>EBITDA (LAJIDA)</t>
  </si>
  <si>
    <t>EBIT (LAJIR)</t>
  </si>
  <si>
    <t>% de depreciação
anual</t>
  </si>
  <si>
    <t>depreciação investimentos</t>
  </si>
  <si>
    <t>Imposto de Renda</t>
  </si>
  <si>
    <t>Lucro Líquido</t>
  </si>
  <si>
    <t>-</t>
  </si>
  <si>
    <t>Base para o Cálculo da Perpetuidade</t>
  </si>
  <si>
    <t>Rentabilidade média</t>
  </si>
  <si>
    <t>Indicadores de retorno</t>
  </si>
  <si>
    <t>Taxa Interna de Retorno (TIR)</t>
  </si>
  <si>
    <t>Taxa de crescimento anual</t>
  </si>
  <si>
    <t>Fluxo de Caixa do Último Período</t>
  </si>
  <si>
    <t>Taxa de desconto no período</t>
  </si>
  <si>
    <t>Rentabilidade acumulada</t>
  </si>
  <si>
    <t>Fluxo de Caixa da perpetuidade</t>
  </si>
  <si>
    <t>Valor do negócio</t>
  </si>
  <si>
    <r>
      <rPr>
        <b/>
        <sz val="12"/>
        <color rgb="FFFF0000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Confira seus dados em gráficos e conte com o auxílio dos comentários que ajudam na interpretação dos dados.</t>
    </r>
  </si>
  <si>
    <t>3.0.0</t>
  </si>
  <si>
    <t>VALUATION 3.0</t>
  </si>
  <si>
    <t>SE PARA PAYBACK</t>
  </si>
  <si>
    <t>VPL da Perpetuidade</t>
  </si>
  <si>
    <t>TIR</t>
  </si>
  <si>
    <t>1. Gráfico de investimentos</t>
  </si>
  <si>
    <t>3. Gráfico de Despesas</t>
  </si>
  <si>
    <t>2. Gráfico de Receitas</t>
  </si>
  <si>
    <t>4. DRE - EBITDA</t>
  </si>
  <si>
    <t>5. DRE - EBIT</t>
  </si>
  <si>
    <t>6. DRE - LAIR</t>
  </si>
  <si>
    <t>7. DRE - FLUXO DE CAIXA LIVRE</t>
  </si>
  <si>
    <t>=)</t>
  </si>
  <si>
    <t>Ano 0</t>
  </si>
  <si>
    <t>Selecione o ano
ao lado</t>
  </si>
  <si>
    <t>1. Gráfico de Receita, Despesa e Investimento</t>
  </si>
  <si>
    <t>2. Gráfico de EBITDA, EBIT E LAIR</t>
  </si>
  <si>
    <t>GRÁFICO 2</t>
  </si>
  <si>
    <t>GRÁFICO 1</t>
  </si>
  <si>
    <t>Inicial 
(Ano 0)</t>
  </si>
  <si>
    <t>payback</t>
  </si>
  <si>
    <t>RELATÓRIO DE</t>
  </si>
  <si>
    <t>VALUATION</t>
  </si>
  <si>
    <r>
      <rPr>
        <b/>
        <sz val="36"/>
        <color theme="1"/>
        <rFont val="Calibri"/>
        <family val="2"/>
        <scheme val="minor"/>
      </rPr>
      <t>1.</t>
    </r>
    <r>
      <rPr>
        <sz val="36"/>
        <color theme="1"/>
        <rFont val="Calibri"/>
        <family val="2"/>
        <scheme val="minor"/>
      </rPr>
      <t xml:space="preserve"> Demonstrativo</t>
    </r>
  </si>
  <si>
    <r>
      <rPr>
        <b/>
        <sz val="36"/>
        <color theme="1"/>
        <rFont val="Calibri"/>
        <family val="2"/>
        <scheme val="minor"/>
      </rPr>
      <t>2.</t>
    </r>
    <r>
      <rPr>
        <sz val="36"/>
        <color theme="1"/>
        <rFont val="Calibri"/>
        <family val="2"/>
        <scheme val="minor"/>
      </rPr>
      <t xml:space="preserve"> Resultados consolidados</t>
    </r>
  </si>
  <si>
    <r>
      <rPr>
        <b/>
        <sz val="36"/>
        <color theme="1"/>
        <rFont val="Calibri"/>
        <family val="2"/>
        <scheme val="minor"/>
      </rPr>
      <t>3.</t>
    </r>
    <r>
      <rPr>
        <sz val="36"/>
        <color theme="1"/>
        <rFont val="Calibri"/>
        <family val="2"/>
        <scheme val="minor"/>
      </rPr>
      <t xml:space="preserve"> Gráficos</t>
    </r>
  </si>
  <si>
    <r>
      <rPr>
        <b/>
        <sz val="36"/>
        <color theme="1"/>
        <rFont val="Calibri"/>
        <family val="2"/>
        <scheme val="minor"/>
      </rPr>
      <t>4.</t>
    </r>
    <r>
      <rPr>
        <sz val="36"/>
        <color theme="1"/>
        <rFont val="Calibri"/>
        <family val="2"/>
        <scheme val="minor"/>
      </rPr>
      <t xml:space="preserve"> Alertas e dicas</t>
    </r>
  </si>
  <si>
    <t>1. Demonstrativo</t>
  </si>
  <si>
    <t>2. Resultados consolidados</t>
  </si>
  <si>
    <t>3. Gráficos</t>
  </si>
  <si>
    <t>Gráfico de investimentos</t>
  </si>
  <si>
    <t>Gráfico de Receitas</t>
  </si>
  <si>
    <t>Gráfico de Despesas</t>
  </si>
  <si>
    <t>DRE - EBITDA</t>
  </si>
  <si>
    <t>DRE - EBIT</t>
  </si>
  <si>
    <t>DRE - LAIR</t>
  </si>
  <si>
    <t>DRE - FLUXO DE CAIXA LIVRE</t>
  </si>
  <si>
    <t>4. Alertas e dicas</t>
  </si>
  <si>
    <t>Inicial (Ano 0)</t>
  </si>
  <si>
    <t>Payback (Clique para obter explicação)</t>
  </si>
  <si>
    <t>Descrição do investimento</t>
  </si>
  <si>
    <t>Descrição da receita</t>
  </si>
  <si>
    <t>Quantos anos você tem de histórico de Fluxo de Caixa</t>
  </si>
  <si>
    <t>Saldo acumulado</t>
  </si>
  <si>
    <t>VPL (Valor Presente Líquido)</t>
  </si>
  <si>
    <t>EBITDA (Ano 1)</t>
  </si>
  <si>
    <t>Seja bem-vindo(a). Com esta planilha você poderá saber o valor do seu negócio mediante ao histórico de fluxo de caixa da sua empresa de uma maneira simples e eficiente.</t>
  </si>
  <si>
    <r>
      <t>1.1. Dados iniciais:</t>
    </r>
    <r>
      <rPr>
        <sz val="11"/>
        <color theme="1"/>
        <rFont val="Arial"/>
        <family val="2"/>
      </rPr>
      <t xml:space="preserve"> Insira informações iniciais sobre a sua empresa para ajudar a planilha a gerar os resultados futuros.</t>
    </r>
  </si>
  <si>
    <r>
      <t>1.2. Projeção de despesas:</t>
    </r>
    <r>
      <rPr>
        <sz val="11"/>
        <color theme="1"/>
        <rFont val="Arial"/>
        <family val="2"/>
      </rPr>
      <t xml:space="preserve"> Insira todas as despesas fixas e variáveis da sua empresa</t>
    </r>
  </si>
  <si>
    <r>
      <t>1.3. Projeção de investimentos:</t>
    </r>
    <r>
      <rPr>
        <sz val="11"/>
        <color theme="1"/>
        <rFont val="Arial"/>
        <family val="2"/>
      </rPr>
      <t xml:space="preserve"> Insira todo o tipo de investimento da sua empresa e sua respectiva depreciação anual.</t>
    </r>
  </si>
  <si>
    <r>
      <t>1.4. Projeção de receitas:</t>
    </r>
    <r>
      <rPr>
        <sz val="11"/>
        <color theme="1"/>
        <rFont val="Arial"/>
        <family val="2"/>
      </rPr>
      <t xml:space="preserve"> Insira todas as fontes de receita da sua empresa.</t>
    </r>
  </si>
  <si>
    <t>Veja os resultados do seu fluxo de caixa e indicadores importantes através do Demonstrativo.</t>
  </si>
  <si>
    <t>Descubra o valor da sua empresa mediante a todos os resultados anteriores da planilha.</t>
  </si>
  <si>
    <t>Visualize de uma maneira simples e eficiente todos os resultados da planilha através dos Gráficos</t>
  </si>
  <si>
    <r>
      <t>4.1. Todos os anos:</t>
    </r>
    <r>
      <rPr>
        <sz val="11"/>
        <color theme="1"/>
        <rFont val="Arial"/>
        <family val="2"/>
      </rPr>
      <t xml:space="preserve"> Veja gráficos gerais sobre os resultados consolidados.</t>
    </r>
  </si>
  <si>
    <r>
      <t>4.2. Ano específico:</t>
    </r>
    <r>
      <rPr>
        <sz val="11"/>
        <color theme="1"/>
        <rFont val="Arial"/>
        <family val="2"/>
      </rPr>
      <t xml:space="preserve"> Escolha o ano específico e veja os resultados. </t>
    </r>
  </si>
  <si>
    <t>A aba de alertas e dicas foi desenvolvida com o intuito de lhe ajudar a entender alguns conceitos sobre o assunto abordado na planilha.</t>
  </si>
  <si>
    <t>Uma das novidades da versão 3.0 das planilhas da LUZ é que elas possuem um relatório pronto para a impressão com as principais informações da planilha. Basta clicar no botão de impressão que você terá esse relatório já pronto.</t>
  </si>
  <si>
    <t xml:space="preserve"> </t>
  </si>
  <si>
    <t>3.0.2</t>
  </si>
</sst>
</file>

<file path=xl/styles.xml><?xml version="1.0" encoding="utf-8"?>
<styleSheet xmlns="http://schemas.openxmlformats.org/spreadsheetml/2006/main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%;[Red]\-0%"/>
    <numFmt numFmtId="165" formatCode=";;;"/>
    <numFmt numFmtId="166" formatCode="&quot;R$&quot;\ #,##0.00"/>
    <numFmt numFmtId="167" formatCode="0.0%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333333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rgb="FF6699CC"/>
      <name val="Calibri"/>
      <family val="2"/>
      <scheme val="minor"/>
    </font>
    <font>
      <sz val="12"/>
      <color rgb="FF6699CC"/>
      <name val="Calibri"/>
      <family val="2"/>
      <scheme val="minor"/>
    </font>
    <font>
      <sz val="14"/>
      <color rgb="FF0563C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28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8"/>
      <color rgb="FF33333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indexed="1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1"/>
      <name val="Segoe U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0" tint="-0.499984740745262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36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/>
      <top style="thick">
        <color theme="0"/>
      </top>
      <bottom style="thick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ck">
        <color theme="0"/>
      </top>
      <bottom style="thin">
        <color theme="0" tint="-0.149998474074526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95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 indent="1"/>
    </xf>
    <xf numFmtId="0" fontId="6" fillId="0" borderId="0" xfId="1" applyFont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3" fillId="2" borderId="0" xfId="0" applyFont="1" applyFill="1"/>
    <xf numFmtId="0" fontId="0" fillId="0" borderId="0" xfId="0" applyFill="1"/>
    <xf numFmtId="0" fontId="13" fillId="0" borderId="0" xfId="0" applyFont="1" applyFill="1"/>
    <xf numFmtId="0" fontId="16" fillId="0" borderId="0" xfId="0" applyFont="1" applyAlignment="1">
      <alignment vertical="center"/>
    </xf>
    <xf numFmtId="0" fontId="18" fillId="5" borderId="0" xfId="1" applyFont="1" applyFill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0" fillId="6" borderId="0" xfId="0" applyFill="1"/>
    <xf numFmtId="0" fontId="4" fillId="6" borderId="0" xfId="0" applyFont="1" applyFill="1"/>
    <xf numFmtId="0" fontId="8" fillId="6" borderId="0" xfId="0" applyFont="1" applyFill="1" applyAlignment="1">
      <alignment vertical="top"/>
    </xf>
    <xf numFmtId="10" fontId="11" fillId="0" borderId="7" xfId="0" applyNumberFormat="1" applyFont="1" applyBorder="1" applyAlignment="1" applyProtection="1">
      <alignment horizontal="left" vertical="center" indent="1"/>
      <protection locked="0"/>
    </xf>
    <xf numFmtId="0" fontId="11" fillId="8" borderId="11" xfId="0" applyNumberFormat="1" applyFont="1" applyFill="1" applyBorder="1" applyAlignment="1" applyProtection="1">
      <alignment horizontal="left" vertical="center" indent="1"/>
      <protection locked="0"/>
    </xf>
    <xf numFmtId="0" fontId="11" fillId="8" borderId="10" xfId="0" applyNumberFormat="1" applyFont="1" applyFill="1" applyBorder="1" applyAlignment="1" applyProtection="1">
      <alignment horizontal="left" vertical="center" indent="1"/>
      <protection locked="0"/>
    </xf>
    <xf numFmtId="0" fontId="11" fillId="8" borderId="12" xfId="0" applyNumberFormat="1" applyFont="1" applyFill="1" applyBorder="1" applyAlignment="1" applyProtection="1">
      <alignment horizontal="left" vertical="center" indent="1"/>
      <protection locked="0"/>
    </xf>
    <xf numFmtId="0" fontId="20" fillId="4" borderId="6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left" vertical="center" indent="1"/>
    </xf>
    <xf numFmtId="0" fontId="23" fillId="3" borderId="5" xfId="0" applyFont="1" applyFill="1" applyBorder="1" applyAlignment="1">
      <alignment horizontal="left" vertical="center" indent="1"/>
    </xf>
    <xf numFmtId="0" fontId="23" fillId="3" borderId="13" xfId="0" applyFont="1" applyFill="1" applyBorder="1" applyAlignment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9" fontId="22" fillId="6" borderId="6" xfId="3" applyFont="1" applyFill="1" applyBorder="1" applyAlignment="1" applyProtection="1">
      <alignment horizontal="left" vertical="center" indent="1"/>
    </xf>
    <xf numFmtId="44" fontId="22" fillId="6" borderId="13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vertical="center"/>
    </xf>
    <xf numFmtId="9" fontId="22" fillId="6" borderId="6" xfId="2" applyNumberFormat="1" applyFont="1" applyFill="1" applyBorder="1" applyAlignment="1" applyProtection="1">
      <alignment horizontal="left" vertical="center" indent="1"/>
    </xf>
    <xf numFmtId="9" fontId="0" fillId="0" borderId="0" xfId="3" applyFont="1"/>
    <xf numFmtId="9" fontId="0" fillId="0" borderId="0" xfId="3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5" fontId="0" fillId="2" borderId="0" xfId="0" applyNumberFormat="1" applyFill="1" applyAlignment="1" applyProtection="1">
      <alignment horizontal="center" vertical="center"/>
    </xf>
    <xf numFmtId="0" fontId="0" fillId="6" borderId="0" xfId="0" applyFill="1" applyProtection="1"/>
    <xf numFmtId="0" fontId="4" fillId="6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29" fillId="5" borderId="6" xfId="0" applyFont="1" applyFill="1" applyBorder="1" applyAlignment="1" applyProtection="1">
      <alignment horizontal="left" vertical="center" wrapText="1" indent="1"/>
    </xf>
    <xf numFmtId="0" fontId="28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44" fontId="3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Protection="1"/>
    <xf numFmtId="44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21" fillId="5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23" fillId="4" borderId="6" xfId="0" applyFont="1" applyFill="1" applyBorder="1" applyAlignment="1" applyProtection="1">
      <alignment horizontal="left" vertical="center" wrapText="1" indent="1"/>
    </xf>
    <xf numFmtId="0" fontId="30" fillId="9" borderId="6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30" fillId="7" borderId="6" xfId="0" quotePrefix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34" fillId="0" borderId="0" xfId="0" applyFont="1" applyBorder="1" applyAlignment="1" applyProtection="1">
      <alignment vertical="center"/>
    </xf>
    <xf numFmtId="0" fontId="36" fillId="0" borderId="0" xfId="0" applyFont="1" applyAlignment="1" applyProtection="1">
      <alignment horizontal="left" vertical="center"/>
    </xf>
    <xf numFmtId="0" fontId="31" fillId="5" borderId="6" xfId="0" applyFont="1" applyFill="1" applyBorder="1" applyAlignment="1" applyProtection="1">
      <alignment horizontal="center" vertical="center"/>
    </xf>
    <xf numFmtId="0" fontId="30" fillId="9" borderId="6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8" fontId="22" fillId="6" borderId="6" xfId="2" applyNumberFormat="1" applyFont="1" applyFill="1" applyBorder="1" applyAlignment="1" applyProtection="1">
      <alignment horizontal="left" vertical="center" indent="1"/>
    </xf>
    <xf numFmtId="0" fontId="0" fillId="6" borderId="0" xfId="0" applyFont="1" applyFill="1" applyProtection="1"/>
    <xf numFmtId="0" fontId="0" fillId="0" borderId="0" xfId="0" applyFont="1" applyProtection="1"/>
    <xf numFmtId="44" fontId="3" fillId="0" borderId="0" xfId="0" applyNumberFormat="1" applyFont="1" applyAlignment="1">
      <alignment horizontal="center" vertical="center"/>
    </xf>
    <xf numFmtId="0" fontId="38" fillId="3" borderId="6" xfId="1" applyFont="1" applyFill="1" applyBorder="1" applyAlignment="1" applyProtection="1">
      <alignment horizontal="left" vertical="center" indent="1"/>
      <protection locked="0"/>
    </xf>
    <xf numFmtId="0" fontId="23" fillId="7" borderId="5" xfId="1" applyFont="1" applyFill="1" applyBorder="1" applyAlignment="1" applyProtection="1">
      <alignment horizontal="center" vertical="center" wrapText="1"/>
      <protection locked="0"/>
    </xf>
    <xf numFmtId="0" fontId="23" fillId="3" borderId="5" xfId="0" applyFont="1" applyFill="1" applyBorder="1" applyAlignment="1" applyProtection="1">
      <alignment horizontal="left" vertical="center" indent="1"/>
    </xf>
    <xf numFmtId="167" fontId="11" fillId="0" borderId="5" xfId="3" applyNumberFormat="1" applyFont="1" applyBorder="1" applyAlignment="1" applyProtection="1">
      <alignment horizontal="center" vertical="center"/>
      <protection locked="0"/>
    </xf>
    <xf numFmtId="167" fontId="11" fillId="0" borderId="14" xfId="3" applyNumberFormat="1" applyFont="1" applyBorder="1" applyAlignment="1" applyProtection="1">
      <alignment horizontal="center" vertical="center"/>
      <protection locked="0"/>
    </xf>
    <xf numFmtId="166" fontId="22" fillId="6" borderId="6" xfId="2" applyNumberFormat="1" applyFont="1" applyFill="1" applyBorder="1" applyAlignment="1" applyProtection="1">
      <alignment horizontal="left" vertical="center" indent="1"/>
    </xf>
    <xf numFmtId="0" fontId="23" fillId="3" borderId="5" xfId="0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23" fillId="3" borderId="9" xfId="0" applyFont="1" applyFill="1" applyBorder="1" applyAlignment="1" applyProtection="1">
      <alignment horizontal="center" vertical="center"/>
    </xf>
    <xf numFmtId="0" fontId="23" fillId="4" borderId="6" xfId="0" applyFont="1" applyFill="1" applyBorder="1" applyAlignment="1" applyProtection="1">
      <alignment horizontal="center" vertical="center" wrapText="1"/>
    </xf>
    <xf numFmtId="44" fontId="11" fillId="8" borderId="11" xfId="2" applyFont="1" applyFill="1" applyBorder="1" applyAlignment="1" applyProtection="1">
      <alignment horizontal="center" vertical="center"/>
      <protection locked="0"/>
    </xf>
    <xf numFmtId="44" fontId="11" fillId="8" borderId="10" xfId="2" applyFont="1" applyFill="1" applyBorder="1" applyAlignment="1" applyProtection="1">
      <alignment horizontal="center" vertical="center"/>
      <protection locked="0"/>
    </xf>
    <xf numFmtId="9" fontId="11" fillId="8" borderId="11" xfId="3" applyFont="1" applyFill="1" applyBorder="1" applyAlignment="1" applyProtection="1">
      <alignment horizontal="center" vertical="center"/>
      <protection locked="0"/>
    </xf>
    <xf numFmtId="9" fontId="11" fillId="8" borderId="10" xfId="3" applyFont="1" applyFill="1" applyBorder="1" applyAlignment="1" applyProtection="1">
      <alignment horizontal="center" vertical="center"/>
      <protection locked="0"/>
    </xf>
    <xf numFmtId="44" fontId="11" fillId="8" borderId="7" xfId="2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</xf>
    <xf numFmtId="44" fontId="11" fillId="8" borderId="12" xfId="2" applyFont="1" applyFill="1" applyBorder="1" applyAlignment="1" applyProtection="1">
      <alignment horizontal="center" vertical="center"/>
      <protection locked="0"/>
    </xf>
    <xf numFmtId="0" fontId="23" fillId="3" borderId="9" xfId="0" applyFont="1" applyFill="1" applyBorder="1" applyAlignment="1" applyProtection="1">
      <alignment vertical="center"/>
    </xf>
    <xf numFmtId="44" fontId="11" fillId="8" borderId="16" xfId="2" applyFont="1" applyFill="1" applyBorder="1" applyAlignment="1" applyProtection="1">
      <alignment horizontal="center" vertical="center"/>
      <protection locked="0"/>
    </xf>
    <xf numFmtId="44" fontId="11" fillId="8" borderId="17" xfId="2" applyFont="1" applyFill="1" applyBorder="1" applyAlignment="1" applyProtection="1">
      <alignment horizontal="center" vertical="center"/>
      <protection locked="0"/>
    </xf>
    <xf numFmtId="44" fontId="11" fillId="8" borderId="18" xfId="2" applyFont="1" applyFill="1" applyBorder="1" applyAlignment="1" applyProtection="1">
      <alignment horizontal="center" vertical="center"/>
    </xf>
    <xf numFmtId="44" fontId="11" fillId="8" borderId="17" xfId="2" applyFont="1" applyFill="1" applyBorder="1" applyAlignment="1" applyProtection="1">
      <alignment horizontal="center" vertical="center"/>
    </xf>
    <xf numFmtId="44" fontId="0" fillId="0" borderId="0" xfId="0" applyNumberFormat="1" applyAlignment="1" applyProtection="1">
      <alignment horizontal="center" vertical="center"/>
    </xf>
    <xf numFmtId="9" fontId="22" fillId="6" borderId="6" xfId="3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0" borderId="0" xfId="0" applyFont="1"/>
    <xf numFmtId="44" fontId="39" fillId="0" borderId="0" xfId="0" applyNumberFormat="1" applyFont="1"/>
    <xf numFmtId="0" fontId="39" fillId="0" borderId="0" xfId="0" applyFont="1" applyAlignment="1">
      <alignment horizontal="center" vertical="center"/>
    </xf>
    <xf numFmtId="164" fontId="22" fillId="6" borderId="6" xfId="3" applyNumberFormat="1" applyFont="1" applyFill="1" applyBorder="1" applyAlignment="1" applyProtection="1">
      <alignment horizontal="left" vertical="center" indent="1"/>
    </xf>
    <xf numFmtId="167" fontId="11" fillId="8" borderId="11" xfId="3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2" borderId="0" xfId="0" applyFont="1" applyFill="1"/>
    <xf numFmtId="166" fontId="39" fillId="0" borderId="0" xfId="0" applyNumberFormat="1" applyFont="1"/>
    <xf numFmtId="0" fontId="42" fillId="0" borderId="0" xfId="0" applyFont="1" applyProtection="1"/>
    <xf numFmtId="0" fontId="3" fillId="6" borderId="0" xfId="0" applyFont="1" applyFill="1" applyProtection="1"/>
    <xf numFmtId="0" fontId="42" fillId="6" borderId="0" xfId="0" applyFont="1" applyFill="1" applyProtection="1"/>
    <xf numFmtId="0" fontId="3" fillId="6" borderId="0" xfId="0" applyFont="1" applyFill="1"/>
    <xf numFmtId="0" fontId="42" fillId="6" borderId="0" xfId="0" applyFont="1" applyFill="1"/>
    <xf numFmtId="0" fontId="42" fillId="0" borderId="0" xfId="0" applyFont="1"/>
    <xf numFmtId="44" fontId="42" fillId="0" borderId="0" xfId="0" applyNumberFormat="1" applyFont="1"/>
    <xf numFmtId="0" fontId="42" fillId="0" borderId="0" xfId="0" applyFont="1" applyAlignment="1">
      <alignment horizontal="center"/>
    </xf>
    <xf numFmtId="44" fontId="42" fillId="0" borderId="0" xfId="0" applyNumberFormat="1" applyFont="1" applyAlignment="1">
      <alignment horizontal="center"/>
    </xf>
    <xf numFmtId="44" fontId="39" fillId="0" borderId="0" xfId="0" applyNumberFormat="1" applyFont="1" applyAlignment="1">
      <alignment horizontal="center" vertical="center"/>
    </xf>
    <xf numFmtId="0" fontId="3" fillId="2" borderId="0" xfId="0" applyFont="1" applyFill="1" applyProtection="1"/>
    <xf numFmtId="9" fontId="3" fillId="0" borderId="0" xfId="3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44" fontId="3" fillId="0" borderId="0" xfId="0" applyNumberFormat="1" applyFont="1" applyProtection="1"/>
    <xf numFmtId="0" fontId="3" fillId="0" borderId="0" xfId="0" applyNumberFormat="1" applyFont="1" applyProtection="1"/>
    <xf numFmtId="44" fontId="22" fillId="6" borderId="6" xfId="2" applyFont="1" applyFill="1" applyBorder="1" applyAlignment="1" applyProtection="1">
      <alignment horizontal="center" vertical="center"/>
    </xf>
    <xf numFmtId="44" fontId="22" fillId="6" borderId="6" xfId="2" applyFont="1" applyFill="1" applyBorder="1" applyAlignment="1" applyProtection="1">
      <alignment horizontal="left" vertical="center" indent="1"/>
    </xf>
    <xf numFmtId="0" fontId="39" fillId="6" borderId="0" xfId="0" applyFont="1" applyFill="1"/>
    <xf numFmtId="10" fontId="39" fillId="0" borderId="0" xfId="3" applyNumberFormat="1" applyFont="1" applyAlignment="1">
      <alignment horizontal="center" vertical="center"/>
    </xf>
    <xf numFmtId="9" fontId="39" fillId="0" borderId="0" xfId="0" applyNumberFormat="1" applyFont="1"/>
    <xf numFmtId="0" fontId="39" fillId="2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20" fillId="4" borderId="6" xfId="0" applyFont="1" applyFill="1" applyBorder="1" applyAlignment="1" applyProtection="1">
      <alignment horizontal="center" vertical="center" wrapText="1"/>
    </xf>
    <xf numFmtId="167" fontId="11" fillId="0" borderId="5" xfId="3" applyNumberFormat="1" applyFont="1" applyBorder="1" applyAlignment="1" applyProtection="1">
      <alignment horizontal="center" vertical="center"/>
    </xf>
    <xf numFmtId="167" fontId="11" fillId="0" borderId="14" xfId="3" applyNumberFormat="1" applyFont="1" applyBorder="1" applyAlignment="1" applyProtection="1">
      <alignment horizontal="center" vertical="center"/>
    </xf>
    <xf numFmtId="167" fontId="11" fillId="8" borderId="11" xfId="3" applyNumberFormat="1" applyFont="1" applyFill="1" applyBorder="1" applyAlignment="1" applyProtection="1">
      <alignment horizontal="center" vertical="center"/>
    </xf>
    <xf numFmtId="0" fontId="23" fillId="3" borderId="13" xfId="0" applyFont="1" applyFill="1" applyBorder="1" applyAlignment="1" applyProtection="1">
      <alignment horizontal="left" vertical="center" indent="1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0" fontId="3" fillId="0" borderId="0" xfId="0" applyNumberFormat="1" applyFont="1"/>
    <xf numFmtId="44" fontId="22" fillId="6" borderId="6" xfId="2" applyFont="1" applyFill="1" applyBorder="1" applyAlignment="1" applyProtection="1">
      <alignment horizontal="left" vertical="center" indent="1"/>
    </xf>
    <xf numFmtId="165" fontId="0" fillId="8" borderId="0" xfId="0" applyNumberFormat="1" applyFill="1" applyAlignment="1">
      <alignment horizontal="center" vertical="center"/>
    </xf>
    <xf numFmtId="0" fontId="0" fillId="8" borderId="0" xfId="0" applyFill="1"/>
    <xf numFmtId="165" fontId="0" fillId="8" borderId="0" xfId="0" applyNumberFormat="1" applyFill="1" applyAlignment="1" applyProtection="1">
      <alignment horizontal="center" vertical="center"/>
    </xf>
    <xf numFmtId="0" fontId="0" fillId="8" borderId="0" xfId="0" applyFill="1" applyProtection="1"/>
    <xf numFmtId="0" fontId="43" fillId="0" borderId="0" xfId="0" applyFont="1" applyFill="1"/>
    <xf numFmtId="0" fontId="34" fillId="0" borderId="0" xfId="0" applyFont="1" applyFill="1"/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2" fillId="6" borderId="6" xfId="0" applyFont="1" applyFill="1" applyBorder="1" applyAlignment="1" applyProtection="1">
      <alignment horizontal="left" vertical="center" indent="1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20" fillId="4" borderId="6" xfId="0" applyFont="1" applyFill="1" applyBorder="1" applyAlignment="1" applyProtection="1">
      <alignment horizontal="left" vertical="center" wrapText="1" indent="1"/>
    </xf>
    <xf numFmtId="9" fontId="11" fillId="0" borderId="8" xfId="0" applyNumberFormat="1" applyFont="1" applyBorder="1" applyAlignment="1" applyProtection="1">
      <alignment horizontal="left" vertical="center" indent="1"/>
      <protection locked="0"/>
    </xf>
    <xf numFmtId="0" fontId="3" fillId="0" borderId="0" xfId="0" applyFont="1" applyAlignment="1">
      <alignment horizontal="center" vertical="center"/>
    </xf>
    <xf numFmtId="0" fontId="23" fillId="3" borderId="6" xfId="0" applyFont="1" applyFill="1" applyBorder="1" applyAlignment="1">
      <alignment horizontal="left" vertical="center" indent="1"/>
    </xf>
    <xf numFmtId="0" fontId="37" fillId="0" borderId="15" xfId="1" applyFont="1" applyBorder="1" applyAlignment="1" applyProtection="1">
      <alignment horizontal="left" vertical="center" wrapText="1" indent="10"/>
      <protection locked="0"/>
    </xf>
    <xf numFmtId="0" fontId="2" fillId="0" borderId="15" xfId="1" applyBorder="1" applyAlignment="1" applyProtection="1">
      <alignment horizontal="left" vertical="center" indent="10"/>
      <protection locked="0"/>
    </xf>
    <xf numFmtId="0" fontId="23" fillId="5" borderId="5" xfId="0" applyFont="1" applyFill="1" applyBorder="1" applyAlignment="1">
      <alignment horizontal="left" vertical="center" indent="1"/>
    </xf>
    <xf numFmtId="0" fontId="23" fillId="5" borderId="13" xfId="0" applyFont="1" applyFill="1" applyBorder="1" applyAlignment="1">
      <alignment horizontal="left" vertical="center" indent="1"/>
    </xf>
    <xf numFmtId="0" fontId="23" fillId="5" borderId="6" xfId="0" applyFont="1" applyFill="1" applyBorder="1" applyAlignment="1">
      <alignment horizontal="left" vertical="center" indent="1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3" fillId="3" borderId="5" xfId="0" applyFont="1" applyFill="1" applyBorder="1" applyAlignment="1">
      <alignment horizontal="left" vertical="center" indent="1"/>
    </xf>
    <xf numFmtId="0" fontId="23" fillId="3" borderId="13" xfId="0" applyFont="1" applyFill="1" applyBorder="1" applyAlignment="1">
      <alignment horizontal="left" vertical="center" indent="1"/>
    </xf>
    <xf numFmtId="0" fontId="20" fillId="4" borderId="5" xfId="0" applyFont="1" applyFill="1" applyBorder="1" applyAlignment="1">
      <alignment horizontal="left" vertical="center" indent="1"/>
    </xf>
    <xf numFmtId="0" fontId="20" fillId="4" borderId="13" xfId="0" applyFont="1" applyFill="1" applyBorder="1" applyAlignment="1">
      <alignment horizontal="left" vertical="center" indent="1"/>
    </xf>
    <xf numFmtId="0" fontId="4" fillId="6" borderId="0" xfId="0" applyFont="1" applyFill="1" applyAlignment="1">
      <alignment horizontal="left" vertical="center" wrapText="1"/>
    </xf>
    <xf numFmtId="0" fontId="3" fillId="0" borderId="0" xfId="0" applyFont="1" applyAlignment="1" applyProtection="1">
      <alignment horizontal="center" vertical="center"/>
    </xf>
    <xf numFmtId="0" fontId="22" fillId="6" borderId="5" xfId="2" applyNumberFormat="1" applyFont="1" applyFill="1" applyBorder="1" applyAlignment="1" applyProtection="1">
      <alignment horizontal="left" vertical="center" wrapText="1" indent="1"/>
    </xf>
    <xf numFmtId="0" fontId="22" fillId="6" borderId="9" xfId="2" applyNumberFormat="1" applyFont="1" applyFill="1" applyBorder="1" applyAlignment="1" applyProtection="1">
      <alignment horizontal="left" vertical="center" wrapText="1" indent="1"/>
    </xf>
    <xf numFmtId="0" fontId="22" fillId="6" borderId="13" xfId="2" applyNumberFormat="1" applyFont="1" applyFill="1" applyBorder="1" applyAlignment="1" applyProtection="1">
      <alignment horizontal="left" vertical="center" wrapText="1" indent="1"/>
    </xf>
    <xf numFmtId="0" fontId="23" fillId="3" borderId="6" xfId="0" applyFont="1" applyFill="1" applyBorder="1" applyAlignment="1" applyProtection="1">
      <alignment horizontal="left" vertical="center" indent="1"/>
    </xf>
    <xf numFmtId="0" fontId="32" fillId="0" borderId="0" xfId="0" applyFont="1" applyAlignment="1" applyProtection="1">
      <alignment horizontal="left" vertical="top"/>
    </xf>
    <xf numFmtId="0" fontId="33" fillId="0" borderId="0" xfId="0" applyNumberFormat="1" applyFont="1" applyAlignment="1" applyProtection="1">
      <alignment horizontal="left" vertical="center"/>
    </xf>
    <xf numFmtId="0" fontId="23" fillId="5" borderId="6" xfId="0" applyFont="1" applyFill="1" applyBorder="1" applyAlignment="1" applyProtection="1">
      <alignment horizontal="left" vertical="center" indent="1"/>
    </xf>
    <xf numFmtId="0" fontId="23" fillId="5" borderId="5" xfId="0" applyFont="1" applyFill="1" applyBorder="1" applyAlignment="1" applyProtection="1">
      <alignment horizontal="left" vertical="center" indent="1"/>
    </xf>
    <xf numFmtId="0" fontId="23" fillId="5" borderId="13" xfId="0" applyFont="1" applyFill="1" applyBorder="1" applyAlignment="1" applyProtection="1">
      <alignment horizontal="left" vertical="center" indent="1"/>
    </xf>
    <xf numFmtId="0" fontId="0" fillId="4" borderId="5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20" fillId="4" borderId="6" xfId="0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center" vertical="center"/>
    </xf>
    <xf numFmtId="0" fontId="20" fillId="4" borderId="6" xfId="0" applyFont="1" applyFill="1" applyBorder="1" applyAlignment="1" applyProtection="1">
      <alignment horizontal="center" vertical="center"/>
    </xf>
    <xf numFmtId="9" fontId="22" fillId="6" borderId="6" xfId="2" applyNumberFormat="1" applyFont="1" applyFill="1" applyBorder="1" applyAlignment="1" applyProtection="1">
      <alignment horizontal="left" vertical="center" indent="1"/>
    </xf>
    <xf numFmtId="9" fontId="22" fillId="6" borderId="6" xfId="3" applyFont="1" applyFill="1" applyBorder="1" applyAlignment="1" applyProtection="1">
      <alignment horizontal="left" vertical="center" indent="1"/>
    </xf>
    <xf numFmtId="44" fontId="22" fillId="6" borderId="6" xfId="2" applyFont="1" applyFill="1" applyBorder="1" applyAlignment="1" applyProtection="1">
      <alignment horizontal="left" vertical="center" indent="1"/>
    </xf>
    <xf numFmtId="0" fontId="4" fillId="6" borderId="0" xfId="0" applyFont="1" applyFill="1" applyAlignment="1" applyProtection="1">
      <alignment horizontal="left" vertical="center" wrapText="1"/>
    </xf>
    <xf numFmtId="0" fontId="22" fillId="6" borderId="6" xfId="2" applyNumberFormat="1" applyFont="1" applyFill="1" applyBorder="1" applyAlignment="1" applyProtection="1">
      <alignment horizontal="left" vertical="center" wrapText="1" indent="1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4">
    <cellStyle name="Hyperlink" xfId="1" builtinId="8"/>
    <cellStyle name="Moeda" xfId="2" builtinId="4"/>
    <cellStyle name="Normal" xfId="0" builtinId="0"/>
    <cellStyle name="Porcentagem" xfId="3" builtinId="5"/>
  </cellStyles>
  <dxfs count="9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336699"/>
      <color rgb="FF333333"/>
      <color rgb="FFEAEAEA"/>
      <color rgb="FFCC0000"/>
      <color rgb="FF6699CC"/>
      <color rgb="FFFF9900"/>
      <color rgb="FF767171"/>
      <color rgb="FF59595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Graf!$W$7:$AG$7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74790144"/>
        <c:axId val="174791680"/>
      </c:barChart>
      <c:catAx>
        <c:axId val="174790144"/>
        <c:scaling>
          <c:orientation val="minMax"/>
        </c:scaling>
        <c:axPos val="b"/>
        <c:numFmt formatCode="General" sourceLinked="1"/>
        <c:majorTickMark val="none"/>
        <c:tickLblPos val="nextTo"/>
        <c:crossAx val="174791680"/>
        <c:crosses val="autoZero"/>
        <c:auto val="1"/>
        <c:lblAlgn val="ctr"/>
        <c:lblOffset val="100"/>
      </c:catAx>
      <c:valAx>
        <c:axId val="1747916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47901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Graf!$W$7:$AG$7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85335168"/>
        <c:axId val="184964224"/>
      </c:barChart>
      <c:catAx>
        <c:axId val="185335168"/>
        <c:scaling>
          <c:orientation val="minMax"/>
        </c:scaling>
        <c:axPos val="b"/>
        <c:numFmt formatCode="General" sourceLinked="1"/>
        <c:majorTickMark val="none"/>
        <c:tickLblPos val="nextTo"/>
        <c:crossAx val="184964224"/>
        <c:crosses val="autoZero"/>
        <c:auto val="1"/>
        <c:lblAlgn val="ctr"/>
        <c:lblOffset val="100"/>
      </c:catAx>
      <c:valAx>
        <c:axId val="18496422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533516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Graf!$W$8:$AG$8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93913472"/>
        <c:axId val="93915008"/>
      </c:barChart>
      <c:catAx>
        <c:axId val="93913472"/>
        <c:scaling>
          <c:orientation val="minMax"/>
        </c:scaling>
        <c:axPos val="b"/>
        <c:numFmt formatCode="General" sourceLinked="1"/>
        <c:majorTickMark val="none"/>
        <c:tickLblPos val="nextTo"/>
        <c:crossAx val="93915008"/>
        <c:crosses val="autoZero"/>
        <c:auto val="1"/>
        <c:lblAlgn val="ctr"/>
        <c:lblOffset val="100"/>
      </c:catAx>
      <c:valAx>
        <c:axId val="9391500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3913472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Graf!$W$9:$AG$9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3934720"/>
        <c:axId val="93936256"/>
      </c:barChart>
      <c:catAx>
        <c:axId val="93934720"/>
        <c:scaling>
          <c:orientation val="minMax"/>
        </c:scaling>
        <c:axPos val="b"/>
        <c:numFmt formatCode="General" sourceLinked="1"/>
        <c:tickLblPos val="nextTo"/>
        <c:crossAx val="93936256"/>
        <c:crosses val="autoZero"/>
        <c:auto val="1"/>
        <c:lblAlgn val="ctr"/>
        <c:lblOffset val="100"/>
      </c:catAx>
      <c:valAx>
        <c:axId val="93936256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3934720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Graf!$W$10:$AG$10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50176"/>
        <c:axId val="94051712"/>
      </c:barChart>
      <c:catAx>
        <c:axId val="94050176"/>
        <c:scaling>
          <c:orientation val="minMax"/>
        </c:scaling>
        <c:axPos val="b"/>
        <c:numFmt formatCode="General" sourceLinked="1"/>
        <c:tickLblPos val="nextTo"/>
        <c:crossAx val="94051712"/>
        <c:crosses val="autoZero"/>
        <c:auto val="1"/>
        <c:lblAlgn val="ctr"/>
        <c:lblOffset val="100"/>
      </c:catAx>
      <c:valAx>
        <c:axId val="94051712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50176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Graf!$W$11:$AG$11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67328"/>
        <c:axId val="94085504"/>
      </c:barChart>
      <c:catAx>
        <c:axId val="94067328"/>
        <c:scaling>
          <c:orientation val="minMax"/>
        </c:scaling>
        <c:axPos val="b"/>
        <c:numFmt formatCode="General" sourceLinked="1"/>
        <c:tickLblPos val="nextTo"/>
        <c:crossAx val="94085504"/>
        <c:crosses val="autoZero"/>
        <c:auto val="1"/>
        <c:lblAlgn val="ctr"/>
        <c:lblOffset val="100"/>
      </c:catAx>
      <c:valAx>
        <c:axId val="9408550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6732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Graf!$W$12:$AG$12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94096768"/>
        <c:axId val="159573120"/>
      </c:barChart>
      <c:catAx>
        <c:axId val="94096768"/>
        <c:scaling>
          <c:orientation val="minMax"/>
        </c:scaling>
        <c:axPos val="b"/>
        <c:numFmt formatCode="General" sourceLinked="1"/>
        <c:tickLblPos val="nextTo"/>
        <c:crossAx val="159573120"/>
        <c:crosses val="autoZero"/>
        <c:auto val="1"/>
        <c:lblAlgn val="ctr"/>
        <c:lblOffset val="100"/>
      </c:catAx>
      <c:valAx>
        <c:axId val="15957312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9409676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Graf!$W$13:$AG$13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11944448"/>
        <c:axId val="111945984"/>
      </c:barChart>
      <c:catAx>
        <c:axId val="111944448"/>
        <c:scaling>
          <c:orientation val="minMax"/>
        </c:scaling>
        <c:axPos val="b"/>
        <c:numFmt formatCode="General" sourceLinked="1"/>
        <c:tickLblPos val="nextTo"/>
        <c:crossAx val="111945984"/>
        <c:crosses val="autoZero"/>
        <c:auto val="1"/>
        <c:lblAlgn val="ctr"/>
        <c:lblOffset val="100"/>
      </c:catAx>
      <c:valAx>
        <c:axId val="11194598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1194444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Graf!$W$8:$AG$8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174914176"/>
        <c:axId val="174940544"/>
      </c:barChart>
      <c:catAx>
        <c:axId val="174914176"/>
        <c:scaling>
          <c:orientation val="minMax"/>
        </c:scaling>
        <c:axPos val="b"/>
        <c:numFmt formatCode="General" sourceLinked="1"/>
        <c:majorTickMark val="none"/>
        <c:tickLblPos val="nextTo"/>
        <c:crossAx val="174940544"/>
        <c:crosses val="autoZero"/>
        <c:auto val="1"/>
        <c:lblAlgn val="ctr"/>
        <c:lblOffset val="100"/>
      </c:catAx>
      <c:valAx>
        <c:axId val="17494054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4914176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CC000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Graf!$W$9:$AG$9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119744"/>
        <c:axId val="175154304"/>
      </c:barChart>
      <c:catAx>
        <c:axId val="175119744"/>
        <c:scaling>
          <c:orientation val="minMax"/>
        </c:scaling>
        <c:axPos val="b"/>
        <c:numFmt formatCode="General" sourceLinked="1"/>
        <c:tickLblPos val="nextTo"/>
        <c:crossAx val="175154304"/>
        <c:crosses val="autoZero"/>
        <c:auto val="1"/>
        <c:lblAlgn val="ctr"/>
        <c:lblOffset val="100"/>
      </c:catAx>
      <c:valAx>
        <c:axId val="17515430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1197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Graf!$W$10:$AG$10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452544"/>
        <c:axId val="175454080"/>
      </c:barChart>
      <c:catAx>
        <c:axId val="175452544"/>
        <c:scaling>
          <c:orientation val="minMax"/>
        </c:scaling>
        <c:axPos val="b"/>
        <c:numFmt formatCode="General" sourceLinked="1"/>
        <c:tickLblPos val="nextTo"/>
        <c:crossAx val="175454080"/>
        <c:crosses val="autoZero"/>
        <c:auto val="1"/>
        <c:lblAlgn val="ctr"/>
        <c:lblOffset val="100"/>
      </c:catAx>
      <c:valAx>
        <c:axId val="1754540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4525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Graf!$W$11:$AG$11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625344"/>
        <c:axId val="175626880"/>
      </c:barChart>
      <c:catAx>
        <c:axId val="175625344"/>
        <c:scaling>
          <c:orientation val="minMax"/>
        </c:scaling>
        <c:axPos val="b"/>
        <c:numFmt formatCode="General" sourceLinked="1"/>
        <c:tickLblPos val="nextTo"/>
        <c:crossAx val="175626880"/>
        <c:crosses val="autoZero"/>
        <c:auto val="1"/>
        <c:lblAlgn val="ctr"/>
        <c:lblOffset val="100"/>
      </c:catAx>
      <c:valAx>
        <c:axId val="175626880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62534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Graf!$W$12:$AG$12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5728512"/>
        <c:axId val="175730048"/>
      </c:barChart>
      <c:catAx>
        <c:axId val="175728512"/>
        <c:scaling>
          <c:orientation val="minMax"/>
        </c:scaling>
        <c:axPos val="b"/>
        <c:numFmt formatCode="General" sourceLinked="1"/>
        <c:tickLblPos val="nextTo"/>
        <c:crossAx val="175730048"/>
        <c:crosses val="autoZero"/>
        <c:auto val="1"/>
        <c:lblAlgn val="ctr"/>
        <c:lblOffset val="100"/>
      </c:catAx>
      <c:valAx>
        <c:axId val="17573004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5728512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Graf!$W$6:$AG$6</c:f>
              <c:strCache>
                <c:ptCount val="11"/>
                <c:pt idx="0">
                  <c:v>Inicial (Ano 0)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Graf!$W$13:$AG$13</c:f>
              <c:numCache>
                <c:formatCode>_-"R$"\ * #,##0.00_-;\-"R$"\ * #,##0.00_-;_-"R$"\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-25"/>
        <c:axId val="176642688"/>
        <c:axId val="176697728"/>
      </c:barChart>
      <c:catAx>
        <c:axId val="176642688"/>
        <c:scaling>
          <c:orientation val="minMax"/>
        </c:scaling>
        <c:axPos val="b"/>
        <c:numFmt formatCode="General" sourceLinked="1"/>
        <c:tickLblPos val="nextTo"/>
        <c:crossAx val="176697728"/>
        <c:crosses val="autoZero"/>
        <c:auto val="1"/>
        <c:lblAlgn val="ctr"/>
        <c:lblOffset val="100"/>
      </c:catAx>
      <c:valAx>
        <c:axId val="17669772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7664268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GrafAE!$O$13</c:f>
              <c:strCache>
                <c:ptCount val="1"/>
                <c:pt idx="0">
                  <c:v>Projeção de Receitas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GrafAE!$P$13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GrafAE!$O$14</c:f>
              <c:strCache>
                <c:ptCount val="1"/>
                <c:pt idx="0">
                  <c:v>Projeção de Despesas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GrafAE!$P$14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GrafAE!$O$15</c:f>
              <c:strCache>
                <c:ptCount val="1"/>
                <c:pt idx="0">
                  <c:v>Projeção de Investimentos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GrafAE!$P$12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GrafAE!$P$15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overlap val="-25"/>
        <c:axId val="183979008"/>
        <c:axId val="183997184"/>
      </c:barChart>
      <c:catAx>
        <c:axId val="18397900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83997184"/>
        <c:crosses val="autoZero"/>
        <c:auto val="1"/>
        <c:lblAlgn val="ctr"/>
        <c:lblOffset val="100"/>
      </c:catAx>
      <c:valAx>
        <c:axId val="18399718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3979008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legend>
      <c:legendPos val="r"/>
      <c:layout/>
    </c:legend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GrafAE!$O$23</c:f>
              <c:strCache>
                <c:ptCount val="1"/>
                <c:pt idx="0">
                  <c:v>EBITDA (LAJIDA)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GrafAE!$P$23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GrafAE!$O$24</c:f>
              <c:strCache>
                <c:ptCount val="1"/>
                <c:pt idx="0">
                  <c:v>EBIT (LAJIR)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GrafAE!$P$24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GrafAE!$O$25</c:f>
              <c:strCache>
                <c:ptCount val="1"/>
                <c:pt idx="0">
                  <c:v>LAIR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GrafAE!$P$22</c:f>
              <c:strCache>
                <c:ptCount val="1"/>
                <c:pt idx="0">
                  <c:v>Ano 3</c:v>
                </c:pt>
              </c:strCache>
            </c:strRef>
          </c:cat>
          <c:val>
            <c:numRef>
              <c:f>GrafAE!$P$25</c:f>
              <c:numCache>
                <c:formatCode>_-"R$"\ * #,##0.00_-;\-"R$"\ * #,##0.00_-;_-"R$"\ * "-"??_-;_-@_-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overlap val="-25"/>
        <c:axId val="184019584"/>
        <c:axId val="159793536"/>
      </c:barChart>
      <c:catAx>
        <c:axId val="184019584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59793536"/>
        <c:crosses val="autoZero"/>
        <c:auto val="1"/>
        <c:lblAlgn val="ctr"/>
        <c:lblOffset val="100"/>
      </c:catAx>
      <c:valAx>
        <c:axId val="159793536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tickLblPos val="none"/>
        <c:crossAx val="184019584"/>
        <c:crosses val="autoZero"/>
        <c:crossBetween val="between"/>
      </c:valAx>
      <c:spPr>
        <a:solidFill>
          <a:srgbClr val="F2F2F2"/>
        </a:solidFill>
        <a:ln>
          <a:noFill/>
        </a:ln>
      </c:spPr>
    </c:plotArea>
    <c:legend>
      <c:legendPos val="r"/>
      <c:layout/>
    </c:legend>
    <c:plotVisOnly val="1"/>
    <c:dispBlanksAs val="gap"/>
  </c:chart>
  <c:spPr>
    <a:ln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s://www.youtube.com/watch?v=RV1AKDlFyt4&amp;list=PLWta3T-QZpj7ihlm1UMm_FpiTSd7_PbY4&amp;index=6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https://www.youtube.com/watch?v=JUUStTvSGaI&amp;index=5&amp;list=PLWta3T-QZpj7ihlm1UMm_FpiTSd7_PbY4" TargetMode="External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www.youtube.com/watch?v=E5V2TVYUm1I&amp;index=4&amp;list=PLWta3T-QZpj7ihlm1UMm_FpiTSd7_PbY4" TargetMode="External"/><Relationship Id="rId5" Type="http://schemas.openxmlformats.org/officeDocument/2006/relationships/hyperlink" Target="#'Graf'!B1"/><Relationship Id="rId15" Type="http://schemas.openxmlformats.org/officeDocument/2006/relationships/image" Target="../media/image1.jpeg"/><Relationship Id="rId10" Type="http://schemas.openxmlformats.org/officeDocument/2006/relationships/hyperlink" Target="https://www.youtube.com/watch?v=n1y-haL92f8&amp;index=3&amp;list=PLWta3T-QZpj7ihlm1UMm_FpiTSd7_PbY4" TargetMode="External"/><Relationship Id="rId4" Type="http://schemas.openxmlformats.org/officeDocument/2006/relationships/hyperlink" Target="#'RC'!B1"/><Relationship Id="rId9" Type="http://schemas.openxmlformats.org/officeDocument/2006/relationships/hyperlink" Target="https://www.youtube.com/watch?v=2Iyqh_j7t7c&amp;list=PLWta3T-QZpj7ihlm1UMm_FpiTSd7_PbY4&amp;index=2" TargetMode="External"/><Relationship Id="rId14" Type="http://schemas.openxmlformats.org/officeDocument/2006/relationships/hyperlink" Target="https://www.youtube.com/watch?v=mQ3fN9hRPzo&amp;index=7&amp;list=PLWta3T-QZpj7ihlm1UMm_FpiTSd7_PbY4" TargetMode="Externa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4" Type="http://schemas.openxmlformats.org/officeDocument/2006/relationships/hyperlink" Target="#'RC'!B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chart" Target="../charts/chart14.xm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chart" Target="../charts/chart13.xml"/><Relationship Id="rId2" Type="http://schemas.openxmlformats.org/officeDocument/2006/relationships/hyperlink" Target="#'PG'!B1"/><Relationship Id="rId16" Type="http://schemas.openxmlformats.org/officeDocument/2006/relationships/image" Target="../media/image1.jpe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chart" Target="../charts/chart12.xml"/><Relationship Id="rId5" Type="http://schemas.openxmlformats.org/officeDocument/2006/relationships/hyperlink" Target="#'Graf'!B1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hyperlink" Target="#'RC'!B1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image" Target="../media/image3.png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://luz.vc/ferramentas/pacotes/pacote-de-planilhas-luz/?utm_source=referral&amp;utm_medium=produtos&amp;utm_campaign=valuation3" TargetMode="External"/><Relationship Id="rId5" Type="http://schemas.openxmlformats.org/officeDocument/2006/relationships/hyperlink" Target="#'Graf'!B1"/><Relationship Id="rId15" Type="http://schemas.openxmlformats.org/officeDocument/2006/relationships/image" Target="../media/image1.jpeg"/><Relationship Id="rId10" Type="http://schemas.openxmlformats.org/officeDocument/2006/relationships/hyperlink" Target="#'Sobre a LUZ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://luz.vc/ferramentas/pacotes/pacote-de-planilhas-luz/?utm_source=referral&amp;utm_medium=produtos&amp;utm_campaign=valuation3" TargetMode="Externa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image" Target="../media/image5.png"/><Relationship Id="rId17" Type="http://schemas.openxmlformats.org/officeDocument/2006/relationships/image" Target="../media/image1.jpeg"/><Relationship Id="rId2" Type="http://schemas.openxmlformats.org/officeDocument/2006/relationships/hyperlink" Target="#'PG'!B1"/><Relationship Id="rId16" Type="http://schemas.openxmlformats.org/officeDocument/2006/relationships/image" Target="../media/image4.pn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luz.vc/minha-conta/?utm_source=referral&amp;utm_medium=produtos&amp;utm_campaign=VAL3" TargetMode="External"/><Relationship Id="rId5" Type="http://schemas.openxmlformats.org/officeDocument/2006/relationships/hyperlink" Target="#'Graf'!B1"/><Relationship Id="rId15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10" Type="http://schemas.openxmlformats.org/officeDocument/2006/relationships/hyperlink" Target="#'Sobre a LUZ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https://twitter.com/luzplanilhas?utm_source=referral&amp;utm_medium=produtos&amp;utm_campaign=valuation3" TargetMode="External"/><Relationship Id="rId18" Type="http://schemas.openxmlformats.org/officeDocument/2006/relationships/image" Target="../media/image3.png"/><Relationship Id="rId26" Type="http://schemas.openxmlformats.org/officeDocument/2006/relationships/hyperlink" Target="http://blog.luz.vc/?utm_source=referral&amp;utm_medium=produtos&amp;utm_campaign=valuation3" TargetMode="External"/><Relationship Id="rId3" Type="http://schemas.openxmlformats.org/officeDocument/2006/relationships/hyperlink" Target="#'DM'!B1"/><Relationship Id="rId21" Type="http://schemas.openxmlformats.org/officeDocument/2006/relationships/image" Target="../media/image9.jpeg"/><Relationship Id="rId7" Type="http://schemas.openxmlformats.org/officeDocument/2006/relationships/hyperlink" Target="#'RI'!B1"/><Relationship Id="rId12" Type="http://schemas.openxmlformats.org/officeDocument/2006/relationships/image" Target="../media/image6.png"/><Relationship Id="rId17" Type="http://schemas.openxmlformats.org/officeDocument/2006/relationships/hyperlink" Target="http://luz.vc/ferramentas/pacotes/pacote-de-planilhas-luz/?utm_source=referral&amp;utm_medium=produtos&amp;utm_campaign=valuation3" TargetMode="External"/><Relationship Id="rId25" Type="http://schemas.openxmlformats.org/officeDocument/2006/relationships/image" Target="../media/image11.png"/><Relationship Id="rId2" Type="http://schemas.openxmlformats.org/officeDocument/2006/relationships/hyperlink" Target="#'PG'!B1"/><Relationship Id="rId16" Type="http://schemas.openxmlformats.org/officeDocument/2006/relationships/image" Target="../media/image8.png"/><Relationship Id="rId20" Type="http://schemas.openxmlformats.org/officeDocument/2006/relationships/image" Target="../media/image4.png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https://www.facebook.com/luzplanilhas?fref=ts&amp;utm_source=referral&amp;utm_medium=produtos&amp;utm_campaign=valuation3" TargetMode="External"/><Relationship Id="rId24" Type="http://schemas.openxmlformats.org/officeDocument/2006/relationships/hyperlink" Target="http://luz.vc/?utm_source=referral&amp;utm_medium=produtos&amp;utm_campaign=valuation3" TargetMode="External"/><Relationship Id="rId5" Type="http://schemas.openxmlformats.org/officeDocument/2006/relationships/hyperlink" Target="#'Graf'!B1"/><Relationship Id="rId15" Type="http://schemas.openxmlformats.org/officeDocument/2006/relationships/hyperlink" Target="https://plus.google.com/+luzvcmesmo/posts?utm_source=referral&amp;utm_medium=produtos&amp;utm_campaign=valuation3" TargetMode="External"/><Relationship Id="rId23" Type="http://schemas.openxmlformats.org/officeDocument/2006/relationships/image" Target="../media/image10.png"/><Relationship Id="rId28" Type="http://schemas.openxmlformats.org/officeDocument/2006/relationships/image" Target="../media/image1.jpeg"/><Relationship Id="rId10" Type="http://schemas.openxmlformats.org/officeDocument/2006/relationships/hyperlink" Target="#'Sobre a LUZ'!B1"/><Relationship Id="rId19" Type="http://schemas.openxmlformats.org/officeDocument/2006/relationships/hyperlink" Target="http://cursos.luz.vc/course/curso-de-excel-iniciante-e-intermediario/?utm_source=referral&amp;utm_medium=produtos&amp;utm_campaign=valuation3" TargetMode="External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7.png"/><Relationship Id="rId22" Type="http://schemas.openxmlformats.org/officeDocument/2006/relationships/hyperlink" Target="http://ajuda.luz.vc/?utm_source=referral&amp;utm_medium=produtos&amp;utm_campaign=valuation3" TargetMode="External"/><Relationship Id="rId27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hyperlink" Target="#'ProjR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D'!B1"/><Relationship Id="rId5" Type="http://schemas.openxmlformats.org/officeDocument/2006/relationships/hyperlink" Target="#'Graf'!B1"/><Relationship Id="rId10" Type="http://schemas.openxmlformats.org/officeDocument/2006/relationships/hyperlink" Target="#'PG'!B1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hyperlink" Target="#'ProjR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ProjI'!B1"/><Relationship Id="rId5" Type="http://schemas.openxmlformats.org/officeDocument/2006/relationships/hyperlink" Target="#'Graf'!B1"/><Relationship Id="rId10" Type="http://schemas.openxmlformats.org/officeDocument/2006/relationships/hyperlink" Target="#'ProjD'!B1"/><Relationship Id="rId4" Type="http://schemas.openxmlformats.org/officeDocument/2006/relationships/hyperlink" Target="#'RC'!B1"/><Relationship Id="rId9" Type="http://schemas.openxmlformats.org/officeDocument/2006/relationships/hyperlink" Target="#'PG'!B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10" Type="http://schemas.openxmlformats.org/officeDocument/2006/relationships/image" Target="../media/image1.jpeg"/><Relationship Id="rId4" Type="http://schemas.openxmlformats.org/officeDocument/2006/relationships/hyperlink" Target="#'RC'!B1"/><Relationship Id="rId9" Type="http://schemas.openxmlformats.org/officeDocument/2006/relationships/hyperlink" Target="#'Sugest&#245;es'!B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2" Type="http://schemas.openxmlformats.org/officeDocument/2006/relationships/hyperlink" Target="#'PG'!B1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5" Type="http://schemas.openxmlformats.org/officeDocument/2006/relationships/hyperlink" Target="#'Graf'!B1"/><Relationship Id="rId4" Type="http://schemas.openxmlformats.org/officeDocument/2006/relationships/hyperlink" Target="#'RC'!B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D&#250;vidas'!B1"/><Relationship Id="rId13" Type="http://schemas.openxmlformats.org/officeDocument/2006/relationships/chart" Target="../charts/chart2.xml"/><Relationship Id="rId18" Type="http://schemas.openxmlformats.org/officeDocument/2006/relationships/chart" Target="../charts/chart7.xml"/><Relationship Id="rId3" Type="http://schemas.openxmlformats.org/officeDocument/2006/relationships/hyperlink" Target="#'DM'!B1"/><Relationship Id="rId7" Type="http://schemas.openxmlformats.org/officeDocument/2006/relationships/hyperlink" Target="#'RI'!B1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hyperlink" Target="#'PG'!B1"/><Relationship Id="rId16" Type="http://schemas.openxmlformats.org/officeDocument/2006/relationships/chart" Target="../charts/chart5.xml"/><Relationship Id="rId1" Type="http://schemas.openxmlformats.org/officeDocument/2006/relationships/hyperlink" Target="#'Ini'!B1"/><Relationship Id="rId6" Type="http://schemas.openxmlformats.org/officeDocument/2006/relationships/hyperlink" Target="#'AD'!B1"/><Relationship Id="rId11" Type="http://schemas.openxmlformats.org/officeDocument/2006/relationships/hyperlink" Target="#'GrafAE'!B1"/><Relationship Id="rId5" Type="http://schemas.openxmlformats.org/officeDocument/2006/relationships/hyperlink" Target="#'Graf'!B1"/><Relationship Id="rId15" Type="http://schemas.openxmlformats.org/officeDocument/2006/relationships/chart" Target="../charts/chart4.xml"/><Relationship Id="rId10" Type="http://schemas.openxmlformats.org/officeDocument/2006/relationships/hyperlink" Target="#'Graf'!B1"/><Relationship Id="rId19" Type="http://schemas.openxmlformats.org/officeDocument/2006/relationships/image" Target="../media/image1.jpeg"/><Relationship Id="rId4" Type="http://schemas.openxmlformats.org/officeDocument/2006/relationships/hyperlink" Target="#'RC'!B1"/><Relationship Id="rId9" Type="http://schemas.openxmlformats.org/officeDocument/2006/relationships/hyperlink" Target="#'Sugest&#245;es'!B1"/><Relationship Id="rId14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RI'!B1"/><Relationship Id="rId13" Type="http://schemas.openxmlformats.org/officeDocument/2006/relationships/chart" Target="../charts/chart9.xml"/><Relationship Id="rId3" Type="http://schemas.openxmlformats.org/officeDocument/2006/relationships/hyperlink" Target="#'PG'!B1"/><Relationship Id="rId7" Type="http://schemas.openxmlformats.org/officeDocument/2006/relationships/hyperlink" Target="#'AD'!B1"/><Relationship Id="rId12" Type="http://schemas.openxmlformats.org/officeDocument/2006/relationships/chart" Target="../charts/chart8.xml"/><Relationship Id="rId2" Type="http://schemas.openxmlformats.org/officeDocument/2006/relationships/hyperlink" Target="#'Ini'!B1"/><Relationship Id="rId1" Type="http://schemas.openxmlformats.org/officeDocument/2006/relationships/image" Target="../media/image2.png"/><Relationship Id="rId6" Type="http://schemas.openxmlformats.org/officeDocument/2006/relationships/hyperlink" Target="#'Graf'!B1"/><Relationship Id="rId11" Type="http://schemas.openxmlformats.org/officeDocument/2006/relationships/hyperlink" Target="#'GrafAE'!B1"/><Relationship Id="rId5" Type="http://schemas.openxmlformats.org/officeDocument/2006/relationships/hyperlink" Target="#'RC'!B1"/><Relationship Id="rId10" Type="http://schemas.openxmlformats.org/officeDocument/2006/relationships/hyperlink" Target="#'Graf'!B1"/><Relationship Id="rId4" Type="http://schemas.openxmlformats.org/officeDocument/2006/relationships/hyperlink" Target="#'DM'!B1"/><Relationship Id="rId9" Type="http://schemas.openxmlformats.org/officeDocument/2006/relationships/hyperlink" Target="#'Sugest&#245;es'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297392</xdr:colOff>
      <xdr:row>0</xdr:row>
      <xdr:rowOff>133350</xdr:rowOff>
    </xdr:from>
    <xdr:to>
      <xdr:col>11</xdr:col>
      <xdr:colOff>407459</xdr:colOff>
      <xdr:row>1</xdr:row>
      <xdr:rowOff>337608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endParaRPr lang="pt-BR" sz="1100"/>
        </a:p>
      </xdr:txBody>
    </xdr:sp>
    <xdr:clientData/>
  </xdr:twoCellAnchor>
  <xdr:twoCellAnchor editAs="absolute">
    <xdr:from>
      <xdr:col>0</xdr:col>
      <xdr:colOff>63500</xdr:colOff>
      <xdr:row>1</xdr:row>
      <xdr:rowOff>486836</xdr:rowOff>
    </xdr:from>
    <xdr:to>
      <xdr:col>0</xdr:col>
      <xdr:colOff>1756833</xdr:colOff>
      <xdr:row>2</xdr:row>
      <xdr:rowOff>256119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75141</xdr:rowOff>
    </xdr:from>
    <xdr:to>
      <xdr:col>0</xdr:col>
      <xdr:colOff>1717675</xdr:colOff>
      <xdr:row>7</xdr:row>
      <xdr:rowOff>75141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2</xdr:row>
      <xdr:rowOff>392641</xdr:rowOff>
    </xdr:from>
    <xdr:to>
      <xdr:col>1</xdr:col>
      <xdr:colOff>12700</xdr:colOff>
      <xdr:row>2</xdr:row>
      <xdr:rowOff>646641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11641</xdr:rowOff>
    </xdr:from>
    <xdr:to>
      <xdr:col>1</xdr:col>
      <xdr:colOff>12700</xdr:colOff>
      <xdr:row>3</xdr:row>
      <xdr:rowOff>265641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3</xdr:row>
      <xdr:rowOff>329141</xdr:rowOff>
    </xdr:from>
    <xdr:to>
      <xdr:col>1</xdr:col>
      <xdr:colOff>12700</xdr:colOff>
      <xdr:row>4</xdr:row>
      <xdr:rowOff>202141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265641</xdr:rowOff>
    </xdr:from>
    <xdr:to>
      <xdr:col>1</xdr:col>
      <xdr:colOff>12700</xdr:colOff>
      <xdr:row>4</xdr:row>
      <xdr:rowOff>519641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6</xdr:row>
      <xdr:rowOff>244475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6</xdr:row>
      <xdr:rowOff>561975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202141</xdr:rowOff>
    </xdr:from>
    <xdr:to>
      <xdr:col>1</xdr:col>
      <xdr:colOff>12700</xdr:colOff>
      <xdr:row>8</xdr:row>
      <xdr:rowOff>75141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18</xdr:col>
      <xdr:colOff>566208</xdr:colOff>
      <xdr:row>3</xdr:row>
      <xdr:rowOff>0</xdr:rowOff>
    </xdr:to>
    <xdr:cxnSp macro="">
      <xdr:nvCxnSpPr>
        <xdr:cNvPr id="17" name="Conector reto 16"/>
        <xdr:cNvCxnSpPr/>
      </xdr:nvCxnSpPr>
      <xdr:spPr>
        <a:xfrm>
          <a:off x="2106083" y="1947333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21108</xdr:colOff>
      <xdr:row>5</xdr:row>
      <xdr:rowOff>52915</xdr:rowOff>
    </xdr:from>
    <xdr:to>
      <xdr:col>6</xdr:col>
      <xdr:colOff>668959</xdr:colOff>
      <xdr:row>5</xdr:row>
      <xdr:rowOff>359831</xdr:rowOff>
    </xdr:to>
    <xdr:sp macro="" textlink="">
      <xdr:nvSpPr>
        <xdr:cNvPr id="19" name="Retângulo 18">
          <a:hlinkClick xmlns:r="http://schemas.openxmlformats.org/officeDocument/2006/relationships" r:id="rId9"/>
        </xdr:cNvPr>
        <xdr:cNvSpPr/>
      </xdr:nvSpPr>
      <xdr:spPr>
        <a:xfrm>
          <a:off x="5269383" y="2910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4</xdr:col>
      <xdr:colOff>1015950</xdr:colOff>
      <xdr:row>12</xdr:row>
      <xdr:rowOff>52915</xdr:rowOff>
    </xdr:from>
    <xdr:to>
      <xdr:col>6</xdr:col>
      <xdr:colOff>616051</xdr:colOff>
      <xdr:row>12</xdr:row>
      <xdr:rowOff>359831</xdr:rowOff>
    </xdr:to>
    <xdr:sp macro="" textlink="">
      <xdr:nvSpPr>
        <xdr:cNvPr id="20" name="Retângulo 19">
          <a:hlinkClick xmlns:r="http://schemas.openxmlformats.org/officeDocument/2006/relationships" r:id="rId10"/>
        </xdr:cNvPr>
        <xdr:cNvSpPr/>
      </xdr:nvSpPr>
      <xdr:spPr>
        <a:xfrm>
          <a:off x="5217533" y="5810248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11</xdr:row>
      <xdr:rowOff>222255</xdr:rowOff>
    </xdr:from>
    <xdr:to>
      <xdr:col>18</xdr:col>
      <xdr:colOff>566208</xdr:colOff>
      <xdr:row>11</xdr:row>
      <xdr:rowOff>222255</xdr:rowOff>
    </xdr:to>
    <xdr:cxnSp macro="">
      <xdr:nvCxnSpPr>
        <xdr:cNvPr id="21" name="Conector reto 20"/>
        <xdr:cNvCxnSpPr/>
      </xdr:nvCxnSpPr>
      <xdr:spPr>
        <a:xfrm>
          <a:off x="2106083" y="5598588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317416</xdr:colOff>
      <xdr:row>15</xdr:row>
      <xdr:rowOff>52915</xdr:rowOff>
    </xdr:from>
    <xdr:to>
      <xdr:col>7</xdr:col>
      <xdr:colOff>965267</xdr:colOff>
      <xdr:row>15</xdr:row>
      <xdr:rowOff>359831</xdr:rowOff>
    </xdr:to>
    <xdr:sp macro="" textlink="">
      <xdr:nvSpPr>
        <xdr:cNvPr id="22" name="Retângulo 21">
          <a:hlinkClick xmlns:r="http://schemas.openxmlformats.org/officeDocument/2006/relationships" r:id="rId11"/>
        </xdr:cNvPr>
        <xdr:cNvSpPr/>
      </xdr:nvSpPr>
      <xdr:spPr>
        <a:xfrm>
          <a:off x="6614499" y="7186082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14</xdr:row>
      <xdr:rowOff>222255</xdr:rowOff>
    </xdr:from>
    <xdr:to>
      <xdr:col>18</xdr:col>
      <xdr:colOff>566208</xdr:colOff>
      <xdr:row>14</xdr:row>
      <xdr:rowOff>222255</xdr:rowOff>
    </xdr:to>
    <xdr:cxnSp macro="">
      <xdr:nvCxnSpPr>
        <xdr:cNvPr id="23" name="Conector reto 22"/>
        <xdr:cNvCxnSpPr/>
      </xdr:nvCxnSpPr>
      <xdr:spPr>
        <a:xfrm>
          <a:off x="2106083" y="6974422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137554</xdr:colOff>
      <xdr:row>18</xdr:row>
      <xdr:rowOff>52915</xdr:rowOff>
    </xdr:from>
    <xdr:to>
      <xdr:col>5</xdr:col>
      <xdr:colOff>785405</xdr:colOff>
      <xdr:row>18</xdr:row>
      <xdr:rowOff>359831</xdr:rowOff>
    </xdr:to>
    <xdr:sp macro="" textlink="">
      <xdr:nvSpPr>
        <xdr:cNvPr id="24" name="Retângulo 23">
          <a:hlinkClick xmlns:r="http://schemas.openxmlformats.org/officeDocument/2006/relationships" r:id="rId12"/>
        </xdr:cNvPr>
        <xdr:cNvSpPr/>
      </xdr:nvSpPr>
      <xdr:spPr>
        <a:xfrm>
          <a:off x="4338079" y="85492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17</xdr:row>
      <xdr:rowOff>222255</xdr:rowOff>
    </xdr:from>
    <xdr:to>
      <xdr:col>18</xdr:col>
      <xdr:colOff>566208</xdr:colOff>
      <xdr:row>17</xdr:row>
      <xdr:rowOff>222255</xdr:rowOff>
    </xdr:to>
    <xdr:cxnSp macro="">
      <xdr:nvCxnSpPr>
        <xdr:cNvPr id="25" name="Conector reto 24"/>
        <xdr:cNvCxnSpPr/>
      </xdr:nvCxnSpPr>
      <xdr:spPr>
        <a:xfrm>
          <a:off x="2106083" y="8350255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836032</xdr:colOff>
      <xdr:row>23</xdr:row>
      <xdr:rowOff>52915</xdr:rowOff>
    </xdr:from>
    <xdr:to>
      <xdr:col>6</xdr:col>
      <xdr:colOff>436133</xdr:colOff>
      <xdr:row>23</xdr:row>
      <xdr:rowOff>359831</xdr:rowOff>
    </xdr:to>
    <xdr:sp macro="" textlink="">
      <xdr:nvSpPr>
        <xdr:cNvPr id="26" name="Retângulo 25">
          <a:hlinkClick xmlns:r="http://schemas.openxmlformats.org/officeDocument/2006/relationships" r:id="rId13"/>
        </xdr:cNvPr>
        <xdr:cNvSpPr/>
      </xdr:nvSpPr>
      <xdr:spPr>
        <a:xfrm>
          <a:off x="5036557" y="106828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22</xdr:row>
      <xdr:rowOff>222255</xdr:rowOff>
    </xdr:from>
    <xdr:to>
      <xdr:col>18</xdr:col>
      <xdr:colOff>566208</xdr:colOff>
      <xdr:row>22</xdr:row>
      <xdr:rowOff>222255</xdr:rowOff>
    </xdr:to>
    <xdr:cxnSp macro="">
      <xdr:nvCxnSpPr>
        <xdr:cNvPr id="27" name="Conector reto 26"/>
        <xdr:cNvCxnSpPr/>
      </xdr:nvCxnSpPr>
      <xdr:spPr>
        <a:xfrm>
          <a:off x="2106083" y="10488088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719586</xdr:colOff>
      <xdr:row>26</xdr:row>
      <xdr:rowOff>52915</xdr:rowOff>
    </xdr:from>
    <xdr:to>
      <xdr:col>7</xdr:col>
      <xdr:colOff>319687</xdr:colOff>
      <xdr:row>26</xdr:row>
      <xdr:rowOff>359831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5967861" y="12054415"/>
          <a:ext cx="1695601" cy="3069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>
            <a:solidFill>
              <a:srgbClr val="3366CC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25</xdr:row>
      <xdr:rowOff>222255</xdr:rowOff>
    </xdr:from>
    <xdr:to>
      <xdr:col>18</xdr:col>
      <xdr:colOff>566208</xdr:colOff>
      <xdr:row>25</xdr:row>
      <xdr:rowOff>222255</xdr:rowOff>
    </xdr:to>
    <xdr:cxnSp macro="">
      <xdr:nvCxnSpPr>
        <xdr:cNvPr id="29" name="Conector reto 28"/>
        <xdr:cNvCxnSpPr/>
      </xdr:nvCxnSpPr>
      <xdr:spPr>
        <a:xfrm>
          <a:off x="2106083" y="11863922"/>
          <a:ext cx="1516062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359834</xdr:colOff>
      <xdr:row>0</xdr:row>
      <xdr:rowOff>137584</xdr:rowOff>
    </xdr:from>
    <xdr:to>
      <xdr:col>0</xdr:col>
      <xdr:colOff>1415790</xdr:colOff>
      <xdr:row>1</xdr:row>
      <xdr:rowOff>455084</xdr:rowOff>
    </xdr:to>
    <xdr:pic>
      <xdr:nvPicPr>
        <xdr:cNvPr id="30" name="Imagem 29" descr="marcaSebrae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9834" y="137584"/>
          <a:ext cx="1055956" cy="7514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2678642</xdr:colOff>
      <xdr:row>0</xdr:row>
      <xdr:rowOff>133350</xdr:rowOff>
    </xdr:from>
    <xdr:to>
      <xdr:col>6</xdr:col>
      <xdr:colOff>502709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Algumas dicas já foram dadas nos gráficos</a:t>
          </a:r>
          <a:r>
            <a:rPr lang="pt-BR" sz="1100" baseline="0"/>
            <a:t>, mas existem algumas outras que são</a:t>
          </a:r>
        </a:p>
        <a:p>
          <a:r>
            <a:rPr lang="pt-BR" sz="1100" baseline="0"/>
            <a:t>importantes para a avaliação do valor de um negócio.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6</xdr:row>
      <xdr:rowOff>752475</xdr:rowOff>
    </xdr:from>
    <xdr:to>
      <xdr:col>0</xdr:col>
      <xdr:colOff>1717675</xdr:colOff>
      <xdr:row>6</xdr:row>
      <xdr:rowOff>752475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625475</xdr:rowOff>
    </xdr:from>
    <xdr:to>
      <xdr:col>1</xdr:col>
      <xdr:colOff>12700</xdr:colOff>
      <xdr:row>5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180975</xdr:rowOff>
    </xdr:from>
    <xdr:to>
      <xdr:col>1</xdr:col>
      <xdr:colOff>12700</xdr:colOff>
      <xdr:row>5</xdr:row>
      <xdr:rowOff>434975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498475</xdr:rowOff>
    </xdr:from>
    <xdr:to>
      <xdr:col>1</xdr:col>
      <xdr:colOff>12700</xdr:colOff>
      <xdr:row>5</xdr:row>
      <xdr:rowOff>752475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53975</xdr:rowOff>
    </xdr:from>
    <xdr:to>
      <xdr:col>1</xdr:col>
      <xdr:colOff>12700</xdr:colOff>
      <xdr:row>6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371475</xdr:rowOff>
    </xdr:from>
    <xdr:to>
      <xdr:col>1</xdr:col>
      <xdr:colOff>12700</xdr:colOff>
      <xdr:row>6</xdr:row>
      <xdr:rowOff>625475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oneCell">
    <xdr:from>
      <xdr:col>0</xdr:col>
      <xdr:colOff>391583</xdr:colOff>
      <xdr:row>0</xdr:row>
      <xdr:rowOff>127000</xdr:rowOff>
    </xdr:from>
    <xdr:to>
      <xdr:col>0</xdr:col>
      <xdr:colOff>1447539</xdr:colOff>
      <xdr:row>2</xdr:row>
      <xdr:rowOff>137584</xdr:rowOff>
    </xdr:to>
    <xdr:pic>
      <xdr:nvPicPr>
        <xdr:cNvPr id="18" name="Imagem 17" descr="marcaSebrae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1583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868892</xdr:colOff>
      <xdr:row>0</xdr:row>
      <xdr:rowOff>133350</xdr:rowOff>
    </xdr:from>
    <xdr:to>
      <xdr:col>10</xdr:col>
      <xdr:colOff>407459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Algumas dicas já foram dadas nos gráficos,</a:t>
          </a:r>
          <a:r>
            <a:rPr lang="pt-BR" sz="1100" baseline="0"/>
            <a:t> mas existem algumas outras que são</a:t>
          </a:r>
        </a:p>
        <a:p>
          <a:r>
            <a:rPr lang="pt-BR" sz="1100" baseline="0"/>
            <a:t>importantes para a avaliação do valor de um negócio.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180975</xdr:rowOff>
    </xdr:from>
    <xdr:to>
      <xdr:col>0</xdr:col>
      <xdr:colOff>1717675</xdr:colOff>
      <xdr:row>8</xdr:row>
      <xdr:rowOff>180975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5</xdr:row>
      <xdr:rowOff>625475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22225</xdr:rowOff>
    </xdr:from>
    <xdr:to>
      <xdr:col>1</xdr:col>
      <xdr:colOff>12700</xdr:colOff>
      <xdr:row>6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339725</xdr:rowOff>
    </xdr:from>
    <xdr:to>
      <xdr:col>1</xdr:col>
      <xdr:colOff>12700</xdr:colOff>
      <xdr:row>7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276225</xdr:rowOff>
    </xdr:from>
    <xdr:to>
      <xdr:col>1</xdr:col>
      <xdr:colOff>12700</xdr:colOff>
      <xdr:row>8</xdr:row>
      <xdr:rowOff>53975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307975</xdr:rowOff>
    </xdr:from>
    <xdr:to>
      <xdr:col>1</xdr:col>
      <xdr:colOff>12700</xdr:colOff>
      <xdr:row>9</xdr:row>
      <xdr:rowOff>85725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46</xdr:row>
      <xdr:rowOff>52915</xdr:rowOff>
    </xdr:from>
    <xdr:to>
      <xdr:col>10</xdr:col>
      <xdr:colOff>1016000</xdr:colOff>
      <xdr:row>52</xdr:row>
      <xdr:rowOff>322915</xdr:rowOff>
    </xdr:to>
    <xdr:graphicFrame macro="">
      <xdr:nvGraphicFramePr>
        <xdr:cNvPr id="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</xdr:col>
      <xdr:colOff>0</xdr:colOff>
      <xdr:row>54</xdr:row>
      <xdr:rowOff>52915</xdr:rowOff>
    </xdr:from>
    <xdr:to>
      <xdr:col>10</xdr:col>
      <xdr:colOff>1016000</xdr:colOff>
      <xdr:row>60</xdr:row>
      <xdr:rowOff>322915</xdr:rowOff>
    </xdr:to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0</xdr:colOff>
      <xdr:row>62</xdr:row>
      <xdr:rowOff>0</xdr:rowOff>
    </xdr:from>
    <xdr:to>
      <xdr:col>10</xdr:col>
      <xdr:colOff>1016000</xdr:colOff>
      <xdr:row>68</xdr:row>
      <xdr:rowOff>270000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0</xdr:colOff>
      <xdr:row>70</xdr:row>
      <xdr:rowOff>0</xdr:rowOff>
    </xdr:from>
    <xdr:to>
      <xdr:col>10</xdr:col>
      <xdr:colOff>1016000</xdr:colOff>
      <xdr:row>76</xdr:row>
      <xdr:rowOff>270000</xdr:rowOff>
    </xdr:to>
    <xdr:graphicFrame macro="">
      <xdr:nvGraphicFramePr>
        <xdr:cNvPr id="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78</xdr:row>
      <xdr:rowOff>0</xdr:rowOff>
    </xdr:from>
    <xdr:to>
      <xdr:col>10</xdr:col>
      <xdr:colOff>1016000</xdr:colOff>
      <xdr:row>84</xdr:row>
      <xdr:rowOff>270000</xdr:rowOff>
    </xdr:to>
    <xdr:graphicFrame macro="">
      <xdr:nvGraphicFramePr>
        <xdr:cNvPr id="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</xdr:col>
      <xdr:colOff>0</xdr:colOff>
      <xdr:row>86</xdr:row>
      <xdr:rowOff>0</xdr:rowOff>
    </xdr:from>
    <xdr:to>
      <xdr:col>10</xdr:col>
      <xdr:colOff>1016000</xdr:colOff>
      <xdr:row>92</xdr:row>
      <xdr:rowOff>270000</xdr:rowOff>
    </xdr:to>
    <xdr:graphicFrame macro="">
      <xdr:nvGraphicFramePr>
        <xdr:cNvPr id="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</xdr:col>
      <xdr:colOff>0</xdr:colOff>
      <xdr:row>94</xdr:row>
      <xdr:rowOff>0</xdr:rowOff>
    </xdr:from>
    <xdr:to>
      <xdr:col>10</xdr:col>
      <xdr:colOff>1016000</xdr:colOff>
      <xdr:row>100</xdr:row>
      <xdr:rowOff>270000</xdr:rowOff>
    </xdr:to>
    <xdr:graphicFrame macro="">
      <xdr:nvGraphicFramePr>
        <xdr:cNvPr id="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359833</xdr:colOff>
      <xdr:row>0</xdr:row>
      <xdr:rowOff>148167</xdr:rowOff>
    </xdr:from>
    <xdr:to>
      <xdr:col>0</xdr:col>
      <xdr:colOff>1415789</xdr:colOff>
      <xdr:row>2</xdr:row>
      <xdr:rowOff>158751</xdr:rowOff>
    </xdr:to>
    <xdr:pic>
      <xdr:nvPicPr>
        <xdr:cNvPr id="32" name="Imagem 31" descr="marcaSebrae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9833" y="148167"/>
          <a:ext cx="1055956" cy="7090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1</xdr:row>
      <xdr:rowOff>141511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Escolha sua dúvida entre as perguntas mais frequentes e veja as respostas. Se continuar com dúvidas no uso da planilha, entre em contato pelo nosso email </a:t>
          </a:r>
          <a:r>
            <a:rPr lang="pt-BR" sz="1100">
              <a:solidFill>
                <a:srgbClr val="0070C0"/>
              </a:solidFill>
            </a:rPr>
            <a:t>contato@luz.vc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53975</xdr:rowOff>
    </xdr:from>
    <xdr:to>
      <xdr:col>1</xdr:col>
      <xdr:colOff>12700</xdr:colOff>
      <xdr:row>11</xdr:row>
      <xdr:rowOff>307975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371475</xdr:rowOff>
    </xdr:from>
    <xdr:to>
      <xdr:col>1</xdr:col>
      <xdr:colOff>12700</xdr:colOff>
      <xdr:row>12</xdr:row>
      <xdr:rowOff>244475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Sobre a LUZ</a:t>
          </a:r>
        </a:p>
      </xdr:txBody>
    </xdr:sp>
    <xdr:clientData/>
  </xdr:twoCellAnchor>
  <xdr:twoCellAnchor editAs="oneCell">
    <xdr:from>
      <xdr:col>11</xdr:col>
      <xdr:colOff>127001</xdr:colOff>
      <xdr:row>3</xdr:row>
      <xdr:rowOff>366889</xdr:rowOff>
    </xdr:from>
    <xdr:to>
      <xdr:col>19</xdr:col>
      <xdr:colOff>544334</xdr:colOff>
      <xdr:row>8</xdr:row>
      <xdr:rowOff>291909</xdr:rowOff>
    </xdr:to>
    <xdr:pic>
      <xdr:nvPicPr>
        <xdr:cNvPr id="19" name="Imagem 2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890" y="1340556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127001</xdr:colOff>
      <xdr:row>8</xdr:row>
      <xdr:rowOff>366890</xdr:rowOff>
    </xdr:from>
    <xdr:to>
      <xdr:col>19</xdr:col>
      <xdr:colOff>544334</xdr:colOff>
      <xdr:row>13</xdr:row>
      <xdr:rowOff>291910</xdr:rowOff>
    </xdr:to>
    <xdr:pic>
      <xdr:nvPicPr>
        <xdr:cNvPr id="20" name="Imagem 29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890" y="3245557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423333</xdr:colOff>
      <xdr:row>0</xdr:row>
      <xdr:rowOff>158750</xdr:rowOff>
    </xdr:from>
    <xdr:to>
      <xdr:col>0</xdr:col>
      <xdr:colOff>1479289</xdr:colOff>
      <xdr:row>2</xdr:row>
      <xdr:rowOff>169334</xdr:rowOff>
    </xdr:to>
    <xdr:pic>
      <xdr:nvPicPr>
        <xdr:cNvPr id="21" name="Imagem 20" descr="marcaSebrae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3333" y="158750"/>
          <a:ext cx="1055956" cy="7090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2858558</xdr:colOff>
      <xdr:row>0</xdr:row>
      <xdr:rowOff>133350</xdr:rowOff>
    </xdr:from>
    <xdr:to>
      <xdr:col>6</xdr:col>
      <xdr:colOff>4058709</xdr:colOff>
      <xdr:row>1</xdr:row>
      <xdr:rowOff>141511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Além da planilha de fluxo de caixa, você pode usar outras planilhas para melhorar a gestão da sua empresa. Todas as planilhas da LUZ já estão prontas e são práticas de se usar!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4</xdr:row>
      <xdr:rowOff>44453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159808</xdr:rowOff>
    </xdr:from>
    <xdr:to>
      <xdr:col>0</xdr:col>
      <xdr:colOff>1717675</xdr:colOff>
      <xdr:row>13</xdr:row>
      <xdr:rowOff>159808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4</xdr:row>
      <xdr:rowOff>180975</xdr:rowOff>
    </xdr:from>
    <xdr:to>
      <xdr:col>1</xdr:col>
      <xdr:colOff>12700</xdr:colOff>
      <xdr:row>5</xdr:row>
      <xdr:rowOff>202141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265641</xdr:rowOff>
    </xdr:from>
    <xdr:to>
      <xdr:col>1</xdr:col>
      <xdr:colOff>12700</xdr:colOff>
      <xdr:row>6</xdr:row>
      <xdr:rowOff>138641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202141</xdr:rowOff>
    </xdr:from>
    <xdr:to>
      <xdr:col>1</xdr:col>
      <xdr:colOff>12700</xdr:colOff>
      <xdr:row>8</xdr:row>
      <xdr:rowOff>32808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96308</xdr:rowOff>
    </xdr:from>
    <xdr:to>
      <xdr:col>1</xdr:col>
      <xdr:colOff>12700</xdr:colOff>
      <xdr:row>9</xdr:row>
      <xdr:rowOff>117475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180975</xdr:rowOff>
    </xdr:from>
    <xdr:to>
      <xdr:col>1</xdr:col>
      <xdr:colOff>12700</xdr:colOff>
      <xdr:row>10</xdr:row>
      <xdr:rowOff>53975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11</xdr:row>
      <xdr:rowOff>138641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12</xdr:row>
      <xdr:rowOff>11641</xdr:rowOff>
    </xdr:from>
    <xdr:to>
      <xdr:col>1</xdr:col>
      <xdr:colOff>12700</xdr:colOff>
      <xdr:row>13</xdr:row>
      <xdr:rowOff>32808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13</xdr:row>
      <xdr:rowOff>286808</xdr:rowOff>
    </xdr:from>
    <xdr:to>
      <xdr:col>1</xdr:col>
      <xdr:colOff>12700</xdr:colOff>
      <xdr:row>14</xdr:row>
      <xdr:rowOff>159808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14</xdr:row>
      <xdr:rowOff>223308</xdr:rowOff>
    </xdr:from>
    <xdr:to>
      <xdr:col>1</xdr:col>
      <xdr:colOff>12700</xdr:colOff>
      <xdr:row>16</xdr:row>
      <xdr:rowOff>53975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16</xdr:row>
      <xdr:rowOff>117475</xdr:rowOff>
    </xdr:from>
    <xdr:to>
      <xdr:col>1</xdr:col>
      <xdr:colOff>12700</xdr:colOff>
      <xdr:row>17</xdr:row>
      <xdr:rowOff>138641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Sobre a LUZ</a:t>
          </a:r>
        </a:p>
      </xdr:txBody>
    </xdr:sp>
    <xdr:clientData/>
  </xdr:twoCellAnchor>
  <xdr:twoCellAnchor editAs="oneCell">
    <xdr:from>
      <xdr:col>3</xdr:col>
      <xdr:colOff>3460750</xdr:colOff>
      <xdr:row>1</xdr:row>
      <xdr:rowOff>241300</xdr:rowOff>
    </xdr:from>
    <xdr:to>
      <xdr:col>5</xdr:col>
      <xdr:colOff>11642</xdr:colOff>
      <xdr:row>2</xdr:row>
      <xdr:rowOff>222250</xdr:rowOff>
    </xdr:to>
    <xdr:pic>
      <xdr:nvPicPr>
        <xdr:cNvPr id="17" name="Imagem 16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6800" y="669925"/>
          <a:ext cx="1160992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4</xdr:row>
      <xdr:rowOff>1</xdr:rowOff>
    </xdr:from>
    <xdr:to>
      <xdr:col>4</xdr:col>
      <xdr:colOff>403223</xdr:colOff>
      <xdr:row>10</xdr:row>
      <xdr:rowOff>193132</xdr:rowOff>
    </xdr:to>
    <xdr:pic>
      <xdr:nvPicPr>
        <xdr:cNvPr id="20" name="Imagem 2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23" y="1171223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11</xdr:row>
      <xdr:rowOff>42335</xdr:rowOff>
    </xdr:from>
    <xdr:to>
      <xdr:col>4</xdr:col>
      <xdr:colOff>403223</xdr:colOff>
      <xdr:row>18</xdr:row>
      <xdr:rowOff>37911</xdr:rowOff>
    </xdr:to>
    <xdr:pic>
      <xdr:nvPicPr>
        <xdr:cNvPr id="21" name="Imagem 2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23" y="3076224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0</xdr:row>
      <xdr:rowOff>127000</xdr:rowOff>
    </xdr:from>
    <xdr:to>
      <xdr:col>0</xdr:col>
      <xdr:colOff>1436956</xdr:colOff>
      <xdr:row>2</xdr:row>
      <xdr:rowOff>137584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1000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2</xdr:row>
      <xdr:rowOff>47038</xdr:rowOff>
    </xdr:to>
    <xdr:sp macro="" textlink="">
      <xdr:nvSpPr>
        <xdr:cNvPr id="2" name="CaixaDeTexto 1"/>
        <xdr:cNvSpPr txBox="1"/>
      </xdr:nvSpPr>
      <xdr:spPr>
        <a:xfrm>
          <a:off x="5524500" y="133350"/>
          <a:ext cx="63500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 LUZ é uma empresa especializada no desenvolvimento de planilhas empresariais. Desde 2005 ajudamos empresários e gestores a vencer seus desafios em suas respectivas áreas de trabalho. Conheça um pouco mais da LUZ e descubra como podemos ajudar!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117475</xdr:rowOff>
    </xdr:from>
    <xdr:to>
      <xdr:col>1</xdr:col>
      <xdr:colOff>12700</xdr:colOff>
      <xdr:row>10</xdr:row>
      <xdr:rowOff>371475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Dúvidas Frequentes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53975</xdr:rowOff>
    </xdr:from>
    <xdr:to>
      <xdr:col>1</xdr:col>
      <xdr:colOff>12700</xdr:colOff>
      <xdr:row>11</xdr:row>
      <xdr:rowOff>307975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Sugestões para você</a:t>
          </a:r>
        </a:p>
      </xdr:txBody>
    </xdr:sp>
    <xdr:clientData/>
  </xdr:twoCellAnchor>
  <xdr:twoCellAnchor editAs="absolute">
    <xdr:from>
      <xdr:col>0</xdr:col>
      <xdr:colOff>12700</xdr:colOff>
      <xdr:row>11</xdr:row>
      <xdr:rowOff>371475</xdr:rowOff>
    </xdr:from>
    <xdr:to>
      <xdr:col>1</xdr:col>
      <xdr:colOff>12700</xdr:colOff>
      <xdr:row>12</xdr:row>
      <xdr:rowOff>244475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12700" y="4381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Sobre a LUZ</a:t>
          </a:r>
        </a:p>
      </xdr:txBody>
    </xdr:sp>
    <xdr:clientData/>
  </xdr:twoCellAnchor>
  <xdr:twoCellAnchor editAs="absolute">
    <xdr:from>
      <xdr:col>7</xdr:col>
      <xdr:colOff>322792</xdr:colOff>
      <xdr:row>8</xdr:row>
      <xdr:rowOff>28221</xdr:rowOff>
    </xdr:from>
    <xdr:to>
      <xdr:col>10</xdr:col>
      <xdr:colOff>195525</xdr:colOff>
      <xdr:row>9</xdr:row>
      <xdr:rowOff>218721</xdr:rowOff>
    </xdr:to>
    <xdr:pic>
      <xdr:nvPicPr>
        <xdr:cNvPr id="26" name="Imagem 20">
          <a:hlinkClick xmlns:r="http://schemas.openxmlformats.org/officeDocument/2006/relationships" r:id="rId11"/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2906888"/>
          <a:ext cx="1904733" cy="571500"/>
        </a:xfrm>
        <a:prstGeom prst="rect">
          <a:avLst/>
        </a:prstGeom>
      </xdr:spPr>
    </xdr:pic>
    <xdr:clientData/>
  </xdr:twoCellAnchor>
  <xdr:twoCellAnchor editAs="absolute">
    <xdr:from>
      <xdr:col>7</xdr:col>
      <xdr:colOff>322792</xdr:colOff>
      <xdr:row>9</xdr:row>
      <xdr:rowOff>244121</xdr:rowOff>
    </xdr:from>
    <xdr:to>
      <xdr:col>10</xdr:col>
      <xdr:colOff>195525</xdr:colOff>
      <xdr:row>11</xdr:row>
      <xdr:rowOff>53621</xdr:rowOff>
    </xdr:to>
    <xdr:pic>
      <xdr:nvPicPr>
        <xdr:cNvPr id="27" name="Imagem 21">
          <a:hlinkClick xmlns:r="http://schemas.openxmlformats.org/officeDocument/2006/relationships" r:id="rId13"/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3503788"/>
          <a:ext cx="1904733" cy="571500"/>
        </a:xfrm>
        <a:prstGeom prst="rect">
          <a:avLst/>
        </a:prstGeom>
      </xdr:spPr>
    </xdr:pic>
    <xdr:clientData/>
  </xdr:twoCellAnchor>
  <xdr:twoCellAnchor editAs="absolute">
    <xdr:from>
      <xdr:col>7</xdr:col>
      <xdr:colOff>322792</xdr:colOff>
      <xdr:row>11</xdr:row>
      <xdr:rowOff>66321</xdr:rowOff>
    </xdr:from>
    <xdr:to>
      <xdr:col>10</xdr:col>
      <xdr:colOff>195525</xdr:colOff>
      <xdr:row>12</xdr:row>
      <xdr:rowOff>256821</xdr:rowOff>
    </xdr:to>
    <xdr:pic>
      <xdr:nvPicPr>
        <xdr:cNvPr id="28" name="Imagem 22">
          <a:hlinkClick xmlns:r="http://schemas.openxmlformats.org/officeDocument/2006/relationships" r:id="rId15"/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8348" y="4087988"/>
          <a:ext cx="190473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593725</xdr:colOff>
      <xdr:row>3</xdr:row>
      <xdr:rowOff>155221</xdr:rowOff>
    </xdr:from>
    <xdr:to>
      <xdr:col>19</xdr:col>
      <xdr:colOff>333725</xdr:colOff>
      <xdr:row>8</xdr:row>
      <xdr:rowOff>80241</xdr:rowOff>
    </xdr:to>
    <xdr:pic>
      <xdr:nvPicPr>
        <xdr:cNvPr id="29" name="Imagem 28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1281" y="1128888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10</xdr:col>
      <xdr:colOff>593725</xdr:colOff>
      <xdr:row>8</xdr:row>
      <xdr:rowOff>155222</xdr:rowOff>
    </xdr:from>
    <xdr:to>
      <xdr:col>19</xdr:col>
      <xdr:colOff>333725</xdr:colOff>
      <xdr:row>13</xdr:row>
      <xdr:rowOff>80242</xdr:rowOff>
    </xdr:to>
    <xdr:pic>
      <xdr:nvPicPr>
        <xdr:cNvPr id="30" name="Imagem 29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1281" y="3033889"/>
          <a:ext cx="5836000" cy="1830020"/>
        </a:xfrm>
        <a:prstGeom prst="rect">
          <a:avLst/>
        </a:prstGeom>
      </xdr:spPr>
    </xdr:pic>
    <xdr:clientData/>
  </xdr:twoCellAnchor>
  <xdr:twoCellAnchor editAs="oneCell">
    <xdr:from>
      <xdr:col>1</xdr:col>
      <xdr:colOff>169334</xdr:colOff>
      <xdr:row>8</xdr:row>
      <xdr:rowOff>27163</xdr:rowOff>
    </xdr:from>
    <xdr:to>
      <xdr:col>7</xdr:col>
      <xdr:colOff>297392</xdr:colOff>
      <xdr:row>12</xdr:row>
      <xdr:rowOff>256363</xdr:rowOff>
    </xdr:to>
    <xdr:pic>
      <xdr:nvPicPr>
        <xdr:cNvPr id="31" name="Imagem 2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890" y="2905830"/>
          <a:ext cx="3811058" cy="175320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323849</xdr:colOff>
      <xdr:row>3</xdr:row>
      <xdr:rowOff>197553</xdr:rowOff>
    </xdr:from>
    <xdr:to>
      <xdr:col>10</xdr:col>
      <xdr:colOff>199549</xdr:colOff>
      <xdr:row>8</xdr:row>
      <xdr:rowOff>9753</xdr:rowOff>
    </xdr:to>
    <xdr:pic>
      <xdr:nvPicPr>
        <xdr:cNvPr id="32" name="Imagem 31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9405" y="1171220"/>
          <a:ext cx="1907700" cy="1717200"/>
        </a:xfrm>
        <a:prstGeom prst="rect">
          <a:avLst/>
        </a:prstGeom>
      </xdr:spPr>
    </xdr:pic>
    <xdr:clientData/>
  </xdr:twoCellAnchor>
  <xdr:twoCellAnchor editAs="oneCell">
    <xdr:from>
      <xdr:col>1</xdr:col>
      <xdr:colOff>212725</xdr:colOff>
      <xdr:row>3</xdr:row>
      <xdr:rowOff>197553</xdr:rowOff>
    </xdr:from>
    <xdr:to>
      <xdr:col>4</xdr:col>
      <xdr:colOff>405925</xdr:colOff>
      <xdr:row>8</xdr:row>
      <xdr:rowOff>9753</xdr:rowOff>
    </xdr:to>
    <xdr:pic>
      <xdr:nvPicPr>
        <xdr:cNvPr id="33" name="Imagem 32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281" y="1171220"/>
          <a:ext cx="1844200" cy="17172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427037</xdr:colOff>
      <xdr:row>3</xdr:row>
      <xdr:rowOff>197553</xdr:rowOff>
    </xdr:from>
    <xdr:to>
      <xdr:col>7</xdr:col>
      <xdr:colOff>302737</xdr:colOff>
      <xdr:row>8</xdr:row>
      <xdr:rowOff>9753</xdr:rowOff>
    </xdr:to>
    <xdr:pic>
      <xdr:nvPicPr>
        <xdr:cNvPr id="34" name="Imagem 33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0593" y="1171220"/>
          <a:ext cx="1907700" cy="171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391583</xdr:colOff>
      <xdr:row>0</xdr:row>
      <xdr:rowOff>105833</xdr:rowOff>
    </xdr:from>
    <xdr:to>
      <xdr:col>0</xdr:col>
      <xdr:colOff>1447539</xdr:colOff>
      <xdr:row>2</xdr:row>
      <xdr:rowOff>116417</xdr:rowOff>
    </xdr:to>
    <xdr:pic>
      <xdr:nvPicPr>
        <xdr:cNvPr id="35" name="Imagem 34" descr="marcaSebrae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91583" y="105833"/>
          <a:ext cx="1055956" cy="709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2773892</xdr:colOff>
      <xdr:row>0</xdr:row>
      <xdr:rowOff>133350</xdr:rowOff>
    </xdr:from>
    <xdr:to>
      <xdr:col>7</xdr:col>
      <xdr:colOff>174625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Esta é a parte mais importante da planilha, pois é aqui que você definirá as premissas necessárias que ajudarão a planilha</a:t>
          </a:r>
          <a:r>
            <a:rPr lang="pt-BR" sz="1100" baseline="0"/>
            <a:t> gerar informações sobre o valor da empresa.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8</xdr:row>
      <xdr:rowOff>371475</xdr:rowOff>
    </xdr:from>
    <xdr:to>
      <xdr:col>0</xdr:col>
      <xdr:colOff>1717675</xdr:colOff>
      <xdr:row>8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5</xdr:row>
      <xdr:rowOff>403225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466725</xdr:rowOff>
    </xdr:from>
    <xdr:to>
      <xdr:col>1</xdr:col>
      <xdr:colOff>12700</xdr:colOff>
      <xdr:row>6</xdr:row>
      <xdr:rowOff>244475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7</xdr:row>
      <xdr:rowOff>85725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149225</xdr:rowOff>
    </xdr:from>
    <xdr:to>
      <xdr:col>1</xdr:col>
      <xdr:colOff>12700</xdr:colOff>
      <xdr:row>7</xdr:row>
      <xdr:rowOff>403225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466725</xdr:rowOff>
    </xdr:from>
    <xdr:to>
      <xdr:col>1</xdr:col>
      <xdr:colOff>12700</xdr:colOff>
      <xdr:row>8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22225</xdr:rowOff>
    </xdr:from>
    <xdr:to>
      <xdr:col>1</xdr:col>
      <xdr:colOff>12700</xdr:colOff>
      <xdr:row>9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9</xdr:row>
      <xdr:rowOff>339725</xdr:rowOff>
    </xdr:from>
    <xdr:to>
      <xdr:col>1</xdr:col>
      <xdr:colOff>12700</xdr:colOff>
      <xdr:row>10</xdr:row>
      <xdr:rowOff>117475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3</xdr:col>
      <xdr:colOff>1115476</xdr:colOff>
      <xdr:row>3</xdr:row>
      <xdr:rowOff>12700</xdr:rowOff>
    </xdr:to>
    <xdr:sp macro="" textlink="">
      <xdr:nvSpPr>
        <xdr:cNvPr id="21" name="Retângulo 20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100000"/>
                </a:schemeClr>
              </a:solidFill>
            </a:rPr>
            <a:t>Dados iniciais</a:t>
          </a:r>
        </a:p>
      </xdr:txBody>
    </xdr:sp>
    <xdr:clientData/>
  </xdr:twoCellAnchor>
  <xdr:twoCellAnchor editAs="absolute">
    <xdr:from>
      <xdr:col>3</xdr:col>
      <xdr:colOff>1135165</xdr:colOff>
      <xdr:row>1</xdr:row>
      <xdr:rowOff>254000</xdr:rowOff>
    </xdr:from>
    <xdr:to>
      <xdr:col>3</xdr:col>
      <xdr:colOff>2917389</xdr:colOff>
      <xdr:row>3</xdr:row>
      <xdr:rowOff>12700</xdr:rowOff>
    </xdr:to>
    <xdr:sp macro="" textlink="">
      <xdr:nvSpPr>
        <xdr:cNvPr id="22" name="Retângulo 21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despesas</a:t>
          </a:r>
        </a:p>
      </xdr:txBody>
    </xdr:sp>
    <xdr:clientData/>
  </xdr:twoCellAnchor>
  <xdr:twoCellAnchor editAs="absolute">
    <xdr:from>
      <xdr:col>3</xdr:col>
      <xdr:colOff>2937078</xdr:colOff>
      <xdr:row>1</xdr:row>
      <xdr:rowOff>254000</xdr:rowOff>
    </xdr:from>
    <xdr:to>
      <xdr:col>4</xdr:col>
      <xdr:colOff>917997</xdr:colOff>
      <xdr:row>3</xdr:row>
      <xdr:rowOff>12700</xdr:rowOff>
    </xdr:to>
    <xdr:sp macro="" textlink="">
      <xdr:nvSpPr>
        <xdr:cNvPr id="23" name="Retângulo 22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937685</xdr:colOff>
      <xdr:row>1</xdr:row>
      <xdr:rowOff>254000</xdr:rowOff>
    </xdr:from>
    <xdr:to>
      <xdr:col>5</xdr:col>
      <xdr:colOff>433909</xdr:colOff>
      <xdr:row>3</xdr:row>
      <xdr:rowOff>12700</xdr:rowOff>
    </xdr:to>
    <xdr:sp macro="" textlink="">
      <xdr:nvSpPr>
        <xdr:cNvPr id="24" name="Retângulo 23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275166</xdr:colOff>
      <xdr:row>0</xdr:row>
      <xdr:rowOff>116416</xdr:rowOff>
    </xdr:from>
    <xdr:to>
      <xdr:col>0</xdr:col>
      <xdr:colOff>1331122</xdr:colOff>
      <xdr:row>2</xdr:row>
      <xdr:rowOff>127000</xdr:rowOff>
    </xdr:to>
    <xdr:pic>
      <xdr:nvPicPr>
        <xdr:cNvPr id="26" name="Imagem 25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75166" y="116416"/>
          <a:ext cx="1055956" cy="709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276225</xdr:rowOff>
    </xdr:from>
    <xdr:to>
      <xdr:col>0</xdr:col>
      <xdr:colOff>1717675</xdr:colOff>
      <xdr:row>9</xdr:row>
      <xdr:rowOff>276225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339725</xdr:rowOff>
    </xdr:from>
    <xdr:to>
      <xdr:col>1</xdr:col>
      <xdr:colOff>12700</xdr:colOff>
      <xdr:row>11</xdr:row>
      <xdr:rowOff>212725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412750</xdr:colOff>
      <xdr:row>0</xdr:row>
      <xdr:rowOff>52917</xdr:rowOff>
    </xdr:from>
    <xdr:to>
      <xdr:col>0</xdr:col>
      <xdr:colOff>1468706</xdr:colOff>
      <xdr:row>2</xdr:row>
      <xdr:rowOff>105834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12750" y="52917"/>
          <a:ext cx="1055956" cy="751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141816</xdr:colOff>
      <xdr:row>9</xdr:row>
      <xdr:rowOff>318559</xdr:rowOff>
    </xdr:from>
    <xdr:to>
      <xdr:col>0</xdr:col>
      <xdr:colOff>1707091</xdr:colOff>
      <xdr:row>9</xdr:row>
      <xdr:rowOff>318559</xdr:rowOff>
    </xdr:to>
    <xdr:cxnSp macro="">
      <xdr:nvCxnSpPr>
        <xdr:cNvPr id="6" name="Conector reto 5"/>
        <xdr:cNvCxnSpPr/>
      </xdr:nvCxnSpPr>
      <xdr:spPr>
        <a:xfrm>
          <a:off x="141816" y="3662892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339725</xdr:rowOff>
    </xdr:from>
    <xdr:to>
      <xdr:col>1</xdr:col>
      <xdr:colOff>12700</xdr:colOff>
      <xdr:row>11</xdr:row>
      <xdr:rowOff>212725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1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2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3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receitas</a:t>
          </a:r>
        </a:p>
      </xdr:txBody>
    </xdr:sp>
    <xdr:clientData/>
  </xdr:twoCellAnchor>
  <xdr:twoCellAnchor editAs="oneCell">
    <xdr:from>
      <xdr:col>0</xdr:col>
      <xdr:colOff>402166</xdr:colOff>
      <xdr:row>0</xdr:row>
      <xdr:rowOff>52917</xdr:rowOff>
    </xdr:from>
    <xdr:to>
      <xdr:col>0</xdr:col>
      <xdr:colOff>1458122</xdr:colOff>
      <xdr:row>2</xdr:row>
      <xdr:rowOff>105834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166" y="52917"/>
          <a:ext cx="1055956" cy="7514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3440642</xdr:colOff>
      <xdr:row>0</xdr:row>
      <xdr:rowOff>133350</xdr:rowOff>
    </xdr:from>
    <xdr:to>
      <xdr:col>6</xdr:col>
      <xdr:colOff>1455209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Esta é a parte mais importante da planilha, pois é aqui que você definirá as premissas necessárias que ajudarão a planilha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gerar informações sobre o valor da empresa.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276225</xdr:rowOff>
    </xdr:from>
    <xdr:to>
      <xdr:col>0</xdr:col>
      <xdr:colOff>1717675</xdr:colOff>
      <xdr:row>9</xdr:row>
      <xdr:rowOff>276225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85725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149225</xdr:rowOff>
    </xdr:from>
    <xdr:to>
      <xdr:col>1</xdr:col>
      <xdr:colOff>12700</xdr:colOff>
      <xdr:row>6</xdr:row>
      <xdr:rowOff>22225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85725</xdr:rowOff>
    </xdr:from>
    <xdr:to>
      <xdr:col>1</xdr:col>
      <xdr:colOff>12700</xdr:colOff>
      <xdr:row>6</xdr:row>
      <xdr:rowOff>339725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22225</xdr:rowOff>
    </xdr:from>
    <xdr:to>
      <xdr:col>1</xdr:col>
      <xdr:colOff>12700</xdr:colOff>
      <xdr:row>7</xdr:row>
      <xdr:rowOff>276225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339725</xdr:rowOff>
    </xdr:from>
    <xdr:to>
      <xdr:col>1</xdr:col>
      <xdr:colOff>12700</xdr:colOff>
      <xdr:row>8</xdr:row>
      <xdr:rowOff>212725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276225</xdr:rowOff>
    </xdr:from>
    <xdr:to>
      <xdr:col>1</xdr:col>
      <xdr:colOff>12700</xdr:colOff>
      <xdr:row>9</xdr:row>
      <xdr:rowOff>149225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22225</xdr:rowOff>
    </xdr:from>
    <xdr:to>
      <xdr:col>1</xdr:col>
      <xdr:colOff>12700</xdr:colOff>
      <xdr:row>10</xdr:row>
      <xdr:rowOff>276225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1782226</xdr:colOff>
      <xdr:row>3</xdr:row>
      <xdr:rowOff>12700</xdr:rowOff>
    </xdr:to>
    <xdr:sp macro="" textlink="">
      <xdr:nvSpPr>
        <xdr:cNvPr id="25" name="Retângulo 24">
          <a:hlinkClick xmlns:r="http://schemas.openxmlformats.org/officeDocument/2006/relationships" r:id="rId9"/>
        </xdr:cNvPr>
        <xdr:cNvSpPr/>
      </xdr:nvSpPr>
      <xdr:spPr>
        <a:xfrm>
          <a:off x="2106083" y="687917"/>
          <a:ext cx="1782226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Dados iniciais</a:t>
          </a:r>
        </a:p>
      </xdr:txBody>
    </xdr:sp>
    <xdr:clientData/>
  </xdr:twoCellAnchor>
  <xdr:twoCellAnchor editAs="absolute">
    <xdr:from>
      <xdr:col>2</xdr:col>
      <xdr:colOff>1801915</xdr:colOff>
      <xdr:row>1</xdr:row>
      <xdr:rowOff>254000</xdr:rowOff>
    </xdr:from>
    <xdr:to>
      <xdr:col>2</xdr:col>
      <xdr:colOff>3584139</xdr:colOff>
      <xdr:row>3</xdr:row>
      <xdr:rowOff>12700</xdr:rowOff>
    </xdr:to>
    <xdr:sp macro="" textlink="">
      <xdr:nvSpPr>
        <xdr:cNvPr id="26" name="Retângulo 25">
          <a:hlinkClick xmlns:r="http://schemas.openxmlformats.org/officeDocument/2006/relationships" r:id="rId10"/>
        </xdr:cNvPr>
        <xdr:cNvSpPr/>
      </xdr:nvSpPr>
      <xdr:spPr>
        <a:xfrm>
          <a:off x="3907998" y="687917"/>
          <a:ext cx="1782224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100000"/>
                </a:schemeClr>
              </a:solidFill>
            </a:rPr>
            <a:t>Projeção de despesas</a:t>
          </a:r>
        </a:p>
      </xdr:txBody>
    </xdr:sp>
    <xdr:clientData/>
  </xdr:twoCellAnchor>
  <xdr:twoCellAnchor editAs="absolute">
    <xdr:from>
      <xdr:col>2</xdr:col>
      <xdr:colOff>3603828</xdr:colOff>
      <xdr:row>1</xdr:row>
      <xdr:rowOff>254000</xdr:rowOff>
    </xdr:from>
    <xdr:to>
      <xdr:col>4</xdr:col>
      <xdr:colOff>60747</xdr:colOff>
      <xdr:row>3</xdr:row>
      <xdr:rowOff>12700</xdr:rowOff>
    </xdr:to>
    <xdr:sp macro="" textlink="">
      <xdr:nvSpPr>
        <xdr:cNvPr id="27" name="Retângulo 26">
          <a:hlinkClick xmlns:r="http://schemas.openxmlformats.org/officeDocument/2006/relationships" r:id="rId11"/>
        </xdr:cNvPr>
        <xdr:cNvSpPr/>
      </xdr:nvSpPr>
      <xdr:spPr>
        <a:xfrm>
          <a:off x="5709911" y="687917"/>
          <a:ext cx="1790919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investimentos</a:t>
          </a:r>
        </a:p>
      </xdr:txBody>
    </xdr:sp>
    <xdr:clientData/>
  </xdr:twoCellAnchor>
  <xdr:twoCellAnchor editAs="absolute">
    <xdr:from>
      <xdr:col>4</xdr:col>
      <xdr:colOff>80435</xdr:colOff>
      <xdr:row>1</xdr:row>
      <xdr:rowOff>254000</xdr:rowOff>
    </xdr:from>
    <xdr:to>
      <xdr:col>5</xdr:col>
      <xdr:colOff>338659</xdr:colOff>
      <xdr:row>3</xdr:row>
      <xdr:rowOff>12700</xdr:rowOff>
    </xdr:to>
    <xdr:sp macro="" textlink="">
      <xdr:nvSpPr>
        <xdr:cNvPr id="28" name="Retângulo 27">
          <a:hlinkClick xmlns:r="http://schemas.openxmlformats.org/officeDocument/2006/relationships" r:id="rId12"/>
        </xdr:cNvPr>
        <xdr:cNvSpPr/>
      </xdr:nvSpPr>
      <xdr:spPr>
        <a:xfrm>
          <a:off x="7520518" y="687917"/>
          <a:ext cx="1782224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Projeção de receitas</a:t>
          </a:r>
        </a:p>
      </xdr:txBody>
    </xdr:sp>
    <xdr:clientData/>
  </xdr:twoCellAnchor>
  <xdr:twoCellAnchor editAs="oneCell">
    <xdr:from>
      <xdr:col>0</xdr:col>
      <xdr:colOff>391584</xdr:colOff>
      <xdr:row>0</xdr:row>
      <xdr:rowOff>42333</xdr:rowOff>
    </xdr:from>
    <xdr:to>
      <xdr:col>0</xdr:col>
      <xdr:colOff>1447540</xdr:colOff>
      <xdr:row>2</xdr:row>
      <xdr:rowOff>95250</xdr:rowOff>
    </xdr:to>
    <xdr:pic>
      <xdr:nvPicPr>
        <xdr:cNvPr id="22" name="Imagem 21" descr="marcaSebrae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1584" y="42333"/>
          <a:ext cx="1055956" cy="7514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1535642</xdr:colOff>
      <xdr:row>0</xdr:row>
      <xdr:rowOff>133350</xdr:rowOff>
    </xdr:from>
    <xdr:to>
      <xdr:col>9</xdr:col>
      <xdr:colOff>58209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Insira os valores solicitados abaixo, de acordo com a quantidade de anos</a:t>
          </a:r>
        </a:p>
        <a:p>
          <a:r>
            <a:rPr lang="pt-BR" sz="1100"/>
            <a:t>previstos na sua avaliação (3, 5 ou 10 anos).</a:t>
          </a:r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4</xdr:row>
      <xdr:rowOff>55036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297391</xdr:rowOff>
    </xdr:from>
    <xdr:to>
      <xdr:col>0</xdr:col>
      <xdr:colOff>1717675</xdr:colOff>
      <xdr:row>9</xdr:row>
      <xdr:rowOff>297391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4</xdr:row>
      <xdr:rowOff>191558</xdr:rowOff>
    </xdr:from>
    <xdr:to>
      <xdr:col>1</xdr:col>
      <xdr:colOff>12700</xdr:colOff>
      <xdr:row>4</xdr:row>
      <xdr:rowOff>445558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509058</xdr:rowOff>
    </xdr:from>
    <xdr:to>
      <xdr:col>1</xdr:col>
      <xdr:colOff>12700</xdr:colOff>
      <xdr:row>5</xdr:row>
      <xdr:rowOff>1058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64558</xdr:rowOff>
    </xdr:from>
    <xdr:to>
      <xdr:col>1</xdr:col>
      <xdr:colOff>12700</xdr:colOff>
      <xdr:row>6</xdr:row>
      <xdr:rowOff>138641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202141</xdr:rowOff>
    </xdr:from>
    <xdr:to>
      <xdr:col>1</xdr:col>
      <xdr:colOff>12700</xdr:colOff>
      <xdr:row>6</xdr:row>
      <xdr:rowOff>456141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43391</xdr:rowOff>
    </xdr:from>
    <xdr:to>
      <xdr:col>1</xdr:col>
      <xdr:colOff>12700</xdr:colOff>
      <xdr:row>7</xdr:row>
      <xdr:rowOff>297391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360891</xdr:rowOff>
    </xdr:from>
    <xdr:to>
      <xdr:col>1</xdr:col>
      <xdr:colOff>12700</xdr:colOff>
      <xdr:row>8</xdr:row>
      <xdr:rowOff>233891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297391</xdr:rowOff>
    </xdr:from>
    <xdr:to>
      <xdr:col>1</xdr:col>
      <xdr:colOff>12700</xdr:colOff>
      <xdr:row>9</xdr:row>
      <xdr:rowOff>170391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43391</xdr:rowOff>
    </xdr:from>
    <xdr:to>
      <xdr:col>1</xdr:col>
      <xdr:colOff>12700</xdr:colOff>
      <xdr:row>10</xdr:row>
      <xdr:rowOff>297391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10</xdr:row>
      <xdr:rowOff>360891</xdr:rowOff>
    </xdr:from>
    <xdr:to>
      <xdr:col>1</xdr:col>
      <xdr:colOff>12700</xdr:colOff>
      <xdr:row>11</xdr:row>
      <xdr:rowOff>233891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254000</xdr:colOff>
      <xdr:row>0</xdr:row>
      <xdr:rowOff>95250</xdr:rowOff>
    </xdr:from>
    <xdr:to>
      <xdr:col>0</xdr:col>
      <xdr:colOff>1309956</xdr:colOff>
      <xdr:row>2</xdr:row>
      <xdr:rowOff>105834</xdr:rowOff>
    </xdr:to>
    <xdr:pic>
      <xdr:nvPicPr>
        <xdr:cNvPr id="19" name="Imagem 18" descr="marcaSebrae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000" y="95250"/>
          <a:ext cx="1055956" cy="7090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868892</xdr:colOff>
      <xdr:row>0</xdr:row>
      <xdr:rowOff>133350</xdr:rowOff>
    </xdr:from>
    <xdr:to>
      <xdr:col>7</xdr:col>
      <xdr:colOff>597959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Após preencher todos os dados solicitados anteriormente</a:t>
          </a:r>
          <a:r>
            <a:rPr lang="pt-BR" sz="1100" baseline="0"/>
            <a:t> nesta planilha, os resultados consolidados são capazes de permitir uma visão do todo sobre o valor potencial da empresa.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371475</xdr:rowOff>
    </xdr:from>
    <xdr:to>
      <xdr:col>0</xdr:col>
      <xdr:colOff>1717675</xdr:colOff>
      <xdr:row>9</xdr:row>
      <xdr:rowOff>371475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117475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180975</xdr:rowOff>
    </xdr:from>
    <xdr:to>
      <xdr:col>1</xdr:col>
      <xdr:colOff>12700</xdr:colOff>
      <xdr:row>7</xdr:row>
      <xdr:rowOff>53975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117475</xdr:rowOff>
    </xdr:from>
    <xdr:to>
      <xdr:col>1</xdr:col>
      <xdr:colOff>12700</xdr:colOff>
      <xdr:row>7</xdr:row>
      <xdr:rowOff>371475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53975</xdr:rowOff>
    </xdr:from>
    <xdr:to>
      <xdr:col>1</xdr:col>
      <xdr:colOff>12700</xdr:colOff>
      <xdr:row>8</xdr:row>
      <xdr:rowOff>307975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371475</xdr:rowOff>
    </xdr:from>
    <xdr:to>
      <xdr:col>1</xdr:col>
      <xdr:colOff>12700</xdr:colOff>
      <xdr:row>9</xdr:row>
      <xdr:rowOff>244475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oneCell">
    <xdr:from>
      <xdr:col>0</xdr:col>
      <xdr:colOff>338667</xdr:colOff>
      <xdr:row>0</xdr:row>
      <xdr:rowOff>179917</xdr:rowOff>
    </xdr:from>
    <xdr:to>
      <xdr:col>0</xdr:col>
      <xdr:colOff>1394623</xdr:colOff>
      <xdr:row>2</xdr:row>
      <xdr:rowOff>190501</xdr:rowOff>
    </xdr:to>
    <xdr:pic>
      <xdr:nvPicPr>
        <xdr:cNvPr id="18" name="Imagem 17" descr="marcaSebrae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667" y="179917"/>
          <a:ext cx="1055956" cy="7090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371475</xdr:colOff>
      <xdr:row>0</xdr:row>
      <xdr:rowOff>133350</xdr:rowOff>
    </xdr:from>
    <xdr:to>
      <xdr:col>18</xdr:col>
      <xdr:colOff>15875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/>
            <a:t>Os gráficos são formas rápidas</a:t>
          </a:r>
          <a:r>
            <a:rPr lang="pt-BR" sz="1100" baseline="0"/>
            <a:t> e visuais para uma avaliação</a:t>
          </a:r>
        </a:p>
        <a:p>
          <a:r>
            <a:rPr lang="pt-BR" sz="1100" baseline="0"/>
            <a:t>de todos os dados preenchidos na planilha.</a:t>
          </a:r>
          <a:endParaRPr lang="pt-BR" sz="1100"/>
        </a:p>
      </xdr:txBody>
    </xdr: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10</xdr:row>
      <xdr:rowOff>85725</xdr:rowOff>
    </xdr:from>
    <xdr:to>
      <xdr:col>0</xdr:col>
      <xdr:colOff>1717675</xdr:colOff>
      <xdr:row>10</xdr:row>
      <xdr:rowOff>85725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1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5</xdr:row>
      <xdr:rowOff>180975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244475</xdr:rowOff>
    </xdr:from>
    <xdr:to>
      <xdr:col>1</xdr:col>
      <xdr:colOff>12700</xdr:colOff>
      <xdr:row>6</xdr:row>
      <xdr:rowOff>212725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276225</xdr:rowOff>
    </xdr:from>
    <xdr:to>
      <xdr:col>1</xdr:col>
      <xdr:colOff>12700</xdr:colOff>
      <xdr:row>7</xdr:row>
      <xdr:rowOff>149225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212725</xdr:rowOff>
    </xdr:from>
    <xdr:to>
      <xdr:col>1</xdr:col>
      <xdr:colOff>12700</xdr:colOff>
      <xdr:row>8</xdr:row>
      <xdr:rowOff>85725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149225</xdr:rowOff>
    </xdr:from>
    <xdr:to>
      <xdr:col>1</xdr:col>
      <xdr:colOff>12700</xdr:colOff>
      <xdr:row>9</xdr:row>
      <xdr:rowOff>22225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9</xdr:row>
      <xdr:rowOff>85725</xdr:rowOff>
    </xdr:from>
    <xdr:to>
      <xdr:col>1</xdr:col>
      <xdr:colOff>12700</xdr:colOff>
      <xdr:row>9</xdr:row>
      <xdr:rowOff>339725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212725</xdr:rowOff>
    </xdr:from>
    <xdr:to>
      <xdr:col>1</xdr:col>
      <xdr:colOff>12700</xdr:colOff>
      <xdr:row>11</xdr:row>
      <xdr:rowOff>85725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12700" y="3746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12700</xdr:colOff>
      <xdr:row>11</xdr:row>
      <xdr:rowOff>149225</xdr:rowOff>
    </xdr:from>
    <xdr:to>
      <xdr:col>1</xdr:col>
      <xdr:colOff>12700</xdr:colOff>
      <xdr:row>12</xdr:row>
      <xdr:rowOff>22225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4</xdr:col>
      <xdr:colOff>180976</xdr:colOff>
      <xdr:row>3</xdr:row>
      <xdr:rowOff>12700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408643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Todos os anos</a:t>
          </a:r>
        </a:p>
      </xdr:txBody>
    </xdr:sp>
    <xdr:clientData/>
  </xdr:twoCellAnchor>
  <xdr:twoCellAnchor editAs="absolute">
    <xdr:from>
      <xdr:col>4</xdr:col>
      <xdr:colOff>205317</xdr:colOff>
      <xdr:row>1</xdr:row>
      <xdr:rowOff>254000</xdr:rowOff>
    </xdr:from>
    <xdr:to>
      <xdr:col>6</xdr:col>
      <xdr:colOff>386291</xdr:colOff>
      <xdr:row>3</xdr:row>
      <xdr:rowOff>12700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3539067" y="687917"/>
          <a:ext cx="1408641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Ano específico</a:t>
          </a:r>
        </a:p>
      </xdr:txBody>
    </xdr:sp>
    <xdr:clientData/>
  </xdr:twoCellAnchor>
  <xdr:twoCellAnchor editAs="absolute">
    <xdr:from>
      <xdr:col>2</xdr:col>
      <xdr:colOff>0</xdr:colOff>
      <xdr:row>6</xdr:row>
      <xdr:rowOff>148165</xdr:rowOff>
    </xdr:from>
    <xdr:to>
      <xdr:col>19</xdr:col>
      <xdr:colOff>10583</xdr:colOff>
      <xdr:row>13</xdr:row>
      <xdr:rowOff>37165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14</xdr:row>
      <xdr:rowOff>148165</xdr:rowOff>
    </xdr:from>
    <xdr:to>
      <xdr:col>19</xdr:col>
      <xdr:colOff>10583</xdr:colOff>
      <xdr:row>21</xdr:row>
      <xdr:rowOff>37165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</xdr:col>
      <xdr:colOff>0</xdr:colOff>
      <xdr:row>22</xdr:row>
      <xdr:rowOff>95250</xdr:rowOff>
    </xdr:from>
    <xdr:to>
      <xdr:col>19</xdr:col>
      <xdr:colOff>10583</xdr:colOff>
      <xdr:row>28</xdr:row>
      <xdr:rowOff>365250</xdr:rowOff>
    </xdr:to>
    <xdr:graphicFrame macro="">
      <xdr:nvGraphicFramePr>
        <xdr:cNvPr id="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</xdr:col>
      <xdr:colOff>0</xdr:colOff>
      <xdr:row>30</xdr:row>
      <xdr:rowOff>95250</xdr:rowOff>
    </xdr:from>
    <xdr:to>
      <xdr:col>19</xdr:col>
      <xdr:colOff>10583</xdr:colOff>
      <xdr:row>36</xdr:row>
      <xdr:rowOff>365250</xdr:rowOff>
    </xdr:to>
    <xdr:graphicFrame macro="">
      <xdr:nvGraphicFramePr>
        <xdr:cNvPr id="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</xdr:col>
      <xdr:colOff>0</xdr:colOff>
      <xdr:row>38</xdr:row>
      <xdr:rowOff>95250</xdr:rowOff>
    </xdr:from>
    <xdr:to>
      <xdr:col>19</xdr:col>
      <xdr:colOff>10583</xdr:colOff>
      <xdr:row>44</xdr:row>
      <xdr:rowOff>365250</xdr:rowOff>
    </xdr:to>
    <xdr:graphicFrame macro="">
      <xdr:nvGraphicFramePr>
        <xdr:cNvPr id="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</xdr:col>
      <xdr:colOff>0</xdr:colOff>
      <xdr:row>46</xdr:row>
      <xdr:rowOff>95250</xdr:rowOff>
    </xdr:from>
    <xdr:to>
      <xdr:col>19</xdr:col>
      <xdr:colOff>10583</xdr:colOff>
      <xdr:row>52</xdr:row>
      <xdr:rowOff>365250</xdr:rowOff>
    </xdr:to>
    <xdr:graphicFrame macro="">
      <xdr:nvGraphicFramePr>
        <xdr:cNvPr id="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</xdr:col>
      <xdr:colOff>0</xdr:colOff>
      <xdr:row>54</xdr:row>
      <xdr:rowOff>95250</xdr:rowOff>
    </xdr:from>
    <xdr:to>
      <xdr:col>19</xdr:col>
      <xdr:colOff>10583</xdr:colOff>
      <xdr:row>60</xdr:row>
      <xdr:rowOff>365250</xdr:rowOff>
    </xdr:to>
    <xdr:graphicFrame macro="">
      <xdr:nvGraphicFramePr>
        <xdr:cNvPr id="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275167</xdr:colOff>
      <xdr:row>0</xdr:row>
      <xdr:rowOff>127000</xdr:rowOff>
    </xdr:from>
    <xdr:to>
      <xdr:col>0</xdr:col>
      <xdr:colOff>1331123</xdr:colOff>
      <xdr:row>2</xdr:row>
      <xdr:rowOff>137584</xdr:rowOff>
    </xdr:to>
    <xdr:pic>
      <xdr:nvPicPr>
        <xdr:cNvPr id="29" name="Imagem 28" descr="marcaSebrae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5167" y="127000"/>
          <a:ext cx="1055956" cy="7090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1535642</xdr:colOff>
      <xdr:row>0</xdr:row>
      <xdr:rowOff>133350</xdr:rowOff>
    </xdr:from>
    <xdr:to>
      <xdr:col>13</xdr:col>
      <xdr:colOff>502709</xdr:colOff>
      <xdr:row>1</xdr:row>
      <xdr:rowOff>136219</xdr:rowOff>
    </xdr:to>
    <xdr:sp macro="" textlink="">
      <xdr:nvSpPr>
        <xdr:cNvPr id="2" name="CaixaDeTexto 1"/>
        <xdr:cNvSpPr txBox="1"/>
      </xdr:nvSpPr>
      <xdr:spPr>
        <a:xfrm>
          <a:off x="5546725" y="133350"/>
          <a:ext cx="63965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gráficos são formas rápidas</a:t>
          </a:r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 visuais para uma avaliação</a:t>
          </a:r>
          <a:endParaRPr lang="pt-BR">
            <a:effectLst/>
          </a:endParaRPr>
        </a:p>
        <a:p>
          <a:r>
            <a:rPr lang="pt-B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 todos os dados preenchidos na planilha.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134407</xdr:colOff>
      <xdr:row>0</xdr:row>
      <xdr:rowOff>203200</xdr:rowOff>
    </xdr:from>
    <xdr:to>
      <xdr:col>0</xdr:col>
      <xdr:colOff>1699682</xdr:colOff>
      <xdr:row>2</xdr:row>
      <xdr:rowOff>10112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7" y="203200"/>
          <a:ext cx="1565275" cy="502237"/>
        </a:xfrm>
        <a:prstGeom prst="rect">
          <a:avLst/>
        </a:prstGeom>
      </xdr:spPr>
    </xdr:pic>
    <xdr:clientData fLocksWithSheet="0"/>
  </xdr:twoCellAnchor>
  <xdr:twoCellAnchor editAs="absolute">
    <xdr:from>
      <xdr:col>0</xdr:col>
      <xdr:colOff>144991</xdr:colOff>
      <xdr:row>2</xdr:row>
      <xdr:rowOff>135470</xdr:rowOff>
    </xdr:from>
    <xdr:to>
      <xdr:col>0</xdr:col>
      <xdr:colOff>1710266</xdr:colOff>
      <xdr:row>2</xdr:row>
      <xdr:rowOff>135470</xdr:rowOff>
    </xdr:to>
    <xdr:cxnSp macro="">
      <xdr:nvCxnSpPr>
        <xdr:cNvPr id="4" name="Conector reto 3"/>
        <xdr:cNvCxnSpPr/>
      </xdr:nvCxnSpPr>
      <xdr:spPr>
        <a:xfrm>
          <a:off x="144991" y="830795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</xdr:colOff>
      <xdr:row>2</xdr:row>
      <xdr:rowOff>222253</xdr:rowOff>
    </xdr:from>
    <xdr:to>
      <xdr:col>0</xdr:col>
      <xdr:colOff>1756833</xdr:colOff>
      <xdr:row>3</xdr:row>
      <xdr:rowOff>234953</xdr:rowOff>
    </xdr:to>
    <xdr:sp macro="" textlink="">
      <xdr:nvSpPr>
        <xdr:cNvPr id="5" name="Rectangle 65"/>
        <xdr:cNvSpPr/>
      </xdr:nvSpPr>
      <xdr:spPr>
        <a:xfrm>
          <a:off x="63500" y="917578"/>
          <a:ext cx="1693333" cy="2794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Menu</a:t>
          </a:r>
        </a:p>
      </xdr:txBody>
    </xdr:sp>
    <xdr:clientData/>
  </xdr:twoCellAnchor>
  <xdr:twoCellAnchor editAs="absolute">
    <xdr:from>
      <xdr:col>0</xdr:col>
      <xdr:colOff>152400</xdr:colOff>
      <xdr:row>9</xdr:row>
      <xdr:rowOff>180975</xdr:rowOff>
    </xdr:from>
    <xdr:to>
      <xdr:col>0</xdr:col>
      <xdr:colOff>1717675</xdr:colOff>
      <xdr:row>9</xdr:row>
      <xdr:rowOff>180975</xdr:rowOff>
    </xdr:to>
    <xdr:cxnSp macro="">
      <xdr:nvCxnSpPr>
        <xdr:cNvPr id="6" name="Conector reto 5"/>
        <xdr:cNvCxnSpPr/>
      </xdr:nvCxnSpPr>
      <xdr:spPr>
        <a:xfrm>
          <a:off x="152400" y="3619500"/>
          <a:ext cx="1565275" cy="0"/>
        </a:xfrm>
        <a:prstGeom prst="line">
          <a:avLst/>
        </a:prstGeom>
        <a:ln>
          <a:solidFill>
            <a:srgbClr val="76717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3</xdr:row>
      <xdr:rowOff>371475</xdr:rowOff>
    </xdr:from>
    <xdr:to>
      <xdr:col>1</xdr:col>
      <xdr:colOff>12700</xdr:colOff>
      <xdr:row>4</xdr:row>
      <xdr:rowOff>244475</xdr:rowOff>
    </xdr:to>
    <xdr:sp macro="" textlink="">
      <xdr:nvSpPr>
        <xdr:cNvPr id="7" name="Retângulo 6">
          <a:hlinkClick xmlns:r="http://schemas.openxmlformats.org/officeDocument/2006/relationships" r:id="rId2"/>
        </xdr:cNvPr>
        <xdr:cNvSpPr/>
      </xdr:nvSpPr>
      <xdr:spPr>
        <a:xfrm>
          <a:off x="12700" y="1333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Início</a:t>
          </a:r>
        </a:p>
      </xdr:txBody>
    </xdr:sp>
    <xdr:clientData/>
  </xdr:twoCellAnchor>
  <xdr:twoCellAnchor editAs="absolute">
    <xdr:from>
      <xdr:col>0</xdr:col>
      <xdr:colOff>12700</xdr:colOff>
      <xdr:row>4</xdr:row>
      <xdr:rowOff>307975</xdr:rowOff>
    </xdr:from>
    <xdr:to>
      <xdr:col>1</xdr:col>
      <xdr:colOff>12700</xdr:colOff>
      <xdr:row>4</xdr:row>
      <xdr:rowOff>561975</xdr:rowOff>
    </xdr:to>
    <xdr:sp macro="" textlink="">
      <xdr:nvSpPr>
        <xdr:cNvPr id="8" name="Retângulo 7">
          <a:hlinkClick xmlns:r="http://schemas.openxmlformats.org/officeDocument/2006/relationships" r:id="rId3"/>
        </xdr:cNvPr>
        <xdr:cNvSpPr/>
      </xdr:nvSpPr>
      <xdr:spPr>
        <a:xfrm>
          <a:off x="12700" y="165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1. Premissas gerais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53975</xdr:rowOff>
    </xdr:from>
    <xdr:to>
      <xdr:col>1</xdr:col>
      <xdr:colOff>12700</xdr:colOff>
      <xdr:row>5</xdr:row>
      <xdr:rowOff>307975</xdr:rowOff>
    </xdr:to>
    <xdr:sp macro="" textlink="">
      <xdr:nvSpPr>
        <xdr:cNvPr id="9" name="Retângulo 8">
          <a:hlinkClick xmlns:r="http://schemas.openxmlformats.org/officeDocument/2006/relationships" r:id="rId4"/>
        </xdr:cNvPr>
        <xdr:cNvSpPr/>
      </xdr:nvSpPr>
      <xdr:spPr>
        <a:xfrm>
          <a:off x="12700" y="196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2. Demonstrativo</a:t>
          </a:r>
        </a:p>
      </xdr:txBody>
    </xdr:sp>
    <xdr:clientData/>
  </xdr:twoCellAnchor>
  <xdr:twoCellAnchor editAs="absolute">
    <xdr:from>
      <xdr:col>0</xdr:col>
      <xdr:colOff>12700</xdr:colOff>
      <xdr:row>5</xdr:row>
      <xdr:rowOff>371475</xdr:rowOff>
    </xdr:from>
    <xdr:to>
      <xdr:col>1</xdr:col>
      <xdr:colOff>12700</xdr:colOff>
      <xdr:row>6</xdr:row>
      <xdr:rowOff>244475</xdr:rowOff>
    </xdr:to>
    <xdr:sp macro="" textlink="">
      <xdr:nvSpPr>
        <xdr:cNvPr id="10" name="Retângulo 9">
          <a:hlinkClick xmlns:r="http://schemas.openxmlformats.org/officeDocument/2006/relationships" r:id="rId5"/>
        </xdr:cNvPr>
        <xdr:cNvSpPr/>
      </xdr:nvSpPr>
      <xdr:spPr>
        <a:xfrm>
          <a:off x="12700" y="2286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3. Resultados consolidados</a:t>
          </a:r>
        </a:p>
      </xdr:txBody>
    </xdr:sp>
    <xdr:clientData/>
  </xdr:twoCellAnchor>
  <xdr:twoCellAnchor editAs="absolute">
    <xdr:from>
      <xdr:col>0</xdr:col>
      <xdr:colOff>12700</xdr:colOff>
      <xdr:row>6</xdr:row>
      <xdr:rowOff>307975</xdr:rowOff>
    </xdr:from>
    <xdr:to>
      <xdr:col>1</xdr:col>
      <xdr:colOff>12700</xdr:colOff>
      <xdr:row>7</xdr:row>
      <xdr:rowOff>180975</xdr:rowOff>
    </xdr:to>
    <xdr:sp macro="" textlink="">
      <xdr:nvSpPr>
        <xdr:cNvPr id="11" name="Retângulo 10">
          <a:hlinkClick xmlns:r="http://schemas.openxmlformats.org/officeDocument/2006/relationships" r:id="rId6"/>
        </xdr:cNvPr>
        <xdr:cNvSpPr/>
      </xdr:nvSpPr>
      <xdr:spPr>
        <a:xfrm>
          <a:off x="12700" y="2603500"/>
          <a:ext cx="1847850" cy="2540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rgbClr val="000000"/>
              </a:solidFill>
            </a:rPr>
            <a:t>4. Gráficos</a:t>
          </a:r>
        </a:p>
      </xdr:txBody>
    </xdr:sp>
    <xdr:clientData/>
  </xdr:twoCellAnchor>
  <xdr:twoCellAnchor editAs="absolute">
    <xdr:from>
      <xdr:col>0</xdr:col>
      <xdr:colOff>12700</xdr:colOff>
      <xdr:row>7</xdr:row>
      <xdr:rowOff>244475</xdr:rowOff>
    </xdr:from>
    <xdr:to>
      <xdr:col>1</xdr:col>
      <xdr:colOff>12700</xdr:colOff>
      <xdr:row>8</xdr:row>
      <xdr:rowOff>117475</xdr:rowOff>
    </xdr:to>
    <xdr:sp macro="" textlink="">
      <xdr:nvSpPr>
        <xdr:cNvPr id="12" name="Retângulo 11">
          <a:hlinkClick xmlns:r="http://schemas.openxmlformats.org/officeDocument/2006/relationships" r:id="rId7"/>
        </xdr:cNvPr>
        <xdr:cNvSpPr/>
      </xdr:nvSpPr>
      <xdr:spPr>
        <a:xfrm>
          <a:off x="12700" y="2921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5. Alerta e dicas</a:t>
          </a:r>
        </a:p>
      </xdr:txBody>
    </xdr:sp>
    <xdr:clientData/>
  </xdr:twoCellAnchor>
  <xdr:twoCellAnchor editAs="absolute">
    <xdr:from>
      <xdr:col>0</xdr:col>
      <xdr:colOff>12700</xdr:colOff>
      <xdr:row>8</xdr:row>
      <xdr:rowOff>180975</xdr:rowOff>
    </xdr:from>
    <xdr:to>
      <xdr:col>1</xdr:col>
      <xdr:colOff>12700</xdr:colOff>
      <xdr:row>9</xdr:row>
      <xdr:rowOff>53975</xdr:rowOff>
    </xdr:to>
    <xdr:sp macro="" textlink="">
      <xdr:nvSpPr>
        <xdr:cNvPr id="13" name="Retângulo 12">
          <a:hlinkClick xmlns:r="http://schemas.openxmlformats.org/officeDocument/2006/relationships" r:id="rId8"/>
        </xdr:cNvPr>
        <xdr:cNvSpPr/>
      </xdr:nvSpPr>
      <xdr:spPr>
        <a:xfrm>
          <a:off x="12700" y="32385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6. Relatório de impressão</a:t>
          </a:r>
        </a:p>
      </xdr:txBody>
    </xdr:sp>
    <xdr:clientData/>
  </xdr:twoCellAnchor>
  <xdr:twoCellAnchor editAs="absolute">
    <xdr:from>
      <xdr:col>0</xdr:col>
      <xdr:colOff>12700</xdr:colOff>
      <xdr:row>10</xdr:row>
      <xdr:rowOff>244475</xdr:rowOff>
    </xdr:from>
    <xdr:to>
      <xdr:col>1</xdr:col>
      <xdr:colOff>12700</xdr:colOff>
      <xdr:row>11</xdr:row>
      <xdr:rowOff>117475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12700" y="4064000"/>
          <a:ext cx="184785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indent="0" algn="l"/>
          <a:endParaRPr lang="pt-BR" sz="1100">
            <a:solidFill>
              <a:schemeClr val="bg1">
                <a:lumMod val="10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254000</xdr:rowOff>
    </xdr:from>
    <xdr:to>
      <xdr:col>2</xdr:col>
      <xdr:colOff>1408643</xdr:colOff>
      <xdr:row>3</xdr:row>
      <xdr:rowOff>12700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2106083" y="687917"/>
          <a:ext cx="1408643" cy="287866"/>
        </a:xfrm>
        <a:prstGeom prst="rect">
          <a:avLst/>
        </a:prstGeom>
        <a:solidFill>
          <a:srgbClr val="6699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Todos os anos</a:t>
          </a:r>
        </a:p>
      </xdr:txBody>
    </xdr:sp>
    <xdr:clientData/>
  </xdr:twoCellAnchor>
  <xdr:twoCellAnchor editAs="absolute">
    <xdr:from>
      <xdr:col>2</xdr:col>
      <xdr:colOff>1432984</xdr:colOff>
      <xdr:row>1</xdr:row>
      <xdr:rowOff>254000</xdr:rowOff>
    </xdr:from>
    <xdr:to>
      <xdr:col>3</xdr:col>
      <xdr:colOff>936625</xdr:colOff>
      <xdr:row>3</xdr:row>
      <xdr:rowOff>12700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3539067" y="687917"/>
          <a:ext cx="1408641" cy="287866"/>
        </a:xfrm>
        <a:prstGeom prst="rect">
          <a:avLst/>
        </a:prstGeom>
        <a:solidFill>
          <a:srgbClr val="FF99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bg1">
                  <a:lumMod val="100000"/>
                </a:schemeClr>
              </a:solidFill>
              <a:latin typeface="+mn-lt"/>
              <a:ea typeface="+mn-ea"/>
              <a:cs typeface="+mn-cs"/>
            </a:rPr>
            <a:t>Ano específico</a:t>
          </a:r>
        </a:p>
      </xdr:txBody>
    </xdr:sp>
    <xdr:clientData/>
  </xdr:twoCellAnchor>
  <xdr:twoCellAnchor editAs="absolute">
    <xdr:from>
      <xdr:col>2</xdr:col>
      <xdr:colOff>0</xdr:colOff>
      <xdr:row>7</xdr:row>
      <xdr:rowOff>0</xdr:rowOff>
    </xdr:from>
    <xdr:to>
      <xdr:col>12</xdr:col>
      <xdr:colOff>497417</xdr:colOff>
      <xdr:row>13</xdr:row>
      <xdr:rowOff>270000</xdr:rowOff>
    </xdr:to>
    <xdr:graphicFrame macro="">
      <xdr:nvGraphicFramePr>
        <xdr:cNvPr id="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</xdr:col>
      <xdr:colOff>0</xdr:colOff>
      <xdr:row>15</xdr:row>
      <xdr:rowOff>0</xdr:rowOff>
    </xdr:from>
    <xdr:to>
      <xdr:col>12</xdr:col>
      <xdr:colOff>497417</xdr:colOff>
      <xdr:row>21</xdr:row>
      <xdr:rowOff>270000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uz.vc/ferramentas/planilhas-prontas/planilha-de-formacao-de-precos-para-servicos/?utm_source=referral&amp;utm_medium=produtos&amp;utm_campaign=VAL3" TargetMode="External"/><Relationship Id="rId3" Type="http://schemas.openxmlformats.org/officeDocument/2006/relationships/hyperlink" Target="http://luz.vc/ferramentas/planilhas-prontas/planilha-de-fluxo-de-caixa/?utm_source=referral&amp;utm_medium=produtos&amp;utm_campaign=VAL3" TargetMode="External"/><Relationship Id="rId7" Type="http://schemas.openxmlformats.org/officeDocument/2006/relationships/hyperlink" Target="http://luz.vc/ferramentas/planilhas-prontas/planilha-de-formacao-de-precos-para-servicos/?utm_source=referral&amp;utm_medium=produtos&amp;utm_campaign=VAL3" TargetMode="External"/><Relationship Id="rId2" Type="http://schemas.openxmlformats.org/officeDocument/2006/relationships/hyperlink" Target="http://luz.vc/ferramentas/pacotes/kit-financas/?utm_source=referral&amp;utm_medium=produtos&amp;utm_campaign=VAL3" TargetMode="External"/><Relationship Id="rId1" Type="http://schemas.openxmlformats.org/officeDocument/2006/relationships/hyperlink" Target="http://luz.vc/ferramentas/pacotes/kit-financas/?utm_source=referral&amp;utm_medium=produtos&amp;utm_campaign=VAL3" TargetMode="External"/><Relationship Id="rId6" Type="http://schemas.openxmlformats.org/officeDocument/2006/relationships/hyperlink" Target="http://luz.vc/ferramentas/planilhas-prontas/planilha-de-estudo-de-viabilidade-economica/?utm_source=referral&amp;utm_medium=produtos&amp;utm_campaign=VAL3" TargetMode="External"/><Relationship Id="rId11" Type="http://schemas.openxmlformats.org/officeDocument/2006/relationships/drawing" Target="../drawings/drawing13.xml"/><Relationship Id="rId5" Type="http://schemas.openxmlformats.org/officeDocument/2006/relationships/hyperlink" Target="http://luz.vc/ferramentas/planilhas-prontas/planilha-de-estudo-de-viabilidade-economica/?utm_source=referral&amp;utm_medium=produtos&amp;utm_campaign=VAL3" TargetMode="External"/><Relationship Id="rId10" Type="http://schemas.openxmlformats.org/officeDocument/2006/relationships/hyperlink" Target="http://luz.vc/ferramentas/planilhas-avancadas/planilha-de-fluxo-de-caixa-avancado/?utm_source=referral&amp;utm_medium=produtos&amp;utm_campaign=VAL3" TargetMode="External"/><Relationship Id="rId4" Type="http://schemas.openxmlformats.org/officeDocument/2006/relationships/hyperlink" Target="http://luz.vc/ferramentas/planilhas-prontas/planilha-de-fluxo-de-caixa/?utm_source=referral&amp;utm_medium=produtos&amp;utm_campaign=VAL3" TargetMode="External"/><Relationship Id="rId9" Type="http://schemas.openxmlformats.org/officeDocument/2006/relationships/hyperlink" Target="http://luz.vc/ferramentas/planilhas-avancadas/planilha-de-fluxo-de-caixa-avancado/?utm_source=referral&amp;utm_medium=produtos&amp;utm_campaign=VAL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receita.fazenda.gov.br/pagamentos/jrselic.ht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blog.luz.vc/financas/o-que-e-e-como-interpretar-o-payback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1"/>
  <dimension ref="A1:M100"/>
  <sheetViews>
    <sheetView showGridLines="0" tabSelected="1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13" width="15.7109375" customWidth="1"/>
  </cols>
  <sheetData>
    <row r="1" spans="1:13" s="8" customFormat="1" ht="33.950000000000003" customHeight="1">
      <c r="A1" s="140" t="s">
        <v>177</v>
      </c>
      <c r="B1" s="8" t="s">
        <v>176</v>
      </c>
      <c r="C1" s="9" t="s">
        <v>26</v>
      </c>
    </row>
    <row r="2" spans="1:13" s="8" customFormat="1" ht="39.75" customHeight="1">
      <c r="A2" s="141"/>
      <c r="C2" s="144" t="s">
        <v>119</v>
      </c>
      <c r="D2" s="145"/>
      <c r="E2" s="145"/>
      <c r="F2" s="145"/>
    </row>
    <row r="3" spans="1:13" s="8" customFormat="1" ht="54.75" customHeight="1">
      <c r="A3" s="1"/>
      <c r="C3" s="148" t="s">
        <v>164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</row>
    <row r="4" spans="1:13" ht="30" customHeight="1">
      <c r="C4" s="10" t="s">
        <v>27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42" customHeight="1">
      <c r="C5" s="146" t="s">
        <v>28</v>
      </c>
      <c r="D5" s="146"/>
      <c r="E5" s="146"/>
      <c r="F5" s="146"/>
      <c r="G5" s="146"/>
      <c r="H5" s="146"/>
      <c r="I5" s="3"/>
      <c r="J5" s="3"/>
      <c r="K5" s="3"/>
      <c r="L5" s="3"/>
      <c r="M5" s="3"/>
    </row>
    <row r="6" spans="1:13" ht="30" customHeight="1">
      <c r="C6" s="11" t="s">
        <v>29</v>
      </c>
      <c r="D6" s="12" t="s">
        <v>30</v>
      </c>
    </row>
    <row r="7" spans="1:13" ht="48" customHeight="1">
      <c r="C7" s="146" t="s">
        <v>31</v>
      </c>
      <c r="D7" s="146"/>
      <c r="E7" s="146"/>
      <c r="F7" s="146"/>
      <c r="G7" s="146"/>
      <c r="H7" s="146"/>
      <c r="I7" s="146"/>
    </row>
    <row r="8" spans="1:13" ht="30" customHeight="1">
      <c r="C8" s="147" t="s">
        <v>165</v>
      </c>
      <c r="D8" s="146"/>
      <c r="E8" s="146"/>
      <c r="F8" s="146"/>
      <c r="G8" s="146"/>
      <c r="H8" s="146"/>
      <c r="I8" s="146"/>
      <c r="J8" s="146"/>
    </row>
    <row r="9" spans="1:13" ht="30" customHeight="1">
      <c r="C9" s="147" t="s">
        <v>166</v>
      </c>
      <c r="D9" s="146"/>
      <c r="E9" s="146"/>
      <c r="F9" s="146"/>
      <c r="G9" s="146"/>
      <c r="H9" s="146"/>
      <c r="I9" s="146"/>
      <c r="J9" s="146"/>
    </row>
    <row r="10" spans="1:13" ht="30" customHeight="1">
      <c r="C10" s="147" t="s">
        <v>167</v>
      </c>
      <c r="D10" s="146"/>
      <c r="E10" s="146"/>
      <c r="F10" s="146"/>
      <c r="G10" s="146"/>
      <c r="H10" s="146"/>
      <c r="I10" s="146"/>
      <c r="J10" s="146"/>
    </row>
    <row r="11" spans="1:13" ht="30" customHeight="1">
      <c r="C11" s="147" t="s">
        <v>168</v>
      </c>
      <c r="D11" s="146"/>
      <c r="E11" s="146"/>
      <c r="F11" s="146"/>
      <c r="G11" s="146"/>
      <c r="H11" s="146"/>
      <c r="I11" s="146"/>
      <c r="J11" s="146"/>
    </row>
    <row r="12" spans="1:13" ht="30" customHeight="1"/>
    <row r="13" spans="1:13" ht="30" customHeight="1">
      <c r="C13" s="11" t="s">
        <v>32</v>
      </c>
      <c r="D13" s="12" t="s">
        <v>55</v>
      </c>
    </row>
    <row r="14" spans="1:13" ht="48" customHeight="1">
      <c r="C14" s="146" t="s">
        <v>169</v>
      </c>
      <c r="D14" s="146"/>
      <c r="E14" s="146"/>
      <c r="F14" s="146"/>
      <c r="G14" s="146"/>
      <c r="H14" s="146"/>
      <c r="I14" s="146"/>
    </row>
    <row r="15" spans="1:13" ht="30" customHeight="1"/>
    <row r="16" spans="1:13" ht="30" customHeight="1">
      <c r="C16" s="11" t="s">
        <v>33</v>
      </c>
      <c r="D16" s="12" t="s">
        <v>37</v>
      </c>
    </row>
    <row r="17" spans="3:10" ht="48" customHeight="1">
      <c r="C17" s="146" t="s">
        <v>170</v>
      </c>
      <c r="D17" s="146"/>
      <c r="E17" s="146"/>
      <c r="F17" s="146"/>
      <c r="G17" s="146"/>
      <c r="H17" s="146"/>
      <c r="I17" s="146"/>
    </row>
    <row r="18" spans="3:10" ht="30" customHeight="1"/>
    <row r="19" spans="3:10" ht="30" customHeight="1">
      <c r="C19" s="11" t="s">
        <v>34</v>
      </c>
      <c r="D19" s="12" t="s">
        <v>38</v>
      </c>
    </row>
    <row r="20" spans="3:10" ht="48" customHeight="1">
      <c r="C20" s="146" t="s">
        <v>171</v>
      </c>
      <c r="D20" s="146"/>
      <c r="E20" s="146"/>
      <c r="F20" s="146"/>
      <c r="G20" s="146"/>
      <c r="H20" s="146"/>
      <c r="I20" s="146"/>
    </row>
    <row r="21" spans="3:10" ht="30" customHeight="1">
      <c r="C21" s="147" t="s">
        <v>172</v>
      </c>
      <c r="D21" s="146"/>
      <c r="E21" s="146"/>
      <c r="F21" s="146"/>
      <c r="G21" s="146"/>
      <c r="H21" s="146"/>
      <c r="I21" s="146"/>
      <c r="J21" s="146"/>
    </row>
    <row r="22" spans="3:10" ht="30" customHeight="1">
      <c r="C22" s="147" t="s">
        <v>173</v>
      </c>
      <c r="D22" s="146"/>
      <c r="E22" s="146"/>
      <c r="F22" s="146"/>
      <c r="G22" s="146"/>
      <c r="H22" s="146"/>
      <c r="I22" s="146"/>
      <c r="J22" s="146"/>
    </row>
    <row r="23" spans="3:10" ht="30" customHeight="1"/>
    <row r="24" spans="3:10" ht="30" customHeight="1">
      <c r="C24" s="11" t="s">
        <v>35</v>
      </c>
      <c r="D24" s="12" t="s">
        <v>56</v>
      </c>
    </row>
    <row r="25" spans="3:10" ht="48" customHeight="1">
      <c r="C25" s="146" t="s">
        <v>174</v>
      </c>
      <c r="D25" s="146"/>
      <c r="E25" s="146"/>
      <c r="F25" s="146"/>
      <c r="G25" s="146"/>
      <c r="H25" s="146"/>
      <c r="I25" s="146"/>
    </row>
    <row r="26" spans="3:10" ht="30" customHeight="1"/>
    <row r="27" spans="3:10" ht="30" customHeight="1">
      <c r="C27" s="11" t="s">
        <v>36</v>
      </c>
      <c r="D27" s="12" t="s">
        <v>39</v>
      </c>
    </row>
    <row r="28" spans="3:10" ht="48" customHeight="1">
      <c r="C28" s="146" t="s">
        <v>175</v>
      </c>
      <c r="D28" s="146"/>
      <c r="E28" s="146"/>
      <c r="F28" s="146"/>
      <c r="G28" s="146"/>
      <c r="H28" s="146"/>
      <c r="I28" s="146"/>
    </row>
    <row r="29" spans="3:10" ht="30" customHeight="1"/>
    <row r="30" spans="3:10" ht="30" customHeight="1"/>
    <row r="31" spans="3:10" ht="30" customHeight="1"/>
    <row r="32" spans="3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4">
    <mergeCell ref="C10:J10"/>
    <mergeCell ref="C3:M3"/>
    <mergeCell ref="C5:H5"/>
    <mergeCell ref="C7:I7"/>
    <mergeCell ref="C8:J8"/>
    <mergeCell ref="C9:J9"/>
    <mergeCell ref="C25:I25"/>
    <mergeCell ref="C28:I28"/>
    <mergeCell ref="C11:J11"/>
    <mergeCell ref="C14:I14"/>
    <mergeCell ref="C17:I17"/>
    <mergeCell ref="C20:I20"/>
    <mergeCell ref="C21:J21"/>
    <mergeCell ref="C22:J22"/>
  </mergeCells>
  <hyperlinks>
    <hyperlink ref="C6" location="'PG'!B1" display="http://www.globo.com"/>
    <hyperlink ref="C13" location="'DM'!B1" display="http://www.globo.com"/>
    <hyperlink ref="C16" location="'RC'!B1" display="http://www.globo.com"/>
    <hyperlink ref="C19" location="'Graf'!B1" display="http://www.globo.com"/>
    <hyperlink ref="C24" location="'AD'!B1" display="http://www.globo.com"/>
    <hyperlink ref="C27" location="'RI'!B1" display="http://www.globo.com"/>
  </hyperlinks>
  <pageMargins left="0.511811024" right="0.511811024" top="0.78740157499999996" bottom="0.78740157499999996" header="0.31496062000000002" footer="0.31496062000000002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6"/>
  <dimension ref="A1:I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11.42578125" customWidth="1"/>
    <col min="4" max="6" width="42.85546875" customWidth="1"/>
  </cols>
  <sheetData>
    <row r="1" spans="1:9" s="13" customFormat="1" ht="33.950000000000003" customHeight="1">
      <c r="A1" s="140" t="s">
        <v>118</v>
      </c>
      <c r="C1" s="14" t="s">
        <v>52</v>
      </c>
    </row>
    <row r="2" spans="1:9" s="13" customFormat="1" ht="21.6" customHeight="1">
      <c r="A2" s="141"/>
    </row>
    <row r="3" spans="1:9" s="13" customFormat="1" ht="21.6" customHeight="1">
      <c r="A3" s="141"/>
    </row>
    <row r="4" spans="1:9" ht="30" customHeight="1" thickBot="1"/>
    <row r="5" spans="1:9" ht="60" customHeight="1" thickTop="1" thickBot="1">
      <c r="C5" s="56" t="s">
        <v>57</v>
      </c>
      <c r="D5" s="169" t="str">
        <f ca="1">"VPL é uma fórmula matemática-financeira utilizada para calcular o valor presente de uma série de pagamentos futuros descontando um taxa de custo de capital estipulada."&amp;H5</f>
        <v>VPL é uma fórmula matemática-financeira utilizada para calcular o valor presente de uma série de pagamentos futuros descontando um taxa de custo de capital estipulada. Ele existe, pois, naturalmente, o dinheiro que vamos receber no futuro não vale a mesma coisa que o dinheiro no tempo presente. E o VPL do seu negócio é: -</v>
      </c>
      <c r="E5" s="170"/>
      <c r="F5" s="171"/>
      <c r="H5" s="2" t="str">
        <f ca="1">" Ele existe, pois, naturalmente, o dinheiro que vamos receber no futuro não vale a mesma coisa que o dinheiro no tempo presente. E o VPL do seu negócio é: "&amp;TEXT('RC'!G9,"R$0,00")</f>
        <v xml:space="preserve"> Ele existe, pois, naturalmente, o dinheiro que vamos receber no futuro não vale a mesma coisa que o dinheiro no tempo presente. E o VPL do seu negócio é: -</v>
      </c>
    </row>
    <row r="6" spans="1:9" ht="60" customHeight="1" thickTop="1" thickBot="1">
      <c r="C6" s="57" t="s">
        <v>130</v>
      </c>
      <c r="D6" s="169" t="str">
        <f ca="1">"O valor do negócio é "&amp;TEXT('RC'!G12,"R$0,00")&amp;". Ele é calculado somado o valor da perpetuidade mais o valor do Valor Presente Líquido."</f>
        <v>O valor do negócio é -. Ele é calculado somado o valor da perpetuidade mais o valor do Valor Presente Líquido.</v>
      </c>
      <c r="E6" s="170"/>
      <c r="F6" s="171"/>
      <c r="H6" s="2"/>
    </row>
    <row r="7" spans="1:9" ht="60" customHeight="1" thickTop="1" thickBot="1">
      <c r="C7" s="55" t="str">
        <f>IF(I7="não","=)","=(")</f>
        <v>=)</v>
      </c>
      <c r="D7" s="169" t="str">
        <f>IF(I7="sim","Sem retorno","Parabéns, pois o retorno sobre o investimento começa antes dos "&amp;'RC'!G8)</f>
        <v>Parabéns, pois o retorno sobre o investimento começa antes dos Inicial 
(Ano 0)</v>
      </c>
      <c r="E7" s="170"/>
      <c r="F7" s="171"/>
      <c r="H7" s="38" t="s">
        <v>138</v>
      </c>
      <c r="I7" s="38" t="str">
        <f>IF('RC'!G8="Sem retorno","sim","Não")</f>
        <v>Não</v>
      </c>
    </row>
    <row r="8" spans="1:9" ht="60" customHeight="1" thickTop="1" thickBot="1">
      <c r="C8" s="56" t="s">
        <v>57</v>
      </c>
      <c r="D8" s="169" t="str">
        <f ca="1">"A taxa interna de retorno utilizada para calcular a taxa de desconto que teria um determinado fluxo de caixa para igualar a zero seu Valor Presente Líquido. Em outras palavras, seria a taxa de retorno do investimento em questão."&amp;H8</f>
        <v>A taxa interna de retorno utilizada para calcular a taxa de desconto que teria um determinado fluxo de caixa para igualar a zero seu Valor Presente Líquido. Em outras palavras, seria a taxa de retorno do investimento em questão. Ela geralmente é comparada com a TMA, taxa mínima de atratividade, que representa a taxa o que se propõe a ganhar quando faz um investimento. a Sua é de - e a TMA é 0%.</v>
      </c>
      <c r="E8" s="170"/>
      <c r="F8" s="171"/>
      <c r="H8" s="2" t="str">
        <f ca="1">" Ela geralmente é comparada com a TMA, taxa mínima de atratividade, que representa a taxa o que se propõe a ganhar quando faz um investimento. a Sua é de "&amp;TEXT('RC'!G6,"0%")&amp;" e a TMA é "&amp;TEXT(PG!E9,"0%")&amp;"."</f>
        <v xml:space="preserve"> Ela geralmente é comparada com a TMA, taxa mínima de atratividade, que representa a taxa o que se propõe a ganhar quando faz um investimento. a Sua é de - e a TMA é 0%.</v>
      </c>
    </row>
    <row r="9" spans="1:9" ht="30" customHeight="1" thickTop="1"/>
    <row r="10" spans="1:9" ht="30" customHeight="1"/>
    <row r="11" spans="1:9" ht="30" customHeight="1"/>
    <row r="12" spans="1:9" ht="30" customHeight="1"/>
    <row r="13" spans="1:9" ht="30" customHeight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4">
    <mergeCell ref="D5:F5"/>
    <mergeCell ref="D6:F6"/>
    <mergeCell ref="D7:F7"/>
    <mergeCell ref="D8:F8"/>
  </mergeCells>
  <conditionalFormatting sqref="D5">
    <cfRule type="expression" dxfId="5" priority="4">
      <formula>M5="Não"</formula>
    </cfRule>
  </conditionalFormatting>
  <conditionalFormatting sqref="D6:D8">
    <cfRule type="expression" dxfId="4" priority="3">
      <formula>M6="Não"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F5BE497-75B6-48B6-A96A-F8CFB603EFF9}">
            <xm:f>NOT(ISERROR(SEARCH("=(",C7)))</xm:f>
            <xm:f>"=("</xm:f>
            <x14:dxf>
              <font>
                <b/>
                <i val="0"/>
                <color theme="0"/>
              </font>
              <fill>
                <patternFill>
                  <bgColor rgb="FFCC0000"/>
                </patternFill>
              </fill>
            </x14:dxf>
          </x14:cfRule>
          <x14:cfRule type="containsText" priority="2" operator="containsText" id="{C7A0A5BE-E961-40D3-A772-BB97E0BBB498}">
            <xm:f>NOT(ISERROR(SEARCH("=)",C7)))</xm:f>
            <xm:f>"=)"</xm:f>
            <x14:dxf>
              <font>
                <b/>
                <i val="0"/>
                <color theme="0"/>
              </font>
              <fill>
                <patternFill>
                  <bgColor rgb="FF669966"/>
                </patternFill>
              </fill>
            </x14:dxf>
          </x14:cfRule>
          <xm:sqref>C7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37">
    <pageSetUpPr fitToPage="1"/>
  </sheetPr>
  <dimension ref="A1:Q12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/>
  <cols>
    <col min="1" max="1" width="27.7109375" style="42" customWidth="1"/>
    <col min="2" max="2" width="3.85546875" style="43" customWidth="1"/>
    <col min="3" max="3" width="28.42578125" style="43" customWidth="1"/>
    <col min="4" max="4" width="10" style="43" customWidth="1"/>
    <col min="5" max="15" width="17.140625" style="43" customWidth="1"/>
    <col min="16" max="17" width="16" style="43" bestFit="1" customWidth="1"/>
    <col min="18" max="16384" width="8.85546875" style="43"/>
  </cols>
  <sheetData>
    <row r="1" spans="1:17" s="40" customFormat="1" ht="33.75" customHeight="1">
      <c r="A1" s="142" t="s">
        <v>118</v>
      </c>
      <c r="C1" s="186" t="s">
        <v>53</v>
      </c>
    </row>
    <row r="2" spans="1:17" s="40" customFormat="1" ht="21.6" customHeight="1">
      <c r="A2" s="143"/>
      <c r="C2" s="186"/>
    </row>
    <row r="3" spans="1:17" s="40" customFormat="1" ht="21.6" customHeight="1">
      <c r="A3" s="143"/>
      <c r="C3" s="186"/>
    </row>
    <row r="4" spans="1:17" ht="30" customHeight="1"/>
    <row r="5" spans="1:17" ht="45" customHeight="1">
      <c r="C5" s="173" t="s">
        <v>139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</row>
    <row r="6" spans="1:17" ht="52.5" customHeight="1">
      <c r="C6" s="174" t="s">
        <v>140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</row>
    <row r="7" spans="1:17" ht="30" customHeight="1">
      <c r="F7" s="58"/>
    </row>
    <row r="8" spans="1:17" ht="37.5" customHeight="1">
      <c r="C8" s="59" t="s">
        <v>141</v>
      </c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7" ht="37.5" customHeight="1">
      <c r="C9" s="59" t="s">
        <v>142</v>
      </c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7" ht="37.5" customHeight="1">
      <c r="C10" s="59" t="s">
        <v>143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7" ht="37.5" customHeight="1">
      <c r="C11" s="59" t="s">
        <v>144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7" ht="30" customHeight="1"/>
    <row r="13" spans="1:17" ht="30" customHeight="1">
      <c r="C13" s="60" t="s">
        <v>145</v>
      </c>
    </row>
    <row r="14" spans="1:17" ht="15" customHeight="1" thickBot="1"/>
    <row r="15" spans="1:17" ht="30" customHeight="1" thickTop="1" thickBot="1">
      <c r="C15" s="178"/>
      <c r="D15" s="179"/>
      <c r="E15" s="130" t="str">
        <f>DM!E7</f>
        <v>Inicial 
(Ano 0)</v>
      </c>
      <c r="F15" s="130" t="str">
        <f>DM!F7</f>
        <v>Ano 1</v>
      </c>
      <c r="G15" s="130" t="str">
        <f>DM!G7</f>
        <v>-</v>
      </c>
      <c r="H15" s="130" t="str">
        <f>DM!H7</f>
        <v>-</v>
      </c>
      <c r="I15" s="130" t="str">
        <f>DM!I7</f>
        <v>-</v>
      </c>
      <c r="J15" s="130" t="str">
        <f>DM!J7</f>
        <v>-</v>
      </c>
      <c r="K15" s="130" t="str">
        <f>DM!K7</f>
        <v>-</v>
      </c>
      <c r="L15" s="130" t="str">
        <f>DM!L7</f>
        <v>-</v>
      </c>
      <c r="M15" s="130" t="str">
        <f>DM!M7</f>
        <v>-</v>
      </c>
      <c r="N15" s="130" t="str">
        <f>DM!N7</f>
        <v>-</v>
      </c>
      <c r="O15" s="130" t="str">
        <f>DM!O7</f>
        <v>-</v>
      </c>
      <c r="P15" s="130" t="str">
        <f>DM!P7</f>
        <v>Perpetuidade</v>
      </c>
      <c r="Q15" s="130" t="str">
        <f>DM!Q7</f>
        <v>Total</v>
      </c>
    </row>
    <row r="16" spans="1:17" ht="30" customHeight="1" thickTop="1" thickBot="1">
      <c r="C16" s="172" t="str">
        <f>DM!C8</f>
        <v>Projeção de Receitas</v>
      </c>
      <c r="D16" s="172">
        <f>DM!D8</f>
        <v>0.1</v>
      </c>
      <c r="E16" s="124">
        <f>DM!E8</f>
        <v>0</v>
      </c>
      <c r="F16" s="124">
        <f>DM!F8</f>
        <v>0</v>
      </c>
      <c r="G16" s="124" t="str">
        <f>DM!G8</f>
        <v>-</v>
      </c>
      <c r="H16" s="124" t="str">
        <f>DM!H8</f>
        <v>-</v>
      </c>
      <c r="I16" s="124" t="str">
        <f>DM!I8</f>
        <v>-</v>
      </c>
      <c r="J16" s="124" t="str">
        <f>DM!J8</f>
        <v>-</v>
      </c>
      <c r="K16" s="124" t="str">
        <f>DM!K8</f>
        <v>-</v>
      </c>
      <c r="L16" s="124" t="str">
        <f>DM!L8</f>
        <v>-</v>
      </c>
      <c r="M16" s="124" t="str">
        <f>DM!M8</f>
        <v>-</v>
      </c>
      <c r="N16" s="124" t="str">
        <f>DM!N8</f>
        <v>-</v>
      </c>
      <c r="O16" s="124" t="str">
        <f>DM!O8</f>
        <v>-</v>
      </c>
      <c r="P16" s="124" t="str">
        <f>DM!P8</f>
        <v>-</v>
      </c>
      <c r="Q16" s="124">
        <f ca="1">DM!Q8</f>
        <v>0</v>
      </c>
    </row>
    <row r="17" spans="3:17" ht="30" customHeight="1" thickTop="1" thickBot="1">
      <c r="C17" s="172" t="str">
        <f>DM!C9</f>
        <v>Projeção de Despesas</v>
      </c>
      <c r="D17" s="172">
        <f>DM!D9</f>
        <v>0.5</v>
      </c>
      <c r="E17" s="124">
        <f>DM!E9</f>
        <v>0</v>
      </c>
      <c r="F17" s="124">
        <f>DM!F9</f>
        <v>0</v>
      </c>
      <c r="G17" s="124" t="str">
        <f>DM!G9</f>
        <v>-</v>
      </c>
      <c r="H17" s="124" t="str">
        <f>DM!H9</f>
        <v>-</v>
      </c>
      <c r="I17" s="124" t="str">
        <f>DM!I9</f>
        <v>-</v>
      </c>
      <c r="J17" s="124" t="str">
        <f>DM!J9</f>
        <v>-</v>
      </c>
      <c r="K17" s="124" t="str">
        <f>DM!K9</f>
        <v>-</v>
      </c>
      <c r="L17" s="124" t="str">
        <f>DM!L9</f>
        <v>-</v>
      </c>
      <c r="M17" s="124" t="str">
        <f>DM!M9</f>
        <v>-</v>
      </c>
      <c r="N17" s="124" t="str">
        <f>DM!N9</f>
        <v>-</v>
      </c>
      <c r="O17" s="124" t="str">
        <f>DM!O9</f>
        <v>-</v>
      </c>
      <c r="P17" s="124" t="str">
        <f>DM!P9</f>
        <v>-</v>
      </c>
      <c r="Q17" s="124">
        <f ca="1">DM!Q9</f>
        <v>0</v>
      </c>
    </row>
    <row r="18" spans="3:17" ht="30" customHeight="1" thickTop="1" thickBot="1">
      <c r="C18" s="172" t="str">
        <f>DM!C10</f>
        <v>Projeção de Investimentos</v>
      </c>
      <c r="D18" s="172">
        <f>DM!D10</f>
        <v>0.05</v>
      </c>
      <c r="E18" s="124">
        <f>DM!E10</f>
        <v>0</v>
      </c>
      <c r="F18" s="124">
        <f>DM!F10</f>
        <v>0</v>
      </c>
      <c r="G18" s="124" t="str">
        <f>DM!G10</f>
        <v>-</v>
      </c>
      <c r="H18" s="124" t="str">
        <f>DM!H10</f>
        <v>-</v>
      </c>
      <c r="I18" s="124" t="str">
        <f>DM!I10</f>
        <v>-</v>
      </c>
      <c r="J18" s="124" t="str">
        <f>DM!J10</f>
        <v>-</v>
      </c>
      <c r="K18" s="124" t="str">
        <f>DM!K10</f>
        <v>-</v>
      </c>
      <c r="L18" s="124" t="str">
        <f>DM!L10</f>
        <v>-</v>
      </c>
      <c r="M18" s="124" t="str">
        <f>DM!M10</f>
        <v>-</v>
      </c>
      <c r="N18" s="124" t="str">
        <f>DM!N10</f>
        <v>-</v>
      </c>
      <c r="O18" s="124" t="str">
        <f>DM!O10</f>
        <v>-</v>
      </c>
      <c r="P18" s="124" t="str">
        <f>DM!P10</f>
        <v>-</v>
      </c>
      <c r="Q18" s="124">
        <f ca="1">DM!Q10</f>
        <v>0</v>
      </c>
    </row>
    <row r="19" spans="3:17" ht="30" customHeight="1" thickTop="1" thickBot="1">
      <c r="C19" s="175" t="str">
        <f>DM!C12</f>
        <v>Impostos sobre as vendas</v>
      </c>
      <c r="D19" s="175">
        <f>DM!D12</f>
        <v>0</v>
      </c>
      <c r="E19" s="131">
        <f>DM!E12</f>
        <v>0.05</v>
      </c>
      <c r="F19" s="132">
        <f>DM!F12</f>
        <v>0.05</v>
      </c>
      <c r="G19" s="133">
        <f>DM!G12</f>
        <v>0.05</v>
      </c>
      <c r="H19" s="133">
        <f>DM!H12</f>
        <v>0.05</v>
      </c>
      <c r="I19" s="133">
        <f>DM!I12</f>
        <v>0.05</v>
      </c>
      <c r="J19" s="133">
        <f>DM!J12</f>
        <v>0.05</v>
      </c>
      <c r="K19" s="133">
        <f>DM!K12</f>
        <v>0.1</v>
      </c>
      <c r="L19" s="133">
        <f>DM!L12</f>
        <v>0.1</v>
      </c>
      <c r="M19" s="133">
        <f>DM!M12</f>
        <v>0.1</v>
      </c>
      <c r="N19" s="133">
        <f>DM!N12</f>
        <v>0.1</v>
      </c>
      <c r="O19" s="133">
        <f>DM!O12</f>
        <v>0.1</v>
      </c>
      <c r="P19" s="26" t="str">
        <f>DM!P12</f>
        <v>-</v>
      </c>
      <c r="Q19" s="91">
        <f ca="1">DM!Q12</f>
        <v>0.05</v>
      </c>
    </row>
    <row r="20" spans="3:17" ht="30" customHeight="1" thickTop="1" thickBot="1">
      <c r="C20" s="172" t="str">
        <f>DM!C13</f>
        <v>Receita líquida</v>
      </c>
      <c r="D20" s="172">
        <f>DM!D13</f>
        <v>0</v>
      </c>
      <c r="E20" s="124">
        <f>DM!E13</f>
        <v>0</v>
      </c>
      <c r="F20" s="124">
        <f>DM!F13</f>
        <v>0</v>
      </c>
      <c r="G20" s="124" t="str">
        <f>DM!G13</f>
        <v>-</v>
      </c>
      <c r="H20" s="124" t="str">
        <f>DM!H13</f>
        <v>-</v>
      </c>
      <c r="I20" s="124" t="str">
        <f>DM!I13</f>
        <v>-</v>
      </c>
      <c r="J20" s="124" t="str">
        <f>DM!J13</f>
        <v>-</v>
      </c>
      <c r="K20" s="124" t="str">
        <f>DM!K13</f>
        <v>-</v>
      </c>
      <c r="L20" s="124" t="str">
        <f>DM!L13</f>
        <v>-</v>
      </c>
      <c r="M20" s="124" t="str">
        <f>DM!M13</f>
        <v>-</v>
      </c>
      <c r="N20" s="124" t="str">
        <f>DM!N13</f>
        <v>-</v>
      </c>
      <c r="O20" s="124" t="str">
        <f>DM!O13</f>
        <v>-</v>
      </c>
      <c r="P20" s="123" t="str">
        <f>DM!P13</f>
        <v>-</v>
      </c>
      <c r="Q20" s="124">
        <f ca="1">DM!Q13</f>
        <v>0</v>
      </c>
    </row>
    <row r="21" spans="3:17" ht="30" customHeight="1" thickTop="1" thickBot="1">
      <c r="C21" s="172" t="str">
        <f>DM!C14</f>
        <v>EBITDA (LAJIDA)</v>
      </c>
      <c r="D21" s="172">
        <f>DM!D14</f>
        <v>0</v>
      </c>
      <c r="E21" s="124">
        <f>DM!E14</f>
        <v>0</v>
      </c>
      <c r="F21" s="124">
        <f>DM!F14</f>
        <v>0</v>
      </c>
      <c r="G21" s="124" t="str">
        <f>DM!G14</f>
        <v>-</v>
      </c>
      <c r="H21" s="124" t="str">
        <f>DM!H14</f>
        <v>-</v>
      </c>
      <c r="I21" s="124" t="str">
        <f>DM!I14</f>
        <v>-</v>
      </c>
      <c r="J21" s="124" t="str">
        <f>DM!J14</f>
        <v>-</v>
      </c>
      <c r="K21" s="124" t="str">
        <f>DM!K14</f>
        <v>-</v>
      </c>
      <c r="L21" s="124" t="str">
        <f>DM!L14</f>
        <v>-</v>
      </c>
      <c r="M21" s="124" t="str">
        <f>DM!M14</f>
        <v>-</v>
      </c>
      <c r="N21" s="124" t="str">
        <f>DM!N14</f>
        <v>-</v>
      </c>
      <c r="O21" s="124" t="str">
        <f>DM!O14</f>
        <v>-</v>
      </c>
      <c r="P21" s="123" t="str">
        <f>DM!P14</f>
        <v>-</v>
      </c>
      <c r="Q21" s="124">
        <f ca="1">DM!Q14</f>
        <v>0</v>
      </c>
    </row>
    <row r="22" spans="3:17" ht="30" customHeight="1" thickTop="1" thickBot="1">
      <c r="C22" s="172" t="str">
        <f>DM!C15</f>
        <v>EBIT (LAJIR)</v>
      </c>
      <c r="D22" s="172">
        <f>DM!D15</f>
        <v>0</v>
      </c>
      <c r="E22" s="124">
        <f>DM!E15</f>
        <v>0</v>
      </c>
      <c r="F22" s="124">
        <f>DM!F15</f>
        <v>0</v>
      </c>
      <c r="G22" s="124" t="str">
        <f>DM!G15</f>
        <v>-</v>
      </c>
      <c r="H22" s="124" t="str">
        <f>DM!H15</f>
        <v>-</v>
      </c>
      <c r="I22" s="124" t="str">
        <f>DM!I15</f>
        <v>-</v>
      </c>
      <c r="J22" s="124" t="str">
        <f>DM!J15</f>
        <v>-</v>
      </c>
      <c r="K22" s="124" t="str">
        <f>DM!K15</f>
        <v>-</v>
      </c>
      <c r="L22" s="124" t="str">
        <f>DM!L15</f>
        <v>-</v>
      </c>
      <c r="M22" s="124" t="str">
        <f>DM!M15</f>
        <v>-</v>
      </c>
      <c r="N22" s="124" t="str">
        <f>DM!N15</f>
        <v>-</v>
      </c>
      <c r="O22" s="124" t="str">
        <f>DM!O15</f>
        <v>-</v>
      </c>
      <c r="P22" s="123" t="str">
        <f>DM!P15</f>
        <v>-</v>
      </c>
      <c r="Q22" s="124">
        <f ca="1">DM!Q15</f>
        <v>0</v>
      </c>
    </row>
    <row r="23" spans="3:17" ht="30" customHeight="1" thickTop="1" thickBot="1">
      <c r="C23" s="74" t="str">
        <f>DM!C16</f>
        <v>Impostos</v>
      </c>
      <c r="D23" s="134"/>
      <c r="E23" s="124">
        <f>DM!E16</f>
        <v>0</v>
      </c>
      <c r="F23" s="124">
        <f>DM!F16</f>
        <v>0</v>
      </c>
      <c r="G23" s="124" t="str">
        <f>DM!G16</f>
        <v>-</v>
      </c>
      <c r="H23" s="124" t="str">
        <f>DM!H16</f>
        <v>-</v>
      </c>
      <c r="I23" s="124" t="str">
        <f>DM!I16</f>
        <v>-</v>
      </c>
      <c r="J23" s="124" t="str">
        <f>DM!J16</f>
        <v>-</v>
      </c>
      <c r="K23" s="124" t="str">
        <f>DM!K16</f>
        <v>-</v>
      </c>
      <c r="L23" s="124" t="str">
        <f>DM!L16</f>
        <v>-</v>
      </c>
      <c r="M23" s="124" t="str">
        <f>DM!M16</f>
        <v>-</v>
      </c>
      <c r="N23" s="124" t="str">
        <f>DM!N16</f>
        <v>-</v>
      </c>
      <c r="O23" s="124" t="str">
        <f>DM!O16</f>
        <v>-</v>
      </c>
      <c r="P23" s="123" t="str">
        <f>DM!P16</f>
        <v>-</v>
      </c>
      <c r="Q23" s="124">
        <f ca="1">DM!Q16</f>
        <v>0</v>
      </c>
    </row>
    <row r="24" spans="3:17" ht="30" customHeight="1" thickTop="1" thickBot="1">
      <c r="C24" s="172" t="str">
        <f>DM!C17</f>
        <v>Lucro operacional</v>
      </c>
      <c r="D24" s="172">
        <f>DM!D17</f>
        <v>0</v>
      </c>
      <c r="E24" s="124">
        <f>DM!E17</f>
        <v>0</v>
      </c>
      <c r="F24" s="124">
        <f>DM!F17</f>
        <v>0</v>
      </c>
      <c r="G24" s="124" t="str">
        <f>DM!G17</f>
        <v>-</v>
      </c>
      <c r="H24" s="124" t="str">
        <f>DM!H17</f>
        <v>-</v>
      </c>
      <c r="I24" s="124" t="str">
        <f>DM!I17</f>
        <v>-</v>
      </c>
      <c r="J24" s="124" t="str">
        <f>DM!J17</f>
        <v>-</v>
      </c>
      <c r="K24" s="124" t="str">
        <f>DM!K17</f>
        <v>-</v>
      </c>
      <c r="L24" s="124" t="str">
        <f>DM!L17</f>
        <v>-</v>
      </c>
      <c r="M24" s="124" t="str">
        <f>DM!M17</f>
        <v>-</v>
      </c>
      <c r="N24" s="124" t="str">
        <f>DM!N17</f>
        <v>-</v>
      </c>
      <c r="O24" s="124" t="str">
        <f>DM!O17</f>
        <v>-</v>
      </c>
      <c r="P24" s="123" t="str">
        <f>DM!P17</f>
        <v>-</v>
      </c>
      <c r="Q24" s="124">
        <f ca="1">DM!Q17</f>
        <v>0</v>
      </c>
    </row>
    <row r="25" spans="3:17" ht="30" customHeight="1" thickTop="1" thickBot="1">
      <c r="C25" s="172" t="str">
        <f>DM!C18</f>
        <v>(R$) Depreciação</v>
      </c>
      <c r="D25" s="172">
        <f>DM!D18</f>
        <v>0</v>
      </c>
      <c r="E25" s="124">
        <f>DM!E18</f>
        <v>0</v>
      </c>
      <c r="F25" s="124">
        <f>DM!F18</f>
        <v>0</v>
      </c>
      <c r="G25" s="124" t="str">
        <f>DM!G18</f>
        <v>-</v>
      </c>
      <c r="H25" s="124" t="str">
        <f>DM!H18</f>
        <v>-</v>
      </c>
      <c r="I25" s="124" t="str">
        <f>DM!I18</f>
        <v>-</v>
      </c>
      <c r="J25" s="124" t="str">
        <f>DM!J18</f>
        <v>-</v>
      </c>
      <c r="K25" s="124" t="str">
        <f>DM!K18</f>
        <v>-</v>
      </c>
      <c r="L25" s="124" t="str">
        <f>DM!L18</f>
        <v>-</v>
      </c>
      <c r="M25" s="124" t="str">
        <f>DM!M18</f>
        <v>-</v>
      </c>
      <c r="N25" s="124" t="str">
        <f>DM!N18</f>
        <v>-</v>
      </c>
      <c r="O25" s="124" t="str">
        <f>DM!O18</f>
        <v>-</v>
      </c>
      <c r="P25" s="123" t="str">
        <f>DM!P18</f>
        <v>-</v>
      </c>
      <c r="Q25" s="124">
        <f ca="1">DM!Q18</f>
        <v>0</v>
      </c>
    </row>
    <row r="26" spans="3:17" ht="30" customHeight="1" thickTop="1" thickBot="1">
      <c r="C26" s="172" t="str">
        <f>DM!C19</f>
        <v>LAIR</v>
      </c>
      <c r="D26" s="172">
        <f>DM!D19</f>
        <v>0</v>
      </c>
      <c r="E26" s="124">
        <f>DM!E19</f>
        <v>0</v>
      </c>
      <c r="F26" s="124">
        <f>DM!F19</f>
        <v>0</v>
      </c>
      <c r="G26" s="124" t="str">
        <f>DM!G19</f>
        <v>-</v>
      </c>
      <c r="H26" s="124" t="str">
        <f>DM!H19</f>
        <v>-</v>
      </c>
      <c r="I26" s="124" t="str">
        <f>DM!I19</f>
        <v>-</v>
      </c>
      <c r="J26" s="124" t="str">
        <f>DM!J19</f>
        <v>-</v>
      </c>
      <c r="K26" s="124" t="str">
        <f>DM!K19</f>
        <v>-</v>
      </c>
      <c r="L26" s="124" t="str">
        <f>DM!L19</f>
        <v>-</v>
      </c>
      <c r="M26" s="124" t="str">
        <f>DM!M19</f>
        <v>-</v>
      </c>
      <c r="N26" s="124" t="str">
        <f>DM!N19</f>
        <v>-</v>
      </c>
      <c r="O26" s="124" t="str">
        <f>DM!O19</f>
        <v>-</v>
      </c>
      <c r="P26" s="123" t="str">
        <f>DM!P19</f>
        <v>-</v>
      </c>
      <c r="Q26" s="124">
        <f ca="1">DM!Q19</f>
        <v>0</v>
      </c>
    </row>
    <row r="27" spans="3:17" ht="30" customHeight="1" thickTop="1" thickBot="1">
      <c r="C27" s="176" t="str">
        <f>DM!C20</f>
        <v>Imposto de Renda</v>
      </c>
      <c r="D27" s="177">
        <f>DM!D20</f>
        <v>0</v>
      </c>
      <c r="E27" s="131">
        <f>DM!E20</f>
        <v>0.1</v>
      </c>
      <c r="F27" s="132">
        <f>DM!F20</f>
        <v>0.05</v>
      </c>
      <c r="G27" s="133">
        <f>DM!G20</f>
        <v>0.05</v>
      </c>
      <c r="H27" s="133">
        <f>DM!H20</f>
        <v>0.05</v>
      </c>
      <c r="I27" s="133">
        <f>DM!I20</f>
        <v>0.05</v>
      </c>
      <c r="J27" s="133">
        <f>DM!J20</f>
        <v>0.05</v>
      </c>
      <c r="K27" s="133">
        <f>DM!K20</f>
        <v>0.1</v>
      </c>
      <c r="L27" s="133">
        <f>DM!L20</f>
        <v>0.1</v>
      </c>
      <c r="M27" s="133">
        <f>DM!M20</f>
        <v>0.1</v>
      </c>
      <c r="N27" s="133">
        <f>DM!N20</f>
        <v>0.1</v>
      </c>
      <c r="O27" s="133">
        <f>DM!O20</f>
        <v>0.1</v>
      </c>
      <c r="P27" s="123" t="str">
        <f>DM!P20</f>
        <v>-</v>
      </c>
      <c r="Q27" s="91">
        <f ca="1">DM!Q20</f>
        <v>0.1</v>
      </c>
    </row>
    <row r="28" spans="3:17" ht="30" customHeight="1" thickTop="1" thickBot="1">
      <c r="C28" s="172" t="str">
        <f>DM!C21</f>
        <v>Lucro Líquido</v>
      </c>
      <c r="D28" s="172">
        <f>DM!D21</f>
        <v>0</v>
      </c>
      <c r="E28" s="124">
        <f>DM!E21</f>
        <v>0</v>
      </c>
      <c r="F28" s="124">
        <f>DM!F21</f>
        <v>0</v>
      </c>
      <c r="G28" s="124" t="str">
        <f>DM!G21</f>
        <v>-</v>
      </c>
      <c r="H28" s="124" t="str">
        <f>DM!H21</f>
        <v>-</v>
      </c>
      <c r="I28" s="124" t="str">
        <f>DM!I21</f>
        <v>-</v>
      </c>
      <c r="J28" s="124" t="str">
        <f>DM!J21</f>
        <v>-</v>
      </c>
      <c r="K28" s="124" t="str">
        <f>DM!K21</f>
        <v>-</v>
      </c>
      <c r="L28" s="124" t="str">
        <f>DM!L21</f>
        <v>-</v>
      </c>
      <c r="M28" s="124" t="str">
        <f>DM!M21</f>
        <v>-</v>
      </c>
      <c r="N28" s="124" t="str">
        <f>DM!N21</f>
        <v>-</v>
      </c>
      <c r="O28" s="124" t="str">
        <f>DM!O21</f>
        <v>-</v>
      </c>
      <c r="P28" s="123" t="str">
        <f>DM!P21</f>
        <v>-</v>
      </c>
      <c r="Q28" s="124">
        <f ca="1">DM!Q21</f>
        <v>0</v>
      </c>
    </row>
    <row r="29" spans="3:17" ht="30" customHeight="1" thickTop="1" thickBot="1">
      <c r="C29" s="172" t="str">
        <f>DM!C22</f>
        <v>Fluxo de Caixa livre</v>
      </c>
      <c r="D29" s="172">
        <f>DM!D22</f>
        <v>0</v>
      </c>
      <c r="E29" s="124">
        <f>DM!E22</f>
        <v>0</v>
      </c>
      <c r="F29" s="124">
        <f>DM!F22</f>
        <v>0</v>
      </c>
      <c r="G29" s="124" t="str">
        <f>DM!G22</f>
        <v>-</v>
      </c>
      <c r="H29" s="124" t="str">
        <f>DM!H22</f>
        <v>-</v>
      </c>
      <c r="I29" s="124" t="str">
        <f>DM!I22</f>
        <v>-</v>
      </c>
      <c r="J29" s="124" t="str">
        <f>DM!J22</f>
        <v>-</v>
      </c>
      <c r="K29" s="124" t="str">
        <f>DM!K22</f>
        <v>-</v>
      </c>
      <c r="L29" s="124" t="str">
        <f>DM!L22</f>
        <v>-</v>
      </c>
      <c r="M29" s="124" t="str">
        <f>DM!M22</f>
        <v>-</v>
      </c>
      <c r="N29" s="124" t="str">
        <f>DM!N22</f>
        <v>-</v>
      </c>
      <c r="O29" s="124" t="str">
        <f>DM!O22</f>
        <v>-</v>
      </c>
      <c r="P29" s="123" t="str">
        <f>DM!P22</f>
        <v>-</v>
      </c>
      <c r="Q29" s="124">
        <f ca="1">DM!Q22</f>
        <v>0</v>
      </c>
    </row>
    <row r="30" spans="3:17" ht="30" customHeight="1" thickTop="1" thickBot="1">
      <c r="C30" s="172" t="str">
        <f>DM!C23</f>
        <v>(%) Lucratividade</v>
      </c>
      <c r="D30" s="172">
        <f>DM!D23</f>
        <v>0</v>
      </c>
      <c r="E30" s="99">
        <f>DM!E23</f>
        <v>0</v>
      </c>
      <c r="F30" s="99">
        <f>DM!F23</f>
        <v>0</v>
      </c>
      <c r="G30" s="99" t="str">
        <f>DM!G23</f>
        <v>-</v>
      </c>
      <c r="H30" s="99" t="str">
        <f>DM!H23</f>
        <v>-</v>
      </c>
      <c r="I30" s="99" t="str">
        <f>DM!I23</f>
        <v>-</v>
      </c>
      <c r="J30" s="99" t="str">
        <f>DM!J23</f>
        <v>-</v>
      </c>
      <c r="K30" s="99" t="str">
        <f>DM!K23</f>
        <v>-</v>
      </c>
      <c r="L30" s="99" t="str">
        <f>DM!L23</f>
        <v>-</v>
      </c>
      <c r="M30" s="99" t="str">
        <f>DM!M23</f>
        <v>-</v>
      </c>
      <c r="N30" s="99" t="str">
        <f>DM!N23</f>
        <v>-</v>
      </c>
      <c r="O30" s="99" t="str">
        <f>DM!O23</f>
        <v>-</v>
      </c>
      <c r="P30" s="123" t="str">
        <f>DM!P23</f>
        <v>-</v>
      </c>
      <c r="Q30" s="91">
        <f ca="1">DM!Q23</f>
        <v>0</v>
      </c>
    </row>
    <row r="31" spans="3:17" ht="30" customHeight="1" thickTop="1"/>
    <row r="32" spans="3:17" ht="30" customHeight="1">
      <c r="C32" s="60" t="s">
        <v>146</v>
      </c>
    </row>
    <row r="33" spans="3:12" ht="15" customHeight="1" thickBot="1"/>
    <row r="34" spans="3:12" ht="30" customHeight="1" thickTop="1" thickBot="1">
      <c r="C34" s="180" t="str">
        <f>'RC'!C5</f>
        <v>Base para o Cálculo da Perpetuidade</v>
      </c>
      <c r="D34" s="180"/>
      <c r="E34" s="180"/>
      <c r="F34" s="182" t="str">
        <f>'RC'!D5</f>
        <v>Rentabilidade média</v>
      </c>
      <c r="G34" s="182"/>
      <c r="I34" s="182" t="str">
        <f>'RC'!F5</f>
        <v>Indicadores de retorno</v>
      </c>
      <c r="J34" s="182"/>
      <c r="K34" s="182"/>
      <c r="L34" s="182"/>
    </row>
    <row r="35" spans="3:12" ht="30" customHeight="1" thickTop="1" thickBot="1">
      <c r="C35" s="172" t="str">
        <f>'RC'!C6</f>
        <v>EBITDA (Ano 1)</v>
      </c>
      <c r="D35" s="172"/>
      <c r="E35" s="172"/>
      <c r="F35" s="181">
        <f>'RC'!D6</f>
        <v>0</v>
      </c>
      <c r="G35" s="181"/>
      <c r="I35" s="172" t="str">
        <f>'RC'!F6</f>
        <v>Taxa Interna de Retorno (TIR)</v>
      </c>
      <c r="J35" s="172"/>
      <c r="K35" s="183" t="str">
        <f ca="1">'RC'!G6</f>
        <v>-</v>
      </c>
      <c r="L35" s="183"/>
    </row>
    <row r="36" spans="3:12" ht="30" customHeight="1" thickTop="1" thickBot="1">
      <c r="C36" s="172" t="str">
        <f>'RC'!C7</f>
        <v>EBITDA último ano (Ano )</v>
      </c>
      <c r="D36" s="172"/>
      <c r="E36" s="172"/>
      <c r="F36" s="181">
        <f ca="1">'RC'!D7</f>
        <v>0</v>
      </c>
      <c r="G36" s="181"/>
      <c r="I36" s="172" t="str">
        <f>'RC'!F7</f>
        <v>Rentabilidade acumulada</v>
      </c>
      <c r="J36" s="172"/>
      <c r="K36" s="184" t="e">
        <f ca="1">'RC'!G7</f>
        <v>#REF!</v>
      </c>
      <c r="L36" s="184"/>
    </row>
    <row r="37" spans="3:12" ht="30" customHeight="1" thickTop="1" thickBot="1">
      <c r="C37" s="172" t="str">
        <f>'RC'!C8</f>
        <v>Taxa de crescimento em  ano(s)</v>
      </c>
      <c r="D37" s="172"/>
      <c r="E37" s="172"/>
      <c r="F37" s="184" t="e">
        <f ca="1">'RC'!D8</f>
        <v>#DIV/0!</v>
      </c>
      <c r="G37" s="184"/>
      <c r="I37" s="172" t="str">
        <f>'RC'!F8</f>
        <v>Payback (Clique para obter explicação)</v>
      </c>
      <c r="J37" s="172"/>
      <c r="K37" s="185" t="str">
        <f>'RC'!G8</f>
        <v>Inicial 
(Ano 0)</v>
      </c>
      <c r="L37" s="185"/>
    </row>
    <row r="38" spans="3:12" ht="30" customHeight="1" thickTop="1" thickBot="1">
      <c r="C38" s="172" t="str">
        <f>'RC'!C9</f>
        <v>Taxa de crescimento anual</v>
      </c>
      <c r="D38" s="172"/>
      <c r="E38" s="172"/>
      <c r="F38" s="183" t="e">
        <f ca="1">'RC'!D9</f>
        <v>#REF!</v>
      </c>
      <c r="G38" s="183"/>
      <c r="I38" s="172" t="str">
        <f>'RC'!F9</f>
        <v>VPL (Valor Presente Líquido)</v>
      </c>
      <c r="J38" s="172"/>
      <c r="K38" s="181" t="str">
        <f ca="1">'RC'!G9</f>
        <v>-</v>
      </c>
      <c r="L38" s="181"/>
    </row>
    <row r="39" spans="3:12" ht="30" customHeight="1" thickTop="1" thickBot="1">
      <c r="C39" s="172" t="str">
        <f>'RC'!C10</f>
        <v>Fluxo de Caixa do Último Período</v>
      </c>
      <c r="D39" s="172"/>
      <c r="E39" s="172"/>
      <c r="F39" s="181">
        <f ca="1">'RC'!D10</f>
        <v>0</v>
      </c>
      <c r="G39" s="181"/>
      <c r="I39" s="172" t="str">
        <f>'RC'!F10</f>
        <v>Fluxo de Caixa da perpetuidade</v>
      </c>
      <c r="J39" s="172"/>
      <c r="K39" s="181" t="str">
        <f ca="1">'RC'!G10</f>
        <v>-</v>
      </c>
      <c r="L39" s="181"/>
    </row>
    <row r="40" spans="3:12" ht="30" customHeight="1" thickTop="1" thickBot="1">
      <c r="C40" s="172" t="str">
        <f>'RC'!C11</f>
        <v>Taxa de desconto no período</v>
      </c>
      <c r="D40" s="172"/>
      <c r="E40" s="172"/>
      <c r="F40" s="183" t="str">
        <f>'RC'!D11</f>
        <v>-</v>
      </c>
      <c r="G40" s="183"/>
      <c r="I40" s="172" t="str">
        <f>'RC'!F11</f>
        <v>VPL da Perpetuidade</v>
      </c>
      <c r="J40" s="172"/>
      <c r="K40" s="181" t="str">
        <f>'RC'!G11</f>
        <v>-</v>
      </c>
      <c r="L40" s="181"/>
    </row>
    <row r="41" spans="3:12" ht="30" customHeight="1" thickTop="1" thickBot="1">
      <c r="I41" s="180" t="str">
        <f>'RC'!F12</f>
        <v>Valor do negócio</v>
      </c>
      <c r="J41" s="180"/>
      <c r="K41" s="181" t="str">
        <f ca="1">'RC'!G12</f>
        <v>-</v>
      </c>
      <c r="L41" s="181"/>
    </row>
    <row r="42" spans="3:12" ht="30" customHeight="1" thickTop="1"/>
    <row r="43" spans="3:12" ht="30" customHeight="1">
      <c r="C43" s="60" t="s">
        <v>147</v>
      </c>
    </row>
    <row r="44" spans="3:12" ht="15" customHeight="1"/>
    <row r="45" spans="3:12" ht="30" customHeight="1">
      <c r="C45" s="45" t="s">
        <v>148</v>
      </c>
    </row>
    <row r="46" spans="3:12" ht="30" customHeight="1"/>
    <row r="47" spans="3:12" ht="30" customHeight="1"/>
    <row r="48" spans="3:12" ht="30" customHeight="1"/>
    <row r="49" spans="3:3" ht="30" customHeight="1"/>
    <row r="50" spans="3:3" ht="30" customHeight="1"/>
    <row r="51" spans="3:3" ht="30" customHeight="1"/>
    <row r="52" spans="3:3" ht="30" customHeight="1"/>
    <row r="53" spans="3:3" ht="30" customHeight="1">
      <c r="C53" s="45" t="s">
        <v>149</v>
      </c>
    </row>
    <row r="54" spans="3:3" ht="30" customHeight="1"/>
    <row r="55" spans="3:3" ht="30" customHeight="1"/>
    <row r="56" spans="3:3" ht="30" customHeight="1"/>
    <row r="57" spans="3:3" ht="30" customHeight="1"/>
    <row r="58" spans="3:3" ht="30" customHeight="1"/>
    <row r="59" spans="3:3" ht="30" customHeight="1"/>
    <row r="60" spans="3:3" ht="30" customHeight="1"/>
    <row r="61" spans="3:3" ht="30" customHeight="1">
      <c r="C61" s="45" t="s">
        <v>150</v>
      </c>
    </row>
    <row r="62" spans="3:3" ht="30" customHeight="1"/>
    <row r="63" spans="3:3" ht="30" customHeight="1"/>
    <row r="64" spans="3:3" ht="30" customHeight="1"/>
    <row r="65" spans="3:3" ht="30" customHeight="1"/>
    <row r="66" spans="3:3" ht="30" customHeight="1"/>
    <row r="67" spans="3:3" ht="30" customHeight="1"/>
    <row r="68" spans="3:3" ht="30" customHeight="1"/>
    <row r="69" spans="3:3" ht="30" customHeight="1">
      <c r="C69" s="45" t="s">
        <v>151</v>
      </c>
    </row>
    <row r="70" spans="3:3" ht="30" customHeight="1"/>
    <row r="71" spans="3:3" ht="30" customHeight="1"/>
    <row r="72" spans="3:3" ht="30" customHeight="1"/>
    <row r="73" spans="3:3" ht="30" customHeight="1"/>
    <row r="74" spans="3:3" ht="30" customHeight="1"/>
    <row r="75" spans="3:3" ht="30" customHeight="1"/>
    <row r="76" spans="3:3" ht="30" customHeight="1"/>
    <row r="77" spans="3:3" ht="30" customHeight="1">
      <c r="C77" s="45" t="s">
        <v>152</v>
      </c>
    </row>
    <row r="78" spans="3:3" ht="30" customHeight="1"/>
    <row r="79" spans="3:3" ht="30" customHeight="1"/>
    <row r="80" spans="3:3" ht="30" customHeight="1"/>
    <row r="81" spans="3:3" ht="30" customHeight="1"/>
    <row r="82" spans="3:3" ht="30" customHeight="1"/>
    <row r="83" spans="3:3" ht="30" customHeight="1"/>
    <row r="84" spans="3:3" ht="30" customHeight="1"/>
    <row r="85" spans="3:3" ht="30" customHeight="1">
      <c r="C85" s="45" t="s">
        <v>153</v>
      </c>
    </row>
    <row r="86" spans="3:3" ht="30" customHeight="1"/>
    <row r="87" spans="3:3" ht="30" customHeight="1"/>
    <row r="88" spans="3:3" ht="30" customHeight="1"/>
    <row r="89" spans="3:3" ht="30" customHeight="1"/>
    <row r="90" spans="3:3" ht="30" customHeight="1"/>
    <row r="91" spans="3:3" ht="30" customHeight="1"/>
    <row r="92" spans="3:3" ht="30" customHeight="1"/>
    <row r="93" spans="3:3" ht="30" customHeight="1">
      <c r="C93" s="45" t="s">
        <v>154</v>
      </c>
    </row>
    <row r="94" spans="3:3" ht="30" customHeight="1"/>
    <row r="95" spans="3:3" ht="30" customHeight="1"/>
    <row r="96" spans="3:3" ht="30" customHeight="1"/>
    <row r="97" spans="3:11" ht="30" customHeight="1"/>
    <row r="98" spans="3:11" ht="30" customHeight="1"/>
    <row r="99" spans="3:11" ht="30" customHeight="1"/>
    <row r="100" spans="3:11" ht="30" customHeight="1"/>
    <row r="101" spans="3:11" ht="30" customHeight="1">
      <c r="C101" s="60" t="s">
        <v>155</v>
      </c>
    </row>
    <row r="102" spans="3:11" ht="15" customHeight="1" thickBot="1"/>
    <row r="103" spans="3:11" ht="52.5" customHeight="1" thickTop="1" thickBot="1">
      <c r="C103" s="187" t="str">
        <f ca="1">AD!D5</f>
        <v>VPL é uma fórmula matemática-financeira utilizada para calcular o valor presente de uma série de pagamentos futuros descontando um taxa de custo de capital estipulada. Ele existe, pois, naturalmente, o dinheiro que vamos receber no futuro não vale a mesma coisa que o dinheiro no tempo presente. E o VPL do seu negócio é: -</v>
      </c>
      <c r="D103" s="187"/>
      <c r="E103" s="187"/>
      <c r="F103" s="187"/>
      <c r="G103" s="187"/>
      <c r="H103" s="187"/>
      <c r="I103" s="187"/>
      <c r="J103" s="187"/>
      <c r="K103" s="61" t="str">
        <f>AD!C5</f>
        <v>!</v>
      </c>
    </row>
    <row r="104" spans="3:11" ht="52.5" customHeight="1" thickTop="1" thickBot="1">
      <c r="C104" s="187" t="str">
        <f ca="1">AD!D6</f>
        <v>O valor do negócio é -. Ele é calculado somado o valor da perpetuidade mais o valor do Valor Presente Líquido.</v>
      </c>
      <c r="D104" s="187">
        <f>AD!E6</f>
        <v>0</v>
      </c>
      <c r="E104" s="187">
        <f>AD!F6</f>
        <v>0</v>
      </c>
      <c r="F104" s="187"/>
      <c r="G104" s="187"/>
      <c r="H104" s="187"/>
      <c r="I104" s="187"/>
      <c r="J104" s="187"/>
      <c r="K104" s="57" t="str">
        <f>AD!C6</f>
        <v>=)</v>
      </c>
    </row>
    <row r="105" spans="3:11" ht="52.5" customHeight="1" thickTop="1" thickBot="1">
      <c r="C105" s="187" t="str">
        <f>AD!D7</f>
        <v>Parabéns, pois o retorno sobre o investimento começa antes dos Inicial 
(Ano 0)</v>
      </c>
      <c r="D105" s="187">
        <f>AD!E7</f>
        <v>0</v>
      </c>
      <c r="E105" s="187">
        <f>AD!F7</f>
        <v>0</v>
      </c>
      <c r="F105" s="187"/>
      <c r="G105" s="187"/>
      <c r="H105" s="187"/>
      <c r="I105" s="187"/>
      <c r="J105" s="187"/>
      <c r="K105" s="62" t="str">
        <f>AD!C7</f>
        <v>=)</v>
      </c>
    </row>
    <row r="106" spans="3:11" ht="52.5" customHeight="1" thickTop="1" thickBot="1">
      <c r="C106" s="187" t="str">
        <f ca="1">AD!D8</f>
        <v>A taxa interna de retorno utilizada para calcular a taxa de desconto que teria um determinado fluxo de caixa para igualar a zero seu Valor Presente Líquido. Em outras palavras, seria a taxa de retorno do investimento em questão. Ela geralmente é comparada com a TMA, taxa mínima de atratividade, que representa a taxa o que se propõe a ganhar quando faz um investimento. a Sua é de - e a TMA é 0%.</v>
      </c>
      <c r="D106" s="187">
        <f>AD!E8</f>
        <v>0</v>
      </c>
      <c r="E106" s="187">
        <f>AD!F8</f>
        <v>0</v>
      </c>
      <c r="F106" s="187"/>
      <c r="G106" s="187"/>
      <c r="H106" s="187"/>
      <c r="I106" s="187"/>
      <c r="J106" s="187"/>
      <c r="K106" s="61" t="str">
        <f>AD!C8</f>
        <v>!</v>
      </c>
    </row>
    <row r="107" spans="3:11" ht="30" customHeight="1" thickTop="1"/>
    <row r="108" spans="3:11" ht="30" customHeight="1"/>
    <row r="109" spans="3:11" ht="30" customHeight="1"/>
    <row r="110" spans="3:11" ht="30" customHeight="1"/>
    <row r="111" spans="3:11" ht="30" customHeight="1"/>
    <row r="112" spans="3:11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</sheetData>
  <sheetProtection selectLockedCells="1"/>
  <mergeCells count="51">
    <mergeCell ref="C1:C3"/>
    <mergeCell ref="C103:J103"/>
    <mergeCell ref="C104:J104"/>
    <mergeCell ref="C105:J105"/>
    <mergeCell ref="C106:J106"/>
    <mergeCell ref="F40:G40"/>
    <mergeCell ref="C37:E37"/>
    <mergeCell ref="C38:E38"/>
    <mergeCell ref="C39:E39"/>
    <mergeCell ref="C40:E40"/>
    <mergeCell ref="F34:G34"/>
    <mergeCell ref="F35:G35"/>
    <mergeCell ref="F36:G36"/>
    <mergeCell ref="F37:G37"/>
    <mergeCell ref="F38:G38"/>
    <mergeCell ref="F39:G39"/>
    <mergeCell ref="K41:L41"/>
    <mergeCell ref="I34:L34"/>
    <mergeCell ref="I35:J35"/>
    <mergeCell ref="I36:J36"/>
    <mergeCell ref="I37:J37"/>
    <mergeCell ref="I38:J38"/>
    <mergeCell ref="I39:J39"/>
    <mergeCell ref="I40:J40"/>
    <mergeCell ref="I41:J41"/>
    <mergeCell ref="K35:L35"/>
    <mergeCell ref="K36:L36"/>
    <mergeCell ref="K37:L37"/>
    <mergeCell ref="K38:L38"/>
    <mergeCell ref="K39:L39"/>
    <mergeCell ref="K40:L40"/>
    <mergeCell ref="C29:D29"/>
    <mergeCell ref="C30:D30"/>
    <mergeCell ref="C34:E34"/>
    <mergeCell ref="C35:E35"/>
    <mergeCell ref="C36:E36"/>
    <mergeCell ref="C28:D28"/>
    <mergeCell ref="C5:M5"/>
    <mergeCell ref="C6:M6"/>
    <mergeCell ref="C19:D19"/>
    <mergeCell ref="C20:D20"/>
    <mergeCell ref="C21:D21"/>
    <mergeCell ref="C22:D22"/>
    <mergeCell ref="C24:D24"/>
    <mergeCell ref="C25:D25"/>
    <mergeCell ref="C26:D26"/>
    <mergeCell ref="C27:D27"/>
    <mergeCell ref="C15:D15"/>
    <mergeCell ref="C16:D16"/>
    <mergeCell ref="C17:D17"/>
    <mergeCell ref="C18:D18"/>
  </mergeCells>
  <conditionalFormatting sqref="F35:F40">
    <cfRule type="expression" dxfId="3" priority="50">
      <formula>M35="Não"</formula>
    </cfRule>
  </conditionalFormatting>
  <conditionalFormatting sqref="K35:K41">
    <cfRule type="expression" dxfId="2" priority="49">
      <formula>P35="Não"</formula>
    </cfRule>
  </conditionalFormatting>
  <conditionalFormatting sqref="C103 P19:P30">
    <cfRule type="expression" dxfId="1" priority="48">
      <formula>L19="Não"</formula>
    </cfRule>
  </conditionalFormatting>
  <conditionalFormatting sqref="C104:C106">
    <cfRule type="expression" dxfId="0" priority="46">
      <formula>L104="Não"</formula>
    </cfRule>
  </conditionalFormatting>
  <pageMargins left="0.511811024" right="0.511811024" top="0.78740157499999996" bottom="0.78740157499999996" header="0.31496062000000002" footer="0.31496062000000002"/>
  <pageSetup paperSize="9" scale="52" fitToHeight="0" orientation="landscape"/>
  <rowBreaks count="5" manualBreakCount="5">
    <brk id="12" min="2" max="16" man="1"/>
    <brk id="42" min="2" max="16" man="1"/>
    <brk id="68" min="2" max="16" man="1"/>
    <brk id="84" min="2" max="16" man="1"/>
    <brk id="100" min="2" max="16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DBEABA95-4C86-4133-BC9F-B8DC6015AC26}">
            <xm:f>NOT(ISERROR(SEARCH("=(",K105)))</xm:f>
            <xm:f>"=("</xm:f>
            <x14:dxf>
              <font>
                <b/>
                <i val="0"/>
                <color theme="0"/>
              </font>
              <fill>
                <patternFill>
                  <bgColor rgb="FFCC0000"/>
                </patternFill>
              </fill>
            </x14:dxf>
          </x14:cfRule>
          <x14:cfRule type="containsText" priority="45" operator="containsText" id="{38F96AAE-65F5-42E7-B59E-DB7DF4A2AD15}">
            <xm:f>NOT(ISERROR(SEARCH("=)",K105)))</xm:f>
            <xm:f>"=)"</xm:f>
            <x14:dxf>
              <font>
                <b/>
                <i val="0"/>
                <color theme="0"/>
              </font>
              <fill>
                <patternFill>
                  <bgColor rgb="FF669966"/>
                </patternFill>
              </fill>
            </x14:dxf>
          </x14:cfRule>
          <xm:sqref>K105</xm:sqref>
        </x14:conditionalFormatting>
        <x14:conditionalFormatting xmlns:xm="http://schemas.microsoft.com/office/excel/2006/main">
          <x14:cfRule type="expression" priority="1" id="{E39C6BC1-D820-43E7-98D1-849FE2FE73A3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27" id="{BC2E1B9F-3AF9-43A8-BD08-6A2470016F0F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G19:O19</xm:sqref>
        </x14:conditionalFormatting>
        <x14:conditionalFormatting xmlns:xm="http://schemas.microsoft.com/office/excel/2006/main">
          <x14:cfRule type="expression" priority="28" id="{35FC466E-CB76-46C8-B884-AB11C72FCFED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H19:O19</xm:sqref>
        </x14:conditionalFormatting>
        <x14:conditionalFormatting xmlns:xm="http://schemas.microsoft.com/office/excel/2006/main">
          <x14:cfRule type="expression" priority="29" id="{7BB48D29-427C-47CB-A161-4A5F2548EC11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I19:O19</xm:sqref>
        </x14:conditionalFormatting>
        <x14:conditionalFormatting xmlns:xm="http://schemas.microsoft.com/office/excel/2006/main">
          <x14:cfRule type="expression" priority="30" id="{5FBF18A0-2B15-478C-8097-A0C1C6ABFB6B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J19:O19</xm:sqref>
        </x14:conditionalFormatting>
        <x14:conditionalFormatting xmlns:xm="http://schemas.microsoft.com/office/excel/2006/main">
          <x14:cfRule type="expression" priority="31" id="{0C67B945-4543-48EA-AA28-31B03319E566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K19:O19</xm:sqref>
        </x14:conditionalFormatting>
        <x14:conditionalFormatting xmlns:xm="http://schemas.microsoft.com/office/excel/2006/main">
          <x14:cfRule type="expression" priority="32" id="{44AA5086-6E5A-4117-BEF7-A5B99352B7CB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L19:O19</xm:sqref>
        </x14:conditionalFormatting>
        <x14:conditionalFormatting xmlns:xm="http://schemas.microsoft.com/office/excel/2006/main">
          <x14:cfRule type="expression" priority="33" id="{9771C815-6827-4CA5-9DB8-531EEF490010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M19:O19</xm:sqref>
        </x14:conditionalFormatting>
        <x14:conditionalFormatting xmlns:xm="http://schemas.microsoft.com/office/excel/2006/main">
          <x14:cfRule type="expression" priority="34" id="{0286E864-02F8-42C2-97DD-AF0749A5D125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N19:O19</xm:sqref>
        </x14:conditionalFormatting>
        <x14:conditionalFormatting xmlns:xm="http://schemas.microsoft.com/office/excel/2006/main">
          <x14:cfRule type="expression" priority="35" id="{3F7803CC-2A6C-4299-8318-AFEB4C097D2E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9" id="{D69E126D-3093-4094-9A75-859A40B83F98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G27:J27</xm:sqref>
        </x14:conditionalFormatting>
        <x14:conditionalFormatting xmlns:xm="http://schemas.microsoft.com/office/excel/2006/main">
          <x14:cfRule type="expression" priority="20" id="{A67F1176-BB77-41F1-B4F0-CB5DB1EFD9A4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H27:J27</xm:sqref>
        </x14:conditionalFormatting>
        <x14:conditionalFormatting xmlns:xm="http://schemas.microsoft.com/office/excel/2006/main">
          <x14:cfRule type="expression" priority="21" id="{824E06D6-D270-4888-BFBF-4D7E068BA567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I27:J27</xm:sqref>
        </x14:conditionalFormatting>
        <x14:conditionalFormatting xmlns:xm="http://schemas.microsoft.com/office/excel/2006/main">
          <x14:cfRule type="expression" priority="22" id="{2D2EB123-6EEF-4AFF-B08E-DC098E19EC9D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" id="{CABD9B8A-07CA-455B-BD2F-62B5A35989BA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3" id="{6657C08E-1AD8-4ACB-B2A6-B54CB78A1636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4" id="{B107C803-6C49-4DAC-B9E1-525876C6332F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5" id="{B0E683AF-83C1-4AE9-A016-71C1856A2442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K27:O27</xm:sqref>
        </x14:conditionalFormatting>
        <x14:conditionalFormatting xmlns:xm="http://schemas.microsoft.com/office/excel/2006/main">
          <x14:cfRule type="expression" priority="6" id="{B0904030-C659-465A-987E-4F0DEBA91A9C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L27:O27</xm:sqref>
        </x14:conditionalFormatting>
        <x14:conditionalFormatting xmlns:xm="http://schemas.microsoft.com/office/excel/2006/main">
          <x14:cfRule type="expression" priority="7" id="{64B071C8-53A8-4620-A317-0001D35AF6D9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M27:O27</xm:sqref>
        </x14:conditionalFormatting>
        <x14:conditionalFormatting xmlns:xm="http://schemas.microsoft.com/office/excel/2006/main">
          <x14:cfRule type="expression" priority="8" id="{5F0615F5-E89A-409A-86F5-5F117EC61567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N27:O27</xm:sqref>
        </x14:conditionalFormatting>
        <x14:conditionalFormatting xmlns:xm="http://schemas.microsoft.com/office/excel/2006/main">
          <x14:cfRule type="expression" priority="9" id="{67FAE7A0-887F-48A4-85F3-30C7139BE385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38"/>
  <dimension ref="A1:K100"/>
  <sheetViews>
    <sheetView showGridLines="0" zoomScale="90" zoomScaleNormal="90" zoomScalePageLayoutView="90" workbookViewId="0">
      <selection sqref="A1:A3"/>
    </sheetView>
  </sheetViews>
  <sheetFormatPr defaultColWidth="8.85546875" defaultRowHeight="15" zeroHeight="1"/>
  <cols>
    <col min="1" max="1" width="27.7109375" style="7" customWidth="1"/>
    <col min="2" max="2" width="3.85546875" style="2" customWidth="1"/>
    <col min="3" max="16384" width="8.85546875" style="2"/>
  </cols>
  <sheetData>
    <row r="1" spans="1:11" s="13" customFormat="1" ht="33.950000000000003" customHeight="1">
      <c r="A1" s="140" t="s">
        <v>118</v>
      </c>
      <c r="C1" s="14" t="s">
        <v>18</v>
      </c>
    </row>
    <row r="2" spans="1:11" s="13" customFormat="1" ht="21.6" customHeight="1">
      <c r="A2" s="141"/>
    </row>
    <row r="3" spans="1:11" s="13" customFormat="1" ht="21.6" customHeight="1">
      <c r="A3" s="141"/>
    </row>
    <row r="4" spans="1:11" customFormat="1" ht="30" customHeight="1">
      <c r="A4" s="1"/>
      <c r="C4" s="192" t="s">
        <v>23</v>
      </c>
      <c r="D4" s="192"/>
      <c r="E4" s="192"/>
      <c r="F4" s="192"/>
      <c r="G4" s="192"/>
      <c r="H4" s="192"/>
      <c r="I4" s="192"/>
      <c r="J4" s="192"/>
      <c r="K4" s="192"/>
    </row>
    <row r="5" spans="1:11" customFormat="1" ht="30" customHeight="1">
      <c r="A5" s="1"/>
      <c r="C5" s="188" t="s">
        <v>25</v>
      </c>
      <c r="D5" s="189"/>
      <c r="E5" s="189"/>
      <c r="F5" s="189"/>
      <c r="G5" s="189"/>
      <c r="H5" s="189"/>
      <c r="I5" s="189"/>
      <c r="J5" s="189"/>
      <c r="K5" s="190"/>
    </row>
    <row r="6" spans="1:11" customFormat="1" ht="30" customHeight="1">
      <c r="A6" s="1"/>
      <c r="C6" s="193" t="s">
        <v>24</v>
      </c>
      <c r="D6" s="193"/>
      <c r="E6" s="193"/>
      <c r="F6" s="193"/>
      <c r="G6" s="193"/>
      <c r="H6" s="193"/>
      <c r="I6" s="193"/>
      <c r="J6" s="193"/>
      <c r="K6" s="193"/>
    </row>
    <row r="7" spans="1:11" customFormat="1" ht="30" customHeight="1">
      <c r="A7" s="1"/>
      <c r="C7" s="191" t="str">
        <f>IFERROR(VLOOKUP(C5,C59:J73,8,FALSE),"")</f>
        <v xml:space="preserve">Nós recomendamos fortemente que você utilize a estrutura pronta apresentada, pois existem diversas fórmulas que podem ser afetadas pela adição de linhas e colunas. Além disso, para facilitar o preenchimento mantemos a planilha desbloqueada apenas nos locais para preenchimento. </v>
      </c>
      <c r="D7" s="191"/>
      <c r="E7" s="191"/>
      <c r="F7" s="191"/>
      <c r="G7" s="191"/>
      <c r="H7" s="191"/>
      <c r="I7" s="191"/>
      <c r="J7" s="191"/>
      <c r="K7" s="191"/>
    </row>
    <row r="8" spans="1:11" customFormat="1" ht="30" customHeight="1">
      <c r="A8" s="1"/>
      <c r="C8" s="191"/>
      <c r="D8" s="191"/>
      <c r="E8" s="191"/>
      <c r="F8" s="191"/>
      <c r="G8" s="191"/>
      <c r="H8" s="191"/>
      <c r="I8" s="191"/>
      <c r="J8" s="191"/>
      <c r="K8" s="191"/>
    </row>
    <row r="9" spans="1:11" customFormat="1" ht="30" customHeight="1">
      <c r="A9" s="1"/>
      <c r="C9" s="191"/>
      <c r="D9" s="191"/>
      <c r="E9" s="191"/>
      <c r="F9" s="191"/>
      <c r="G9" s="191"/>
      <c r="H9" s="191"/>
      <c r="I9" s="191"/>
      <c r="J9" s="191"/>
      <c r="K9" s="191"/>
    </row>
    <row r="10" spans="1:11" customFormat="1" ht="30" customHeight="1">
      <c r="A10" s="1"/>
      <c r="C10" s="191"/>
      <c r="D10" s="191"/>
      <c r="E10" s="191"/>
      <c r="F10" s="191"/>
      <c r="G10" s="191"/>
      <c r="H10" s="191"/>
      <c r="I10" s="191"/>
      <c r="J10" s="191"/>
      <c r="K10" s="191"/>
    </row>
    <row r="11" spans="1:11" customFormat="1" ht="30" customHeight="1">
      <c r="A11" s="1"/>
      <c r="C11" s="191"/>
      <c r="D11" s="191"/>
      <c r="E11" s="191"/>
      <c r="F11" s="191"/>
      <c r="G11" s="191"/>
      <c r="H11" s="191"/>
      <c r="I11" s="191"/>
      <c r="J11" s="191"/>
      <c r="K11" s="191"/>
    </row>
    <row r="12" spans="1:11" customFormat="1" ht="30" customHeight="1">
      <c r="A12" s="1"/>
    </row>
    <row r="13" spans="1:11" customFormat="1" ht="30" customHeight="1">
      <c r="A13" s="1"/>
    </row>
    <row r="14" spans="1:11" customFormat="1" ht="30" customHeight="1">
      <c r="A14" s="1"/>
    </row>
    <row r="15" spans="1:11" customFormat="1" ht="30" customHeight="1">
      <c r="A15" s="1"/>
    </row>
    <row r="16" spans="1:11" customFormat="1" ht="30" customHeight="1">
      <c r="A16" s="1"/>
    </row>
    <row r="17" spans="1:1" customFormat="1" ht="30" customHeight="1">
      <c r="A17" s="1"/>
    </row>
    <row r="18" spans="1:1" customFormat="1" ht="30" customHeight="1">
      <c r="A18" s="1"/>
    </row>
    <row r="19" spans="1:1" customFormat="1" ht="30" customHeight="1">
      <c r="A19" s="1"/>
    </row>
    <row r="20" spans="1:1" customFormat="1" ht="30" customHeight="1">
      <c r="A20" s="1"/>
    </row>
    <row r="21" spans="1:1" customFormat="1" ht="30" customHeight="1">
      <c r="A21" s="1"/>
    </row>
    <row r="22" spans="1:1" customFormat="1" ht="30" customHeight="1">
      <c r="A22" s="1"/>
    </row>
    <row r="23" spans="1:1" customFormat="1" ht="30" customHeight="1">
      <c r="A23" s="1"/>
    </row>
    <row r="24" spans="1:1" customFormat="1" ht="30" customHeight="1">
      <c r="A24" s="1"/>
    </row>
    <row r="25" spans="1:1" customFormat="1" ht="30" customHeight="1">
      <c r="A25" s="1"/>
    </row>
    <row r="26" spans="1:1" customFormat="1" ht="30" customHeight="1">
      <c r="A26" s="1"/>
    </row>
    <row r="27" spans="1:1" customFormat="1" ht="30" customHeight="1">
      <c r="A27" s="1"/>
    </row>
    <row r="28" spans="1:1" customFormat="1" ht="30" customHeight="1">
      <c r="A28" s="1"/>
    </row>
    <row r="29" spans="1:1" customFormat="1" ht="30" customHeight="1">
      <c r="A29" s="1"/>
    </row>
    <row r="30" spans="1:1" customFormat="1" ht="30" customHeight="1">
      <c r="A30" s="1"/>
    </row>
    <row r="31" spans="1:1" customFormat="1" ht="30" customHeight="1">
      <c r="A31" s="1"/>
    </row>
    <row r="32" spans="1:1" customFormat="1" ht="30" customHeight="1">
      <c r="A32" s="1"/>
    </row>
    <row r="33" spans="1:1" customFormat="1" ht="30" customHeight="1">
      <c r="A33" s="1"/>
    </row>
    <row r="34" spans="1:1" customFormat="1" ht="30" customHeight="1">
      <c r="A34" s="1"/>
    </row>
    <row r="35" spans="1:1" customFormat="1" ht="30" customHeight="1">
      <c r="A35" s="1"/>
    </row>
    <row r="36" spans="1:1" customFormat="1" ht="30" customHeight="1">
      <c r="A36" s="1"/>
    </row>
    <row r="37" spans="1:1" customFormat="1" ht="30" customHeight="1">
      <c r="A37" s="1"/>
    </row>
    <row r="38" spans="1:1" customFormat="1" ht="30" customHeight="1">
      <c r="A38" s="1"/>
    </row>
    <row r="39" spans="1:1" customFormat="1" ht="30" customHeight="1">
      <c r="A39" s="1"/>
    </row>
    <row r="40" spans="1:1" customFormat="1" ht="30" customHeight="1">
      <c r="A40" s="1"/>
    </row>
    <row r="41" spans="1:1" customFormat="1" ht="30" customHeight="1">
      <c r="A41" s="1"/>
    </row>
    <row r="42" spans="1:1" customFormat="1" ht="30" customHeight="1">
      <c r="A42" s="1"/>
    </row>
    <row r="43" spans="1:1" customFormat="1" ht="30" customHeight="1">
      <c r="A43" s="1"/>
    </row>
    <row r="44" spans="1:1" customFormat="1" ht="30" customHeight="1">
      <c r="A44" s="1"/>
    </row>
    <row r="45" spans="1:1" customFormat="1" ht="30" customHeight="1">
      <c r="A45" s="1"/>
    </row>
    <row r="46" spans="1:1" customFormat="1" ht="30" customHeight="1">
      <c r="A46" s="1"/>
    </row>
    <row r="47" spans="1:1" customFormat="1" ht="30" customHeight="1">
      <c r="A47" s="1"/>
    </row>
    <row r="48" spans="1:1" customFormat="1" ht="30" customHeight="1">
      <c r="A48" s="1"/>
    </row>
    <row r="49" spans="1:10" customFormat="1" ht="30" customHeight="1">
      <c r="A49" s="1"/>
    </row>
    <row r="50" spans="1:10" customFormat="1" ht="30" customHeight="1">
      <c r="A50" s="1"/>
    </row>
    <row r="51" spans="1:10" customFormat="1" ht="30" customHeight="1">
      <c r="A51" s="1"/>
    </row>
    <row r="52" spans="1:10" customFormat="1" ht="30" customHeight="1">
      <c r="A52" s="1"/>
    </row>
    <row r="53" spans="1:10" customFormat="1" ht="30" customHeight="1">
      <c r="A53" s="1"/>
    </row>
    <row r="54" spans="1:10" customFormat="1" ht="30" customHeight="1">
      <c r="A54" s="1"/>
    </row>
    <row r="55" spans="1:10" customFormat="1" ht="30" customHeight="1">
      <c r="A55" s="1"/>
    </row>
    <row r="56" spans="1:10" customFormat="1" ht="30" customHeight="1">
      <c r="A56" s="1"/>
    </row>
    <row r="57" spans="1:10" customFormat="1" ht="30" customHeight="1">
      <c r="A57" s="1"/>
    </row>
    <row r="58" spans="1:10" ht="30" hidden="1" customHeight="1"/>
    <row r="59" spans="1:10" ht="30" hidden="1" customHeight="1">
      <c r="C59" s="2" t="str">
        <f>IF(E59="","",D59&amp;". "&amp;E59)</f>
        <v>1. Posso adicionar mais linhas e colunas na planilha?</v>
      </c>
      <c r="D59" s="2">
        <v>1</v>
      </c>
      <c r="E59" s="2" t="s">
        <v>1</v>
      </c>
      <c r="J59" s="2" t="s">
        <v>2</v>
      </c>
    </row>
    <row r="60" spans="1:10" ht="30" hidden="1" customHeight="1">
      <c r="C60" s="2" t="str">
        <f t="shared" ref="C60:C73" si="0">IF(E60="","",D60&amp;". "&amp;E60)</f>
        <v>2. Posso remover linhas?</v>
      </c>
      <c r="D60" s="2">
        <v>2</v>
      </c>
      <c r="E60" s="2" t="s">
        <v>3</v>
      </c>
      <c r="J60" s="2" t="s">
        <v>2</v>
      </c>
    </row>
    <row r="61" spans="1:10" ht="30" hidden="1" customHeight="1">
      <c r="C61" s="2" t="str">
        <f t="shared" si="0"/>
        <v>3. Para que servem os alertas?</v>
      </c>
      <c r="D61" s="2">
        <v>3</v>
      </c>
      <c r="E61" s="2" t="s">
        <v>5</v>
      </c>
      <c r="J61" s="2" t="s">
        <v>4</v>
      </c>
    </row>
    <row r="62" spans="1:10" ht="30" hidden="1" customHeight="1">
      <c r="C62" s="2" t="str">
        <f t="shared" si="0"/>
        <v>4. Essa planilha pode ser apresentada para instituições financeiras?</v>
      </c>
      <c r="D62" s="2">
        <v>4</v>
      </c>
      <c r="E62" s="2" t="s">
        <v>8</v>
      </c>
      <c r="J62" s="2" t="s">
        <v>9</v>
      </c>
    </row>
    <row r="63" spans="1:10" ht="30" hidden="1" customHeight="1">
      <c r="C63" s="2" t="str">
        <f t="shared" si="0"/>
        <v>5. Como desbloquear a planilha?</v>
      </c>
      <c r="D63" s="2">
        <v>5</v>
      </c>
      <c r="E63" s="2" t="s">
        <v>6</v>
      </c>
      <c r="J63" s="2" t="s">
        <v>7</v>
      </c>
    </row>
    <row r="64" spans="1:10" ht="30" hidden="1" customHeight="1">
      <c r="C64" s="2" t="str">
        <f t="shared" si="0"/>
        <v>6. Como redimensiono uma coluna ou linha da planilha?</v>
      </c>
      <c r="D64" s="2">
        <v>6</v>
      </c>
      <c r="E64" s="2" t="s">
        <v>10</v>
      </c>
      <c r="J64" s="2" t="s">
        <v>11</v>
      </c>
    </row>
    <row r="65" spans="3:10" ht="30" hidden="1" customHeight="1">
      <c r="C65" s="2" t="str">
        <f t="shared" si="0"/>
        <v>7. Como faço para imprimir uma planilha?</v>
      </c>
      <c r="D65" s="2">
        <v>7</v>
      </c>
      <c r="E65" s="2" t="s">
        <v>12</v>
      </c>
      <c r="J65" s="2" t="s">
        <v>14</v>
      </c>
    </row>
    <row r="66" spans="3:10" ht="30" hidden="1" customHeight="1">
      <c r="C66" s="2" t="str">
        <f t="shared" si="0"/>
        <v>8. Como mudo a moeda da planilha?</v>
      </c>
      <c r="D66" s="2">
        <v>8</v>
      </c>
      <c r="E66" s="2" t="s">
        <v>13</v>
      </c>
      <c r="J66" s="2" t="s">
        <v>15</v>
      </c>
    </row>
    <row r="67" spans="3:10" ht="30" hidden="1" customHeight="1">
      <c r="C67" s="2" t="str">
        <f t="shared" si="0"/>
        <v/>
      </c>
      <c r="D67" s="2">
        <v>9</v>
      </c>
    </row>
    <row r="68" spans="3:10" ht="30" hidden="1" customHeight="1">
      <c r="C68" s="2" t="str">
        <f t="shared" si="0"/>
        <v/>
      </c>
      <c r="D68" s="2">
        <v>10</v>
      </c>
    </row>
    <row r="69" spans="3:10" ht="30" hidden="1" customHeight="1">
      <c r="C69" s="2" t="str">
        <f t="shared" si="0"/>
        <v/>
      </c>
      <c r="D69" s="2">
        <v>11</v>
      </c>
    </row>
    <row r="70" spans="3:10" ht="30" hidden="1" customHeight="1">
      <c r="C70" s="2" t="str">
        <f t="shared" si="0"/>
        <v/>
      </c>
      <c r="D70" s="2">
        <v>12</v>
      </c>
    </row>
    <row r="71" spans="3:10" ht="30" hidden="1" customHeight="1">
      <c r="C71" s="2" t="str">
        <f t="shared" si="0"/>
        <v/>
      </c>
      <c r="D71" s="2">
        <v>13</v>
      </c>
    </row>
    <row r="72" spans="3:10" ht="30" hidden="1" customHeight="1">
      <c r="C72" s="2" t="str">
        <f t="shared" si="0"/>
        <v/>
      </c>
      <c r="D72" s="2">
        <v>14</v>
      </c>
    </row>
    <row r="73" spans="3:10" ht="30" hidden="1" customHeight="1">
      <c r="C73" s="2" t="str">
        <f t="shared" si="0"/>
        <v/>
      </c>
      <c r="D73" s="2">
        <v>15</v>
      </c>
    </row>
    <row r="74" spans="3:10" ht="30" hidden="1" customHeight="1"/>
    <row r="75" spans="3:10" ht="30" hidden="1" customHeight="1"/>
    <row r="76" spans="3:10" ht="30" hidden="1" customHeight="1"/>
    <row r="77" spans="3:10" ht="30" hidden="1" customHeight="1"/>
    <row r="78" spans="3:10" ht="30" hidden="1" customHeight="1"/>
    <row r="79" spans="3:10" ht="30" hidden="1" customHeight="1"/>
    <row r="80" spans="3:10" ht="30" hidden="1" customHeight="1"/>
    <row r="81" ht="30" hidden="1" customHeight="1"/>
    <row r="82" ht="30" hidden="1" customHeight="1"/>
    <row r="83" ht="30" hidden="1" customHeight="1"/>
    <row r="84" ht="30" hidden="1" customHeight="1"/>
    <row r="85" ht="30" hidden="1" customHeight="1"/>
    <row r="86" ht="30" hidden="1" customHeight="1"/>
    <row r="87" ht="30" hidden="1" customHeight="1"/>
    <row r="88" ht="30" hidden="1" customHeight="1"/>
    <row r="89" ht="30" hidden="1" customHeight="1"/>
    <row r="90" ht="30" hidden="1" customHeight="1"/>
    <row r="91" ht="30" hidden="1" customHeight="1"/>
    <row r="92" ht="30" hidden="1" customHeight="1"/>
    <row r="93" ht="30" hidden="1" customHeight="1"/>
    <row r="94" ht="30" hidden="1" customHeight="1"/>
    <row r="95" ht="30" hidden="1" customHeight="1"/>
    <row r="96" ht="30" hidden="1" customHeight="1"/>
    <row r="97" ht="30" hidden="1" customHeight="1"/>
    <row r="98" ht="30" hidden="1" customHeight="1"/>
    <row r="99" ht="30" hidden="1" customHeight="1"/>
    <row r="100"/>
  </sheetData>
  <sheetProtection selectLockedCells="1"/>
  <mergeCells count="4">
    <mergeCell ref="C5:K5"/>
    <mergeCell ref="C7:K11"/>
    <mergeCell ref="C4:K4"/>
    <mergeCell ref="C6:K6"/>
  </mergeCells>
  <dataValidations count="1">
    <dataValidation type="list" allowBlank="1" showInputMessage="1" showErrorMessage="1" sqref="C5:K5">
      <formula1>$C$59:$C$73</formula1>
    </dataValidation>
  </dataValidations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39"/>
  <dimension ref="A1:X98"/>
  <sheetViews>
    <sheetView showGridLines="0" zoomScale="90" zoomScaleNormal="90" zoomScalePageLayoutView="90" workbookViewId="0">
      <selection sqref="A1:A3"/>
    </sheetView>
  </sheetViews>
  <sheetFormatPr defaultColWidth="8.85546875" defaultRowHeight="15"/>
  <cols>
    <col min="1" max="1" width="27.7109375" style="1" customWidth="1"/>
    <col min="2" max="2" width="3.85546875" customWidth="1"/>
    <col min="3" max="3" width="8.7109375" customWidth="1"/>
    <col min="4" max="4" width="61.42578125" customWidth="1"/>
    <col min="5" max="5" width="7.7109375" customWidth="1"/>
    <col min="6" max="6" width="8.7109375" customWidth="1"/>
    <col min="7" max="7" width="61.42578125" customWidth="1"/>
  </cols>
  <sheetData>
    <row r="1" spans="1:7" s="13" customFormat="1" ht="33.950000000000003" customHeight="1">
      <c r="A1" s="140" t="s">
        <v>118</v>
      </c>
      <c r="C1" s="14" t="s">
        <v>19</v>
      </c>
    </row>
    <row r="2" spans="1:7" s="13" customFormat="1" ht="21.6" customHeight="1">
      <c r="A2" s="141"/>
    </row>
    <row r="3" spans="1:7" s="13" customFormat="1" ht="21.6" customHeight="1">
      <c r="A3" s="141"/>
      <c r="C3" s="15" t="s">
        <v>22</v>
      </c>
    </row>
    <row r="4" spans="1:7" ht="15" customHeight="1"/>
    <row r="5" spans="1:7" ht="18" customHeight="1">
      <c r="F5" s="194">
        <v>1</v>
      </c>
      <c r="G5" s="5" t="s">
        <v>40</v>
      </c>
    </row>
    <row r="6" spans="1:7" ht="30" customHeight="1">
      <c r="F6" s="194"/>
      <c r="G6" s="4" t="s">
        <v>16</v>
      </c>
    </row>
    <row r="7" spans="1:7" ht="18" customHeight="1">
      <c r="F7" s="194"/>
      <c r="G7" s="6" t="s">
        <v>21</v>
      </c>
    </row>
    <row r="8" spans="1:7" ht="15" customHeight="1"/>
    <row r="9" spans="1:7" ht="18" customHeight="1">
      <c r="F9" s="194">
        <v>2</v>
      </c>
      <c r="G9" s="5" t="s">
        <v>41</v>
      </c>
    </row>
    <row r="10" spans="1:7" ht="30" customHeight="1">
      <c r="F10" s="194"/>
      <c r="G10" s="4" t="s">
        <v>42</v>
      </c>
    </row>
    <row r="11" spans="1:7" ht="18" customHeight="1">
      <c r="F11" s="194"/>
      <c r="G11" s="6" t="s">
        <v>21</v>
      </c>
    </row>
    <row r="12" spans="1:7" ht="15" customHeight="1"/>
    <row r="13" spans="1:7" ht="18" customHeight="1">
      <c r="F13" s="194">
        <v>3</v>
      </c>
      <c r="G13" s="5" t="s">
        <v>43</v>
      </c>
    </row>
    <row r="14" spans="1:7" ht="30" customHeight="1">
      <c r="F14" s="194"/>
      <c r="G14" s="4" t="s">
        <v>44</v>
      </c>
    </row>
    <row r="15" spans="1:7" ht="18" customHeight="1">
      <c r="F15" s="194"/>
      <c r="G15" s="6" t="s">
        <v>21</v>
      </c>
    </row>
    <row r="16" spans="1:7" ht="15" customHeight="1"/>
    <row r="17" spans="6:7" ht="18" customHeight="1">
      <c r="F17" s="194">
        <v>4</v>
      </c>
      <c r="G17" s="5" t="s">
        <v>47</v>
      </c>
    </row>
    <row r="18" spans="6:7" ht="30" customHeight="1">
      <c r="F18" s="194"/>
      <c r="G18" s="4" t="s">
        <v>48</v>
      </c>
    </row>
    <row r="19" spans="6:7" ht="18" customHeight="1">
      <c r="F19" s="194"/>
      <c r="G19" s="6" t="s">
        <v>21</v>
      </c>
    </row>
    <row r="20" spans="6:7" ht="15" customHeight="1"/>
    <row r="21" spans="6:7" ht="18" customHeight="1">
      <c r="F21" s="194">
        <v>5</v>
      </c>
      <c r="G21" s="5" t="s">
        <v>45</v>
      </c>
    </row>
    <row r="22" spans="6:7" ht="30" customHeight="1">
      <c r="F22" s="194"/>
      <c r="G22" s="4" t="s">
        <v>0</v>
      </c>
    </row>
    <row r="23" spans="6:7" ht="18" customHeight="1">
      <c r="F23" s="194"/>
      <c r="G23" s="6" t="s">
        <v>21</v>
      </c>
    </row>
    <row r="24" spans="6:7" ht="30" customHeight="1"/>
    <row r="25" spans="6:7" ht="30" customHeight="1"/>
    <row r="26" spans="6:7" ht="30" customHeight="1"/>
    <row r="27" spans="6:7" ht="30" customHeight="1"/>
    <row r="28" spans="6:7" ht="30" customHeight="1"/>
    <row r="29" spans="6:7" ht="30" customHeight="1"/>
    <row r="30" spans="6:7" ht="30" customHeight="1"/>
    <row r="31" spans="6:7" ht="30" customHeight="1"/>
    <row r="32" spans="6:7" ht="30" customHeight="1"/>
    <row r="33" spans="1:24" s="2" customFormat="1" ht="30" customHeight="1">
      <c r="A33" s="7"/>
      <c r="C33" s="2">
        <v>5</v>
      </c>
      <c r="D33" s="2" t="s">
        <v>45</v>
      </c>
      <c r="I33" s="2" t="s">
        <v>0</v>
      </c>
      <c r="O33" s="2" t="s">
        <v>46</v>
      </c>
      <c r="X33" s="2" t="s">
        <v>54</v>
      </c>
    </row>
    <row r="34" spans="1:24" ht="30" customHeight="1"/>
    <row r="35" spans="1:24" ht="30" customHeight="1"/>
    <row r="36" spans="1:24" ht="30" customHeight="1"/>
    <row r="37" spans="1:24" ht="30" customHeight="1"/>
    <row r="38" spans="1:24" ht="30" customHeight="1"/>
    <row r="39" spans="1:24" ht="30" customHeight="1"/>
    <row r="40" spans="1:24" ht="30" customHeight="1"/>
    <row r="41" spans="1:24" ht="30" customHeight="1"/>
    <row r="42" spans="1:24" ht="30" customHeight="1"/>
    <row r="43" spans="1:24" ht="30" customHeight="1"/>
    <row r="44" spans="1:24" ht="30" customHeight="1"/>
    <row r="45" spans="1:24" ht="30" customHeight="1"/>
    <row r="46" spans="1:24" ht="30" customHeight="1"/>
    <row r="47" spans="1:24" ht="30" customHeight="1"/>
    <row r="48" spans="1:24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</sheetData>
  <mergeCells count="5">
    <mergeCell ref="F5:F7"/>
    <mergeCell ref="F9:F11"/>
    <mergeCell ref="F13:F15"/>
    <mergeCell ref="F17:F19"/>
    <mergeCell ref="F21:F23"/>
  </mergeCells>
  <hyperlinks>
    <hyperlink ref="G5" r:id="rId1"/>
    <hyperlink ref="G7" r:id="rId2"/>
    <hyperlink ref="G9" r:id="rId3"/>
    <hyperlink ref="G11" r:id="rId4"/>
    <hyperlink ref="G13" r:id="rId5"/>
    <hyperlink ref="G15" r:id="rId6"/>
    <hyperlink ref="G17" r:id="rId7"/>
    <hyperlink ref="G19" r:id="rId8"/>
    <hyperlink ref="G21" r:id="rId9"/>
    <hyperlink ref="G23" r:id="rId10"/>
  </hyperlinks>
  <pageMargins left="0.511811024" right="0.511811024" top="0.78740157499999996" bottom="0.78740157499999996" header="0.31496062000000002" footer="0.31496062000000002"/>
  <drawing r:id="rId1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40"/>
  <dimension ref="A1:C100"/>
  <sheetViews>
    <sheetView showGridLines="0" zoomScale="90" zoomScaleNormal="90" zoomScalePageLayoutView="90" workbookViewId="0">
      <selection sqref="A1:A3"/>
    </sheetView>
  </sheetViews>
  <sheetFormatPr defaultColWidth="8.85546875" defaultRowHeight="15"/>
  <cols>
    <col min="1" max="1" width="27.7109375" style="1" customWidth="1"/>
    <col min="2" max="2" width="3.85546875" customWidth="1"/>
  </cols>
  <sheetData>
    <row r="1" spans="1:3" s="13" customFormat="1" ht="33.950000000000003" customHeight="1">
      <c r="A1" s="140" t="s">
        <v>118</v>
      </c>
      <c r="C1" s="14" t="s">
        <v>20</v>
      </c>
    </row>
    <row r="2" spans="1:3" s="13" customFormat="1" ht="21.6" customHeight="1">
      <c r="A2" s="141"/>
    </row>
    <row r="3" spans="1:3" s="13" customFormat="1" ht="21.6" customHeight="1">
      <c r="A3" s="141"/>
    </row>
    <row r="4" spans="1:3" ht="30" customHeight="1"/>
    <row r="5" spans="1:3" ht="30" customHeight="1"/>
    <row r="6" spans="1:3" ht="30" customHeight="1"/>
    <row r="7" spans="1:3" ht="30" customHeight="1"/>
    <row r="8" spans="1:3" ht="30" customHeight="1"/>
    <row r="9" spans="1:3" ht="30" customHeight="1"/>
    <row r="10" spans="1:3" ht="30" customHeight="1"/>
    <row r="11" spans="1:3" ht="30" customHeight="1"/>
    <row r="12" spans="1:3" ht="30" customHeight="1"/>
    <row r="13" spans="1:3" ht="30" customHeight="1"/>
    <row r="14" spans="1:3" ht="30" customHeight="1"/>
    <row r="15" spans="1:3" ht="30" customHeight="1"/>
    <row r="16" spans="1:3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2"/>
  <dimension ref="A1:AE101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42" customWidth="1"/>
    <col min="2" max="2" width="3.85546875" style="43" customWidth="1"/>
    <col min="3" max="3" width="10" style="43" customWidth="1"/>
    <col min="4" max="4" width="57.140625" style="43" customWidth="1"/>
    <col min="5" max="6" width="34.28515625" style="43" customWidth="1"/>
    <col min="7" max="29" width="8.85546875" style="49"/>
    <col min="30" max="31" width="8.85546875" style="108"/>
    <col min="32" max="16384" width="8.85546875" style="43"/>
  </cols>
  <sheetData>
    <row r="1" spans="1:31" s="40" customFormat="1" ht="33.950000000000003" customHeight="1">
      <c r="A1" s="142" t="s">
        <v>177</v>
      </c>
      <c r="C1" s="41" t="s">
        <v>17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0"/>
      <c r="AE1" s="110"/>
    </row>
    <row r="2" spans="1:31" s="40" customFormat="1" ht="21.6" customHeight="1">
      <c r="A2" s="143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10"/>
      <c r="AE2" s="110"/>
    </row>
    <row r="3" spans="1:31" s="40" customFormat="1" ht="21.6" customHeight="1">
      <c r="A3" s="143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10"/>
      <c r="AE3" s="110"/>
    </row>
    <row r="4" spans="1:31" ht="30" customHeight="1" thickBot="1"/>
    <row r="5" spans="1:31" ht="37.5" customHeight="1" thickTop="1" thickBot="1">
      <c r="C5" s="152" t="s">
        <v>58</v>
      </c>
      <c r="D5" s="152"/>
      <c r="E5" s="150"/>
      <c r="F5" s="151"/>
    </row>
    <row r="6" spans="1:31" ht="37.5" customHeight="1" thickTop="1" thickBot="1">
      <c r="C6" s="152" t="s">
        <v>160</v>
      </c>
      <c r="D6" s="152"/>
      <c r="E6" s="150"/>
      <c r="F6" s="151"/>
      <c r="G6" s="49" t="b">
        <f>IF(PG!E6=10,1-PRODUCT(DM!E23:O23),IF(PG!E6=5,1-PRODUCT(DM!E23:O23)))</f>
        <v>0</v>
      </c>
    </row>
    <row r="7" spans="1:31" ht="37.5" customHeight="1" thickTop="1" thickBot="1">
      <c r="C7" s="152" t="s">
        <v>59</v>
      </c>
      <c r="D7" s="152"/>
      <c r="E7" s="16"/>
      <c r="F7" s="69" t="s">
        <v>63</v>
      </c>
      <c r="H7" s="51" t="s">
        <v>64</v>
      </c>
    </row>
    <row r="8" spans="1:31" ht="37.5" customHeight="1" thickTop="1" thickBot="1">
      <c r="C8" s="152" t="s">
        <v>60</v>
      </c>
      <c r="D8" s="152"/>
      <c r="E8" s="153"/>
      <c r="F8" s="151"/>
      <c r="H8" s="51" t="s">
        <v>65</v>
      </c>
    </row>
    <row r="9" spans="1:31" ht="37.5" customHeight="1" thickTop="1" thickBot="1">
      <c r="C9" s="152" t="s">
        <v>61</v>
      </c>
      <c r="D9" s="152"/>
      <c r="E9" s="153"/>
      <c r="F9" s="151"/>
      <c r="H9" s="51" t="s">
        <v>66</v>
      </c>
      <c r="K9" s="101"/>
    </row>
    <row r="10" spans="1:31" ht="37.5" customHeight="1" thickTop="1" thickBot="1">
      <c r="C10" s="152" t="s">
        <v>62</v>
      </c>
      <c r="D10" s="152"/>
      <c r="E10" s="150"/>
      <c r="F10" s="151"/>
      <c r="H10" s="51" t="s">
        <v>67</v>
      </c>
      <c r="K10" s="101"/>
    </row>
    <row r="11" spans="1:31" ht="45" customHeight="1" thickTop="1" thickBot="1">
      <c r="C11" s="52" t="s">
        <v>57</v>
      </c>
      <c r="D11" s="149" t="s">
        <v>69</v>
      </c>
      <c r="E11" s="149"/>
      <c r="F11" s="149"/>
      <c r="H11" s="51" t="s">
        <v>68</v>
      </c>
    </row>
    <row r="12" spans="1:31" ht="30" customHeight="1" thickTop="1"/>
    <row r="13" spans="1:31" ht="30" customHeight="1"/>
    <row r="14" spans="1:31" ht="30" customHeight="1"/>
    <row r="15" spans="1:31" ht="30" customHeight="1"/>
    <row r="16" spans="1:31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/>
    <row r="101"/>
  </sheetData>
  <sheetProtection selectLockedCells="1"/>
  <mergeCells count="12">
    <mergeCell ref="D11:F11"/>
    <mergeCell ref="E5:F5"/>
    <mergeCell ref="C10:D10"/>
    <mergeCell ref="E10:F10"/>
    <mergeCell ref="C5:D5"/>
    <mergeCell ref="C6:D6"/>
    <mergeCell ref="C7:D7"/>
    <mergeCell ref="C8:D8"/>
    <mergeCell ref="C9:D9"/>
    <mergeCell ref="E6:F6"/>
    <mergeCell ref="E8:F8"/>
    <mergeCell ref="E9:F9"/>
  </mergeCells>
  <conditionalFormatting sqref="I10:O10">
    <cfRule type="expression" priority="2">
      <formula>$E$6=3</formula>
    </cfRule>
  </conditionalFormatting>
  <dataValidations count="3">
    <dataValidation type="list" allowBlank="1" showInputMessage="1" showErrorMessage="1" sqref="E6:F6">
      <formula1>"1,2,3,4,5,6,7,8,9,10"</formula1>
    </dataValidation>
    <dataValidation type="list" allowBlank="1" showInputMessage="1" showErrorMessage="1" sqref="E10:F10">
      <formula1>"Alto risco,Baixo risco"</formula1>
    </dataValidation>
    <dataValidation type="list" allowBlank="1" showInputMessage="1" showErrorMessage="1" sqref="E5:F5">
      <formula1>$H$7:$H$11</formula1>
    </dataValidation>
  </dataValidations>
  <hyperlinks>
    <hyperlink ref="F7" r:id="rId1"/>
  </hyperlinks>
  <pageMargins left="0.511811024" right="0.511811024" top="0.78740157499999996" bottom="0.78740157499999996" header="0.31496062000000002" footer="0.31496062000000002"/>
  <pageSetup paperSize="9" orientation="portrait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1"/>
  <dimension ref="A1:AA100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B1" sqref="B1"/>
    </sheetView>
  </sheetViews>
  <sheetFormatPr defaultColWidth="8.85546875" defaultRowHeight="0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4" width="22.85546875" style="48" customWidth="1"/>
    <col min="15" max="16" width="20" style="43" customWidth="1"/>
    <col min="17" max="17" width="8.85546875" style="43"/>
    <col min="18" max="27" width="8.85546875" style="48"/>
    <col min="28" max="16384" width="8.85546875" style="43"/>
  </cols>
  <sheetData>
    <row r="1" spans="1:27" s="40" customFormat="1" ht="33.950000000000003" customHeight="1">
      <c r="A1" s="142" t="s">
        <v>118</v>
      </c>
      <c r="C1" s="41" t="s">
        <v>17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30" customHeight="1" thickBot="1"/>
    <row r="5" spans="1:27" ht="37.5" customHeight="1" thickTop="1" thickBot="1">
      <c r="C5" s="54" t="s">
        <v>72</v>
      </c>
      <c r="D5" s="77" t="s">
        <v>71</v>
      </c>
      <c r="E5" s="77" t="s">
        <v>70</v>
      </c>
      <c r="F5" s="77" t="s">
        <v>77</v>
      </c>
      <c r="G5" s="77" t="s">
        <v>78</v>
      </c>
      <c r="H5" s="77" t="s">
        <v>79</v>
      </c>
      <c r="I5" s="77" t="s">
        <v>80</v>
      </c>
      <c r="J5" s="77" t="s">
        <v>81</v>
      </c>
      <c r="K5" s="77" t="s">
        <v>82</v>
      </c>
      <c r="L5" s="77" t="s">
        <v>83</v>
      </c>
      <c r="M5" s="77" t="s">
        <v>84</v>
      </c>
      <c r="N5" s="77" t="s">
        <v>85</v>
      </c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30" customHeight="1" thickTop="1" thickBot="1">
      <c r="C6" s="74" t="s">
        <v>73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30" customHeight="1" thickTop="1">
      <c r="C7" s="17" t="s">
        <v>75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30" customHeight="1">
      <c r="C8" s="18" t="s">
        <v>75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30" customHeight="1">
      <c r="C9" s="18" t="s">
        <v>75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30" customHeight="1">
      <c r="C10" s="18" t="s">
        <v>75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30" customHeight="1">
      <c r="C11" s="18" t="s">
        <v>75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30" customHeight="1">
      <c r="C12" s="18" t="s">
        <v>75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30" customHeight="1">
      <c r="C13" s="18" t="s">
        <v>75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30" customHeight="1">
      <c r="C14" s="18" t="s">
        <v>75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30" customHeight="1">
      <c r="C15" s="18" t="s">
        <v>75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30" customHeight="1" thickBot="1">
      <c r="C16" s="19" t="s">
        <v>75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3:27" ht="30" customHeight="1" thickTop="1" thickBot="1">
      <c r="C17" s="70" t="s">
        <v>74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3:27" ht="30" customHeight="1" thickTop="1">
      <c r="C18" s="17" t="s">
        <v>75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3:27" ht="30" customHeight="1">
      <c r="C19" s="18" t="s">
        <v>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3:27" ht="30" customHeight="1">
      <c r="C20" s="18" t="s">
        <v>75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3:27" ht="30" customHeight="1">
      <c r="C21" s="18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3:27" ht="30" customHeight="1">
      <c r="C22" s="18" t="s">
        <v>75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3:27" ht="30" customHeight="1">
      <c r="C23" s="18" t="s">
        <v>75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3:27" ht="30" customHeight="1">
      <c r="C24" s="18" t="s">
        <v>75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3:27" ht="30" customHeight="1">
      <c r="C25" s="18" t="s">
        <v>75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3:27" ht="30" customHeight="1">
      <c r="C26" s="18" t="s">
        <v>75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3:27" ht="30" customHeight="1">
      <c r="C27" s="18" t="s">
        <v>75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3:27" ht="30" customHeight="1"/>
    <row r="29" spans="3:27" ht="30" customHeight="1">
      <c r="D29" s="50">
        <f>SUM(D7:D16,D18:D27)</f>
        <v>0</v>
      </c>
      <c r="E29" s="50">
        <f t="shared" ref="E29:N29" si="0">SUM(E7:E16,E18:E27)</f>
        <v>0</v>
      </c>
      <c r="F29" s="50">
        <f t="shared" si="0"/>
        <v>0</v>
      </c>
      <c r="G29" s="50">
        <f t="shared" si="0"/>
        <v>0</v>
      </c>
      <c r="H29" s="50">
        <f t="shared" si="0"/>
        <v>0</v>
      </c>
      <c r="I29" s="50">
        <f t="shared" si="0"/>
        <v>0</v>
      </c>
      <c r="J29" s="50">
        <f t="shared" si="0"/>
        <v>0</v>
      </c>
      <c r="K29" s="50">
        <f t="shared" si="0"/>
        <v>0</v>
      </c>
      <c r="L29" s="50">
        <f t="shared" si="0"/>
        <v>0</v>
      </c>
      <c r="M29" s="50">
        <f t="shared" si="0"/>
        <v>0</v>
      </c>
      <c r="N29" s="50">
        <f t="shared" si="0"/>
        <v>0</v>
      </c>
      <c r="O29" s="90"/>
      <c r="P29" s="90"/>
    </row>
    <row r="30" spans="3:27" ht="30" customHeight="1"/>
    <row r="31" spans="3:27" ht="30" customHeight="1"/>
    <row r="32" spans="3:2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9CFD3D-B166-4A66-8F99-EBCDB73FB25E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F5:N27</xm:sqref>
        </x14:conditionalFormatting>
        <x14:conditionalFormatting xmlns:xm="http://schemas.microsoft.com/office/excel/2006/main">
          <x14:cfRule type="expression" priority="2" id="{45C4916D-ED5E-454D-B262-BCDA7FBD94DC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G5:N27</xm:sqref>
        </x14:conditionalFormatting>
        <x14:conditionalFormatting xmlns:xm="http://schemas.microsoft.com/office/excel/2006/main">
          <x14:cfRule type="expression" priority="3" id="{371876B7-F360-405F-9ABF-8655D3F2D0D3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H5:N27</xm:sqref>
        </x14:conditionalFormatting>
        <x14:conditionalFormatting xmlns:xm="http://schemas.microsoft.com/office/excel/2006/main">
          <x14:cfRule type="expression" priority="4" id="{4CFBDFAF-1341-40AD-82E6-FCE1FB5F9693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I5:N27</xm:sqref>
        </x14:conditionalFormatting>
        <x14:conditionalFormatting xmlns:xm="http://schemas.microsoft.com/office/excel/2006/main">
          <x14:cfRule type="expression" priority="5" id="{60CAEAA7-E8CC-4154-B7A3-74D91863F499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J5:N27</xm:sqref>
        </x14:conditionalFormatting>
        <x14:conditionalFormatting xmlns:xm="http://schemas.microsoft.com/office/excel/2006/main">
          <x14:cfRule type="expression" priority="6" id="{571AA7B1-BAD2-4338-8C39-E70928360728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K5:N27</xm:sqref>
        </x14:conditionalFormatting>
        <x14:conditionalFormatting xmlns:xm="http://schemas.microsoft.com/office/excel/2006/main">
          <x14:cfRule type="expression" priority="7" id="{8567D94D-5444-4FC0-B93A-0783F0E5ECE1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L5:N27</xm:sqref>
        </x14:conditionalFormatting>
        <x14:conditionalFormatting xmlns:xm="http://schemas.microsoft.com/office/excel/2006/main">
          <x14:cfRule type="expression" priority="8" id="{5C1CA5C6-ABAD-4958-97B0-F473B865127E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M5:N27</xm:sqref>
        </x14:conditionalFormatting>
        <x14:conditionalFormatting xmlns:xm="http://schemas.microsoft.com/office/excel/2006/main">
          <x14:cfRule type="expression" priority="9" id="{0AED349C-3FFE-4071-8317-BE098B20D885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N5:N27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2"/>
  <dimension ref="A1:S1048576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B1" sqref="B1"/>
    </sheetView>
  </sheetViews>
  <sheetFormatPr defaultColWidth="8.85546875" defaultRowHeight="0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5" width="22.85546875" style="48" customWidth="1"/>
    <col min="16" max="17" width="14.28515625" style="43" customWidth="1"/>
    <col min="18" max="18" width="11.140625" style="43" bestFit="1" customWidth="1"/>
    <col min="19" max="19" width="10" style="43" bestFit="1" customWidth="1"/>
    <col min="20" max="16384" width="8.85546875" style="43"/>
  </cols>
  <sheetData>
    <row r="1" spans="1:15" s="40" customFormat="1" ht="33.950000000000003" customHeight="1">
      <c r="A1" s="142" t="s">
        <v>118</v>
      </c>
      <c r="C1" s="41" t="s">
        <v>17</v>
      </c>
      <c r="D1" s="8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ht="30" customHeight="1" thickBot="1"/>
    <row r="5" spans="1:15" ht="37.5" customHeight="1" thickTop="1" thickBot="1">
      <c r="C5" s="54" t="s">
        <v>158</v>
      </c>
      <c r="D5" s="77" t="s">
        <v>102</v>
      </c>
      <c r="E5" s="77" t="s">
        <v>71</v>
      </c>
      <c r="F5" s="77" t="s">
        <v>70</v>
      </c>
      <c r="G5" s="77" t="s">
        <v>77</v>
      </c>
      <c r="H5" s="77" t="s">
        <v>78</v>
      </c>
      <c r="I5" s="77" t="s">
        <v>79</v>
      </c>
      <c r="J5" s="77" t="s">
        <v>80</v>
      </c>
      <c r="K5" s="77" t="s">
        <v>81</v>
      </c>
      <c r="L5" s="77" t="s">
        <v>82</v>
      </c>
      <c r="M5" s="77" t="s">
        <v>83</v>
      </c>
      <c r="N5" s="77" t="s">
        <v>84</v>
      </c>
      <c r="O5" s="77" t="s">
        <v>85</v>
      </c>
    </row>
    <row r="6" spans="1:15" ht="30" customHeight="1" thickTop="1">
      <c r="C6" s="17" t="s">
        <v>76</v>
      </c>
      <c r="D6" s="80"/>
      <c r="E6" s="78"/>
      <c r="F6" s="87"/>
      <c r="G6" s="88"/>
      <c r="H6" s="88"/>
      <c r="I6" s="88"/>
      <c r="J6" s="89"/>
      <c r="K6" s="89"/>
      <c r="L6" s="89"/>
      <c r="M6" s="89"/>
      <c r="N6" s="89"/>
      <c r="O6" s="88"/>
    </row>
    <row r="7" spans="1:15" ht="30" customHeight="1">
      <c r="C7" s="18" t="s">
        <v>76</v>
      </c>
      <c r="D7" s="81"/>
      <c r="E7" s="79"/>
      <c r="F7" s="79"/>
      <c r="G7" s="86"/>
      <c r="H7" s="86"/>
      <c r="I7" s="86"/>
      <c r="J7" s="86"/>
      <c r="K7" s="86"/>
      <c r="L7" s="86"/>
      <c r="M7" s="86"/>
      <c r="N7" s="86"/>
      <c r="O7" s="86"/>
    </row>
    <row r="8" spans="1:15" ht="30" customHeight="1">
      <c r="C8" s="18" t="s">
        <v>76</v>
      </c>
      <c r="D8" s="8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1:15" ht="30" customHeight="1">
      <c r="C9" s="18" t="s">
        <v>76</v>
      </c>
      <c r="D9" s="8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5" ht="30" customHeight="1">
      <c r="C10" s="18" t="s">
        <v>76</v>
      </c>
      <c r="D10" s="8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 spans="1:15" ht="30" customHeight="1">
      <c r="C11" s="18" t="s">
        <v>76</v>
      </c>
      <c r="D11" s="81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 ht="30" customHeight="1">
      <c r="C12" s="18" t="s">
        <v>76</v>
      </c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 ht="30" customHeight="1">
      <c r="C13" s="18" t="s">
        <v>76</v>
      </c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 ht="30" customHeight="1">
      <c r="C14" s="18" t="s">
        <v>76</v>
      </c>
      <c r="D14" s="8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1:15" ht="30" customHeight="1">
      <c r="C15" s="18" t="s">
        <v>76</v>
      </c>
      <c r="D15" s="81"/>
      <c r="E15" s="79"/>
      <c r="F15" s="82"/>
      <c r="G15" s="79"/>
      <c r="H15" s="79"/>
      <c r="I15" s="79"/>
      <c r="J15" s="79"/>
      <c r="K15" s="79"/>
      <c r="L15" s="79"/>
      <c r="M15" s="79"/>
      <c r="N15" s="79"/>
      <c r="O15" s="79"/>
    </row>
    <row r="16" spans="1:15" s="49" customFormat="1" ht="30" customHeight="1">
      <c r="A16" s="11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s="49" customFormat="1" ht="30" customHeight="1">
      <c r="A17" s="118"/>
      <c r="C17" s="103">
        <v>1</v>
      </c>
      <c r="D17" s="119">
        <f>D6</f>
        <v>0</v>
      </c>
      <c r="E17" s="120">
        <f>E6</f>
        <v>0</v>
      </c>
      <c r="F17" s="120">
        <f>$E17*$D17</f>
        <v>0</v>
      </c>
      <c r="G17" s="120">
        <f t="shared" ref="G17:O26" si="0">$E17*$D17</f>
        <v>0</v>
      </c>
      <c r="H17" s="120">
        <f t="shared" si="0"/>
        <v>0</v>
      </c>
      <c r="I17" s="120">
        <f t="shared" si="0"/>
        <v>0</v>
      </c>
      <c r="J17" s="120">
        <f t="shared" si="0"/>
        <v>0</v>
      </c>
      <c r="K17" s="120">
        <f t="shared" si="0"/>
        <v>0</v>
      </c>
      <c r="L17" s="120">
        <f t="shared" si="0"/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</row>
    <row r="18" spans="1:15" s="49" customFormat="1" ht="30" customHeight="1">
      <c r="A18" s="118"/>
      <c r="C18" s="103">
        <v>2</v>
      </c>
      <c r="D18" s="119">
        <f t="shared" ref="D18:D26" si="1">D7</f>
        <v>0</v>
      </c>
      <c r="E18" s="120">
        <f t="shared" ref="E18:E26" si="2">E7</f>
        <v>0</v>
      </c>
      <c r="F18" s="120">
        <f t="shared" ref="F18:F26" si="3">$E18*$D18</f>
        <v>0</v>
      </c>
      <c r="G18" s="120">
        <f t="shared" si="0"/>
        <v>0</v>
      </c>
      <c r="H18" s="120">
        <f t="shared" si="0"/>
        <v>0</v>
      </c>
      <c r="I18" s="120">
        <f t="shared" si="0"/>
        <v>0</v>
      </c>
      <c r="J18" s="120">
        <f t="shared" si="0"/>
        <v>0</v>
      </c>
      <c r="K18" s="120">
        <f t="shared" si="0"/>
        <v>0</v>
      </c>
      <c r="L18" s="120">
        <f t="shared" si="0"/>
        <v>0</v>
      </c>
      <c r="M18" s="120">
        <f t="shared" si="0"/>
        <v>0</v>
      </c>
      <c r="N18" s="120">
        <f t="shared" si="0"/>
        <v>0</v>
      </c>
      <c r="O18" s="120">
        <f t="shared" si="0"/>
        <v>0</v>
      </c>
    </row>
    <row r="19" spans="1:15" s="49" customFormat="1" ht="30" customHeight="1">
      <c r="A19" s="118"/>
      <c r="C19" s="103">
        <v>3</v>
      </c>
      <c r="D19" s="119">
        <f t="shared" si="1"/>
        <v>0</v>
      </c>
      <c r="E19" s="120">
        <f t="shared" si="2"/>
        <v>0</v>
      </c>
      <c r="F19" s="120">
        <f t="shared" si="3"/>
        <v>0</v>
      </c>
      <c r="G19" s="120">
        <f t="shared" si="0"/>
        <v>0</v>
      </c>
      <c r="H19" s="120">
        <f t="shared" si="0"/>
        <v>0</v>
      </c>
      <c r="I19" s="120">
        <f t="shared" si="0"/>
        <v>0</v>
      </c>
      <c r="J19" s="120">
        <f t="shared" si="0"/>
        <v>0</v>
      </c>
      <c r="K19" s="120">
        <f t="shared" si="0"/>
        <v>0</v>
      </c>
      <c r="L19" s="120">
        <f t="shared" si="0"/>
        <v>0</v>
      </c>
      <c r="M19" s="120">
        <f t="shared" si="0"/>
        <v>0</v>
      </c>
      <c r="N19" s="120">
        <f t="shared" si="0"/>
        <v>0</v>
      </c>
      <c r="O19" s="120">
        <f t="shared" si="0"/>
        <v>0</v>
      </c>
    </row>
    <row r="20" spans="1:15" s="49" customFormat="1" ht="30" customHeight="1">
      <c r="A20" s="118"/>
      <c r="C20" s="103">
        <v>4</v>
      </c>
      <c r="D20" s="119">
        <f t="shared" si="1"/>
        <v>0</v>
      </c>
      <c r="E20" s="120">
        <f t="shared" si="2"/>
        <v>0</v>
      </c>
      <c r="F20" s="120">
        <f t="shared" si="3"/>
        <v>0</v>
      </c>
      <c r="G20" s="120">
        <f t="shared" si="0"/>
        <v>0</v>
      </c>
      <c r="H20" s="120">
        <f t="shared" si="0"/>
        <v>0</v>
      </c>
      <c r="I20" s="120">
        <f t="shared" si="0"/>
        <v>0</v>
      </c>
      <c r="J20" s="120">
        <f t="shared" si="0"/>
        <v>0</v>
      </c>
      <c r="K20" s="120">
        <f t="shared" si="0"/>
        <v>0</v>
      </c>
      <c r="L20" s="120">
        <f t="shared" si="0"/>
        <v>0</v>
      </c>
      <c r="M20" s="120">
        <f t="shared" si="0"/>
        <v>0</v>
      </c>
      <c r="N20" s="120">
        <f t="shared" si="0"/>
        <v>0</v>
      </c>
      <c r="O20" s="120">
        <f t="shared" si="0"/>
        <v>0</v>
      </c>
    </row>
    <row r="21" spans="1:15" s="49" customFormat="1" ht="30" customHeight="1">
      <c r="A21" s="118"/>
      <c r="C21" s="103">
        <v>5</v>
      </c>
      <c r="D21" s="119">
        <f t="shared" si="1"/>
        <v>0</v>
      </c>
      <c r="E21" s="120">
        <f t="shared" si="2"/>
        <v>0</v>
      </c>
      <c r="F21" s="120">
        <f t="shared" si="3"/>
        <v>0</v>
      </c>
      <c r="G21" s="120">
        <f t="shared" si="0"/>
        <v>0</v>
      </c>
      <c r="H21" s="120">
        <f t="shared" si="0"/>
        <v>0</v>
      </c>
      <c r="I21" s="120">
        <f t="shared" si="0"/>
        <v>0</v>
      </c>
      <c r="J21" s="120">
        <f t="shared" si="0"/>
        <v>0</v>
      </c>
      <c r="K21" s="120">
        <f t="shared" si="0"/>
        <v>0</v>
      </c>
      <c r="L21" s="120">
        <f t="shared" si="0"/>
        <v>0</v>
      </c>
      <c r="M21" s="120">
        <f t="shared" si="0"/>
        <v>0</v>
      </c>
      <c r="N21" s="120">
        <f t="shared" si="0"/>
        <v>0</v>
      </c>
      <c r="O21" s="120">
        <f t="shared" si="0"/>
        <v>0</v>
      </c>
    </row>
    <row r="22" spans="1:15" s="49" customFormat="1" ht="30" customHeight="1">
      <c r="A22" s="118"/>
      <c r="C22" s="103">
        <v>6</v>
      </c>
      <c r="D22" s="119">
        <f t="shared" si="1"/>
        <v>0</v>
      </c>
      <c r="E22" s="120">
        <f t="shared" si="2"/>
        <v>0</v>
      </c>
      <c r="F22" s="120">
        <f t="shared" si="3"/>
        <v>0</v>
      </c>
      <c r="G22" s="120">
        <f t="shared" si="0"/>
        <v>0</v>
      </c>
      <c r="H22" s="120">
        <f t="shared" si="0"/>
        <v>0</v>
      </c>
      <c r="I22" s="120">
        <f t="shared" si="0"/>
        <v>0</v>
      </c>
      <c r="J22" s="120">
        <f t="shared" si="0"/>
        <v>0</v>
      </c>
      <c r="K22" s="120">
        <f t="shared" si="0"/>
        <v>0</v>
      </c>
      <c r="L22" s="120">
        <f t="shared" si="0"/>
        <v>0</v>
      </c>
      <c r="M22" s="120">
        <f t="shared" si="0"/>
        <v>0</v>
      </c>
      <c r="N22" s="120">
        <f t="shared" si="0"/>
        <v>0</v>
      </c>
      <c r="O22" s="120">
        <f t="shared" si="0"/>
        <v>0</v>
      </c>
    </row>
    <row r="23" spans="1:15" s="49" customFormat="1" ht="30" customHeight="1">
      <c r="A23" s="118"/>
      <c r="C23" s="103">
        <v>7</v>
      </c>
      <c r="D23" s="119">
        <f t="shared" si="1"/>
        <v>0</v>
      </c>
      <c r="E23" s="120">
        <f t="shared" si="2"/>
        <v>0</v>
      </c>
      <c r="F23" s="120">
        <f t="shared" si="3"/>
        <v>0</v>
      </c>
      <c r="G23" s="120">
        <f t="shared" si="0"/>
        <v>0</v>
      </c>
      <c r="H23" s="120">
        <f t="shared" si="0"/>
        <v>0</v>
      </c>
      <c r="I23" s="120">
        <f t="shared" si="0"/>
        <v>0</v>
      </c>
      <c r="J23" s="120">
        <f t="shared" si="0"/>
        <v>0</v>
      </c>
      <c r="K23" s="120">
        <f t="shared" si="0"/>
        <v>0</v>
      </c>
      <c r="L23" s="120">
        <f t="shared" si="0"/>
        <v>0</v>
      </c>
      <c r="M23" s="120">
        <f t="shared" si="0"/>
        <v>0</v>
      </c>
      <c r="N23" s="120">
        <f t="shared" si="0"/>
        <v>0</v>
      </c>
      <c r="O23" s="120">
        <f t="shared" si="0"/>
        <v>0</v>
      </c>
    </row>
    <row r="24" spans="1:15" s="49" customFormat="1" ht="30" customHeight="1">
      <c r="A24" s="118"/>
      <c r="C24" s="103">
        <v>8</v>
      </c>
      <c r="D24" s="119">
        <f t="shared" si="1"/>
        <v>0</v>
      </c>
      <c r="E24" s="120">
        <f t="shared" si="2"/>
        <v>0</v>
      </c>
      <c r="F24" s="120">
        <f t="shared" si="3"/>
        <v>0</v>
      </c>
      <c r="G24" s="120">
        <f t="shared" si="0"/>
        <v>0</v>
      </c>
      <c r="H24" s="120">
        <f t="shared" si="0"/>
        <v>0</v>
      </c>
      <c r="I24" s="120">
        <f t="shared" si="0"/>
        <v>0</v>
      </c>
      <c r="J24" s="120">
        <f t="shared" si="0"/>
        <v>0</v>
      </c>
      <c r="K24" s="120">
        <f t="shared" si="0"/>
        <v>0</v>
      </c>
      <c r="L24" s="120">
        <f t="shared" si="0"/>
        <v>0</v>
      </c>
      <c r="M24" s="120">
        <f t="shared" si="0"/>
        <v>0</v>
      </c>
      <c r="N24" s="120">
        <f t="shared" si="0"/>
        <v>0</v>
      </c>
      <c r="O24" s="120">
        <f t="shared" si="0"/>
        <v>0</v>
      </c>
    </row>
    <row r="25" spans="1:15" s="49" customFormat="1" ht="30" customHeight="1">
      <c r="A25" s="118"/>
      <c r="C25" s="103">
        <v>9</v>
      </c>
      <c r="D25" s="119">
        <f t="shared" si="1"/>
        <v>0</v>
      </c>
      <c r="E25" s="120">
        <f t="shared" si="2"/>
        <v>0</v>
      </c>
      <c r="F25" s="120">
        <f t="shared" si="3"/>
        <v>0</v>
      </c>
      <c r="G25" s="120">
        <f t="shared" si="0"/>
        <v>0</v>
      </c>
      <c r="H25" s="120">
        <f t="shared" si="0"/>
        <v>0</v>
      </c>
      <c r="I25" s="120">
        <f t="shared" si="0"/>
        <v>0</v>
      </c>
      <c r="J25" s="120">
        <f t="shared" si="0"/>
        <v>0</v>
      </c>
      <c r="K25" s="120">
        <f t="shared" si="0"/>
        <v>0</v>
      </c>
      <c r="L25" s="120">
        <f t="shared" si="0"/>
        <v>0</v>
      </c>
      <c r="M25" s="120">
        <f t="shared" si="0"/>
        <v>0</v>
      </c>
      <c r="N25" s="120">
        <f t="shared" si="0"/>
        <v>0</v>
      </c>
      <c r="O25" s="120">
        <f t="shared" si="0"/>
        <v>0</v>
      </c>
    </row>
    <row r="26" spans="1:15" s="49" customFormat="1" ht="30" customHeight="1">
      <c r="A26" s="118"/>
      <c r="C26" s="103">
        <v>10</v>
      </c>
      <c r="D26" s="119">
        <f t="shared" si="1"/>
        <v>0</v>
      </c>
      <c r="E26" s="120">
        <f t="shared" si="2"/>
        <v>0</v>
      </c>
      <c r="F26" s="120">
        <f t="shared" si="3"/>
        <v>0</v>
      </c>
      <c r="G26" s="120">
        <f t="shared" si="0"/>
        <v>0</v>
      </c>
      <c r="H26" s="120">
        <f t="shared" si="0"/>
        <v>0</v>
      </c>
      <c r="I26" s="120">
        <f t="shared" si="0"/>
        <v>0</v>
      </c>
      <c r="J26" s="120">
        <f t="shared" si="0"/>
        <v>0</v>
      </c>
      <c r="K26" s="120">
        <f t="shared" si="0"/>
        <v>0</v>
      </c>
      <c r="L26" s="120">
        <f t="shared" si="0"/>
        <v>0</v>
      </c>
      <c r="M26" s="120">
        <f t="shared" si="0"/>
        <v>0</v>
      </c>
      <c r="N26" s="120">
        <f t="shared" si="0"/>
        <v>0</v>
      </c>
      <c r="O26" s="120">
        <f t="shared" si="0"/>
        <v>0</v>
      </c>
    </row>
    <row r="27" spans="1:15" s="49" customFormat="1" ht="30" customHeight="1">
      <c r="A27" s="118"/>
      <c r="C27" s="103">
        <v>11</v>
      </c>
      <c r="D27" s="103"/>
      <c r="E27" s="103"/>
      <c r="F27" s="120">
        <f>F6</f>
        <v>0</v>
      </c>
      <c r="G27" s="103">
        <f>$F27*$D17</f>
        <v>0</v>
      </c>
      <c r="H27" s="103">
        <f t="shared" ref="H27:O27" si="4">$F27*$D17</f>
        <v>0</v>
      </c>
      <c r="I27" s="103">
        <f t="shared" si="4"/>
        <v>0</v>
      </c>
      <c r="J27" s="103">
        <f t="shared" si="4"/>
        <v>0</v>
      </c>
      <c r="K27" s="103">
        <f t="shared" si="4"/>
        <v>0</v>
      </c>
      <c r="L27" s="103">
        <f t="shared" si="4"/>
        <v>0</v>
      </c>
      <c r="M27" s="103">
        <f t="shared" si="4"/>
        <v>0</v>
      </c>
      <c r="N27" s="103">
        <f t="shared" si="4"/>
        <v>0</v>
      </c>
      <c r="O27" s="103">
        <f t="shared" si="4"/>
        <v>0</v>
      </c>
    </row>
    <row r="28" spans="1:15" s="49" customFormat="1" ht="30" customHeight="1">
      <c r="A28" s="118"/>
      <c r="C28" s="103">
        <v>12</v>
      </c>
      <c r="D28" s="103"/>
      <c r="E28" s="103"/>
      <c r="F28" s="120">
        <f t="shared" ref="F28:F36" si="5">F7</f>
        <v>0</v>
      </c>
      <c r="G28" s="103">
        <f t="shared" ref="G28:O36" si="6">$F28*$D18</f>
        <v>0</v>
      </c>
      <c r="H28" s="103">
        <f t="shared" si="6"/>
        <v>0</v>
      </c>
      <c r="I28" s="103">
        <f t="shared" si="6"/>
        <v>0</v>
      </c>
      <c r="J28" s="103">
        <f t="shared" si="6"/>
        <v>0</v>
      </c>
      <c r="K28" s="103">
        <f t="shared" si="6"/>
        <v>0</v>
      </c>
      <c r="L28" s="103">
        <f t="shared" si="6"/>
        <v>0</v>
      </c>
      <c r="M28" s="103">
        <f t="shared" si="6"/>
        <v>0</v>
      </c>
      <c r="N28" s="103">
        <f t="shared" si="6"/>
        <v>0</v>
      </c>
      <c r="O28" s="103">
        <f t="shared" si="6"/>
        <v>0</v>
      </c>
    </row>
    <row r="29" spans="1:15" s="49" customFormat="1" ht="30" customHeight="1">
      <c r="A29" s="118"/>
      <c r="C29" s="103">
        <v>13</v>
      </c>
      <c r="D29" s="103"/>
      <c r="E29" s="103"/>
      <c r="F29" s="120">
        <f t="shared" si="5"/>
        <v>0</v>
      </c>
      <c r="G29" s="103">
        <f t="shared" si="6"/>
        <v>0</v>
      </c>
      <c r="H29" s="103">
        <f t="shared" si="6"/>
        <v>0</v>
      </c>
      <c r="I29" s="103">
        <f t="shared" si="6"/>
        <v>0</v>
      </c>
      <c r="J29" s="103">
        <f t="shared" si="6"/>
        <v>0</v>
      </c>
      <c r="K29" s="103">
        <f t="shared" si="6"/>
        <v>0</v>
      </c>
      <c r="L29" s="103">
        <f t="shared" si="6"/>
        <v>0</v>
      </c>
      <c r="M29" s="103">
        <f t="shared" si="6"/>
        <v>0</v>
      </c>
      <c r="N29" s="103">
        <f t="shared" si="6"/>
        <v>0</v>
      </c>
      <c r="O29" s="103">
        <f t="shared" si="6"/>
        <v>0</v>
      </c>
    </row>
    <row r="30" spans="1:15" s="49" customFormat="1" ht="30" customHeight="1">
      <c r="A30" s="118"/>
      <c r="C30" s="103">
        <v>14</v>
      </c>
      <c r="D30" s="103"/>
      <c r="E30" s="103"/>
      <c r="F30" s="120">
        <f t="shared" si="5"/>
        <v>0</v>
      </c>
      <c r="G30" s="103">
        <f t="shared" si="6"/>
        <v>0</v>
      </c>
      <c r="H30" s="103">
        <f t="shared" si="6"/>
        <v>0</v>
      </c>
      <c r="I30" s="103">
        <f t="shared" si="6"/>
        <v>0</v>
      </c>
      <c r="J30" s="103">
        <f t="shared" si="6"/>
        <v>0</v>
      </c>
      <c r="K30" s="103">
        <f t="shared" si="6"/>
        <v>0</v>
      </c>
      <c r="L30" s="103">
        <f t="shared" si="6"/>
        <v>0</v>
      </c>
      <c r="M30" s="103">
        <f t="shared" si="6"/>
        <v>0</v>
      </c>
      <c r="N30" s="103">
        <f t="shared" si="6"/>
        <v>0</v>
      </c>
      <c r="O30" s="103">
        <f t="shared" si="6"/>
        <v>0</v>
      </c>
    </row>
    <row r="31" spans="1:15" s="49" customFormat="1" ht="30" customHeight="1">
      <c r="A31" s="118"/>
      <c r="C31" s="103">
        <v>15</v>
      </c>
      <c r="D31" s="103"/>
      <c r="E31" s="103"/>
      <c r="F31" s="120">
        <f t="shared" si="5"/>
        <v>0</v>
      </c>
      <c r="G31" s="103">
        <f t="shared" si="6"/>
        <v>0</v>
      </c>
      <c r="H31" s="103">
        <f t="shared" si="6"/>
        <v>0</v>
      </c>
      <c r="I31" s="103">
        <f t="shared" si="6"/>
        <v>0</v>
      </c>
      <c r="J31" s="103">
        <f t="shared" si="6"/>
        <v>0</v>
      </c>
      <c r="K31" s="103">
        <f t="shared" si="6"/>
        <v>0</v>
      </c>
      <c r="L31" s="103">
        <f t="shared" si="6"/>
        <v>0</v>
      </c>
      <c r="M31" s="103">
        <f t="shared" si="6"/>
        <v>0</v>
      </c>
      <c r="N31" s="103">
        <f t="shared" si="6"/>
        <v>0</v>
      </c>
      <c r="O31" s="103">
        <f t="shared" si="6"/>
        <v>0</v>
      </c>
    </row>
    <row r="32" spans="1:15" s="49" customFormat="1" ht="30" customHeight="1">
      <c r="A32" s="118"/>
      <c r="C32" s="103">
        <v>16</v>
      </c>
      <c r="D32" s="103"/>
      <c r="E32" s="103"/>
      <c r="F32" s="120">
        <f t="shared" si="5"/>
        <v>0</v>
      </c>
      <c r="G32" s="103">
        <f t="shared" si="6"/>
        <v>0</v>
      </c>
      <c r="H32" s="103">
        <f t="shared" si="6"/>
        <v>0</v>
      </c>
      <c r="I32" s="103">
        <f t="shared" si="6"/>
        <v>0</v>
      </c>
      <c r="J32" s="103">
        <f t="shared" si="6"/>
        <v>0</v>
      </c>
      <c r="K32" s="103">
        <f t="shared" si="6"/>
        <v>0</v>
      </c>
      <c r="L32" s="103">
        <f t="shared" si="6"/>
        <v>0</v>
      </c>
      <c r="M32" s="103">
        <f t="shared" si="6"/>
        <v>0</v>
      </c>
      <c r="N32" s="103">
        <f t="shared" si="6"/>
        <v>0</v>
      </c>
      <c r="O32" s="103">
        <f t="shared" si="6"/>
        <v>0</v>
      </c>
    </row>
    <row r="33" spans="1:15" s="49" customFormat="1" ht="30" customHeight="1">
      <c r="A33" s="118"/>
      <c r="C33" s="103">
        <v>17</v>
      </c>
      <c r="D33" s="103"/>
      <c r="E33" s="103"/>
      <c r="F33" s="120">
        <f t="shared" si="5"/>
        <v>0</v>
      </c>
      <c r="G33" s="103">
        <f t="shared" si="6"/>
        <v>0</v>
      </c>
      <c r="H33" s="103">
        <f t="shared" si="6"/>
        <v>0</v>
      </c>
      <c r="I33" s="103">
        <f t="shared" si="6"/>
        <v>0</v>
      </c>
      <c r="J33" s="103">
        <f t="shared" si="6"/>
        <v>0</v>
      </c>
      <c r="K33" s="103">
        <f t="shared" si="6"/>
        <v>0</v>
      </c>
      <c r="L33" s="103">
        <f t="shared" si="6"/>
        <v>0</v>
      </c>
      <c r="M33" s="103">
        <f t="shared" si="6"/>
        <v>0</v>
      </c>
      <c r="N33" s="103">
        <f t="shared" si="6"/>
        <v>0</v>
      </c>
      <c r="O33" s="103">
        <f t="shared" si="6"/>
        <v>0</v>
      </c>
    </row>
    <row r="34" spans="1:15" s="49" customFormat="1" ht="30" customHeight="1">
      <c r="A34" s="118"/>
      <c r="C34" s="103">
        <v>18</v>
      </c>
      <c r="D34" s="103"/>
      <c r="E34" s="103"/>
      <c r="F34" s="120">
        <f t="shared" si="5"/>
        <v>0</v>
      </c>
      <c r="G34" s="103">
        <f t="shared" si="6"/>
        <v>0</v>
      </c>
      <c r="H34" s="103">
        <f t="shared" si="6"/>
        <v>0</v>
      </c>
      <c r="I34" s="103">
        <f t="shared" si="6"/>
        <v>0</v>
      </c>
      <c r="J34" s="103">
        <f t="shared" si="6"/>
        <v>0</v>
      </c>
      <c r="K34" s="103">
        <f t="shared" si="6"/>
        <v>0</v>
      </c>
      <c r="L34" s="103">
        <f t="shared" si="6"/>
        <v>0</v>
      </c>
      <c r="M34" s="103">
        <f t="shared" si="6"/>
        <v>0</v>
      </c>
      <c r="N34" s="103">
        <f t="shared" si="6"/>
        <v>0</v>
      </c>
      <c r="O34" s="103">
        <f t="shared" si="6"/>
        <v>0</v>
      </c>
    </row>
    <row r="35" spans="1:15" s="49" customFormat="1" ht="30" customHeight="1">
      <c r="A35" s="118"/>
      <c r="C35" s="103">
        <v>19</v>
      </c>
      <c r="D35" s="103"/>
      <c r="E35" s="103"/>
      <c r="F35" s="120">
        <f t="shared" si="5"/>
        <v>0</v>
      </c>
      <c r="G35" s="103">
        <f t="shared" si="6"/>
        <v>0</v>
      </c>
      <c r="H35" s="103">
        <f t="shared" si="6"/>
        <v>0</v>
      </c>
      <c r="I35" s="103">
        <f t="shared" si="6"/>
        <v>0</v>
      </c>
      <c r="J35" s="103">
        <f t="shared" si="6"/>
        <v>0</v>
      </c>
      <c r="K35" s="103">
        <f t="shared" si="6"/>
        <v>0</v>
      </c>
      <c r="L35" s="103">
        <f t="shared" si="6"/>
        <v>0</v>
      </c>
      <c r="M35" s="103">
        <f t="shared" si="6"/>
        <v>0</v>
      </c>
      <c r="N35" s="103">
        <f t="shared" si="6"/>
        <v>0</v>
      </c>
      <c r="O35" s="103">
        <f t="shared" si="6"/>
        <v>0</v>
      </c>
    </row>
    <row r="36" spans="1:15" s="49" customFormat="1" ht="30" customHeight="1">
      <c r="A36" s="118"/>
      <c r="C36" s="103">
        <v>20</v>
      </c>
      <c r="D36" s="103"/>
      <c r="E36" s="103"/>
      <c r="F36" s="120">
        <f t="shared" si="5"/>
        <v>0</v>
      </c>
      <c r="G36" s="103">
        <f t="shared" si="6"/>
        <v>0</v>
      </c>
      <c r="H36" s="103">
        <f t="shared" si="6"/>
        <v>0</v>
      </c>
      <c r="I36" s="103">
        <f t="shared" si="6"/>
        <v>0</v>
      </c>
      <c r="J36" s="103">
        <f t="shared" si="6"/>
        <v>0</v>
      </c>
      <c r="K36" s="103">
        <f t="shared" si="6"/>
        <v>0</v>
      </c>
      <c r="L36" s="103">
        <f t="shared" si="6"/>
        <v>0</v>
      </c>
      <c r="M36" s="103">
        <f t="shared" si="6"/>
        <v>0</v>
      </c>
      <c r="N36" s="103">
        <f t="shared" si="6"/>
        <v>0</v>
      </c>
      <c r="O36" s="103">
        <f t="shared" si="6"/>
        <v>0</v>
      </c>
    </row>
    <row r="37" spans="1:15" s="49" customFormat="1" ht="30" customHeight="1">
      <c r="A37" s="118"/>
      <c r="C37" s="103">
        <v>21</v>
      </c>
      <c r="D37" s="103"/>
      <c r="E37" s="103"/>
      <c r="F37" s="103"/>
      <c r="G37" s="120">
        <f>G6</f>
        <v>0</v>
      </c>
      <c r="H37" s="103">
        <f>$G37*$D17</f>
        <v>0</v>
      </c>
      <c r="I37" s="103">
        <f t="shared" ref="I37:O37" si="7">$G37*$D17</f>
        <v>0</v>
      </c>
      <c r="J37" s="103">
        <f t="shared" si="7"/>
        <v>0</v>
      </c>
      <c r="K37" s="103">
        <f t="shared" si="7"/>
        <v>0</v>
      </c>
      <c r="L37" s="103">
        <f t="shared" si="7"/>
        <v>0</v>
      </c>
      <c r="M37" s="103">
        <f t="shared" si="7"/>
        <v>0</v>
      </c>
      <c r="N37" s="103">
        <f t="shared" si="7"/>
        <v>0</v>
      </c>
      <c r="O37" s="103">
        <f t="shared" si="7"/>
        <v>0</v>
      </c>
    </row>
    <row r="38" spans="1:15" s="49" customFormat="1" ht="30" customHeight="1">
      <c r="A38" s="118"/>
      <c r="C38" s="103">
        <v>22</v>
      </c>
      <c r="D38" s="103"/>
      <c r="E38" s="103"/>
      <c r="F38" s="103"/>
      <c r="G38" s="120">
        <f t="shared" ref="G38:G46" si="8">G7</f>
        <v>0</v>
      </c>
      <c r="H38" s="103">
        <f t="shared" ref="H38:O46" si="9">$G38*$D18</f>
        <v>0</v>
      </c>
      <c r="I38" s="103">
        <f t="shared" si="9"/>
        <v>0</v>
      </c>
      <c r="J38" s="103">
        <f t="shared" si="9"/>
        <v>0</v>
      </c>
      <c r="K38" s="103">
        <f t="shared" si="9"/>
        <v>0</v>
      </c>
      <c r="L38" s="103">
        <f t="shared" si="9"/>
        <v>0</v>
      </c>
      <c r="M38" s="103">
        <f t="shared" si="9"/>
        <v>0</v>
      </c>
      <c r="N38" s="103">
        <f t="shared" si="9"/>
        <v>0</v>
      </c>
      <c r="O38" s="103">
        <f t="shared" si="9"/>
        <v>0</v>
      </c>
    </row>
    <row r="39" spans="1:15" s="49" customFormat="1" ht="30" customHeight="1">
      <c r="A39" s="118"/>
      <c r="C39" s="103">
        <v>23</v>
      </c>
      <c r="D39" s="103"/>
      <c r="E39" s="103"/>
      <c r="F39" s="103"/>
      <c r="G39" s="120">
        <f t="shared" si="8"/>
        <v>0</v>
      </c>
      <c r="H39" s="103">
        <f t="shared" si="9"/>
        <v>0</v>
      </c>
      <c r="I39" s="103">
        <f t="shared" si="9"/>
        <v>0</v>
      </c>
      <c r="J39" s="103">
        <f t="shared" si="9"/>
        <v>0</v>
      </c>
      <c r="K39" s="103">
        <f t="shared" si="9"/>
        <v>0</v>
      </c>
      <c r="L39" s="103">
        <f t="shared" si="9"/>
        <v>0</v>
      </c>
      <c r="M39" s="103">
        <f t="shared" si="9"/>
        <v>0</v>
      </c>
      <c r="N39" s="103">
        <f t="shared" si="9"/>
        <v>0</v>
      </c>
      <c r="O39" s="103">
        <f t="shared" si="9"/>
        <v>0</v>
      </c>
    </row>
    <row r="40" spans="1:15" s="49" customFormat="1" ht="30" customHeight="1">
      <c r="A40" s="118"/>
      <c r="C40" s="103">
        <v>24</v>
      </c>
      <c r="D40" s="103"/>
      <c r="E40" s="103"/>
      <c r="F40" s="103"/>
      <c r="G40" s="120">
        <f t="shared" si="8"/>
        <v>0</v>
      </c>
      <c r="H40" s="103">
        <f t="shared" si="9"/>
        <v>0</v>
      </c>
      <c r="I40" s="103">
        <f t="shared" si="9"/>
        <v>0</v>
      </c>
      <c r="J40" s="103">
        <f t="shared" si="9"/>
        <v>0</v>
      </c>
      <c r="K40" s="103">
        <f t="shared" si="9"/>
        <v>0</v>
      </c>
      <c r="L40" s="103">
        <f t="shared" si="9"/>
        <v>0</v>
      </c>
      <c r="M40" s="103">
        <f t="shared" si="9"/>
        <v>0</v>
      </c>
      <c r="N40" s="103">
        <f t="shared" si="9"/>
        <v>0</v>
      </c>
      <c r="O40" s="103">
        <f t="shared" si="9"/>
        <v>0</v>
      </c>
    </row>
    <row r="41" spans="1:15" s="49" customFormat="1" ht="30" customHeight="1">
      <c r="A41" s="118"/>
      <c r="C41" s="103">
        <v>25</v>
      </c>
      <c r="D41" s="103"/>
      <c r="E41" s="103"/>
      <c r="F41" s="103"/>
      <c r="G41" s="120">
        <f t="shared" si="8"/>
        <v>0</v>
      </c>
      <c r="H41" s="103">
        <f t="shared" si="9"/>
        <v>0</v>
      </c>
      <c r="I41" s="103">
        <f t="shared" si="9"/>
        <v>0</v>
      </c>
      <c r="J41" s="103">
        <f t="shared" si="9"/>
        <v>0</v>
      </c>
      <c r="K41" s="103">
        <f t="shared" si="9"/>
        <v>0</v>
      </c>
      <c r="L41" s="103">
        <f t="shared" si="9"/>
        <v>0</v>
      </c>
      <c r="M41" s="103">
        <f t="shared" si="9"/>
        <v>0</v>
      </c>
      <c r="N41" s="103">
        <f t="shared" si="9"/>
        <v>0</v>
      </c>
      <c r="O41" s="103">
        <f t="shared" si="9"/>
        <v>0</v>
      </c>
    </row>
    <row r="42" spans="1:15" s="49" customFormat="1" ht="30" customHeight="1">
      <c r="A42" s="118"/>
      <c r="C42" s="103">
        <v>26</v>
      </c>
      <c r="D42" s="103"/>
      <c r="E42" s="103"/>
      <c r="F42" s="103"/>
      <c r="G42" s="120">
        <f t="shared" si="8"/>
        <v>0</v>
      </c>
      <c r="H42" s="103">
        <f t="shared" si="9"/>
        <v>0</v>
      </c>
      <c r="I42" s="103">
        <f t="shared" si="9"/>
        <v>0</v>
      </c>
      <c r="J42" s="103">
        <f t="shared" si="9"/>
        <v>0</v>
      </c>
      <c r="K42" s="103">
        <f t="shared" si="9"/>
        <v>0</v>
      </c>
      <c r="L42" s="103">
        <f t="shared" si="9"/>
        <v>0</v>
      </c>
      <c r="M42" s="103">
        <f t="shared" si="9"/>
        <v>0</v>
      </c>
      <c r="N42" s="103">
        <f t="shared" si="9"/>
        <v>0</v>
      </c>
      <c r="O42" s="103">
        <f t="shared" si="9"/>
        <v>0</v>
      </c>
    </row>
    <row r="43" spans="1:15" s="49" customFormat="1" ht="30" customHeight="1">
      <c r="A43" s="118"/>
      <c r="C43" s="103">
        <v>27</v>
      </c>
      <c r="D43" s="103"/>
      <c r="E43" s="103"/>
      <c r="F43" s="103"/>
      <c r="G43" s="120">
        <f t="shared" si="8"/>
        <v>0</v>
      </c>
      <c r="H43" s="103">
        <f t="shared" si="9"/>
        <v>0</v>
      </c>
      <c r="I43" s="103">
        <f t="shared" si="9"/>
        <v>0</v>
      </c>
      <c r="J43" s="103">
        <f t="shared" si="9"/>
        <v>0</v>
      </c>
      <c r="K43" s="103">
        <f t="shared" si="9"/>
        <v>0</v>
      </c>
      <c r="L43" s="103">
        <f t="shared" si="9"/>
        <v>0</v>
      </c>
      <c r="M43" s="103">
        <f t="shared" si="9"/>
        <v>0</v>
      </c>
      <c r="N43" s="103">
        <f t="shared" si="9"/>
        <v>0</v>
      </c>
      <c r="O43" s="103">
        <f t="shared" si="9"/>
        <v>0</v>
      </c>
    </row>
    <row r="44" spans="1:15" s="49" customFormat="1" ht="30" customHeight="1">
      <c r="A44" s="118"/>
      <c r="C44" s="103">
        <v>28</v>
      </c>
      <c r="D44" s="103"/>
      <c r="E44" s="103"/>
      <c r="F44" s="103"/>
      <c r="G44" s="120">
        <f t="shared" si="8"/>
        <v>0</v>
      </c>
      <c r="H44" s="103">
        <f t="shared" si="9"/>
        <v>0</v>
      </c>
      <c r="I44" s="103">
        <f t="shared" si="9"/>
        <v>0</v>
      </c>
      <c r="J44" s="103">
        <f t="shared" si="9"/>
        <v>0</v>
      </c>
      <c r="K44" s="103">
        <f t="shared" si="9"/>
        <v>0</v>
      </c>
      <c r="L44" s="103">
        <f t="shared" si="9"/>
        <v>0</v>
      </c>
      <c r="M44" s="103">
        <f t="shared" si="9"/>
        <v>0</v>
      </c>
      <c r="N44" s="103">
        <f t="shared" si="9"/>
        <v>0</v>
      </c>
      <c r="O44" s="103">
        <f t="shared" si="9"/>
        <v>0</v>
      </c>
    </row>
    <row r="45" spans="1:15" s="49" customFormat="1" ht="30" customHeight="1">
      <c r="A45" s="118"/>
      <c r="C45" s="103">
        <v>29</v>
      </c>
      <c r="D45" s="103"/>
      <c r="E45" s="103"/>
      <c r="F45" s="103"/>
      <c r="G45" s="120">
        <f>G14</f>
        <v>0</v>
      </c>
      <c r="H45" s="103">
        <f t="shared" si="9"/>
        <v>0</v>
      </c>
      <c r="I45" s="103">
        <f t="shared" si="9"/>
        <v>0</v>
      </c>
      <c r="J45" s="103">
        <f t="shared" si="9"/>
        <v>0</v>
      </c>
      <c r="K45" s="103">
        <f t="shared" si="9"/>
        <v>0</v>
      </c>
      <c r="L45" s="103">
        <f t="shared" si="9"/>
        <v>0</v>
      </c>
      <c r="M45" s="103">
        <f t="shared" si="9"/>
        <v>0</v>
      </c>
      <c r="N45" s="103">
        <f t="shared" si="9"/>
        <v>0</v>
      </c>
      <c r="O45" s="103">
        <f t="shared" si="9"/>
        <v>0</v>
      </c>
    </row>
    <row r="46" spans="1:15" s="49" customFormat="1" ht="30" customHeight="1">
      <c r="A46" s="118"/>
      <c r="C46" s="103">
        <v>30</v>
      </c>
      <c r="D46" s="103"/>
      <c r="E46" s="103"/>
      <c r="F46" s="103"/>
      <c r="G46" s="120">
        <f t="shared" si="8"/>
        <v>0</v>
      </c>
      <c r="H46" s="103">
        <f t="shared" si="9"/>
        <v>0</v>
      </c>
      <c r="I46" s="103">
        <f t="shared" si="9"/>
        <v>0</v>
      </c>
      <c r="J46" s="103">
        <f t="shared" si="9"/>
        <v>0</v>
      </c>
      <c r="K46" s="103">
        <f t="shared" si="9"/>
        <v>0</v>
      </c>
      <c r="L46" s="103">
        <f t="shared" si="9"/>
        <v>0</v>
      </c>
      <c r="M46" s="103">
        <f t="shared" si="9"/>
        <v>0</v>
      </c>
      <c r="N46" s="103">
        <f t="shared" si="9"/>
        <v>0</v>
      </c>
      <c r="O46" s="103">
        <f t="shared" si="9"/>
        <v>0</v>
      </c>
    </row>
    <row r="47" spans="1:15" s="49" customFormat="1" ht="30" customHeight="1">
      <c r="A47" s="118"/>
      <c r="C47" s="103">
        <v>31</v>
      </c>
      <c r="D47" s="103"/>
      <c r="E47" s="103"/>
      <c r="F47" s="103"/>
      <c r="G47" s="103"/>
      <c r="H47" s="120">
        <f>H6</f>
        <v>0</v>
      </c>
      <c r="I47" s="103">
        <f>$H47*$D17</f>
        <v>0</v>
      </c>
      <c r="J47" s="103">
        <f t="shared" ref="J47:O47" si="10">$H47*$D17</f>
        <v>0</v>
      </c>
      <c r="K47" s="103">
        <f t="shared" si="10"/>
        <v>0</v>
      </c>
      <c r="L47" s="103">
        <f t="shared" si="10"/>
        <v>0</v>
      </c>
      <c r="M47" s="103">
        <f t="shared" si="10"/>
        <v>0</v>
      </c>
      <c r="N47" s="103">
        <f t="shared" si="10"/>
        <v>0</v>
      </c>
      <c r="O47" s="103">
        <f t="shared" si="10"/>
        <v>0</v>
      </c>
    </row>
    <row r="48" spans="1:15" s="49" customFormat="1" ht="30" customHeight="1">
      <c r="A48" s="118"/>
      <c r="C48" s="103">
        <v>32</v>
      </c>
      <c r="D48" s="103"/>
      <c r="E48" s="103"/>
      <c r="F48" s="103"/>
      <c r="G48" s="103"/>
      <c r="H48" s="120">
        <f t="shared" ref="H48:H56" si="11">H7</f>
        <v>0</v>
      </c>
      <c r="I48" s="103">
        <f t="shared" ref="I48:O56" si="12">$H48*$D18</f>
        <v>0</v>
      </c>
      <c r="J48" s="103">
        <f t="shared" si="12"/>
        <v>0</v>
      </c>
      <c r="K48" s="103">
        <f t="shared" si="12"/>
        <v>0</v>
      </c>
      <c r="L48" s="103">
        <f t="shared" si="12"/>
        <v>0</v>
      </c>
      <c r="M48" s="103">
        <f t="shared" si="12"/>
        <v>0</v>
      </c>
      <c r="N48" s="103">
        <f t="shared" si="12"/>
        <v>0</v>
      </c>
      <c r="O48" s="103">
        <f t="shared" si="12"/>
        <v>0</v>
      </c>
    </row>
    <row r="49" spans="1:15" s="49" customFormat="1" ht="30" customHeight="1">
      <c r="A49" s="118"/>
      <c r="C49" s="103">
        <v>33</v>
      </c>
      <c r="D49" s="103"/>
      <c r="E49" s="103"/>
      <c r="F49" s="103"/>
      <c r="G49" s="103"/>
      <c r="H49" s="120">
        <f t="shared" si="11"/>
        <v>0</v>
      </c>
      <c r="I49" s="103">
        <f t="shared" si="12"/>
        <v>0</v>
      </c>
      <c r="J49" s="103">
        <f t="shared" si="12"/>
        <v>0</v>
      </c>
      <c r="K49" s="103">
        <f t="shared" si="12"/>
        <v>0</v>
      </c>
      <c r="L49" s="103">
        <f t="shared" si="12"/>
        <v>0</v>
      </c>
      <c r="M49" s="103">
        <f t="shared" si="12"/>
        <v>0</v>
      </c>
      <c r="N49" s="103">
        <f t="shared" si="12"/>
        <v>0</v>
      </c>
      <c r="O49" s="103">
        <f t="shared" si="12"/>
        <v>0</v>
      </c>
    </row>
    <row r="50" spans="1:15" s="49" customFormat="1" ht="30" customHeight="1">
      <c r="A50" s="118"/>
      <c r="C50" s="103">
        <v>34</v>
      </c>
      <c r="D50" s="103"/>
      <c r="E50" s="103"/>
      <c r="F50" s="103"/>
      <c r="G50" s="103"/>
      <c r="H50" s="120">
        <f t="shared" si="11"/>
        <v>0</v>
      </c>
      <c r="I50" s="103">
        <f t="shared" si="12"/>
        <v>0</v>
      </c>
      <c r="J50" s="103">
        <f t="shared" si="12"/>
        <v>0</v>
      </c>
      <c r="K50" s="103">
        <f t="shared" si="12"/>
        <v>0</v>
      </c>
      <c r="L50" s="103">
        <f t="shared" si="12"/>
        <v>0</v>
      </c>
      <c r="M50" s="103">
        <f t="shared" si="12"/>
        <v>0</v>
      </c>
      <c r="N50" s="103">
        <f t="shared" si="12"/>
        <v>0</v>
      </c>
      <c r="O50" s="103">
        <f t="shared" si="12"/>
        <v>0</v>
      </c>
    </row>
    <row r="51" spans="1:15" s="49" customFormat="1" ht="30" customHeight="1">
      <c r="A51" s="118"/>
      <c r="C51" s="103">
        <v>35</v>
      </c>
      <c r="D51" s="103"/>
      <c r="E51" s="103"/>
      <c r="F51" s="103"/>
      <c r="G51" s="103"/>
      <c r="H51" s="120">
        <f t="shared" si="11"/>
        <v>0</v>
      </c>
      <c r="I51" s="103">
        <f t="shared" si="12"/>
        <v>0</v>
      </c>
      <c r="J51" s="103">
        <f t="shared" si="12"/>
        <v>0</v>
      </c>
      <c r="K51" s="103">
        <f t="shared" si="12"/>
        <v>0</v>
      </c>
      <c r="L51" s="103">
        <f t="shared" si="12"/>
        <v>0</v>
      </c>
      <c r="M51" s="103">
        <f t="shared" si="12"/>
        <v>0</v>
      </c>
      <c r="N51" s="103">
        <f t="shared" si="12"/>
        <v>0</v>
      </c>
      <c r="O51" s="103">
        <f t="shared" si="12"/>
        <v>0</v>
      </c>
    </row>
    <row r="52" spans="1:15" s="49" customFormat="1" ht="30" customHeight="1">
      <c r="A52" s="118"/>
      <c r="C52" s="103">
        <v>36</v>
      </c>
      <c r="D52" s="103"/>
      <c r="E52" s="103"/>
      <c r="F52" s="103"/>
      <c r="G52" s="103"/>
      <c r="H52" s="120">
        <f t="shared" si="11"/>
        <v>0</v>
      </c>
      <c r="I52" s="103">
        <f t="shared" si="12"/>
        <v>0</v>
      </c>
      <c r="J52" s="103">
        <f t="shared" si="12"/>
        <v>0</v>
      </c>
      <c r="K52" s="103">
        <f t="shared" si="12"/>
        <v>0</v>
      </c>
      <c r="L52" s="103">
        <f t="shared" si="12"/>
        <v>0</v>
      </c>
      <c r="M52" s="103">
        <f t="shared" si="12"/>
        <v>0</v>
      </c>
      <c r="N52" s="103">
        <f t="shared" si="12"/>
        <v>0</v>
      </c>
      <c r="O52" s="103">
        <f t="shared" si="12"/>
        <v>0</v>
      </c>
    </row>
    <row r="53" spans="1:15" s="49" customFormat="1" ht="30" customHeight="1">
      <c r="A53" s="118"/>
      <c r="C53" s="103">
        <v>37</v>
      </c>
      <c r="D53" s="103"/>
      <c r="E53" s="103"/>
      <c r="F53" s="103"/>
      <c r="G53" s="103"/>
      <c r="H53" s="120">
        <f t="shared" si="11"/>
        <v>0</v>
      </c>
      <c r="I53" s="103">
        <f t="shared" si="12"/>
        <v>0</v>
      </c>
      <c r="J53" s="103">
        <f t="shared" si="12"/>
        <v>0</v>
      </c>
      <c r="K53" s="103">
        <f t="shared" si="12"/>
        <v>0</v>
      </c>
      <c r="L53" s="103">
        <f t="shared" si="12"/>
        <v>0</v>
      </c>
      <c r="M53" s="103">
        <f t="shared" si="12"/>
        <v>0</v>
      </c>
      <c r="N53" s="103">
        <f t="shared" si="12"/>
        <v>0</v>
      </c>
      <c r="O53" s="103">
        <f t="shared" si="12"/>
        <v>0</v>
      </c>
    </row>
    <row r="54" spans="1:15" s="49" customFormat="1" ht="30" customHeight="1">
      <c r="A54" s="118"/>
      <c r="C54" s="103">
        <v>38</v>
      </c>
      <c r="D54" s="103"/>
      <c r="E54" s="103"/>
      <c r="F54" s="103"/>
      <c r="G54" s="103"/>
      <c r="H54" s="120">
        <f t="shared" si="11"/>
        <v>0</v>
      </c>
      <c r="I54" s="103">
        <f t="shared" si="12"/>
        <v>0</v>
      </c>
      <c r="J54" s="103">
        <f t="shared" si="12"/>
        <v>0</v>
      </c>
      <c r="K54" s="103">
        <f t="shared" si="12"/>
        <v>0</v>
      </c>
      <c r="L54" s="103">
        <f t="shared" si="12"/>
        <v>0</v>
      </c>
      <c r="M54" s="103">
        <f t="shared" si="12"/>
        <v>0</v>
      </c>
      <c r="N54" s="103">
        <f t="shared" si="12"/>
        <v>0</v>
      </c>
      <c r="O54" s="103">
        <f t="shared" si="12"/>
        <v>0</v>
      </c>
    </row>
    <row r="55" spans="1:15" s="49" customFormat="1" ht="30" customHeight="1">
      <c r="A55" s="118"/>
      <c r="C55" s="103">
        <v>39</v>
      </c>
      <c r="D55" s="103"/>
      <c r="E55" s="103"/>
      <c r="F55" s="103"/>
      <c r="G55" s="103"/>
      <c r="H55" s="120">
        <f t="shared" si="11"/>
        <v>0</v>
      </c>
      <c r="I55" s="103">
        <f t="shared" si="12"/>
        <v>0</v>
      </c>
      <c r="J55" s="103">
        <f t="shared" si="12"/>
        <v>0</v>
      </c>
      <c r="K55" s="103">
        <f t="shared" si="12"/>
        <v>0</v>
      </c>
      <c r="L55" s="103">
        <f t="shared" si="12"/>
        <v>0</v>
      </c>
      <c r="M55" s="103">
        <f t="shared" si="12"/>
        <v>0</v>
      </c>
      <c r="N55" s="103">
        <f t="shared" si="12"/>
        <v>0</v>
      </c>
      <c r="O55" s="103">
        <f t="shared" si="12"/>
        <v>0</v>
      </c>
    </row>
    <row r="56" spans="1:15" s="49" customFormat="1" ht="30" customHeight="1">
      <c r="A56" s="118"/>
      <c r="C56" s="103">
        <v>40</v>
      </c>
      <c r="D56" s="103"/>
      <c r="E56" s="103"/>
      <c r="F56" s="103"/>
      <c r="G56" s="103"/>
      <c r="H56" s="120">
        <f t="shared" si="11"/>
        <v>0</v>
      </c>
      <c r="I56" s="103">
        <f t="shared" si="12"/>
        <v>0</v>
      </c>
      <c r="J56" s="103">
        <f t="shared" si="12"/>
        <v>0</v>
      </c>
      <c r="K56" s="103">
        <f t="shared" si="12"/>
        <v>0</v>
      </c>
      <c r="L56" s="103">
        <f t="shared" si="12"/>
        <v>0</v>
      </c>
      <c r="M56" s="103">
        <f t="shared" si="12"/>
        <v>0</v>
      </c>
      <c r="N56" s="103">
        <f t="shared" si="12"/>
        <v>0</v>
      </c>
      <c r="O56" s="103">
        <f t="shared" si="12"/>
        <v>0</v>
      </c>
    </row>
    <row r="57" spans="1:15" s="49" customFormat="1" ht="30" customHeight="1">
      <c r="A57" s="118"/>
      <c r="C57" s="103">
        <v>41</v>
      </c>
      <c r="D57" s="103"/>
      <c r="E57" s="103"/>
      <c r="F57" s="103"/>
      <c r="G57" s="103"/>
      <c r="H57" s="103"/>
      <c r="I57" s="120">
        <f>I6</f>
        <v>0</v>
      </c>
      <c r="J57" s="103">
        <f>$I57*$D17</f>
        <v>0</v>
      </c>
      <c r="K57" s="103">
        <f t="shared" ref="K57:O57" si="13">$I57*$D17</f>
        <v>0</v>
      </c>
      <c r="L57" s="103">
        <f t="shared" si="13"/>
        <v>0</v>
      </c>
      <c r="M57" s="103">
        <f t="shared" si="13"/>
        <v>0</v>
      </c>
      <c r="N57" s="103">
        <f t="shared" si="13"/>
        <v>0</v>
      </c>
      <c r="O57" s="103">
        <f t="shared" si="13"/>
        <v>0</v>
      </c>
    </row>
    <row r="58" spans="1:15" s="49" customFormat="1" ht="30" customHeight="1">
      <c r="A58" s="118"/>
      <c r="C58" s="103">
        <v>42</v>
      </c>
      <c r="D58" s="103"/>
      <c r="E58" s="103"/>
      <c r="F58" s="103"/>
      <c r="G58" s="103"/>
      <c r="H58" s="103"/>
      <c r="I58" s="120">
        <f t="shared" ref="I58:I65" si="14">I7</f>
        <v>0</v>
      </c>
      <c r="J58" s="103">
        <f t="shared" ref="J58:O66" si="15">$I58*$D18</f>
        <v>0</v>
      </c>
      <c r="K58" s="103">
        <f t="shared" si="15"/>
        <v>0</v>
      </c>
      <c r="L58" s="103">
        <f t="shared" si="15"/>
        <v>0</v>
      </c>
      <c r="M58" s="103">
        <f t="shared" si="15"/>
        <v>0</v>
      </c>
      <c r="N58" s="103">
        <f t="shared" si="15"/>
        <v>0</v>
      </c>
      <c r="O58" s="103">
        <f t="shared" si="15"/>
        <v>0</v>
      </c>
    </row>
    <row r="59" spans="1:15" s="49" customFormat="1" ht="30" customHeight="1">
      <c r="A59" s="118"/>
      <c r="C59" s="103">
        <v>43</v>
      </c>
      <c r="D59" s="103"/>
      <c r="E59" s="103"/>
      <c r="F59" s="103"/>
      <c r="G59" s="103"/>
      <c r="H59" s="103"/>
      <c r="I59" s="120">
        <f t="shared" si="14"/>
        <v>0</v>
      </c>
      <c r="J59" s="103">
        <f t="shared" si="15"/>
        <v>0</v>
      </c>
      <c r="K59" s="103">
        <f t="shared" si="15"/>
        <v>0</v>
      </c>
      <c r="L59" s="103">
        <f t="shared" si="15"/>
        <v>0</v>
      </c>
      <c r="M59" s="103">
        <f t="shared" si="15"/>
        <v>0</v>
      </c>
      <c r="N59" s="103">
        <f t="shared" si="15"/>
        <v>0</v>
      </c>
      <c r="O59" s="103">
        <f t="shared" si="15"/>
        <v>0</v>
      </c>
    </row>
    <row r="60" spans="1:15" s="49" customFormat="1" ht="30" customHeight="1">
      <c r="A60" s="118"/>
      <c r="C60" s="103">
        <v>44</v>
      </c>
      <c r="D60" s="103"/>
      <c r="E60" s="103"/>
      <c r="F60" s="103"/>
      <c r="G60" s="103"/>
      <c r="H60" s="103"/>
      <c r="I60" s="120">
        <f t="shared" si="14"/>
        <v>0</v>
      </c>
      <c r="J60" s="103">
        <f t="shared" si="15"/>
        <v>0</v>
      </c>
      <c r="K60" s="103">
        <f t="shared" si="15"/>
        <v>0</v>
      </c>
      <c r="L60" s="103">
        <f t="shared" si="15"/>
        <v>0</v>
      </c>
      <c r="M60" s="103">
        <f t="shared" si="15"/>
        <v>0</v>
      </c>
      <c r="N60" s="103">
        <f t="shared" si="15"/>
        <v>0</v>
      </c>
      <c r="O60" s="103">
        <f t="shared" si="15"/>
        <v>0</v>
      </c>
    </row>
    <row r="61" spans="1:15" s="49" customFormat="1" ht="30" customHeight="1">
      <c r="A61" s="118"/>
      <c r="C61" s="103">
        <v>45</v>
      </c>
      <c r="D61" s="103"/>
      <c r="E61" s="103"/>
      <c r="F61" s="103"/>
      <c r="G61" s="103"/>
      <c r="H61" s="103"/>
      <c r="I61" s="120">
        <f t="shared" si="14"/>
        <v>0</v>
      </c>
      <c r="J61" s="103">
        <f t="shared" si="15"/>
        <v>0</v>
      </c>
      <c r="K61" s="103">
        <f t="shared" si="15"/>
        <v>0</v>
      </c>
      <c r="L61" s="103">
        <f t="shared" si="15"/>
        <v>0</v>
      </c>
      <c r="M61" s="103">
        <f t="shared" si="15"/>
        <v>0</v>
      </c>
      <c r="N61" s="103">
        <f t="shared" si="15"/>
        <v>0</v>
      </c>
      <c r="O61" s="103">
        <f t="shared" si="15"/>
        <v>0</v>
      </c>
    </row>
    <row r="62" spans="1:15" s="49" customFormat="1" ht="30" customHeight="1">
      <c r="A62" s="118"/>
      <c r="C62" s="103">
        <v>46</v>
      </c>
      <c r="D62" s="103"/>
      <c r="E62" s="103"/>
      <c r="F62" s="103"/>
      <c r="G62" s="103"/>
      <c r="H62" s="103"/>
      <c r="I62" s="120">
        <f t="shared" si="14"/>
        <v>0</v>
      </c>
      <c r="J62" s="103">
        <f t="shared" si="15"/>
        <v>0</v>
      </c>
      <c r="K62" s="103">
        <f t="shared" si="15"/>
        <v>0</v>
      </c>
      <c r="L62" s="103">
        <f t="shared" si="15"/>
        <v>0</v>
      </c>
      <c r="M62" s="103">
        <f t="shared" si="15"/>
        <v>0</v>
      </c>
      <c r="N62" s="103">
        <f t="shared" si="15"/>
        <v>0</v>
      </c>
      <c r="O62" s="103">
        <f t="shared" si="15"/>
        <v>0</v>
      </c>
    </row>
    <row r="63" spans="1:15" s="49" customFormat="1" ht="30" customHeight="1">
      <c r="A63" s="118"/>
      <c r="C63" s="103">
        <v>47</v>
      </c>
      <c r="D63" s="103"/>
      <c r="E63" s="103"/>
      <c r="F63" s="103"/>
      <c r="G63" s="103"/>
      <c r="H63" s="103"/>
      <c r="I63" s="120">
        <f t="shared" si="14"/>
        <v>0</v>
      </c>
      <c r="J63" s="103">
        <f t="shared" si="15"/>
        <v>0</v>
      </c>
      <c r="K63" s="103">
        <f t="shared" si="15"/>
        <v>0</v>
      </c>
      <c r="L63" s="103">
        <f t="shared" si="15"/>
        <v>0</v>
      </c>
      <c r="M63" s="103">
        <f t="shared" si="15"/>
        <v>0</v>
      </c>
      <c r="N63" s="103">
        <f t="shared" si="15"/>
        <v>0</v>
      </c>
      <c r="O63" s="103">
        <f t="shared" si="15"/>
        <v>0</v>
      </c>
    </row>
    <row r="64" spans="1:15" s="49" customFormat="1" ht="30" customHeight="1">
      <c r="A64" s="118"/>
      <c r="C64" s="103">
        <v>48</v>
      </c>
      <c r="D64" s="103"/>
      <c r="E64" s="103"/>
      <c r="F64" s="103"/>
      <c r="G64" s="103"/>
      <c r="H64" s="103"/>
      <c r="I64" s="120">
        <f t="shared" si="14"/>
        <v>0</v>
      </c>
      <c r="J64" s="103">
        <f t="shared" si="15"/>
        <v>0</v>
      </c>
      <c r="K64" s="103">
        <f t="shared" si="15"/>
        <v>0</v>
      </c>
      <c r="L64" s="103">
        <f t="shared" si="15"/>
        <v>0</v>
      </c>
      <c r="M64" s="103">
        <f t="shared" si="15"/>
        <v>0</v>
      </c>
      <c r="N64" s="103">
        <f t="shared" si="15"/>
        <v>0</v>
      </c>
      <c r="O64" s="103">
        <f t="shared" si="15"/>
        <v>0</v>
      </c>
    </row>
    <row r="65" spans="1:19" s="49" customFormat="1" ht="30" customHeight="1">
      <c r="A65" s="118"/>
      <c r="C65" s="103">
        <v>49</v>
      </c>
      <c r="D65" s="103"/>
      <c r="E65" s="103"/>
      <c r="F65" s="103"/>
      <c r="G65" s="103"/>
      <c r="H65" s="103"/>
      <c r="I65" s="120">
        <f t="shared" si="14"/>
        <v>0</v>
      </c>
      <c r="J65" s="103">
        <f t="shared" si="15"/>
        <v>0</v>
      </c>
      <c r="K65" s="103">
        <f t="shared" si="15"/>
        <v>0</v>
      </c>
      <c r="L65" s="103">
        <f t="shared" si="15"/>
        <v>0</v>
      </c>
      <c r="M65" s="103">
        <f t="shared" si="15"/>
        <v>0</v>
      </c>
      <c r="N65" s="103">
        <f t="shared" si="15"/>
        <v>0</v>
      </c>
      <c r="O65" s="103">
        <f t="shared" si="15"/>
        <v>0</v>
      </c>
    </row>
    <row r="66" spans="1:19" s="49" customFormat="1" ht="30" customHeight="1">
      <c r="A66" s="118"/>
      <c r="C66" s="103">
        <v>50</v>
      </c>
      <c r="D66" s="103"/>
      <c r="E66" s="103"/>
      <c r="F66" s="103"/>
      <c r="G66" s="103"/>
      <c r="H66" s="103"/>
      <c r="I66" s="120">
        <f>I15</f>
        <v>0</v>
      </c>
      <c r="J66" s="103">
        <f t="shared" si="15"/>
        <v>0</v>
      </c>
      <c r="K66" s="103">
        <f t="shared" si="15"/>
        <v>0</v>
      </c>
      <c r="L66" s="103">
        <f t="shared" si="15"/>
        <v>0</v>
      </c>
      <c r="M66" s="103">
        <f t="shared" si="15"/>
        <v>0</v>
      </c>
      <c r="N66" s="103">
        <f t="shared" si="15"/>
        <v>0</v>
      </c>
      <c r="O66" s="103">
        <f t="shared" si="15"/>
        <v>0</v>
      </c>
    </row>
    <row r="67" spans="1:19" s="49" customFormat="1" ht="30" customHeight="1">
      <c r="A67" s="118"/>
      <c r="C67" s="103">
        <v>51</v>
      </c>
      <c r="D67" s="103"/>
      <c r="E67" s="103"/>
      <c r="F67" s="103"/>
      <c r="G67" s="103"/>
      <c r="H67" s="103"/>
      <c r="I67" s="103"/>
      <c r="J67" s="120">
        <f>J6</f>
        <v>0</v>
      </c>
      <c r="K67" s="103">
        <f>$J67*$D17</f>
        <v>0</v>
      </c>
      <c r="L67" s="103">
        <f t="shared" ref="L67:O67" si="16">$J67*$D17</f>
        <v>0</v>
      </c>
      <c r="M67" s="103">
        <f t="shared" si="16"/>
        <v>0</v>
      </c>
      <c r="N67" s="103">
        <f t="shared" si="16"/>
        <v>0</v>
      </c>
      <c r="O67" s="103">
        <f t="shared" si="16"/>
        <v>0</v>
      </c>
    </row>
    <row r="68" spans="1:19" s="49" customFormat="1" ht="30" customHeight="1">
      <c r="A68" s="118"/>
      <c r="C68" s="103">
        <v>52</v>
      </c>
      <c r="D68" s="103"/>
      <c r="E68" s="103"/>
      <c r="F68" s="103"/>
      <c r="G68" s="103"/>
      <c r="H68" s="103"/>
      <c r="I68" s="103"/>
      <c r="J68" s="120">
        <f t="shared" ref="J68:J76" si="17">J7</f>
        <v>0</v>
      </c>
      <c r="K68" s="103">
        <f t="shared" ref="K68:O76" si="18">$J68*$D18</f>
        <v>0</v>
      </c>
      <c r="L68" s="103">
        <f t="shared" si="18"/>
        <v>0</v>
      </c>
      <c r="M68" s="103">
        <f t="shared" si="18"/>
        <v>0</v>
      </c>
      <c r="N68" s="103">
        <f t="shared" si="18"/>
        <v>0</v>
      </c>
      <c r="O68" s="103">
        <f t="shared" si="18"/>
        <v>0</v>
      </c>
    </row>
    <row r="69" spans="1:19" s="49" customFormat="1" ht="30" customHeight="1">
      <c r="A69" s="118"/>
      <c r="C69" s="103">
        <v>53</v>
      </c>
      <c r="D69" s="103"/>
      <c r="E69" s="103"/>
      <c r="F69" s="103"/>
      <c r="G69" s="103"/>
      <c r="H69" s="103"/>
      <c r="I69" s="103"/>
      <c r="J69" s="120">
        <f t="shared" si="17"/>
        <v>0</v>
      </c>
      <c r="K69" s="103">
        <f t="shared" si="18"/>
        <v>0</v>
      </c>
      <c r="L69" s="103">
        <f t="shared" si="18"/>
        <v>0</v>
      </c>
      <c r="M69" s="103">
        <f t="shared" si="18"/>
        <v>0</v>
      </c>
      <c r="N69" s="103">
        <f t="shared" si="18"/>
        <v>0</v>
      </c>
      <c r="O69" s="103">
        <f t="shared" si="18"/>
        <v>0</v>
      </c>
    </row>
    <row r="70" spans="1:19" s="49" customFormat="1" ht="30" customHeight="1">
      <c r="A70" s="118"/>
      <c r="C70" s="103">
        <v>54</v>
      </c>
      <c r="D70" s="103"/>
      <c r="E70" s="103"/>
      <c r="F70" s="103"/>
      <c r="G70" s="103"/>
      <c r="H70" s="103"/>
      <c r="I70" s="103"/>
      <c r="J70" s="120">
        <f t="shared" si="17"/>
        <v>0</v>
      </c>
      <c r="K70" s="103">
        <f t="shared" si="18"/>
        <v>0</v>
      </c>
      <c r="L70" s="103">
        <f t="shared" si="18"/>
        <v>0</v>
      </c>
      <c r="M70" s="103">
        <f t="shared" si="18"/>
        <v>0</v>
      </c>
      <c r="N70" s="103">
        <f t="shared" si="18"/>
        <v>0</v>
      </c>
      <c r="O70" s="103">
        <f t="shared" si="18"/>
        <v>0</v>
      </c>
    </row>
    <row r="71" spans="1:19" s="49" customFormat="1" ht="30" customHeight="1">
      <c r="A71" s="118"/>
      <c r="C71" s="103">
        <v>55</v>
      </c>
      <c r="D71" s="103"/>
      <c r="E71" s="103"/>
      <c r="F71" s="103"/>
      <c r="G71" s="103"/>
      <c r="H71" s="103"/>
      <c r="I71" s="103"/>
      <c r="J71" s="120">
        <f t="shared" si="17"/>
        <v>0</v>
      </c>
      <c r="K71" s="103">
        <f t="shared" si="18"/>
        <v>0</v>
      </c>
      <c r="L71" s="103">
        <f t="shared" si="18"/>
        <v>0</v>
      </c>
      <c r="M71" s="103">
        <f t="shared" si="18"/>
        <v>0</v>
      </c>
      <c r="N71" s="103">
        <f t="shared" si="18"/>
        <v>0</v>
      </c>
      <c r="O71" s="103">
        <f t="shared" si="18"/>
        <v>0</v>
      </c>
    </row>
    <row r="72" spans="1:19" s="49" customFormat="1" ht="30" customHeight="1">
      <c r="A72" s="118"/>
      <c r="C72" s="103">
        <v>56</v>
      </c>
      <c r="D72" s="103"/>
      <c r="E72" s="103"/>
      <c r="F72" s="103"/>
      <c r="G72" s="103"/>
      <c r="H72" s="103"/>
      <c r="I72" s="103"/>
      <c r="J72" s="120">
        <f t="shared" si="17"/>
        <v>0</v>
      </c>
      <c r="K72" s="103">
        <f t="shared" si="18"/>
        <v>0</v>
      </c>
      <c r="L72" s="103">
        <f t="shared" si="18"/>
        <v>0</v>
      </c>
      <c r="M72" s="103">
        <f t="shared" si="18"/>
        <v>0</v>
      </c>
      <c r="N72" s="103">
        <f t="shared" si="18"/>
        <v>0</v>
      </c>
      <c r="O72" s="103">
        <f t="shared" si="18"/>
        <v>0</v>
      </c>
    </row>
    <row r="73" spans="1:19" s="49" customFormat="1" ht="30" customHeight="1">
      <c r="A73" s="118"/>
      <c r="C73" s="103">
        <v>57</v>
      </c>
      <c r="D73" s="103"/>
      <c r="E73" s="103"/>
      <c r="F73" s="103"/>
      <c r="G73" s="103"/>
      <c r="H73" s="103"/>
      <c r="I73" s="103"/>
      <c r="J73" s="120">
        <f t="shared" si="17"/>
        <v>0</v>
      </c>
      <c r="K73" s="103">
        <f t="shared" si="18"/>
        <v>0</v>
      </c>
      <c r="L73" s="103">
        <f t="shared" si="18"/>
        <v>0</v>
      </c>
      <c r="M73" s="103">
        <f t="shared" si="18"/>
        <v>0</v>
      </c>
      <c r="N73" s="103">
        <f t="shared" si="18"/>
        <v>0</v>
      </c>
      <c r="O73" s="103">
        <f t="shared" si="18"/>
        <v>0</v>
      </c>
    </row>
    <row r="74" spans="1:19" s="49" customFormat="1" ht="30" customHeight="1">
      <c r="A74" s="118"/>
      <c r="C74" s="103">
        <v>58</v>
      </c>
      <c r="D74" s="103"/>
      <c r="E74" s="103"/>
      <c r="F74" s="103"/>
      <c r="G74" s="103"/>
      <c r="H74" s="103"/>
      <c r="I74" s="103"/>
      <c r="J74" s="120">
        <f t="shared" si="17"/>
        <v>0</v>
      </c>
      <c r="K74" s="103">
        <f t="shared" si="18"/>
        <v>0</v>
      </c>
      <c r="L74" s="103">
        <f t="shared" si="18"/>
        <v>0</v>
      </c>
      <c r="M74" s="103">
        <f t="shared" si="18"/>
        <v>0</v>
      </c>
      <c r="N74" s="103">
        <f t="shared" si="18"/>
        <v>0</v>
      </c>
      <c r="O74" s="103">
        <f t="shared" si="18"/>
        <v>0</v>
      </c>
    </row>
    <row r="75" spans="1:19" s="49" customFormat="1" ht="30" customHeight="1">
      <c r="A75" s="118"/>
      <c r="C75" s="103">
        <v>59</v>
      </c>
      <c r="D75" s="103"/>
      <c r="E75" s="103"/>
      <c r="F75" s="103"/>
      <c r="G75" s="103"/>
      <c r="H75" s="103"/>
      <c r="I75" s="103"/>
      <c r="J75" s="120">
        <f t="shared" si="17"/>
        <v>0</v>
      </c>
      <c r="K75" s="103">
        <f t="shared" si="18"/>
        <v>0</v>
      </c>
      <c r="L75" s="103">
        <f t="shared" si="18"/>
        <v>0</v>
      </c>
      <c r="M75" s="103">
        <f t="shared" si="18"/>
        <v>0</v>
      </c>
      <c r="N75" s="103">
        <f t="shared" si="18"/>
        <v>0</v>
      </c>
      <c r="O75" s="103">
        <f t="shared" si="18"/>
        <v>0</v>
      </c>
    </row>
    <row r="76" spans="1:19" s="49" customFormat="1" ht="30" customHeight="1">
      <c r="A76" s="118"/>
      <c r="C76" s="103">
        <v>60</v>
      </c>
      <c r="D76" s="103"/>
      <c r="E76" s="103"/>
      <c r="F76" s="103"/>
      <c r="G76" s="103"/>
      <c r="H76" s="103"/>
      <c r="I76" s="103"/>
      <c r="J76" s="120">
        <f t="shared" si="17"/>
        <v>0</v>
      </c>
      <c r="K76" s="103">
        <f t="shared" si="18"/>
        <v>0</v>
      </c>
      <c r="L76" s="103">
        <f t="shared" si="18"/>
        <v>0</v>
      </c>
      <c r="M76" s="103">
        <f t="shared" si="18"/>
        <v>0</v>
      </c>
      <c r="N76" s="103">
        <f t="shared" si="18"/>
        <v>0</v>
      </c>
      <c r="O76" s="103">
        <f t="shared" si="18"/>
        <v>0</v>
      </c>
    </row>
    <row r="77" spans="1:19" s="49" customFormat="1" ht="30" customHeight="1">
      <c r="A77" s="118"/>
      <c r="C77" s="103">
        <v>61</v>
      </c>
      <c r="D77" s="103"/>
      <c r="E77" s="103"/>
      <c r="F77" s="103"/>
      <c r="G77" s="103"/>
      <c r="H77" s="103"/>
      <c r="I77" s="103"/>
      <c r="J77" s="50"/>
      <c r="K77" s="120">
        <f>K6</f>
        <v>0</v>
      </c>
      <c r="L77" s="103">
        <f>$K77*$D17</f>
        <v>0</v>
      </c>
      <c r="M77" s="103">
        <f t="shared" ref="M77:O77" si="19">$K77*$D17</f>
        <v>0</v>
      </c>
      <c r="N77" s="103">
        <f t="shared" si="19"/>
        <v>0</v>
      </c>
      <c r="O77" s="103">
        <f t="shared" si="19"/>
        <v>0</v>
      </c>
      <c r="P77" s="49">
        <v>1</v>
      </c>
      <c r="R77" s="121">
        <f>N6</f>
        <v>0</v>
      </c>
      <c r="S77" s="121">
        <f>$R77*$D17</f>
        <v>0</v>
      </c>
    </row>
    <row r="78" spans="1:19" s="49" customFormat="1" ht="30" customHeight="1">
      <c r="A78" s="118"/>
      <c r="C78" s="103">
        <v>62</v>
      </c>
      <c r="D78" s="103"/>
      <c r="E78" s="103"/>
      <c r="F78" s="103"/>
      <c r="G78" s="103"/>
      <c r="H78" s="103"/>
      <c r="I78" s="103"/>
      <c r="J78" s="50"/>
      <c r="K78" s="120">
        <f t="shared" ref="K78:K85" si="20">K7</f>
        <v>0</v>
      </c>
      <c r="L78" s="103">
        <f t="shared" ref="L78:O86" si="21">$K78*$D18</f>
        <v>0</v>
      </c>
      <c r="M78" s="103">
        <f t="shared" si="21"/>
        <v>0</v>
      </c>
      <c r="N78" s="103">
        <f t="shared" si="21"/>
        <v>0</v>
      </c>
      <c r="O78" s="103">
        <f t="shared" si="21"/>
        <v>0</v>
      </c>
      <c r="P78" s="49">
        <v>2</v>
      </c>
      <c r="R78" s="121">
        <f t="shared" ref="R78:R86" si="22">N7</f>
        <v>0</v>
      </c>
      <c r="S78" s="121">
        <f t="shared" ref="S78:S86" si="23">$R78*$D18</f>
        <v>0</v>
      </c>
    </row>
    <row r="79" spans="1:19" s="49" customFormat="1" ht="30" customHeight="1">
      <c r="A79" s="118"/>
      <c r="C79" s="103">
        <v>63</v>
      </c>
      <c r="D79" s="103"/>
      <c r="E79" s="103"/>
      <c r="F79" s="103"/>
      <c r="G79" s="103"/>
      <c r="H79" s="103"/>
      <c r="I79" s="103"/>
      <c r="J79" s="50"/>
      <c r="K79" s="120">
        <f t="shared" si="20"/>
        <v>0</v>
      </c>
      <c r="L79" s="103">
        <f t="shared" si="21"/>
        <v>0</v>
      </c>
      <c r="M79" s="103">
        <f t="shared" si="21"/>
        <v>0</v>
      </c>
      <c r="N79" s="103">
        <f t="shared" si="21"/>
        <v>0</v>
      </c>
      <c r="O79" s="103">
        <f t="shared" si="21"/>
        <v>0</v>
      </c>
      <c r="P79" s="49">
        <v>3</v>
      </c>
      <c r="R79" s="121">
        <f t="shared" si="22"/>
        <v>0</v>
      </c>
      <c r="S79" s="121">
        <f t="shared" si="23"/>
        <v>0</v>
      </c>
    </row>
    <row r="80" spans="1:19" s="49" customFormat="1" ht="30" customHeight="1">
      <c r="A80" s="118"/>
      <c r="C80" s="103">
        <v>64</v>
      </c>
      <c r="D80" s="103"/>
      <c r="E80" s="103"/>
      <c r="F80" s="103"/>
      <c r="G80" s="103"/>
      <c r="H80" s="103"/>
      <c r="I80" s="103"/>
      <c r="J80" s="103"/>
      <c r="K80" s="120">
        <f t="shared" si="20"/>
        <v>0</v>
      </c>
      <c r="L80" s="103">
        <f t="shared" si="21"/>
        <v>0</v>
      </c>
      <c r="M80" s="103">
        <f t="shared" si="21"/>
        <v>0</v>
      </c>
      <c r="N80" s="103">
        <f t="shared" si="21"/>
        <v>0</v>
      </c>
      <c r="O80" s="103">
        <f t="shared" si="21"/>
        <v>0</v>
      </c>
      <c r="P80" s="49">
        <v>4</v>
      </c>
      <c r="R80" s="121">
        <f t="shared" si="22"/>
        <v>0</v>
      </c>
      <c r="S80" s="121">
        <f t="shared" si="23"/>
        <v>0</v>
      </c>
    </row>
    <row r="81" spans="1:19" s="49" customFormat="1" ht="30" customHeight="1">
      <c r="A81" s="118"/>
      <c r="C81" s="103">
        <v>65</v>
      </c>
      <c r="D81" s="103"/>
      <c r="E81" s="103"/>
      <c r="F81" s="103"/>
      <c r="G81" s="103"/>
      <c r="H81" s="103"/>
      <c r="I81" s="103"/>
      <c r="J81" s="103"/>
      <c r="K81" s="120">
        <f t="shared" si="20"/>
        <v>0</v>
      </c>
      <c r="L81" s="103">
        <f t="shared" si="21"/>
        <v>0</v>
      </c>
      <c r="M81" s="103">
        <f t="shared" si="21"/>
        <v>0</v>
      </c>
      <c r="N81" s="103">
        <f t="shared" si="21"/>
        <v>0</v>
      </c>
      <c r="O81" s="103">
        <f t="shared" si="21"/>
        <v>0</v>
      </c>
      <c r="P81" s="49">
        <v>5</v>
      </c>
      <c r="R81" s="121">
        <f t="shared" si="22"/>
        <v>0</v>
      </c>
      <c r="S81" s="121">
        <f t="shared" si="23"/>
        <v>0</v>
      </c>
    </row>
    <row r="82" spans="1:19" s="49" customFormat="1" ht="30" customHeight="1">
      <c r="A82" s="118"/>
      <c r="C82" s="103">
        <v>66</v>
      </c>
      <c r="D82" s="103"/>
      <c r="E82" s="103"/>
      <c r="F82" s="103"/>
      <c r="G82" s="103"/>
      <c r="H82" s="103"/>
      <c r="I82" s="103"/>
      <c r="J82" s="103"/>
      <c r="K82" s="120">
        <f t="shared" si="20"/>
        <v>0</v>
      </c>
      <c r="L82" s="103">
        <f t="shared" si="21"/>
        <v>0</v>
      </c>
      <c r="M82" s="103">
        <f t="shared" si="21"/>
        <v>0</v>
      </c>
      <c r="N82" s="103">
        <f t="shared" si="21"/>
        <v>0</v>
      </c>
      <c r="O82" s="103">
        <f t="shared" si="21"/>
        <v>0</v>
      </c>
      <c r="P82" s="49">
        <v>6</v>
      </c>
      <c r="R82" s="121">
        <f t="shared" si="22"/>
        <v>0</v>
      </c>
      <c r="S82" s="121">
        <f t="shared" si="23"/>
        <v>0</v>
      </c>
    </row>
    <row r="83" spans="1:19" s="49" customFormat="1" ht="30" customHeight="1">
      <c r="A83" s="118"/>
      <c r="C83" s="103">
        <v>67</v>
      </c>
      <c r="D83" s="103"/>
      <c r="E83" s="103"/>
      <c r="F83" s="103"/>
      <c r="G83" s="103"/>
      <c r="H83" s="103"/>
      <c r="I83" s="103"/>
      <c r="J83" s="103"/>
      <c r="K83" s="120">
        <f t="shared" si="20"/>
        <v>0</v>
      </c>
      <c r="L83" s="103">
        <f t="shared" si="21"/>
        <v>0</v>
      </c>
      <c r="M83" s="103">
        <f t="shared" si="21"/>
        <v>0</v>
      </c>
      <c r="N83" s="103">
        <f t="shared" si="21"/>
        <v>0</v>
      </c>
      <c r="O83" s="103">
        <f t="shared" si="21"/>
        <v>0</v>
      </c>
      <c r="P83" s="49">
        <v>7</v>
      </c>
      <c r="R83" s="121">
        <f t="shared" si="22"/>
        <v>0</v>
      </c>
      <c r="S83" s="121">
        <f t="shared" si="23"/>
        <v>0</v>
      </c>
    </row>
    <row r="84" spans="1:19" s="49" customFormat="1" ht="30" customHeight="1">
      <c r="A84" s="118"/>
      <c r="C84" s="103">
        <v>68</v>
      </c>
      <c r="D84" s="103"/>
      <c r="E84" s="103"/>
      <c r="F84" s="103"/>
      <c r="G84" s="103"/>
      <c r="H84" s="103"/>
      <c r="I84" s="103"/>
      <c r="J84" s="103"/>
      <c r="K84" s="120">
        <f t="shared" si="20"/>
        <v>0</v>
      </c>
      <c r="L84" s="103">
        <f t="shared" si="21"/>
        <v>0</v>
      </c>
      <c r="M84" s="103">
        <f t="shared" si="21"/>
        <v>0</v>
      </c>
      <c r="N84" s="103">
        <f t="shared" si="21"/>
        <v>0</v>
      </c>
      <c r="O84" s="103">
        <f t="shared" si="21"/>
        <v>0</v>
      </c>
      <c r="P84" s="49">
        <v>8</v>
      </c>
      <c r="R84" s="121">
        <f t="shared" si="22"/>
        <v>0</v>
      </c>
      <c r="S84" s="121">
        <f t="shared" si="23"/>
        <v>0</v>
      </c>
    </row>
    <row r="85" spans="1:19" s="49" customFormat="1" ht="30" customHeight="1">
      <c r="A85" s="118"/>
      <c r="C85" s="103">
        <v>69</v>
      </c>
      <c r="D85" s="103"/>
      <c r="E85" s="103"/>
      <c r="F85" s="103"/>
      <c r="G85" s="103"/>
      <c r="H85" s="103"/>
      <c r="I85" s="103"/>
      <c r="J85" s="103"/>
      <c r="K85" s="120">
        <f t="shared" si="20"/>
        <v>0</v>
      </c>
      <c r="L85" s="103">
        <f t="shared" si="21"/>
        <v>0</v>
      </c>
      <c r="M85" s="103">
        <f t="shared" si="21"/>
        <v>0</v>
      </c>
      <c r="N85" s="103">
        <f t="shared" si="21"/>
        <v>0</v>
      </c>
      <c r="O85" s="103">
        <f t="shared" si="21"/>
        <v>0</v>
      </c>
      <c r="P85" s="49">
        <v>9</v>
      </c>
      <c r="R85" s="121">
        <f t="shared" si="22"/>
        <v>0</v>
      </c>
      <c r="S85" s="121">
        <f t="shared" si="23"/>
        <v>0</v>
      </c>
    </row>
    <row r="86" spans="1:19" s="49" customFormat="1" ht="30" customHeight="1">
      <c r="A86" s="118"/>
      <c r="C86" s="103">
        <v>70</v>
      </c>
      <c r="D86" s="103"/>
      <c r="E86" s="103"/>
      <c r="F86" s="103"/>
      <c r="G86" s="103"/>
      <c r="H86" s="103"/>
      <c r="I86" s="103"/>
      <c r="J86" s="103"/>
      <c r="K86" s="120">
        <f>K15</f>
        <v>0</v>
      </c>
      <c r="L86" s="103">
        <f t="shared" si="21"/>
        <v>0</v>
      </c>
      <c r="M86" s="103">
        <f t="shared" si="21"/>
        <v>0</v>
      </c>
      <c r="N86" s="103">
        <f t="shared" si="21"/>
        <v>0</v>
      </c>
      <c r="O86" s="103">
        <f t="shared" si="21"/>
        <v>0</v>
      </c>
      <c r="P86" s="49">
        <v>10</v>
      </c>
      <c r="R86" s="121">
        <f t="shared" si="22"/>
        <v>0</v>
      </c>
      <c r="S86" s="121">
        <f t="shared" si="23"/>
        <v>0</v>
      </c>
    </row>
    <row r="87" spans="1:19" s="49" customFormat="1" ht="30" customHeight="1">
      <c r="A87" s="118"/>
      <c r="C87" s="103">
        <v>71</v>
      </c>
      <c r="D87" s="103"/>
      <c r="E87" s="103"/>
      <c r="F87" s="103"/>
      <c r="G87" s="103"/>
      <c r="H87" s="103"/>
      <c r="I87" s="103"/>
      <c r="J87" s="103"/>
      <c r="K87" s="103"/>
      <c r="L87" s="120">
        <f>L6</f>
        <v>0</v>
      </c>
      <c r="M87" s="103">
        <f>$L87*$D17</f>
        <v>0</v>
      </c>
      <c r="N87" s="103">
        <f t="shared" ref="N87:O87" si="24">$L87*$D17</f>
        <v>0</v>
      </c>
      <c r="O87" s="103">
        <f t="shared" si="24"/>
        <v>0</v>
      </c>
      <c r="P87" s="49">
        <v>11</v>
      </c>
      <c r="Q87" s="122">
        <f>M6</f>
        <v>0</v>
      </c>
      <c r="R87" s="49">
        <f>$Q87*$D17</f>
        <v>0</v>
      </c>
      <c r="S87" s="49">
        <f>$Q87*$D17</f>
        <v>0</v>
      </c>
    </row>
    <row r="88" spans="1:19" s="49" customFormat="1" ht="30" customHeight="1">
      <c r="A88" s="118"/>
      <c r="C88" s="103">
        <v>72</v>
      </c>
      <c r="D88" s="103"/>
      <c r="E88" s="103"/>
      <c r="F88" s="103"/>
      <c r="G88" s="103"/>
      <c r="H88" s="103"/>
      <c r="I88" s="103"/>
      <c r="J88" s="103"/>
      <c r="K88" s="103"/>
      <c r="L88" s="120">
        <f t="shared" ref="L88:L96" si="25">L7</f>
        <v>0</v>
      </c>
      <c r="M88" s="103">
        <f t="shared" ref="M88:O96" si="26">$L88*$D18</f>
        <v>0</v>
      </c>
      <c r="N88" s="103">
        <f t="shared" si="26"/>
        <v>0</v>
      </c>
      <c r="O88" s="103">
        <f t="shared" si="26"/>
        <v>0</v>
      </c>
      <c r="P88" s="49">
        <v>12</v>
      </c>
      <c r="Q88" s="122">
        <f t="shared" ref="Q88:Q96" si="27">M7</f>
        <v>0</v>
      </c>
      <c r="R88" s="49">
        <f t="shared" ref="R88:S96" si="28">$Q88*$D18</f>
        <v>0</v>
      </c>
      <c r="S88" s="49">
        <f t="shared" si="28"/>
        <v>0</v>
      </c>
    </row>
    <row r="89" spans="1:19" s="49" customFormat="1" ht="30" customHeight="1">
      <c r="A89" s="118"/>
      <c r="C89" s="103">
        <v>73</v>
      </c>
      <c r="D89" s="103"/>
      <c r="E89" s="103"/>
      <c r="F89" s="103"/>
      <c r="G89" s="103"/>
      <c r="H89" s="103"/>
      <c r="I89" s="103"/>
      <c r="J89" s="103"/>
      <c r="K89" s="103"/>
      <c r="L89" s="120">
        <f t="shared" si="25"/>
        <v>0</v>
      </c>
      <c r="M89" s="103">
        <f t="shared" si="26"/>
        <v>0</v>
      </c>
      <c r="N89" s="103">
        <f t="shared" si="26"/>
        <v>0</v>
      </c>
      <c r="O89" s="103">
        <f t="shared" si="26"/>
        <v>0</v>
      </c>
      <c r="P89" s="49">
        <v>13</v>
      </c>
      <c r="Q89" s="122">
        <f t="shared" si="27"/>
        <v>0</v>
      </c>
      <c r="R89" s="49">
        <f t="shared" si="28"/>
        <v>0</v>
      </c>
      <c r="S89" s="49">
        <f t="shared" si="28"/>
        <v>0</v>
      </c>
    </row>
    <row r="90" spans="1:19" s="49" customFormat="1" ht="30" customHeight="1">
      <c r="A90" s="118"/>
      <c r="C90" s="103">
        <v>74</v>
      </c>
      <c r="D90" s="103"/>
      <c r="E90" s="103"/>
      <c r="F90" s="103"/>
      <c r="G90" s="103"/>
      <c r="H90" s="103"/>
      <c r="I90" s="103"/>
      <c r="J90" s="103"/>
      <c r="K90" s="103"/>
      <c r="L90" s="120">
        <f t="shared" si="25"/>
        <v>0</v>
      </c>
      <c r="M90" s="103">
        <f t="shared" si="26"/>
        <v>0</v>
      </c>
      <c r="N90" s="103">
        <f t="shared" si="26"/>
        <v>0</v>
      </c>
      <c r="O90" s="103">
        <f t="shared" si="26"/>
        <v>0</v>
      </c>
      <c r="P90" s="49">
        <v>14</v>
      </c>
      <c r="Q90" s="122">
        <f t="shared" si="27"/>
        <v>0</v>
      </c>
      <c r="R90" s="49">
        <f t="shared" si="28"/>
        <v>0</v>
      </c>
      <c r="S90" s="49">
        <f t="shared" si="28"/>
        <v>0</v>
      </c>
    </row>
    <row r="91" spans="1:19" s="49" customFormat="1" ht="30" customHeight="1">
      <c r="A91" s="118"/>
      <c r="C91" s="103">
        <v>75</v>
      </c>
      <c r="D91" s="103"/>
      <c r="E91" s="103"/>
      <c r="F91" s="103"/>
      <c r="G91" s="103"/>
      <c r="H91" s="103"/>
      <c r="I91" s="103"/>
      <c r="J91" s="103"/>
      <c r="K91" s="103"/>
      <c r="L91" s="120">
        <f t="shared" si="25"/>
        <v>0</v>
      </c>
      <c r="M91" s="103">
        <f t="shared" si="26"/>
        <v>0</v>
      </c>
      <c r="N91" s="103">
        <f t="shared" si="26"/>
        <v>0</v>
      </c>
      <c r="O91" s="103">
        <f t="shared" si="26"/>
        <v>0</v>
      </c>
      <c r="P91" s="49">
        <v>15</v>
      </c>
      <c r="Q91" s="122">
        <f t="shared" si="27"/>
        <v>0</v>
      </c>
      <c r="R91" s="49">
        <f t="shared" si="28"/>
        <v>0</v>
      </c>
      <c r="S91" s="49">
        <f t="shared" si="28"/>
        <v>0</v>
      </c>
    </row>
    <row r="92" spans="1:19" s="49" customFormat="1" ht="30" customHeight="1">
      <c r="A92" s="118"/>
      <c r="C92" s="103">
        <v>76</v>
      </c>
      <c r="D92" s="103"/>
      <c r="E92" s="103"/>
      <c r="F92" s="103"/>
      <c r="G92" s="103"/>
      <c r="H92" s="103"/>
      <c r="I92" s="103"/>
      <c r="J92" s="103"/>
      <c r="K92" s="103"/>
      <c r="L92" s="120">
        <f t="shared" si="25"/>
        <v>0</v>
      </c>
      <c r="M92" s="103">
        <f t="shared" si="26"/>
        <v>0</v>
      </c>
      <c r="N92" s="103">
        <f t="shared" si="26"/>
        <v>0</v>
      </c>
      <c r="O92" s="103">
        <f t="shared" si="26"/>
        <v>0</v>
      </c>
      <c r="P92" s="49">
        <v>16</v>
      </c>
      <c r="Q92" s="122">
        <f t="shared" si="27"/>
        <v>0</v>
      </c>
      <c r="R92" s="49">
        <f t="shared" si="28"/>
        <v>0</v>
      </c>
      <c r="S92" s="49">
        <f t="shared" si="28"/>
        <v>0</v>
      </c>
    </row>
    <row r="93" spans="1:19" s="49" customFormat="1" ht="30" customHeight="1">
      <c r="A93" s="118"/>
      <c r="C93" s="103">
        <v>77</v>
      </c>
      <c r="D93" s="103"/>
      <c r="E93" s="103"/>
      <c r="F93" s="103"/>
      <c r="G93" s="103"/>
      <c r="H93" s="103"/>
      <c r="I93" s="103"/>
      <c r="J93" s="103"/>
      <c r="K93" s="103"/>
      <c r="L93" s="120">
        <f>L12</f>
        <v>0</v>
      </c>
      <c r="M93" s="103">
        <f t="shared" si="26"/>
        <v>0</v>
      </c>
      <c r="N93" s="103">
        <f t="shared" si="26"/>
        <v>0</v>
      </c>
      <c r="O93" s="103">
        <f t="shared" si="26"/>
        <v>0</v>
      </c>
      <c r="P93" s="49">
        <v>17</v>
      </c>
      <c r="Q93" s="122">
        <f t="shared" si="27"/>
        <v>0</v>
      </c>
      <c r="R93" s="49">
        <f t="shared" si="28"/>
        <v>0</v>
      </c>
      <c r="S93" s="49">
        <f t="shared" si="28"/>
        <v>0</v>
      </c>
    </row>
    <row r="94" spans="1:19" s="49" customFormat="1" ht="30" customHeight="1">
      <c r="A94" s="118"/>
      <c r="C94" s="103">
        <v>78</v>
      </c>
      <c r="D94" s="103"/>
      <c r="E94" s="103"/>
      <c r="F94" s="103"/>
      <c r="G94" s="103"/>
      <c r="H94" s="103"/>
      <c r="I94" s="103"/>
      <c r="J94" s="103"/>
      <c r="K94" s="103"/>
      <c r="L94" s="120">
        <f t="shared" si="25"/>
        <v>0</v>
      </c>
      <c r="M94" s="103">
        <f t="shared" si="26"/>
        <v>0</v>
      </c>
      <c r="N94" s="103">
        <f t="shared" si="26"/>
        <v>0</v>
      </c>
      <c r="O94" s="103">
        <f t="shared" si="26"/>
        <v>0</v>
      </c>
      <c r="P94" s="49">
        <v>18</v>
      </c>
      <c r="Q94" s="122">
        <f t="shared" si="27"/>
        <v>0</v>
      </c>
      <c r="R94" s="49">
        <f t="shared" si="28"/>
        <v>0</v>
      </c>
      <c r="S94" s="49">
        <f t="shared" si="28"/>
        <v>0</v>
      </c>
    </row>
    <row r="95" spans="1:19" s="49" customFormat="1" ht="30" customHeight="1">
      <c r="A95" s="118"/>
      <c r="C95" s="103">
        <v>79</v>
      </c>
      <c r="D95" s="103"/>
      <c r="E95" s="103"/>
      <c r="F95" s="103"/>
      <c r="G95" s="103"/>
      <c r="H95" s="103"/>
      <c r="I95" s="103"/>
      <c r="J95" s="103"/>
      <c r="K95" s="103"/>
      <c r="L95" s="120">
        <f t="shared" si="25"/>
        <v>0</v>
      </c>
      <c r="M95" s="103">
        <f t="shared" si="26"/>
        <v>0</v>
      </c>
      <c r="N95" s="103">
        <f t="shared" si="26"/>
        <v>0</v>
      </c>
      <c r="O95" s="103">
        <f t="shared" si="26"/>
        <v>0</v>
      </c>
      <c r="P95" s="49">
        <v>19</v>
      </c>
      <c r="Q95" s="122">
        <f t="shared" si="27"/>
        <v>0</v>
      </c>
      <c r="R95" s="49">
        <f t="shared" si="28"/>
        <v>0</v>
      </c>
      <c r="S95" s="49">
        <f t="shared" si="28"/>
        <v>0</v>
      </c>
    </row>
    <row r="96" spans="1:19" s="49" customFormat="1" ht="30" customHeight="1">
      <c r="A96" s="118"/>
      <c r="C96" s="103">
        <v>80</v>
      </c>
      <c r="D96" s="103"/>
      <c r="E96" s="103"/>
      <c r="F96" s="103"/>
      <c r="G96" s="103"/>
      <c r="H96" s="103"/>
      <c r="I96" s="103"/>
      <c r="J96" s="103"/>
      <c r="K96" s="103"/>
      <c r="L96" s="120">
        <f t="shared" si="25"/>
        <v>0</v>
      </c>
      <c r="M96" s="103">
        <f t="shared" si="26"/>
        <v>0</v>
      </c>
      <c r="N96" s="103">
        <f t="shared" si="26"/>
        <v>0</v>
      </c>
      <c r="O96" s="103">
        <f t="shared" si="26"/>
        <v>0</v>
      </c>
      <c r="P96" s="49">
        <v>20</v>
      </c>
      <c r="Q96" s="122">
        <f t="shared" si="27"/>
        <v>0</v>
      </c>
      <c r="R96" s="49">
        <f t="shared" si="28"/>
        <v>0</v>
      </c>
      <c r="S96" s="49">
        <f t="shared" si="28"/>
        <v>0</v>
      </c>
    </row>
    <row r="97" spans="1:19" s="49" customFormat="1" ht="30" customHeight="1">
      <c r="A97" s="118"/>
      <c r="D97" s="103"/>
      <c r="E97" s="103" t="s">
        <v>106</v>
      </c>
      <c r="F97" s="50">
        <f>SUM(F17:F96)-SUM(F6:F15)</f>
        <v>0</v>
      </c>
      <c r="G97" s="50">
        <f t="shared" ref="G97:L97" si="29">SUM(G17:G96)-SUM(G6:G15)</f>
        <v>0</v>
      </c>
      <c r="H97" s="50">
        <f t="shared" si="29"/>
        <v>0</v>
      </c>
      <c r="I97" s="50">
        <f t="shared" si="29"/>
        <v>0</v>
      </c>
      <c r="J97" s="50">
        <f t="shared" si="29"/>
        <v>0</v>
      </c>
      <c r="K97" s="50">
        <f t="shared" si="29"/>
        <v>0</v>
      </c>
      <c r="L97" s="50">
        <f t="shared" si="29"/>
        <v>0</v>
      </c>
      <c r="M97" s="50">
        <f>SUM(M17:M96)+Q97-SUM(M6:M15)</f>
        <v>0</v>
      </c>
      <c r="N97" s="50">
        <f t="shared" ref="N97:O97" si="30">SUM(N17:N96)+R97-SUM(N6:N15)</f>
        <v>0</v>
      </c>
      <c r="O97" s="50">
        <f t="shared" si="30"/>
        <v>0</v>
      </c>
      <c r="Q97" s="120">
        <f>SUM(Q77:Q96)</f>
        <v>0</v>
      </c>
      <c r="R97" s="50">
        <f>SUM(R77:R96)</f>
        <v>0</v>
      </c>
      <c r="S97" s="50">
        <f>SUM(S77:S96)</f>
        <v>0</v>
      </c>
    </row>
    <row r="98" spans="1:19" s="49" customFormat="1" ht="30" customHeight="1">
      <c r="A98" s="118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1:19" ht="30" customHeight="1"/>
    <row r="100" spans="1:19" ht="15"/>
    <row r="1048567" ht="15"/>
    <row r="1048568" ht="15"/>
    <row r="1048569" ht="15"/>
    <row r="1048570" ht="15"/>
    <row r="1048571" ht="15"/>
    <row r="1048572" ht="15"/>
    <row r="1048573" ht="15"/>
    <row r="1048574" ht="15"/>
    <row r="1048575" ht="15"/>
    <row r="1048576" ht="15"/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9E3CAF-11FC-4354-A38B-CDD15F678BEC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G5:O15</xm:sqref>
        </x14:conditionalFormatting>
        <x14:conditionalFormatting xmlns:xm="http://schemas.microsoft.com/office/excel/2006/main">
          <x14:cfRule type="expression" priority="2" id="{C1B10AB1-4911-4050-9A3A-1098F4B4BF16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H5:O15</xm:sqref>
        </x14:conditionalFormatting>
        <x14:conditionalFormatting xmlns:xm="http://schemas.microsoft.com/office/excel/2006/main">
          <x14:cfRule type="expression" priority="3" id="{DE9D3BB9-454B-4A74-A09F-C6660996BE47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I5:O15</xm:sqref>
        </x14:conditionalFormatting>
        <x14:conditionalFormatting xmlns:xm="http://schemas.microsoft.com/office/excel/2006/main">
          <x14:cfRule type="expression" priority="4" id="{E3C615B5-CB60-4B96-9E0A-D4E32111D4D2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J5:O15</xm:sqref>
        </x14:conditionalFormatting>
        <x14:conditionalFormatting xmlns:xm="http://schemas.microsoft.com/office/excel/2006/main">
          <x14:cfRule type="expression" priority="5" id="{350E7E0D-9B05-4B15-9FD2-E81C3044EFB1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K5:O15</xm:sqref>
        </x14:conditionalFormatting>
        <x14:conditionalFormatting xmlns:xm="http://schemas.microsoft.com/office/excel/2006/main">
          <x14:cfRule type="expression" priority="6" id="{D3896B01-AA34-44DA-9710-1DC7A2485E33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L5:O15</xm:sqref>
        </x14:conditionalFormatting>
        <x14:conditionalFormatting xmlns:xm="http://schemas.microsoft.com/office/excel/2006/main">
          <x14:cfRule type="expression" priority="7" id="{5011108C-36A9-41FD-884B-068C1917B65A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M5:O15</xm:sqref>
        </x14:conditionalFormatting>
        <x14:conditionalFormatting xmlns:xm="http://schemas.microsoft.com/office/excel/2006/main">
          <x14:cfRule type="expression" priority="8" id="{310F3416-D1FE-4752-9D32-F94CBFD56535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N5:O15</xm:sqref>
        </x14:conditionalFormatting>
        <x14:conditionalFormatting xmlns:xm="http://schemas.microsoft.com/office/excel/2006/main">
          <x14:cfRule type="expression" priority="9" id="{951A0E8D-6A57-47E3-9FB9-653D68D9736A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O5:O15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43"/>
  <dimension ref="A1:N100"/>
  <sheetViews>
    <sheetView showGridLines="0" zoomScale="90" zoomScaleNormal="90" zoomScalePageLayoutView="90" workbookViewId="0">
      <pane xSplit="1" ySplit="5" topLeftCell="B6" activePane="bottomRight" state="frozen"/>
      <selection activeCell="K6" sqref="K6"/>
      <selection pane="topRight" activeCell="K6" sqref="K6"/>
      <selection pane="bottomLeft" activeCell="K6" sqref="K6"/>
      <selection pane="bottomRight" activeCell="B1" sqref="B1"/>
    </sheetView>
  </sheetViews>
  <sheetFormatPr defaultColWidth="8.85546875" defaultRowHeight="15" customHeight="1" zeroHeight="1"/>
  <cols>
    <col min="1" max="1" width="27.7109375" style="42" customWidth="1"/>
    <col min="2" max="2" width="3.85546875" style="43" customWidth="1"/>
    <col min="3" max="3" width="57.140625" style="43" customWidth="1"/>
    <col min="4" max="14" width="22.85546875" style="48" customWidth="1"/>
    <col min="15" max="16" width="14.28515625" style="43" customWidth="1"/>
    <col min="17" max="16384" width="8.85546875" style="43"/>
  </cols>
  <sheetData>
    <row r="1" spans="1:14" s="40" customFormat="1" ht="33.950000000000003" customHeight="1">
      <c r="A1" s="142" t="s">
        <v>118</v>
      </c>
      <c r="C1" s="41" t="s">
        <v>17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40" customFormat="1" ht="21.6" customHeight="1">
      <c r="A2" s="14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40" customFormat="1" ht="21.6" customHeight="1">
      <c r="A3" s="14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30" customHeight="1" thickBot="1"/>
    <row r="5" spans="1:14" ht="37.5" customHeight="1" thickTop="1" thickBot="1">
      <c r="C5" s="54" t="s">
        <v>159</v>
      </c>
      <c r="D5" s="77" t="s">
        <v>71</v>
      </c>
      <c r="E5" s="77" t="s">
        <v>70</v>
      </c>
      <c r="F5" s="77" t="s">
        <v>77</v>
      </c>
      <c r="G5" s="77" t="s">
        <v>78</v>
      </c>
      <c r="H5" s="77" t="s">
        <v>79</v>
      </c>
      <c r="I5" s="77" t="s">
        <v>80</v>
      </c>
      <c r="J5" s="77" t="s">
        <v>81</v>
      </c>
      <c r="K5" s="77" t="s">
        <v>82</v>
      </c>
      <c r="L5" s="77" t="s">
        <v>83</v>
      </c>
      <c r="M5" s="77" t="s">
        <v>84</v>
      </c>
      <c r="N5" s="77" t="s">
        <v>85</v>
      </c>
    </row>
    <row r="6" spans="1:14" ht="30" customHeight="1" thickTop="1">
      <c r="C6" s="17" t="s">
        <v>75</v>
      </c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ht="30" customHeight="1">
      <c r="C7" s="18" t="s">
        <v>75</v>
      </c>
      <c r="D7" s="79"/>
      <c r="E7" s="79"/>
      <c r="F7" s="86"/>
      <c r="G7" s="86"/>
      <c r="H7" s="86"/>
      <c r="I7" s="86"/>
      <c r="J7" s="86"/>
      <c r="K7" s="86"/>
      <c r="L7" s="86"/>
      <c r="M7" s="86"/>
      <c r="N7" s="86"/>
    </row>
    <row r="8" spans="1:14" ht="30" customHeight="1">
      <c r="C8" s="18" t="s">
        <v>75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 ht="30" customHeight="1">
      <c r="C9" s="18" t="s">
        <v>75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</row>
    <row r="10" spans="1:14" ht="30" customHeight="1">
      <c r="C10" s="18" t="s">
        <v>75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ht="30" customHeight="1">
      <c r="C11" s="18" t="s">
        <v>75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ht="30" customHeight="1">
      <c r="C12" s="18" t="s">
        <v>75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4" ht="30" customHeight="1">
      <c r="C13" s="18" t="s">
        <v>75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 ht="30" customHeight="1">
      <c r="C14" s="18" t="s">
        <v>75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1:14" ht="30" customHeight="1">
      <c r="C15" s="18" t="s">
        <v>75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1:1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7BD5F3E-A3CC-4884-AF81-9AE6E2BF27D3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F5:N5 F7:N15</xm:sqref>
        </x14:conditionalFormatting>
        <x14:conditionalFormatting xmlns:xm="http://schemas.microsoft.com/office/excel/2006/main">
          <x14:cfRule type="expression" priority="11" id="{672C37CD-2DF5-4577-9404-5E63F337F6E9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G5:N5 G7:N15</xm:sqref>
        </x14:conditionalFormatting>
        <x14:conditionalFormatting xmlns:xm="http://schemas.microsoft.com/office/excel/2006/main">
          <x14:cfRule type="expression" priority="12" id="{3AF1F4F8-7921-41D6-8203-F54853B68A64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H5:N5 H7:N15</xm:sqref>
        </x14:conditionalFormatting>
        <x14:conditionalFormatting xmlns:xm="http://schemas.microsoft.com/office/excel/2006/main">
          <x14:cfRule type="expression" priority="13" id="{FA8F6A8A-E6F4-4F02-9B49-27E64E4EBB43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I5:N5 I7:N15</xm:sqref>
        </x14:conditionalFormatting>
        <x14:conditionalFormatting xmlns:xm="http://schemas.microsoft.com/office/excel/2006/main">
          <x14:cfRule type="expression" priority="14" id="{B0DD5B48-43FE-4910-9FE2-340FB36D3E9C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J5:N5 J7:N15</xm:sqref>
        </x14:conditionalFormatting>
        <x14:conditionalFormatting xmlns:xm="http://schemas.microsoft.com/office/excel/2006/main">
          <x14:cfRule type="expression" priority="15" id="{BED952C0-8DB5-4C41-A416-DB48ED2902B4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K5:N5 K7:N15</xm:sqref>
        </x14:conditionalFormatting>
        <x14:conditionalFormatting xmlns:xm="http://schemas.microsoft.com/office/excel/2006/main">
          <x14:cfRule type="expression" priority="16" id="{5309A479-6ABC-47B3-8390-4A8B6EA3C64F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L5:N5 L7:N15</xm:sqref>
        </x14:conditionalFormatting>
        <x14:conditionalFormatting xmlns:xm="http://schemas.microsoft.com/office/excel/2006/main">
          <x14:cfRule type="expression" priority="17" id="{FB3B53DF-B38A-4546-A222-6466744AC8EB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M5:N5 M7:N15</xm:sqref>
        </x14:conditionalFormatting>
        <x14:conditionalFormatting xmlns:xm="http://schemas.microsoft.com/office/excel/2006/main">
          <x14:cfRule type="expression" priority="18" id="{3EE7FC24-46C6-4A00-BA45-BB11CEC5F9D1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N5 N7:N15</xm:sqref>
        </x14:conditionalFormatting>
        <x14:conditionalFormatting xmlns:xm="http://schemas.microsoft.com/office/excel/2006/main">
          <x14:cfRule type="expression" priority="1" id="{E5BB689C-7CFF-4D3B-8D38-7E14E03C9695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F6:N6</xm:sqref>
        </x14:conditionalFormatting>
        <x14:conditionalFormatting xmlns:xm="http://schemas.microsoft.com/office/excel/2006/main">
          <x14:cfRule type="expression" priority="2" id="{D92A2ACF-34F7-4E2B-AC08-499B40DA4A27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G6:N6</xm:sqref>
        </x14:conditionalFormatting>
        <x14:conditionalFormatting xmlns:xm="http://schemas.microsoft.com/office/excel/2006/main">
          <x14:cfRule type="expression" priority="3" id="{AEB90388-A6EE-4844-997F-F62BEC5C4598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H6:N6</xm:sqref>
        </x14:conditionalFormatting>
        <x14:conditionalFormatting xmlns:xm="http://schemas.microsoft.com/office/excel/2006/main">
          <x14:cfRule type="expression" priority="4" id="{5B375A87-8731-4993-9354-1318A61BF3BB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I6:N6</xm:sqref>
        </x14:conditionalFormatting>
        <x14:conditionalFormatting xmlns:xm="http://schemas.microsoft.com/office/excel/2006/main">
          <x14:cfRule type="expression" priority="5" id="{715D8FA8-A554-489E-8060-5038C49424D6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J6:N6</xm:sqref>
        </x14:conditionalFormatting>
        <x14:conditionalFormatting xmlns:xm="http://schemas.microsoft.com/office/excel/2006/main">
          <x14:cfRule type="expression" priority="6" id="{7F6732E8-EA10-4851-B426-579E4A248D51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K6:N6</xm:sqref>
        </x14:conditionalFormatting>
        <x14:conditionalFormatting xmlns:xm="http://schemas.microsoft.com/office/excel/2006/main">
          <x14:cfRule type="expression" priority="7" id="{64654F48-90B0-45EB-BE7D-36297F5B413E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L6:N6</xm:sqref>
        </x14:conditionalFormatting>
        <x14:conditionalFormatting xmlns:xm="http://schemas.microsoft.com/office/excel/2006/main">
          <x14:cfRule type="expression" priority="8" id="{EECAAAF2-A5E1-44B3-B2B9-8DD21EE03E52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M6:N6</xm:sqref>
        </x14:conditionalFormatting>
        <x14:conditionalFormatting xmlns:xm="http://schemas.microsoft.com/office/excel/2006/main">
          <x14:cfRule type="expression" priority="9" id="{9D215C3F-7D6C-4AEE-8795-6229CC20FC0D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33"/>
  <dimension ref="A1:AV106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28.42578125" customWidth="1"/>
    <col min="4" max="4" width="25.28515625" bestFit="1" customWidth="1"/>
    <col min="5" max="17" width="18.42578125" customWidth="1"/>
    <col min="18" max="18" width="8.85546875" style="2"/>
    <col min="19" max="19" width="8.85546875" style="96"/>
    <col min="20" max="21" width="8.85546875" style="113"/>
    <col min="22" max="26" width="15" style="113" bestFit="1" customWidth="1"/>
    <col min="27" max="31" width="6" style="113" bestFit="1" customWidth="1"/>
    <col min="32" max="32" width="7.85546875" style="113" bestFit="1" customWidth="1"/>
    <col min="33" max="34" width="8.85546875" style="113"/>
    <col min="35" max="35" width="21.42578125" style="113" bestFit="1" customWidth="1"/>
    <col min="36" max="48" width="8.85546875" style="113"/>
  </cols>
  <sheetData>
    <row r="1" spans="1:48" s="13" customFormat="1" ht="33.950000000000003" customHeight="1">
      <c r="A1" s="140" t="s">
        <v>177</v>
      </c>
      <c r="C1" s="14" t="s">
        <v>49</v>
      </c>
      <c r="R1" s="111"/>
      <c r="S1" s="125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s="13" customFormat="1" ht="21.6" customHeight="1">
      <c r="A2" s="141"/>
      <c r="R2" s="111"/>
      <c r="S2" s="125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 s="13" customFormat="1" ht="21.6" customHeight="1">
      <c r="A3" s="141"/>
      <c r="R3" s="111"/>
      <c r="S3" s="125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 ht="14.25" customHeight="1"/>
    <row r="5" spans="1:48" ht="60" customHeight="1"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</row>
    <row r="6" spans="1:48" ht="14.25" customHeight="1" thickBot="1">
      <c r="E6" s="98"/>
      <c r="F6" s="98"/>
      <c r="G6" s="98"/>
      <c r="H6" s="98"/>
      <c r="I6" s="98"/>
      <c r="J6" s="117"/>
      <c r="K6" s="98"/>
      <c r="L6" s="98"/>
      <c r="M6" s="98"/>
      <c r="N6" s="98"/>
      <c r="O6" s="98"/>
    </row>
    <row r="7" spans="1:48" ht="37.5" customHeight="1" thickTop="1" thickBot="1">
      <c r="C7" s="161"/>
      <c r="D7" s="162"/>
      <c r="E7" s="20" t="s">
        <v>137</v>
      </c>
      <c r="F7" s="20" t="s">
        <v>70</v>
      </c>
      <c r="G7" s="20" t="str">
        <f>IF(PG!$E$6&lt;DM!G$27,"-","Ano "&amp;G27)</f>
        <v>-</v>
      </c>
      <c r="H7" s="20" t="str">
        <f>IF(PG!$E$6&lt;DM!H$27,"-","Ano "&amp;H27)</f>
        <v>-</v>
      </c>
      <c r="I7" s="20" t="str">
        <f>IF(PG!$E$6&lt;DM!I$27,"-","Ano "&amp;I27)</f>
        <v>-</v>
      </c>
      <c r="J7" s="20" t="str">
        <f>IF(PG!$E$6&lt;DM!J$27,"-","Ano "&amp;J27)</f>
        <v>-</v>
      </c>
      <c r="K7" s="20" t="str">
        <f>IF(PG!$E$6&lt;DM!K$27,"-","Ano "&amp;K27)</f>
        <v>-</v>
      </c>
      <c r="L7" s="20" t="str">
        <f>IF(PG!$E$6&lt;DM!L$27,"-","Ano "&amp;L27)</f>
        <v>-</v>
      </c>
      <c r="M7" s="20" t="str">
        <f>IF(PG!$E$6&lt;DM!M$27,"-","Ano "&amp;M27)</f>
        <v>-</v>
      </c>
      <c r="N7" s="20" t="str">
        <f>IF(PG!$E$6&lt;DM!N$27,"-","Ano "&amp;N27)</f>
        <v>-</v>
      </c>
      <c r="O7" s="20" t="str">
        <f>IF(PG!$E$6&lt;DM!O$27,"-","Ano "&amp;O27)</f>
        <v>-</v>
      </c>
      <c r="P7" s="20" t="s">
        <v>86</v>
      </c>
      <c r="Q7" s="20" t="s">
        <v>87</v>
      </c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48" ht="30" customHeight="1" thickTop="1" thickBot="1">
      <c r="C8" s="155" t="s">
        <v>88</v>
      </c>
      <c r="D8" s="155">
        <v>0.1</v>
      </c>
      <c r="E8" s="24">
        <f>SUM(ProjR!D6:D15)</f>
        <v>0</v>
      </c>
      <c r="F8" s="94">
        <f>SUM(ProjR!E6:E15)</f>
        <v>0</v>
      </c>
      <c r="G8" s="94" t="str">
        <f>IF(PG!$E$6&lt;DM!G$27,"-",SUM(ProjR!F6:F15))</f>
        <v>-</v>
      </c>
      <c r="H8" s="95" t="str">
        <f>IF(PG!$E$6&lt;DM!H$27,"-",SUM(ProjR!G6:G15))</f>
        <v>-</v>
      </c>
      <c r="I8" s="95" t="str">
        <f>IF(PG!$E$6&lt;DM!I$27,"-",SUM(ProjR!H6:H15))</f>
        <v>-</v>
      </c>
      <c r="J8" s="95" t="str">
        <f>IF(PG!$E$6&lt;DM!J$27,"-",SUM(ProjR!I6:I15))</f>
        <v>-</v>
      </c>
      <c r="K8" s="95" t="str">
        <f>IF(PG!$E$6&lt;DM!K$27,"-",SUM(ProjR!J6:J15))</f>
        <v>-</v>
      </c>
      <c r="L8" s="95" t="str">
        <f>IF(PG!$E$6&lt;DM!L$27,"-",SUM(ProjR!K6:K15))</f>
        <v>-</v>
      </c>
      <c r="M8" s="95" t="str">
        <f>IF(PG!$E$6&lt;DM!M$27,"-",SUM(ProjR!L6:L15))</f>
        <v>-</v>
      </c>
      <c r="N8" s="95" t="str">
        <f>IF(PG!$E$6&lt;DM!N$27,"-",SUM(ProjR!M6:M15))</f>
        <v>-</v>
      </c>
      <c r="O8" s="95" t="str">
        <f>IF(PG!$E$6&lt;DM!O$27,"-",SUM(ProjR!N6:N15))</f>
        <v>-</v>
      </c>
      <c r="P8" s="75" t="str">
        <f>IF(PG!$E$6=1,DM!F8/PG!$E$8,IF(PG!$E$6=2,DM!G8/PG!$E$8,IF(PG!$E$6=3,DM!H8/PG!$E$8,IF(PG!$E$6=4,DM!I8/PG!$E$8,IF(PG!$E$6=5,DM!J8/PG!$E$8,IF(PG!$E$6=6,DM!K8/PG!$E$8,IF(PG!$E$6=7,DM!L8/PG!$E$8,IF(PG!$E$6=8,DM!M8/PG!$E$8,IF(PG!$E$6=9,DM!N8/PG!$E$8,IF(PG!$E$6=10,DM!O8/PG!$E$8,"-"))))))))))</f>
        <v>-</v>
      </c>
      <c r="Q8" s="24">
        <f ca="1">SUM(OFFSET(E8,0,0,,PG!$E$6+1))</f>
        <v>0</v>
      </c>
      <c r="S8" s="126" t="e">
        <f ca="1">AVERAGE(OFFSET(G32,0,0,,PG!$E$6))</f>
        <v>#REF!</v>
      </c>
      <c r="U8" s="115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4"/>
    </row>
    <row r="9" spans="1:48" ht="30" customHeight="1" thickTop="1" thickBot="1">
      <c r="C9" s="155" t="s">
        <v>89</v>
      </c>
      <c r="D9" s="155">
        <v>0.5</v>
      </c>
      <c r="E9" s="24">
        <f>SUM(ProjD!D7:D16,ProjD!D18:D27)</f>
        <v>0</v>
      </c>
      <c r="F9" s="94">
        <f>SUM(ProjD!E7:E16,ProjD!E18:E27)</f>
        <v>0</v>
      </c>
      <c r="G9" s="94" t="str">
        <f>IF(PG!$E$6&lt;DM!G$27,"-",SUM(ProjD!F7:F16,ProjD!F18:F27))</f>
        <v>-</v>
      </c>
      <c r="H9" s="95" t="str">
        <f>IF(PG!$E$6&lt;DM!H$27,"-",SUM(ProjD!G7:G16,ProjD!G18:G27))</f>
        <v>-</v>
      </c>
      <c r="I9" s="95" t="str">
        <f>IF(PG!$E$6&lt;DM!I$27,"-",SUM(ProjD!H7:H16,ProjD!H18:H27))</f>
        <v>-</v>
      </c>
      <c r="J9" s="95" t="str">
        <f>IF(PG!$E$6&lt;DM!J$27,"-",SUM(ProjD!I7:I16,ProjD!I18:I27))</f>
        <v>-</v>
      </c>
      <c r="K9" s="95" t="str">
        <f>IF(PG!$E$6&lt;DM!K$27,"-",SUM(ProjD!J7:J16,ProjD!J18:J27))</f>
        <v>-</v>
      </c>
      <c r="L9" s="95" t="str">
        <f>IF(PG!$E$6&lt;DM!L$27,"-",SUM(ProjD!K7:K16,ProjD!K18:K27))</f>
        <v>-</v>
      </c>
      <c r="M9" s="95" t="str">
        <f>IF(PG!$E$6&lt;DM!M$27,"-",SUM(ProjD!L7:L16,ProjD!L18:L27))</f>
        <v>-</v>
      </c>
      <c r="N9" s="95" t="str">
        <f>IF(PG!$E$6&lt;DM!N$27,"-",SUM(ProjD!M7:M16,ProjD!M18:M27))</f>
        <v>-</v>
      </c>
      <c r="O9" s="95" t="str">
        <f>IF(PG!$E$6&lt;DM!O$27,"-",SUM(ProjD!N7:N16,ProjD!N18:N27))</f>
        <v>-</v>
      </c>
      <c r="P9" s="105" t="str">
        <f>IF(PG!$E$6=1,DM!F9/PG!$E$8,IF(PG!$E$6=2,DM!G9/PG!$E$8,IF(PG!$E$6=3,DM!H9/PG!$E$8,IF(PG!$E$6=4,DM!I9/PG!$E$8,IF(PG!$E$6=5,DM!J9/PG!$E$8,IF(PG!$E$6=6,DM!K9/PG!$E$8,IF(PG!$E$6=7,DM!L9/PG!$E$8,IF(PG!$E$6=8,DM!M9/PG!$E$8,IF(PG!$E$6=9,DM!N9/PG!$E$8,IF(PG!$E$6=10,DM!O9/PG!$E$8,"-"))))))))))</f>
        <v>-</v>
      </c>
      <c r="Q9" s="75">
        <f ca="1">SUM(OFFSET(E9,0,0,,PG!$E$6+1))</f>
        <v>0</v>
      </c>
      <c r="S9" s="126" t="e">
        <f ca="1">AVERAGE(OFFSET(G33,0,0,,PG!$E$6))</f>
        <v>#REF!</v>
      </c>
      <c r="U9" s="115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4"/>
    </row>
    <row r="10" spans="1:48" ht="30" customHeight="1" thickTop="1" thickBot="1">
      <c r="C10" s="155" t="s">
        <v>90</v>
      </c>
      <c r="D10" s="155">
        <v>0.05</v>
      </c>
      <c r="E10" s="24">
        <f>SUM(ProjI!E6:E15)</f>
        <v>0</v>
      </c>
      <c r="F10" s="95">
        <f>SUM(ProjI!F6:F15)</f>
        <v>0</v>
      </c>
      <c r="G10" s="95" t="str">
        <f>IF(PG!$E$6&lt;DM!G$27,"-",SUM(ProjI!G6:G15))</f>
        <v>-</v>
      </c>
      <c r="H10" s="95" t="str">
        <f>IF(PG!$E$6&lt;DM!H$27,"-",SUM(ProjI!H6:H15))</f>
        <v>-</v>
      </c>
      <c r="I10" s="95" t="str">
        <f>IF(PG!$E$6&lt;DM!I$27,"-",SUM(ProjI!I6:I15))</f>
        <v>-</v>
      </c>
      <c r="J10" s="95" t="str">
        <f>IF(PG!$E$6&lt;DM!J$27,"-",SUM(ProjI!J6:J15))</f>
        <v>-</v>
      </c>
      <c r="K10" s="95" t="str">
        <f>IF(PG!$E$6&lt;DM!K$27,"-",SUM(ProjI!K6:K15))</f>
        <v>-</v>
      </c>
      <c r="L10" s="95" t="str">
        <f>IF(PG!$E$6&lt;DM!L$27,"-",SUM(ProjI!L6:L15))</f>
        <v>-</v>
      </c>
      <c r="M10" s="95" t="str">
        <f>IF(PG!$E$6&lt;DM!M$27,"-",SUM(ProjI!M6:M15))</f>
        <v>-</v>
      </c>
      <c r="N10" s="95" t="str">
        <f>IF(PG!$E$6&lt;DM!N$27,"-",SUM(ProjI!N6:N15))</f>
        <v>-</v>
      </c>
      <c r="O10" s="95" t="str">
        <f>IF(PG!$E$6&lt;DM!O$27,"-",SUM(ProjI!O6:O15))</f>
        <v>-</v>
      </c>
      <c r="P10" s="105" t="str">
        <f>IF(PG!$E$6=1,DM!F10/PG!$E$8,IF(PG!$E$6=2,DM!G10/PG!$E$8,IF(PG!$E$6=3,DM!H10/PG!$E$8,IF(PG!$E$6=4,DM!I10/PG!$E$8,IF(PG!$E$6=5,DM!J10/PG!$E$8,IF(PG!$E$6=6,DM!K10/PG!$E$8,IF(PG!$E$6=7,DM!L10/PG!$E$8,IF(PG!$E$6=8,DM!M10/PG!$E$8,IF(PG!$E$6=9,DM!N10/PG!$E$8,IF(PG!$E$6=10,DM!O10/PG!$E$8,"-"))))))))))</f>
        <v>-</v>
      </c>
      <c r="Q10" s="75">
        <f ca="1">SUM(OFFSET(E10,0,0,,PG!$E$6+1))</f>
        <v>0</v>
      </c>
      <c r="S10" s="126" t="e">
        <f ca="1">AVERAGE(OFFSET(G34,0,0,,PG!$E$6))</f>
        <v>#REF!</v>
      </c>
      <c r="U10" s="115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4"/>
    </row>
    <row r="11" spans="1:48" ht="30" customHeight="1" thickTop="1" thickBot="1">
      <c r="C11" s="163" t="s">
        <v>161</v>
      </c>
      <c r="D11" s="164"/>
      <c r="E11" s="102">
        <f>E8-E9-E10</f>
        <v>0</v>
      </c>
      <c r="F11" s="102">
        <f>E11+F8-F9-F10</f>
        <v>0</v>
      </c>
      <c r="G11" s="102" t="str">
        <f>IF(PG!$E$6&lt;DM!G$27,"-",F11+G8-G9-G10)</f>
        <v>-</v>
      </c>
      <c r="H11" s="102" t="str">
        <f>IF(PG!$E$6&lt;DM!H$27,"-",G11+H8-H9-H10)</f>
        <v>-</v>
      </c>
      <c r="I11" s="102" t="str">
        <f>IF(PG!$E$6&lt;DM!I$27,"-",H11+I8-I9-I10)</f>
        <v>-</v>
      </c>
      <c r="J11" s="102" t="str">
        <f>IF(PG!$E$6&lt;DM!J$27,"-",I11+J8-J9-J10)</f>
        <v>-</v>
      </c>
      <c r="K11" s="102" t="str">
        <f>IF(PG!$E$6&lt;DM!K$27,"-",J11+K8-K9-K10)</f>
        <v>-</v>
      </c>
      <c r="L11" s="102" t="str">
        <f>IF(PG!$E$6&lt;DM!L$27,"-",K11+L8-L9-L10)</f>
        <v>-</v>
      </c>
      <c r="M11" s="102" t="str">
        <f>IF(PG!$E$6&lt;DM!M$27,"-",L11+M8-M9-M10)</f>
        <v>-</v>
      </c>
      <c r="N11" s="102" t="str">
        <f>IF(PG!$E$6&lt;DM!N$27,"-",M11+N8-N9-N10)</f>
        <v>-</v>
      </c>
      <c r="O11" s="102" t="str">
        <f>IF(PG!$E$6&lt;DM!O$27,"-",N11+O8-O9-O10)</f>
        <v>-</v>
      </c>
      <c r="P11" s="104" t="s">
        <v>106</v>
      </c>
      <c r="Q11" s="102">
        <f>SUM(E11:O11)</f>
        <v>0</v>
      </c>
      <c r="S11" s="126" t="e">
        <f ca="1">AVERAGE(OFFSET(G35,0,0,,PG!$E$6))</f>
        <v>#REF!</v>
      </c>
    </row>
    <row r="12" spans="1:48" ht="30" customHeight="1" thickTop="1" thickBot="1">
      <c r="C12" s="160" t="s">
        <v>95</v>
      </c>
      <c r="D12" s="160"/>
      <c r="E12" s="71">
        <v>0.05</v>
      </c>
      <c r="F12" s="72">
        <v>0.05</v>
      </c>
      <c r="G12" s="100">
        <v>0.05</v>
      </c>
      <c r="H12" s="100">
        <v>0.05</v>
      </c>
      <c r="I12" s="100">
        <v>0.05</v>
      </c>
      <c r="J12" s="100">
        <v>0.05</v>
      </c>
      <c r="K12" s="100">
        <v>0.1</v>
      </c>
      <c r="L12" s="100">
        <v>0.1</v>
      </c>
      <c r="M12" s="100">
        <v>0.1</v>
      </c>
      <c r="N12" s="100">
        <v>0.1</v>
      </c>
      <c r="O12" s="100">
        <v>0.1</v>
      </c>
      <c r="P12" s="26" t="s">
        <v>106</v>
      </c>
      <c r="Q12" s="91">
        <f ca="1">SUM(OFFSET(E12,0,0,,PG!$E$6+1))</f>
        <v>0.05</v>
      </c>
    </row>
    <row r="13" spans="1:48" ht="30" customHeight="1" thickTop="1" thickBot="1">
      <c r="C13" s="155" t="s">
        <v>97</v>
      </c>
      <c r="D13" s="155"/>
      <c r="E13" s="24">
        <f>E8-E16</f>
        <v>0</v>
      </c>
      <c r="F13" s="24">
        <f t="shared" ref="F13" si="0">F8-F16</f>
        <v>0</v>
      </c>
      <c r="G13" s="24" t="str">
        <f>IF(PG!$E$6&lt;DM!G$27,"-",G8-G16)</f>
        <v>-</v>
      </c>
      <c r="H13" s="95" t="str">
        <f>IF(PG!$E$6&lt;DM!H$27,"-",H8-H16)</f>
        <v>-</v>
      </c>
      <c r="I13" s="95" t="str">
        <f>IF(PG!$E$6&lt;DM!I$27,"-",I8-I16)</f>
        <v>-</v>
      </c>
      <c r="J13" s="95" t="str">
        <f>IF(PG!$E$6&lt;DM!J$27,"-",J8-J16)</f>
        <v>-</v>
      </c>
      <c r="K13" s="95" t="str">
        <f>IF(PG!$E$6&lt;DM!K$27,"-",K8-K16)</f>
        <v>-</v>
      </c>
      <c r="L13" s="95" t="str">
        <f>IF(PG!$E$6&lt;DM!L$27,"-",L8-L16)</f>
        <v>-</v>
      </c>
      <c r="M13" s="95" t="str">
        <f>IF(PG!$E$6&lt;DM!M$27,"-",M8-M16)</f>
        <v>-</v>
      </c>
      <c r="N13" s="95" t="str">
        <f>IF(PG!$E$6&lt;DM!N$27,"-",N8-N16)</f>
        <v>-</v>
      </c>
      <c r="O13" s="95" t="str">
        <f>IF(PG!$E$6&lt;DM!O$27,"-",O8-O16)</f>
        <v>-</v>
      </c>
      <c r="P13" s="27" t="s">
        <v>106</v>
      </c>
      <c r="Q13" s="75">
        <f ca="1">SUM(OFFSET(E13,0,0,,PG!$E$6+1))</f>
        <v>0</v>
      </c>
    </row>
    <row r="14" spans="1:48" ht="30" customHeight="1" thickTop="1" thickBot="1">
      <c r="C14" s="155" t="s">
        <v>100</v>
      </c>
      <c r="D14" s="155"/>
      <c r="E14" s="24">
        <f>E13-E9</f>
        <v>0</v>
      </c>
      <c r="F14" s="93">
        <f t="shared" ref="F14" si="1">F13-F9</f>
        <v>0</v>
      </c>
      <c r="G14" s="93" t="str">
        <f>IF(PG!$E$6&lt;DM!G$27,"-",G13-G9)</f>
        <v>-</v>
      </c>
      <c r="H14" s="95" t="str">
        <f>IF(PG!$E$6&lt;DM!H$27,"-",H13-H9)</f>
        <v>-</v>
      </c>
      <c r="I14" s="95" t="str">
        <f>IF(PG!$E$6&lt;DM!I$27,"-",I13-I9)</f>
        <v>-</v>
      </c>
      <c r="J14" s="95" t="str">
        <f>IF(PG!$E$6&lt;DM!J$27,"-",J13-J9)</f>
        <v>-</v>
      </c>
      <c r="K14" s="95" t="str">
        <f>IF(PG!$E$6&lt;DM!K$27,"-",K13-K9)</f>
        <v>-</v>
      </c>
      <c r="L14" s="95" t="str">
        <f>IF(PG!$E$6&lt;DM!L$27,"-",L13-L9)</f>
        <v>-</v>
      </c>
      <c r="M14" s="95" t="str">
        <f>IF(PG!$E$6&lt;DM!M$27,"-",M13-M9)</f>
        <v>-</v>
      </c>
      <c r="N14" s="95" t="str">
        <f>IF(PG!$E$6&lt;DM!N$27,"-",N13-N9)</f>
        <v>-</v>
      </c>
      <c r="O14" s="95" t="str">
        <f>IF(PG!$E$6&lt;DM!O$27,"-",O13-O9)</f>
        <v>-</v>
      </c>
      <c r="P14" s="27" t="s">
        <v>106</v>
      </c>
      <c r="Q14" s="75">
        <f ca="1">SUM(OFFSET(E14,0,0,,PG!$E$6+1))</f>
        <v>0</v>
      </c>
    </row>
    <row r="15" spans="1:48" ht="30" customHeight="1" thickTop="1" thickBot="1">
      <c r="C15" s="155" t="s">
        <v>101</v>
      </c>
      <c r="D15" s="155"/>
      <c r="E15" s="92">
        <f>E14-E18</f>
        <v>0</v>
      </c>
      <c r="F15" s="92">
        <f>F14-F18</f>
        <v>0</v>
      </c>
      <c r="G15" s="92" t="str">
        <f>IF(PG!$E$6&lt;DM!G$27,"-",G14-G18)</f>
        <v>-</v>
      </c>
      <c r="H15" s="95" t="str">
        <f>IF(PG!$E$6&lt;DM!H$27,"-",H14-H18)</f>
        <v>-</v>
      </c>
      <c r="I15" s="95" t="str">
        <f>IF(PG!$E$6&lt;DM!I$27,"-",I14-I18)</f>
        <v>-</v>
      </c>
      <c r="J15" s="95" t="str">
        <f>IF(PG!$E$6&lt;DM!J$27,"-",J14-J18)</f>
        <v>-</v>
      </c>
      <c r="K15" s="95" t="str">
        <f>IF(PG!$E$6&lt;DM!K$27,"-",K14-K18)</f>
        <v>-</v>
      </c>
      <c r="L15" s="95" t="str">
        <f>IF(PG!$E$6&lt;DM!L$27,"-",L14-L18)</f>
        <v>-</v>
      </c>
      <c r="M15" s="95" t="str">
        <f>IF(PG!$E$6&lt;DM!M$27,"-",M14-M18)</f>
        <v>-</v>
      </c>
      <c r="N15" s="95" t="str">
        <f>IF(PG!$E$6&lt;DM!N$27,"-",N14-N18)</f>
        <v>-</v>
      </c>
      <c r="O15" s="95" t="str">
        <f>IF(PG!$E$6&lt;DM!O$27,"-",O14-O18)</f>
        <v>-</v>
      </c>
      <c r="P15" s="27" t="s">
        <v>106</v>
      </c>
      <c r="Q15" s="75">
        <f ca="1">SUM(OFFSET(E15,0,0,,PG!$E$6+1))</f>
        <v>0</v>
      </c>
    </row>
    <row r="16" spans="1:48" ht="30" customHeight="1" thickTop="1" thickBot="1">
      <c r="C16" s="22" t="s">
        <v>91</v>
      </c>
      <c r="D16" s="23"/>
      <c r="E16" s="24">
        <f>E8*E12</f>
        <v>0</v>
      </c>
      <c r="F16" s="24">
        <f t="shared" ref="F16" si="2">F8*F12</f>
        <v>0</v>
      </c>
      <c r="G16" s="24" t="str">
        <f>IF(PG!$E$6&lt;DM!G$27,"-",G8*G12)</f>
        <v>-</v>
      </c>
      <c r="H16" s="95" t="str">
        <f>IF(PG!$E$6&lt;DM!H$27,"-",H8*H12)</f>
        <v>-</v>
      </c>
      <c r="I16" s="95" t="str">
        <f>IF(PG!$E$6&lt;DM!I$27,"-",I8*I12)</f>
        <v>-</v>
      </c>
      <c r="J16" s="95" t="str">
        <f>IF(PG!$E$6&lt;DM!J$27,"-",J8*J12)</f>
        <v>-</v>
      </c>
      <c r="K16" s="95" t="str">
        <f>IF(PG!$E$6&lt;DM!K$27,"-",K8*K12)</f>
        <v>-</v>
      </c>
      <c r="L16" s="95" t="str">
        <f>IF(PG!$E$6&lt;DM!L$27,"-",L8*L12)</f>
        <v>-</v>
      </c>
      <c r="M16" s="95" t="str">
        <f>IF(PG!$E$6&lt;DM!M$27,"-",M8*M12)</f>
        <v>-</v>
      </c>
      <c r="N16" s="95" t="str">
        <f>IF(PG!$E$6&lt;DM!N$27,"-",N8*N12)</f>
        <v>-</v>
      </c>
      <c r="O16" s="95" t="str">
        <f>IF(PG!$E$6&lt;DM!O$27,"-",O8*O12)</f>
        <v>-</v>
      </c>
      <c r="P16" s="27" t="s">
        <v>106</v>
      </c>
      <c r="Q16" s="75">
        <f ca="1">SUM(OFFSET(E16,0,0,,PG!$E$6+1))</f>
        <v>0</v>
      </c>
    </row>
    <row r="17" spans="1:17" ht="30" customHeight="1" thickTop="1" thickBot="1">
      <c r="C17" s="155" t="s">
        <v>96</v>
      </c>
      <c r="D17" s="155"/>
      <c r="E17" s="24">
        <f>ABS(E15)</f>
        <v>0</v>
      </c>
      <c r="F17" s="94">
        <f t="shared" ref="F17" si="3">ABS(F15)</f>
        <v>0</v>
      </c>
      <c r="G17" s="94" t="str">
        <f>IF(PG!$E$6&lt;DM!G$27,"-",ABS(G15))</f>
        <v>-</v>
      </c>
      <c r="H17" s="95" t="str">
        <f>IF(PG!$E$6&lt;DM!H$27,"-",ABS(H15))</f>
        <v>-</v>
      </c>
      <c r="I17" s="95" t="str">
        <f>IF(PG!$E$6&lt;DM!I$27,"-",ABS(I15))</f>
        <v>-</v>
      </c>
      <c r="J17" s="95" t="str">
        <f>IF(PG!$E$6&lt;DM!J$27,"-",ABS(J15))</f>
        <v>-</v>
      </c>
      <c r="K17" s="95" t="str">
        <f>IF(PG!$E$6&lt;DM!K$27,"-",ABS(K15))</f>
        <v>-</v>
      </c>
      <c r="L17" s="95" t="str">
        <f>IF(PG!$E$6&lt;DM!L$27,"-",ABS(L15))</f>
        <v>-</v>
      </c>
      <c r="M17" s="95" t="str">
        <f>IF(PG!$E$6&lt;DM!M$27,"-",ABS(M15))</f>
        <v>-</v>
      </c>
      <c r="N17" s="95" t="str">
        <f>IF(PG!$E$6&lt;DM!N$27,"-",ABS(N15))</f>
        <v>-</v>
      </c>
      <c r="O17" s="95" t="str">
        <f>IF(PG!$E$6&lt;DM!O$27,"-",ABS(O15))</f>
        <v>-</v>
      </c>
      <c r="P17" s="27" t="s">
        <v>106</v>
      </c>
      <c r="Q17" s="75">
        <f ca="1">SUM(OFFSET(E17,0,0,,PG!$E$6+1))</f>
        <v>0</v>
      </c>
    </row>
    <row r="18" spans="1:17" ht="30" customHeight="1" thickTop="1" thickBot="1">
      <c r="C18" s="155" t="s">
        <v>92</v>
      </c>
      <c r="D18" s="155"/>
      <c r="E18" s="24">
        <v>0</v>
      </c>
      <c r="F18" s="24">
        <f>ProjI!F97</f>
        <v>0</v>
      </c>
      <c r="G18" s="95" t="str">
        <f>IF(PG!$E$6&lt;DM!G$27,"-",ProjI!G97)</f>
        <v>-</v>
      </c>
      <c r="H18" s="95" t="str">
        <f>IF(PG!$E$6&lt;DM!H$27,"-",ProjI!H97)</f>
        <v>-</v>
      </c>
      <c r="I18" s="95" t="str">
        <f>IF(PG!$E$6&lt;DM!I$27,"-",ProjI!I97)</f>
        <v>-</v>
      </c>
      <c r="J18" s="95" t="str">
        <f>IF(PG!$E$6&lt;DM!J$27,"-",ProjI!J97)</f>
        <v>-</v>
      </c>
      <c r="K18" s="95" t="str">
        <f>IF(PG!$E$6&lt;DM!K$27,"-",ProjI!K97)</f>
        <v>-</v>
      </c>
      <c r="L18" s="95" t="str">
        <f>IF(PG!$E$6&lt;DM!L$27,"-",ProjI!L97)</f>
        <v>-</v>
      </c>
      <c r="M18" s="95" t="str">
        <f>IF(PG!$E$6&lt;DM!M$27,"-",ProjI!M97)</f>
        <v>-</v>
      </c>
      <c r="N18" s="95" t="str">
        <f>IF(PG!$E$6&lt;DM!N$27,"-",ProjI!N97)</f>
        <v>-</v>
      </c>
      <c r="O18" s="95" t="str">
        <f>IF(PG!$E$6&lt;DM!O$27,"-",ProjI!O97)</f>
        <v>-</v>
      </c>
      <c r="P18" s="27" t="s">
        <v>106</v>
      </c>
      <c r="Q18" s="75">
        <f ca="1">SUM(OFFSET(E18,0,0,,PG!$E$6+1))</f>
        <v>0</v>
      </c>
    </row>
    <row r="19" spans="1:17" ht="30" customHeight="1" thickTop="1" thickBot="1">
      <c r="C19" s="155" t="s">
        <v>93</v>
      </c>
      <c r="D19" s="155"/>
      <c r="E19" s="24">
        <f>E17</f>
        <v>0</v>
      </c>
      <c r="F19" s="139">
        <f t="shared" ref="F19:O19" si="4">F17</f>
        <v>0</v>
      </c>
      <c r="G19" s="139" t="str">
        <f t="shared" si="4"/>
        <v>-</v>
      </c>
      <c r="H19" s="139" t="str">
        <f t="shared" si="4"/>
        <v>-</v>
      </c>
      <c r="I19" s="139" t="str">
        <f t="shared" si="4"/>
        <v>-</v>
      </c>
      <c r="J19" s="139" t="str">
        <f t="shared" si="4"/>
        <v>-</v>
      </c>
      <c r="K19" s="139" t="str">
        <f t="shared" si="4"/>
        <v>-</v>
      </c>
      <c r="L19" s="139" t="str">
        <f t="shared" si="4"/>
        <v>-</v>
      </c>
      <c r="M19" s="139" t="str">
        <f t="shared" si="4"/>
        <v>-</v>
      </c>
      <c r="N19" s="139" t="str">
        <f t="shared" si="4"/>
        <v>-</v>
      </c>
      <c r="O19" s="139" t="str">
        <f t="shared" si="4"/>
        <v>-</v>
      </c>
      <c r="P19" s="27" t="s">
        <v>106</v>
      </c>
      <c r="Q19" s="75">
        <f ca="1">SUM(OFFSET(E19,0,0,,PG!$E$6+1))</f>
        <v>0</v>
      </c>
    </row>
    <row r="20" spans="1:17" ht="30" customHeight="1" thickTop="1" thickBot="1">
      <c r="C20" s="158" t="s">
        <v>104</v>
      </c>
      <c r="D20" s="159"/>
      <c r="E20" s="71">
        <v>0.1</v>
      </c>
      <c r="F20" s="72">
        <v>0.05</v>
      </c>
      <c r="G20" s="100">
        <v>0.05</v>
      </c>
      <c r="H20" s="100">
        <v>0.05</v>
      </c>
      <c r="I20" s="100">
        <v>0.05</v>
      </c>
      <c r="J20" s="100">
        <v>0.05</v>
      </c>
      <c r="K20" s="100">
        <v>0.1</v>
      </c>
      <c r="L20" s="100">
        <v>0.1</v>
      </c>
      <c r="M20" s="100">
        <v>0.1</v>
      </c>
      <c r="N20" s="100">
        <v>0.1</v>
      </c>
      <c r="O20" s="100">
        <v>0.1</v>
      </c>
      <c r="P20" s="27" t="s">
        <v>106</v>
      </c>
      <c r="Q20" s="91">
        <f ca="1">SUM(OFFSET(E20,0,0,,PG!$E$6+1))</f>
        <v>0.1</v>
      </c>
    </row>
    <row r="21" spans="1:17" ht="30" customHeight="1" thickTop="1" thickBot="1">
      <c r="C21" s="155" t="s">
        <v>105</v>
      </c>
      <c r="D21" s="155"/>
      <c r="E21" s="24">
        <f>E19-(E19*E20)</f>
        <v>0</v>
      </c>
      <c r="F21" s="92">
        <f t="shared" ref="F21" si="5">F19-(F19*F20)</f>
        <v>0</v>
      </c>
      <c r="G21" s="92" t="str">
        <f>IF(PG!$E$6&lt;DM!G$27,"-",G19-(G19*G20))</f>
        <v>-</v>
      </c>
      <c r="H21" s="95" t="str">
        <f>IF(PG!$E$6&lt;DM!H$27,"-",H19-(H19*H20))</f>
        <v>-</v>
      </c>
      <c r="I21" s="95" t="str">
        <f>IF(PG!$E$6&lt;DM!I$27,"-",I19-(I19*I20))</f>
        <v>-</v>
      </c>
      <c r="J21" s="95" t="str">
        <f>IF(PG!$E$6&lt;DM!J$27,"-",J19-(J19*J20))</f>
        <v>-</v>
      </c>
      <c r="K21" s="95" t="str">
        <f>IF(PG!$E$6&lt;DM!K$27,"-",K19-(K19*K20))</f>
        <v>-</v>
      </c>
      <c r="L21" s="95" t="str">
        <f>IF(PG!$E$6&lt;DM!L$27,"-",L19-(L19*L20))</f>
        <v>-</v>
      </c>
      <c r="M21" s="95" t="str">
        <f>IF(PG!$E$6&lt;DM!M$27,"-",M19-(M19*M20))</f>
        <v>-</v>
      </c>
      <c r="N21" s="95" t="str">
        <f>IF(PG!$E$6&lt;DM!N$27,"-",N19-(N19*N20))</f>
        <v>-</v>
      </c>
      <c r="O21" s="95" t="str">
        <f>IF(PG!$E$6&lt;DM!O$27,"-",O19-(O19*O20))</f>
        <v>-</v>
      </c>
      <c r="P21" s="27" t="s">
        <v>106</v>
      </c>
      <c r="Q21" s="75">
        <f ca="1">SUM(OFFSET(E21,0,0,,PG!$E$6+1))</f>
        <v>0</v>
      </c>
    </row>
    <row r="22" spans="1:17" ht="30" customHeight="1" thickTop="1" thickBot="1">
      <c r="C22" s="155" t="s">
        <v>99</v>
      </c>
      <c r="D22" s="155"/>
      <c r="E22" s="24">
        <f>E21+E18-DM!E10</f>
        <v>0</v>
      </c>
      <c r="F22" s="102">
        <f>F21+F18-DM!F10</f>
        <v>0</v>
      </c>
      <c r="G22" s="94" t="str">
        <f>IF(PG!$E$6&lt;DM!G$27,"-",G21+G18-DM!G10)</f>
        <v>-</v>
      </c>
      <c r="H22" s="95" t="str">
        <f>IF(PG!$E$6&lt;DM!H$27,"-",H21+H18-DM!H10)</f>
        <v>-</v>
      </c>
      <c r="I22" s="95" t="str">
        <f>IF(PG!$E$6&lt;DM!I$27,"-",I21+I18-DM!I10)</f>
        <v>-</v>
      </c>
      <c r="J22" s="95" t="str">
        <f>IF(PG!$E$6&lt;DM!J$27,"-",J21+J18-DM!J10)</f>
        <v>-</v>
      </c>
      <c r="K22" s="95" t="str">
        <f>IF(PG!$E$6&lt;DM!K$27,"-",K21+K18-DM!K10)</f>
        <v>-</v>
      </c>
      <c r="L22" s="95" t="str">
        <f>IF(PG!$E$6&lt;DM!L$27,"-",L21+L18-DM!L10)</f>
        <v>-</v>
      </c>
      <c r="M22" s="95" t="str">
        <f>IF(PG!$E$6&lt;DM!M$27,"-",M21+M18-DM!M10)</f>
        <v>-</v>
      </c>
      <c r="N22" s="95" t="str">
        <f>IF(PG!$E$6&lt;DM!N$27,"-",N21+N18-DM!N10)</f>
        <v>-</v>
      </c>
      <c r="O22" s="95" t="str">
        <f>IF(PG!$E$6&lt;DM!O$27,"-",O21+O18-DM!O10)</f>
        <v>-</v>
      </c>
      <c r="P22" s="27" t="s">
        <v>106</v>
      </c>
      <c r="Q22" s="75">
        <f ca="1">SUM(OFFSET(E22,0,0,,PG!$E$6+1))</f>
        <v>0</v>
      </c>
    </row>
    <row r="23" spans="1:17" ht="30" customHeight="1" thickTop="1" thickBot="1">
      <c r="C23" s="155" t="s">
        <v>94</v>
      </c>
      <c r="D23" s="155"/>
      <c r="E23" s="99">
        <f>IF(ISERROR(E21/E8),0,E21/E8)</f>
        <v>0</v>
      </c>
      <c r="F23" s="99">
        <f t="shared" ref="F23" si="6">IF(ISERROR(F21/F8),0,F21/F8)</f>
        <v>0</v>
      </c>
      <c r="G23" s="99" t="str">
        <f>IF(PG!$E$6&lt;DM!G$27,"-",IF(ISERROR(G21/G8),0,G21/G8))</f>
        <v>-</v>
      </c>
      <c r="H23" s="99" t="str">
        <f>IF(PG!$E$6&lt;DM!H$27,"-",IF(ISERROR(H21/H8),0,H21/H8))</f>
        <v>-</v>
      </c>
      <c r="I23" s="99" t="str">
        <f>IF(PG!$E$6&lt;DM!I$27,"-",IF(ISERROR(I21/I8),0,I21/I8))</f>
        <v>-</v>
      </c>
      <c r="J23" s="99" t="str">
        <f>IF(PG!$E$6&lt;DM!J$27,"-",IF(ISERROR(J21/J8),0,J21/J8))</f>
        <v>-</v>
      </c>
      <c r="K23" s="99" t="str">
        <f>IF(PG!$E$6&lt;DM!K$27,"-",IF(ISERROR(K21/K8),0,K21/K8))</f>
        <v>-</v>
      </c>
      <c r="L23" s="99" t="str">
        <f>IF(PG!$E$6&lt;DM!L$27,"-",IF(ISERROR(L21/L8),0,L21/L8))</f>
        <v>-</v>
      </c>
      <c r="M23" s="99" t="str">
        <f>IF(PG!$E$6&lt;DM!M$27,"-",IF(ISERROR(M21/M8),0,M21/M8))</f>
        <v>-</v>
      </c>
      <c r="N23" s="99" t="str">
        <f>IF(PG!$E$6&lt;DM!N$27,"-",IF(ISERROR(N21/N8),0,N21/N8))</f>
        <v>-</v>
      </c>
      <c r="O23" s="99" t="str">
        <f>IF(PG!$E$6&lt;DM!O$27,"-",IF(ISERROR(O21/O8),0,O21/O8))</f>
        <v>-</v>
      </c>
      <c r="P23" s="27" t="s">
        <v>106</v>
      </c>
      <c r="Q23" s="91">
        <f ca="1">SUM(OFFSET(E23,0,0,,PG!$E$6+1))</f>
        <v>0</v>
      </c>
    </row>
    <row r="24" spans="1:17" s="96" customFormat="1" ht="30" customHeight="1" thickTop="1">
      <c r="A24" s="106"/>
      <c r="C24" s="107"/>
    </row>
    <row r="25" spans="1:17" s="96" customFormat="1" ht="30" customHeight="1">
      <c r="A25" s="128"/>
      <c r="B25" s="129"/>
      <c r="C25" s="135"/>
      <c r="D25" s="135" t="s">
        <v>98</v>
      </c>
      <c r="E25" s="135">
        <f>SUM(ProjD!D18:D27)</f>
        <v>0</v>
      </c>
      <c r="F25" s="136">
        <f>SUM(ProjD!E18:E27)</f>
        <v>0</v>
      </c>
      <c r="G25" s="135">
        <f t="shared" ref="G25:O25" si="7">IF(ISERROR(F25+(F25*$D9)),0,F25+(F25*$D9))</f>
        <v>0</v>
      </c>
      <c r="H25" s="135">
        <f t="shared" si="7"/>
        <v>0</v>
      </c>
      <c r="I25" s="135">
        <f t="shared" si="7"/>
        <v>0</v>
      </c>
      <c r="J25" s="135">
        <f t="shared" si="7"/>
        <v>0</v>
      </c>
      <c r="K25" s="135">
        <f t="shared" si="7"/>
        <v>0</v>
      </c>
      <c r="L25" s="135">
        <f t="shared" si="7"/>
        <v>0</v>
      </c>
      <c r="M25" s="135">
        <f t="shared" si="7"/>
        <v>0</v>
      </c>
      <c r="N25" s="135">
        <f t="shared" si="7"/>
        <v>0</v>
      </c>
      <c r="O25" s="135">
        <f t="shared" si="7"/>
        <v>0</v>
      </c>
    </row>
    <row r="26" spans="1:17" s="96" customFormat="1" ht="30" customHeight="1">
      <c r="A26" s="128"/>
      <c r="B26" s="129"/>
      <c r="C26" s="135"/>
      <c r="D26" s="135" t="s">
        <v>103</v>
      </c>
      <c r="E26" s="136">
        <f>E10*SUM(ProjI!$D$6:$D$15)</f>
        <v>0</v>
      </c>
      <c r="F26" s="136">
        <f>F10*SUM(ProjI!$D$6:$D$15)</f>
        <v>0</v>
      </c>
      <c r="G26" s="136" t="e">
        <f>G10*SUM(ProjI!$D$6:$D$15)</f>
        <v>#VALUE!</v>
      </c>
      <c r="H26" s="136" t="e">
        <f>H10*SUM(ProjI!$D$6:$D$15)</f>
        <v>#VALUE!</v>
      </c>
      <c r="I26" s="136" t="e">
        <f>I10*SUM(ProjI!$D$6:$D$15)</f>
        <v>#VALUE!</v>
      </c>
      <c r="J26" s="136" t="e">
        <f>J10*SUM(ProjI!$D$6:$D$15)</f>
        <v>#VALUE!</v>
      </c>
      <c r="K26" s="136" t="e">
        <f>K10*SUM(ProjI!$D$6:$D$15)</f>
        <v>#VALUE!</v>
      </c>
      <c r="L26" s="136" t="e">
        <f>L10*SUM(ProjI!$D$6:$D$15)</f>
        <v>#VALUE!</v>
      </c>
      <c r="M26" s="136" t="e">
        <f>M10*SUM(ProjI!$D$6:$D$15)</f>
        <v>#VALUE!</v>
      </c>
      <c r="N26" s="136" t="e">
        <f>N10*SUM(ProjI!$D$6:$D$15)</f>
        <v>#VALUE!</v>
      </c>
      <c r="O26" s="136" t="e">
        <f>O10*SUM(ProjI!$D$6:$D$15)</f>
        <v>#VALUE!</v>
      </c>
    </row>
    <row r="27" spans="1:17" s="96" customFormat="1" ht="30" customHeight="1">
      <c r="A27" s="128"/>
      <c r="B27" s="129"/>
      <c r="C27" s="135"/>
      <c r="D27" s="135"/>
      <c r="E27" s="135"/>
      <c r="F27" s="135">
        <v>1</v>
      </c>
      <c r="G27" s="135">
        <v>2</v>
      </c>
      <c r="H27" s="135">
        <v>3</v>
      </c>
      <c r="I27" s="135">
        <v>4</v>
      </c>
      <c r="J27" s="135">
        <v>5</v>
      </c>
      <c r="K27" s="135">
        <v>6</v>
      </c>
      <c r="L27" s="135">
        <v>7</v>
      </c>
      <c r="M27" s="135">
        <v>8</v>
      </c>
      <c r="N27" s="135">
        <v>9</v>
      </c>
      <c r="O27" s="135">
        <v>10</v>
      </c>
    </row>
    <row r="28" spans="1:17" s="96" customFormat="1" ht="30" customHeight="1">
      <c r="A28" s="128"/>
      <c r="B28" s="129"/>
      <c r="C28" s="135"/>
      <c r="D28" s="154" t="s">
        <v>120</v>
      </c>
      <c r="E28" s="63">
        <f>IF(E11&gt;=0,1,0)</f>
        <v>1</v>
      </c>
      <c r="F28" s="63">
        <f>IF(AND(F11&gt;=0,E28=0),1,0)</f>
        <v>0</v>
      </c>
      <c r="G28" s="63">
        <f>IF(AND(G11&gt;=0,SUM($E$28:F28)&lt;1),1,0)</f>
        <v>0</v>
      </c>
      <c r="H28" s="63">
        <f>IF(AND(H11&gt;=0,SUM($E$28:G28)&gt;0),0,1)</f>
        <v>0</v>
      </c>
      <c r="I28" s="63">
        <f>IF(PG!$E$6&gt;3,IF(AND(I11&gt;=0,SUM($E$28:H28)&gt;0),0,1),0)</f>
        <v>0</v>
      </c>
      <c r="J28" s="63">
        <f>IF(PG!$E$6&gt;3,IF(AND(J1&gt;=0,SUM($E$28:I28)&gt;0),0,1),0)</f>
        <v>0</v>
      </c>
      <c r="K28" s="63">
        <f>IF(PG!$E$6&gt;5,IF(AND(K11&gt;=0,SUM($E$28:J28)&gt;0),0,1),0)</f>
        <v>0</v>
      </c>
      <c r="L28" s="63">
        <f>IF(PG!$E$6&gt;5,IF(AND(L11&gt;=0,SUM($E$28:K28)&gt;0),0,1),0)</f>
        <v>0</v>
      </c>
      <c r="M28" s="63">
        <f>IF(PG!$E$6&gt;5,IF(AND(M11&gt;=0,SUM($E$28:L28)&gt;0),0,1),0)</f>
        <v>0</v>
      </c>
      <c r="N28" s="63">
        <f>IF(PG!$E$6&gt;5,IF(AND(N11&gt;=0,SUM($E$28:M28)&gt;0),0,1),0)</f>
        <v>0</v>
      </c>
      <c r="O28" s="63">
        <f>IF(PG!$E$6&gt;5,IF(AND(O11&gt;=0,SUM($E$28:N28)&gt;0),0,1),0)</f>
        <v>0</v>
      </c>
    </row>
    <row r="29" spans="1:17" s="96" customFormat="1" ht="30" customHeight="1">
      <c r="A29" s="128"/>
      <c r="B29" s="129"/>
      <c r="C29" s="135"/>
      <c r="D29" s="154"/>
      <c r="E29" s="63" t="str">
        <f t="shared" ref="E29:O29" si="8">E7</f>
        <v>Inicial 
(Ano 0)</v>
      </c>
      <c r="F29" s="63" t="str">
        <f>F7</f>
        <v>Ano 1</v>
      </c>
      <c r="G29" s="63" t="str">
        <f t="shared" si="8"/>
        <v>-</v>
      </c>
      <c r="H29" s="63" t="str">
        <f t="shared" si="8"/>
        <v>-</v>
      </c>
      <c r="I29" s="63" t="str">
        <f t="shared" si="8"/>
        <v>-</v>
      </c>
      <c r="J29" s="63" t="str">
        <f t="shared" si="8"/>
        <v>-</v>
      </c>
      <c r="K29" s="63" t="str">
        <f t="shared" si="8"/>
        <v>-</v>
      </c>
      <c r="L29" s="63" t="str">
        <f t="shared" si="8"/>
        <v>-</v>
      </c>
      <c r="M29" s="63" t="str">
        <f t="shared" si="8"/>
        <v>-</v>
      </c>
      <c r="N29" s="63" t="str">
        <f t="shared" si="8"/>
        <v>-</v>
      </c>
      <c r="O29" s="63" t="str">
        <f t="shared" si="8"/>
        <v>-</v>
      </c>
    </row>
    <row r="30" spans="1:17" s="96" customFormat="1" ht="30" customHeight="1">
      <c r="A30" s="128"/>
      <c r="B30" s="129"/>
      <c r="C30" s="135"/>
      <c r="D30" s="135" t="s">
        <v>122</v>
      </c>
      <c r="E30" s="135">
        <f>IF(E22&lt;0,E22,-E22)</f>
        <v>0</v>
      </c>
      <c r="F30" s="136">
        <f>F22</f>
        <v>0</v>
      </c>
      <c r="G30" s="136" t="str">
        <f t="shared" ref="G30:O30" si="9">G22</f>
        <v>-</v>
      </c>
      <c r="H30" s="136" t="str">
        <f t="shared" si="9"/>
        <v>-</v>
      </c>
      <c r="I30" s="136" t="str">
        <f t="shared" si="9"/>
        <v>-</v>
      </c>
      <c r="J30" s="136" t="str">
        <f t="shared" si="9"/>
        <v>-</v>
      </c>
      <c r="K30" s="136" t="str">
        <f t="shared" si="9"/>
        <v>-</v>
      </c>
      <c r="L30" s="136" t="str">
        <f t="shared" si="9"/>
        <v>-</v>
      </c>
      <c r="M30" s="136" t="str">
        <f t="shared" si="9"/>
        <v>-</v>
      </c>
      <c r="N30" s="136" t="str">
        <f t="shared" si="9"/>
        <v>-</v>
      </c>
      <c r="O30" s="136" t="str">
        <f t="shared" si="9"/>
        <v>-</v>
      </c>
    </row>
    <row r="31" spans="1:17" s="96" customFormat="1" ht="30" customHeight="1">
      <c r="A31" s="128"/>
      <c r="B31" s="129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</row>
    <row r="32" spans="1:17" s="96" customFormat="1" ht="30" customHeight="1">
      <c r="A32" s="128"/>
      <c r="B32" s="129"/>
      <c r="C32" s="135"/>
      <c r="D32" s="135"/>
      <c r="E32" s="135"/>
      <c r="F32" s="137"/>
      <c r="G32" s="137">
        <f>IF(ISERROR((G8/F8)-1),0,(G8/F8)-1)</f>
        <v>0</v>
      </c>
      <c r="H32" s="137">
        <f t="shared" ref="H32:O32" si="10">IF(ISERROR((H8/G8)-1),0,(H8/G8)-1)</f>
        <v>0</v>
      </c>
      <c r="I32" s="137">
        <f t="shared" si="10"/>
        <v>0</v>
      </c>
      <c r="J32" s="137">
        <f t="shared" si="10"/>
        <v>0</v>
      </c>
      <c r="K32" s="137">
        <f t="shared" si="10"/>
        <v>0</v>
      </c>
      <c r="L32" s="137">
        <f t="shared" si="10"/>
        <v>0</v>
      </c>
      <c r="M32" s="137">
        <f t="shared" si="10"/>
        <v>0</v>
      </c>
      <c r="N32" s="137">
        <f t="shared" si="10"/>
        <v>0</v>
      </c>
      <c r="O32" s="137">
        <f t="shared" si="10"/>
        <v>0</v>
      </c>
    </row>
    <row r="33" spans="1:15" s="96" customFormat="1" ht="30" customHeight="1">
      <c r="A33" s="128"/>
      <c r="B33" s="129"/>
      <c r="C33" s="135"/>
      <c r="D33" s="135"/>
      <c r="E33" s="135"/>
      <c r="F33" s="137"/>
      <c r="G33" s="137">
        <f>IF(ISERROR((G9/F9)-1),0,(G9/F9)-1)</f>
        <v>0</v>
      </c>
      <c r="H33" s="137">
        <f t="shared" ref="H33:O35" si="11">IF(ISERROR((H9/G9)-1),0,(H9/G9)-1)</f>
        <v>0</v>
      </c>
      <c r="I33" s="137">
        <f t="shared" si="11"/>
        <v>0</v>
      </c>
      <c r="J33" s="137">
        <f t="shared" si="11"/>
        <v>0</v>
      </c>
      <c r="K33" s="137">
        <f t="shared" si="11"/>
        <v>0</v>
      </c>
      <c r="L33" s="137">
        <f t="shared" si="11"/>
        <v>0</v>
      </c>
      <c r="M33" s="137">
        <f t="shared" si="11"/>
        <v>0</v>
      </c>
      <c r="N33" s="137">
        <f t="shared" si="11"/>
        <v>0</v>
      </c>
      <c r="O33" s="137">
        <f t="shared" si="11"/>
        <v>0</v>
      </c>
    </row>
    <row r="34" spans="1:15" s="96" customFormat="1" ht="30" customHeight="1">
      <c r="A34" s="128"/>
      <c r="B34" s="129"/>
      <c r="C34" s="135"/>
      <c r="D34" s="135"/>
      <c r="E34" s="135"/>
      <c r="F34" s="137"/>
      <c r="G34" s="137">
        <f>IF(ISERROR((G10/F10)-1),0,(G10/F10)-1)</f>
        <v>0</v>
      </c>
      <c r="H34" s="137">
        <f t="shared" si="11"/>
        <v>0</v>
      </c>
      <c r="I34" s="137">
        <f t="shared" si="11"/>
        <v>0</v>
      </c>
      <c r="J34" s="137">
        <f t="shared" si="11"/>
        <v>0</v>
      </c>
      <c r="K34" s="137">
        <f t="shared" si="11"/>
        <v>0</v>
      </c>
      <c r="L34" s="137">
        <f t="shared" si="11"/>
        <v>0</v>
      </c>
      <c r="M34" s="137">
        <f t="shared" si="11"/>
        <v>0</v>
      </c>
      <c r="N34" s="137">
        <f t="shared" si="11"/>
        <v>0</v>
      </c>
      <c r="O34" s="137">
        <f t="shared" si="11"/>
        <v>0</v>
      </c>
    </row>
    <row r="35" spans="1:15" s="96" customFormat="1" ht="30" customHeight="1">
      <c r="A35" s="128"/>
      <c r="B35" s="129"/>
      <c r="C35" s="135"/>
      <c r="D35" s="135"/>
      <c r="E35" s="135"/>
      <c r="F35" s="135"/>
      <c r="G35" s="137">
        <f>IF(ISERROR((G11/F11)-1),0,(G11/F11)-1)</f>
        <v>0</v>
      </c>
      <c r="H35" s="137">
        <f t="shared" si="11"/>
        <v>0</v>
      </c>
      <c r="I35" s="137">
        <f t="shared" si="11"/>
        <v>0</v>
      </c>
      <c r="J35" s="137">
        <f t="shared" si="11"/>
        <v>0</v>
      </c>
      <c r="K35" s="137">
        <f t="shared" si="11"/>
        <v>0</v>
      </c>
      <c r="L35" s="137">
        <f t="shared" si="11"/>
        <v>0</v>
      </c>
      <c r="M35" s="137">
        <f t="shared" si="11"/>
        <v>0</v>
      </c>
      <c r="N35" s="137">
        <f t="shared" si="11"/>
        <v>0</v>
      </c>
      <c r="O35" s="137">
        <f t="shared" si="11"/>
        <v>0</v>
      </c>
    </row>
    <row r="36" spans="1:15" s="96" customFormat="1" ht="30" customHeight="1">
      <c r="A36" s="106"/>
      <c r="C36" s="2"/>
      <c r="D36" s="2"/>
      <c r="E36" s="2"/>
      <c r="F36" s="138"/>
      <c r="G36" s="2"/>
      <c r="H36" s="2"/>
      <c r="I36" s="2"/>
      <c r="J36" s="2"/>
      <c r="K36" s="2"/>
      <c r="L36" s="2"/>
      <c r="M36" s="2"/>
      <c r="N36" s="2"/>
      <c r="O36" s="2"/>
    </row>
    <row r="37" spans="1:15" s="96" customFormat="1" ht="30" customHeight="1">
      <c r="A37" s="106"/>
    </row>
    <row r="38" spans="1:15" s="96" customFormat="1" ht="30" customHeight="1">
      <c r="A38" s="106"/>
      <c r="D38" s="12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5" s="96" customFormat="1" ht="30" customHeight="1">
      <c r="A39" s="106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1:15" s="96" customFormat="1" ht="30" customHeight="1">
      <c r="A40" s="106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1:15" s="96" customFormat="1" ht="30" customHeight="1">
      <c r="A41" s="106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1:15" s="96" customFormat="1" ht="30" customHeight="1">
      <c r="A42" s="106"/>
      <c r="D42" s="97"/>
    </row>
    <row r="43" spans="1:15" s="96" customFormat="1" ht="30" customHeight="1">
      <c r="A43" s="106"/>
    </row>
    <row r="44" spans="1:15" s="96" customFormat="1" ht="30" customHeight="1">
      <c r="A44" s="106"/>
    </row>
    <row r="45" spans="1:15" s="96" customFormat="1" ht="30" customHeight="1">
      <c r="A45" s="106"/>
      <c r="D45" s="97"/>
      <c r="E45" s="97"/>
    </row>
    <row r="46" spans="1:15" s="96" customFormat="1" ht="30" customHeight="1">
      <c r="A46" s="106"/>
    </row>
    <row r="47" spans="1:15" s="96" customFormat="1" ht="30" customHeight="1">
      <c r="A47" s="106"/>
    </row>
    <row r="48" spans="1:15" s="96" customFormat="1" ht="30" customHeight="1">
      <c r="A48" s="106"/>
    </row>
    <row r="49" spans="1:1" s="96" customFormat="1" ht="30" customHeight="1">
      <c r="A49" s="106"/>
    </row>
    <row r="50" spans="1:1" s="96" customFormat="1" ht="30" customHeight="1">
      <c r="A50" s="106"/>
    </row>
    <row r="51" spans="1:1" s="96" customFormat="1" ht="30" customHeight="1">
      <c r="A51" s="106"/>
    </row>
    <row r="52" spans="1:1" s="96" customFormat="1" ht="30" customHeight="1">
      <c r="A52" s="106"/>
    </row>
    <row r="53" spans="1:1" s="96" customFormat="1" ht="30" customHeight="1">
      <c r="A53" s="106"/>
    </row>
    <row r="54" spans="1:1" s="96" customFormat="1" ht="30" customHeight="1">
      <c r="A54" s="106"/>
    </row>
    <row r="55" spans="1:1" s="96" customFormat="1" ht="30" customHeight="1">
      <c r="A55" s="106"/>
    </row>
    <row r="56" spans="1:1" s="96" customFormat="1" ht="30" customHeight="1">
      <c r="A56" s="106"/>
    </row>
    <row r="57" spans="1:1" s="96" customFormat="1" ht="30" customHeight="1">
      <c r="A57" s="106"/>
    </row>
    <row r="58" spans="1:1" s="96" customFormat="1" ht="30" customHeight="1">
      <c r="A58" s="106"/>
    </row>
    <row r="59" spans="1:1" s="96" customFormat="1" ht="30" customHeight="1">
      <c r="A59" s="106"/>
    </row>
    <row r="60" spans="1:1" s="96" customFormat="1" ht="30" customHeight="1">
      <c r="A60" s="106"/>
    </row>
    <row r="61" spans="1:1" s="96" customFormat="1" ht="30" customHeight="1">
      <c r="A61" s="106"/>
    </row>
    <row r="62" spans="1:1" s="96" customFormat="1" ht="30" customHeight="1">
      <c r="A62" s="106"/>
    </row>
    <row r="63" spans="1:1" s="96" customFormat="1" ht="30" customHeight="1">
      <c r="A63" s="106"/>
    </row>
    <row r="64" spans="1:1" s="96" customFormat="1" ht="30" customHeight="1">
      <c r="A64" s="106"/>
    </row>
    <row r="65" spans="1:1" s="96" customFormat="1" ht="30" customHeight="1">
      <c r="A65" s="106"/>
    </row>
    <row r="66" spans="1:1" s="96" customFormat="1" ht="30" customHeight="1">
      <c r="A66" s="106"/>
    </row>
    <row r="67" spans="1:1" s="96" customFormat="1" ht="30" customHeight="1">
      <c r="A67" s="106"/>
    </row>
    <row r="68" spans="1:1" s="96" customFormat="1" ht="30" customHeight="1">
      <c r="A68" s="106"/>
    </row>
    <row r="69" spans="1:1" s="96" customFormat="1" ht="30" customHeight="1">
      <c r="A69" s="106"/>
    </row>
    <row r="70" spans="1:1" s="96" customFormat="1" ht="30" customHeight="1">
      <c r="A70" s="106"/>
    </row>
    <row r="71" spans="1:1" s="96" customFormat="1" ht="30" customHeight="1">
      <c r="A71" s="106"/>
    </row>
    <row r="72" spans="1:1" s="96" customFormat="1" ht="30" customHeight="1">
      <c r="A72" s="106"/>
    </row>
    <row r="73" spans="1:1" s="96" customFormat="1" ht="30" customHeight="1">
      <c r="A73" s="106"/>
    </row>
    <row r="74" spans="1:1" s="96" customFormat="1" ht="30" customHeight="1">
      <c r="A74" s="106"/>
    </row>
    <row r="75" spans="1:1" s="96" customFormat="1" ht="30" customHeight="1">
      <c r="A75" s="106"/>
    </row>
    <row r="76" spans="1:1" s="96" customFormat="1" ht="30" customHeight="1">
      <c r="A76" s="106"/>
    </row>
    <row r="77" spans="1:1" s="96" customFormat="1" ht="30" customHeight="1">
      <c r="A77" s="106"/>
    </row>
    <row r="78" spans="1:1" s="96" customFormat="1" ht="30" customHeight="1">
      <c r="A78" s="106"/>
    </row>
    <row r="79" spans="1:1" s="96" customFormat="1" ht="30" customHeight="1">
      <c r="A79" s="106"/>
    </row>
    <row r="80" spans="1:1" s="96" customFormat="1" ht="30" customHeight="1">
      <c r="A80" s="106"/>
    </row>
    <row r="81" spans="1:48" s="96" customFormat="1" ht="30" customHeight="1">
      <c r="A81" s="106"/>
    </row>
    <row r="82" spans="1:48" s="96" customFormat="1" ht="30" customHeight="1">
      <c r="A82" s="106"/>
    </row>
    <row r="83" spans="1:48" s="96" customFormat="1" ht="30" customHeight="1">
      <c r="A83" s="106"/>
      <c r="R83" s="2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</row>
    <row r="84" spans="1:48" s="96" customFormat="1" ht="30" customHeight="1">
      <c r="A84" s="106"/>
      <c r="R84" s="2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</row>
    <row r="85" spans="1:48" s="96" customFormat="1" ht="30" customHeight="1">
      <c r="A85" s="106"/>
      <c r="R85" s="2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</row>
    <row r="86" spans="1:48" s="96" customFormat="1" ht="30" customHeight="1">
      <c r="A86" s="106"/>
      <c r="R86" s="2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</row>
    <row r="87" spans="1:48" s="96" customFormat="1" ht="30" customHeight="1">
      <c r="A87" s="106"/>
      <c r="R87" s="2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</row>
    <row r="88" spans="1:48" s="96" customFormat="1" ht="30" customHeight="1">
      <c r="A88" s="106"/>
      <c r="R88" s="2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</row>
    <row r="89" spans="1:48" s="96" customFormat="1" ht="30" customHeight="1">
      <c r="A89" s="106"/>
      <c r="R89" s="2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</row>
    <row r="90" spans="1:48" s="96" customFormat="1" ht="30" customHeight="1">
      <c r="A90" s="106"/>
      <c r="R90" s="2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</row>
    <row r="91" spans="1:48" s="96" customFormat="1" ht="30" customHeight="1">
      <c r="A91" s="106"/>
      <c r="R91" s="2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</row>
    <row r="92" spans="1:48" s="96" customFormat="1" ht="30" customHeight="1">
      <c r="A92" s="106"/>
      <c r="R92" s="2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</row>
    <row r="93" spans="1:48" s="96" customFormat="1" ht="30" customHeight="1">
      <c r="A93" s="106"/>
      <c r="R93" s="2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</row>
    <row r="94" spans="1:48" s="96" customFormat="1" ht="30" customHeight="1">
      <c r="A94" s="106"/>
      <c r="R94" s="2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</row>
    <row r="95" spans="1:48" s="96" customFormat="1" ht="30" customHeight="1">
      <c r="A95" s="106"/>
      <c r="R95" s="2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</row>
    <row r="96" spans="1:48" s="96" customFormat="1" ht="30" customHeight="1">
      <c r="A96" s="106"/>
      <c r="R96" s="2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</row>
    <row r="97" spans="1:48" s="96" customFormat="1" ht="30" customHeight="1">
      <c r="A97" s="106"/>
      <c r="R97" s="2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</row>
    <row r="98" spans="1:48" s="96" customFormat="1" ht="30" customHeight="1">
      <c r="A98" s="106"/>
      <c r="R98" s="2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</row>
    <row r="99" spans="1:48" ht="30" customHeight="1"/>
    <row r="100" spans="1:48" ht="30" customHeight="1"/>
    <row r="101" spans="1:48" ht="30" customHeight="1"/>
    <row r="102" spans="1:48" ht="30" customHeight="1"/>
    <row r="103" spans="1:48" ht="30" customHeight="1"/>
    <row r="104" spans="1:48" ht="30" customHeight="1"/>
    <row r="105" spans="1:48"/>
    <row r="106" spans="1:48"/>
  </sheetData>
  <sheetProtection selectLockedCells="1"/>
  <mergeCells count="18">
    <mergeCell ref="C7:D7"/>
    <mergeCell ref="C11:D11"/>
    <mergeCell ref="D28:D29"/>
    <mergeCell ref="C22:D22"/>
    <mergeCell ref="C23:D23"/>
    <mergeCell ref="C21:D21"/>
    <mergeCell ref="C5:Q5"/>
    <mergeCell ref="C15:D15"/>
    <mergeCell ref="C20:D20"/>
    <mergeCell ref="C12:D12"/>
    <mergeCell ref="C13:D13"/>
    <mergeCell ref="C14:D14"/>
    <mergeCell ref="C17:D17"/>
    <mergeCell ref="C18:D18"/>
    <mergeCell ref="C19:D19"/>
    <mergeCell ref="C8:D8"/>
    <mergeCell ref="C9:D9"/>
    <mergeCell ref="C10:D10"/>
  </mergeCells>
  <conditionalFormatting sqref="P12:P23">
    <cfRule type="expression" dxfId="8" priority="58">
      <formula>Y12="Não"</formula>
    </cfRule>
  </conditionalFormatting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37" id="{44A5E68F-AF53-492E-84C6-0EC265DC8EC1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G12:O12</xm:sqref>
        </x14:conditionalFormatting>
        <x14:conditionalFormatting xmlns:xm="http://schemas.microsoft.com/office/excel/2006/main">
          <x14:cfRule type="expression" priority="38" id="{9D3F5D0C-2599-4FD5-B6B6-DB2F94BE55B3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H12:O12</xm:sqref>
        </x14:conditionalFormatting>
        <x14:conditionalFormatting xmlns:xm="http://schemas.microsoft.com/office/excel/2006/main">
          <x14:cfRule type="expression" priority="39" id="{CBF4670A-5170-4020-BD16-17499B934E71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I12:O12</xm:sqref>
        </x14:conditionalFormatting>
        <x14:conditionalFormatting xmlns:xm="http://schemas.microsoft.com/office/excel/2006/main">
          <x14:cfRule type="expression" priority="40" id="{4ACE27E7-9C43-44A1-8F11-D10811111EDE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J12:O12</xm:sqref>
        </x14:conditionalFormatting>
        <x14:conditionalFormatting xmlns:xm="http://schemas.microsoft.com/office/excel/2006/main">
          <x14:cfRule type="expression" priority="41" id="{A3E7186F-0ABC-450C-B28C-CC04A470D9AD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K12:O12</xm:sqref>
        </x14:conditionalFormatting>
        <x14:conditionalFormatting xmlns:xm="http://schemas.microsoft.com/office/excel/2006/main">
          <x14:cfRule type="expression" priority="42" id="{2C7FF20E-107E-47DD-B3D7-3C32861B05D6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L12:O12</xm:sqref>
        </x14:conditionalFormatting>
        <x14:conditionalFormatting xmlns:xm="http://schemas.microsoft.com/office/excel/2006/main">
          <x14:cfRule type="expression" priority="43" id="{ED1B5E98-A168-43E3-A675-08CC54360A9B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M12:O12</xm:sqref>
        </x14:conditionalFormatting>
        <x14:conditionalFormatting xmlns:xm="http://schemas.microsoft.com/office/excel/2006/main">
          <x14:cfRule type="expression" priority="44" id="{CA1E04CA-14F7-4718-89FA-AB9B92AE1DF1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N12:O12</xm:sqref>
        </x14:conditionalFormatting>
        <x14:conditionalFormatting xmlns:xm="http://schemas.microsoft.com/office/excel/2006/main">
          <x14:cfRule type="expression" priority="45" id="{BCCB19D8-3B92-4999-9B0A-0E94A5AF8AF9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19" id="{B53D10F4-F431-4388-8087-42F1D956A96E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G20:J20</xm:sqref>
        </x14:conditionalFormatting>
        <x14:conditionalFormatting xmlns:xm="http://schemas.microsoft.com/office/excel/2006/main">
          <x14:cfRule type="expression" priority="20" id="{349902B3-FC25-49E6-9D39-41963DF4C7A6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H20:J20</xm:sqref>
        </x14:conditionalFormatting>
        <x14:conditionalFormatting xmlns:xm="http://schemas.microsoft.com/office/excel/2006/main">
          <x14:cfRule type="expression" priority="21" id="{7F832BED-F37B-4D38-B92B-7930D7D9EB20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I20:J20</xm:sqref>
        </x14:conditionalFormatting>
        <x14:conditionalFormatting xmlns:xm="http://schemas.microsoft.com/office/excel/2006/main">
          <x14:cfRule type="expression" priority="22" id="{11F5E873-C38F-4F9B-A8D0-BFA4B7023355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" id="{C63DB15A-FD82-4770-876A-E1784FF94F89}">
            <xm:f>PG!$E$6&lt;2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/>
                <top/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2" id="{C576CE6A-94C4-4B65-9A3A-B8E4814BDA0A}">
            <xm:f>PG!$E$6&lt;3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3" id="{7B2FF65B-CB59-4EF6-B170-8565A7E31414}">
            <xm:f>PG!$E$6&lt;4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4" id="{DE76C4FB-F4C6-4067-A92F-C04147E793DC}">
            <xm:f>PG!$E$6&lt;5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5" id="{F846355A-4B2E-4213-AFC9-3E3210237982}">
            <xm:f>PG!$E$6&lt;6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K20:O20</xm:sqref>
        </x14:conditionalFormatting>
        <x14:conditionalFormatting xmlns:xm="http://schemas.microsoft.com/office/excel/2006/main">
          <x14:cfRule type="expression" priority="6" id="{34E47A35-40C1-44AC-8FF7-D04C6E3D6B96}">
            <xm:f>PG!$E$6&lt;7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L20:O20</xm:sqref>
        </x14:conditionalFormatting>
        <x14:conditionalFormatting xmlns:xm="http://schemas.microsoft.com/office/excel/2006/main">
          <x14:cfRule type="expression" priority="7" id="{1E313BC1-D0F6-4150-82AE-632AD089FB9E}">
            <xm:f>PG!$E$6&lt;8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M20:O20</xm:sqref>
        </x14:conditionalFormatting>
        <x14:conditionalFormatting xmlns:xm="http://schemas.microsoft.com/office/excel/2006/main">
          <x14:cfRule type="expression" priority="8" id="{431A7EA6-06D2-4965-9D87-1BD8D4BD5309}">
            <xm:f>PG!$E$6&lt;9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N20:O20</xm:sqref>
        </x14:conditionalFormatting>
        <x14:conditionalFormatting xmlns:xm="http://schemas.microsoft.com/office/excel/2006/main">
          <x14:cfRule type="expression" priority="9" id="{6B670983-04B0-4A23-A77D-B3D63A542B4E}">
            <xm:f>PG!$E$6&lt;10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theme="0" tint="-0.14996795556505021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  <vertical/>
                <horizontal/>
              </border>
            </x14:dxf>
          </x14:cfRule>
          <xm:sqref>O20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4"/>
  <dimension ref="A1:I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3" max="3" width="38.42578125" customWidth="1"/>
    <col min="4" max="4" width="28.42578125" customWidth="1"/>
    <col min="5" max="5" width="4.28515625" customWidth="1"/>
    <col min="6" max="6" width="38.42578125" customWidth="1"/>
    <col min="7" max="7" width="28.42578125" customWidth="1"/>
  </cols>
  <sheetData>
    <row r="1" spans="1:9" s="13" customFormat="1" ht="33.950000000000003" customHeight="1">
      <c r="A1" s="140" t="s">
        <v>118</v>
      </c>
      <c r="C1" s="167" t="s">
        <v>50</v>
      </c>
    </row>
    <row r="2" spans="1:9" s="13" customFormat="1" ht="21.6" customHeight="1">
      <c r="A2" s="141"/>
      <c r="C2" s="167"/>
    </row>
    <row r="3" spans="1:9" s="13" customFormat="1" ht="21.6" customHeight="1">
      <c r="A3" s="141"/>
      <c r="C3" s="167"/>
    </row>
    <row r="4" spans="1:9" ht="30" customHeight="1" thickBot="1"/>
    <row r="5" spans="1:9" ht="30" customHeight="1" thickTop="1" thickBot="1">
      <c r="C5" s="28" t="s">
        <v>107</v>
      </c>
      <c r="D5" s="28" t="s">
        <v>108</v>
      </c>
      <c r="F5" s="165" t="s">
        <v>109</v>
      </c>
      <c r="G5" s="166"/>
      <c r="H5" s="8"/>
    </row>
    <row r="6" spans="1:9" ht="30" customHeight="1" thickTop="1" thickBot="1">
      <c r="C6" s="21" t="s">
        <v>163</v>
      </c>
      <c r="D6" s="73">
        <f>DM!F14</f>
        <v>0</v>
      </c>
      <c r="F6" s="21" t="s">
        <v>110</v>
      </c>
      <c r="G6" s="31" t="str">
        <f ca="1">IF(ISERR(IRR(OFFSET(DM!E30,0,0,,PG!E6+1))),"-",IRR(OFFSET(DM!E30,0,0,,PG!E6+1)))</f>
        <v>-</v>
      </c>
      <c r="H6" s="8"/>
    </row>
    <row r="7" spans="1:9" ht="30" customHeight="1" thickTop="1" thickBot="1">
      <c r="C7" s="21" t="str">
        <f>"EBITDA último ano (Ano "&amp;PG!E6&amp;")"</f>
        <v>EBITDA último ano (Ano )</v>
      </c>
      <c r="D7" s="73">
        <f ca="1">OFFSET(DM!$E$14,0,PG!E6)</f>
        <v>0</v>
      </c>
      <c r="F7" s="21" t="s">
        <v>114</v>
      </c>
      <c r="G7" s="25" t="e">
        <f ca="1">1-PRODUCT(OFFSET(DM!F23,0,0,,PG!E6))</f>
        <v>#REF!</v>
      </c>
      <c r="H7" s="8"/>
      <c r="I7" s="33"/>
    </row>
    <row r="8" spans="1:9" ht="30" customHeight="1" thickTop="1" thickBot="1">
      <c r="C8" s="21" t="str">
        <f>"Taxa de crescimento em "&amp;PG!E6&amp;" ano(s)"</f>
        <v>Taxa de crescimento em  ano(s)</v>
      </c>
      <c r="D8" s="25" t="e">
        <f ca="1">IF((D7/D6-1)&lt;0,((D7/D6-1)*-1),(D7/D6-1))</f>
        <v>#DIV/0!</v>
      </c>
      <c r="F8" s="68" t="s">
        <v>157</v>
      </c>
      <c r="G8" s="24" t="str">
        <f>IF(ISERROR(HLOOKUP(1,DM!E28:O29,2,FALSE)),"Sem retorno",HLOOKUP(1,DM!E28:O29,2,FALSE))</f>
        <v>Inicial 
(Ano 0)</v>
      </c>
      <c r="I8" s="32"/>
    </row>
    <row r="9" spans="1:9" ht="30" customHeight="1" thickTop="1" thickBot="1">
      <c r="C9" s="21" t="s">
        <v>111</v>
      </c>
      <c r="D9" s="31" t="e">
        <f ca="1">AVERAGE(DM!S8:S10)</f>
        <v>#REF!</v>
      </c>
      <c r="F9" s="21" t="s">
        <v>162</v>
      </c>
      <c r="G9" s="64" t="str">
        <f ca="1">IF(ISERR(NPV(D11,OFFSET(DM!F22,0,0,,PG!$E$6))-DM!E10),"-",NPV(D11,OFFSET(DM!F22,0,0,,PG!$E$6))-DM!E10)</f>
        <v>-</v>
      </c>
    </row>
    <row r="10" spans="1:9" ht="30" customHeight="1" thickTop="1" thickBot="1">
      <c r="C10" s="21" t="s">
        <v>112</v>
      </c>
      <c r="D10" s="73">
        <f ca="1">OFFSET(DM!E22,0,PG!E6)</f>
        <v>0</v>
      </c>
      <c r="F10" s="21" t="s">
        <v>115</v>
      </c>
      <c r="G10" s="73" t="str">
        <f ca="1">IF(ISERR(OFFSET(DM!E22,0,0,,PG!E6)/'RC'!D11-AVERAGE(DM!S8:S10)),"-",OFFSET(DM!E22,0,0,,PG!E6)/'RC'!D11-AVERAGE(DM!S8:S10))</f>
        <v>-</v>
      </c>
    </row>
    <row r="11" spans="1:9" ht="30" customHeight="1" thickTop="1" thickBot="1">
      <c r="C11" s="21" t="s">
        <v>113</v>
      </c>
      <c r="D11" s="31" t="str">
        <f>IF(PG!E8="","-",PG!E8)</f>
        <v>-</v>
      </c>
      <c r="F11" s="21" t="s">
        <v>121</v>
      </c>
      <c r="G11" s="73" t="str">
        <f>IF(ISERR(NPV(D11,G10)),"-",NPV(D11,G10))</f>
        <v>-</v>
      </c>
    </row>
    <row r="12" spans="1:9" ht="30" customHeight="1" thickTop="1" thickBot="1">
      <c r="F12" s="29" t="s">
        <v>116</v>
      </c>
      <c r="G12" s="64" t="str">
        <f ca="1">IF(ISERR(G9+G11),"-",G9+G11)</f>
        <v>-</v>
      </c>
    </row>
    <row r="13" spans="1:9" ht="30" customHeight="1" thickTop="1"/>
    <row r="14" spans="1:9" ht="30" customHeight="1"/>
    <row r="15" spans="1:9" ht="30" customHeight="1"/>
    <row r="16" spans="1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2">
    <mergeCell ref="F5:G5"/>
    <mergeCell ref="C1:C3"/>
  </mergeCells>
  <conditionalFormatting sqref="D6:D11">
    <cfRule type="expression" dxfId="7" priority="2">
      <formula>M6="Não"</formula>
    </cfRule>
  </conditionalFormatting>
  <conditionalFormatting sqref="G6:G12">
    <cfRule type="expression" dxfId="6" priority="1">
      <formula>P6="Não"</formula>
    </cfRule>
  </conditionalFormatting>
  <hyperlinks>
    <hyperlink ref="F8" r:id="rId1" display="Payback"/>
  </hyperlinks>
  <pageMargins left="0.511811024" right="0.511811024" top="0.78740157499999996" bottom="0.78740157499999996" header="0.31496062000000002" footer="0.3149606200000000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5"/>
  <dimension ref="A1:AG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zeroHeight="1"/>
  <cols>
    <col min="1" max="1" width="27.7109375" style="1" customWidth="1"/>
    <col min="2" max="2" width="3.85546875" customWidth="1"/>
    <col min="23" max="33" width="17.140625" customWidth="1"/>
  </cols>
  <sheetData>
    <row r="1" spans="1:33" s="13" customFormat="1" ht="33.950000000000003" customHeight="1">
      <c r="A1" s="140" t="s">
        <v>118</v>
      </c>
      <c r="C1" s="14" t="s">
        <v>51</v>
      </c>
    </row>
    <row r="2" spans="1:33" s="13" customFormat="1" ht="21.6" customHeight="1">
      <c r="A2" s="141"/>
    </row>
    <row r="3" spans="1:33" s="13" customFormat="1" ht="21.6" customHeight="1">
      <c r="A3" s="141"/>
    </row>
    <row r="4" spans="1:33" ht="30" customHeight="1"/>
    <row r="5" spans="1:33" ht="30" customHeight="1">
      <c r="C5" s="30" t="s">
        <v>117</v>
      </c>
    </row>
    <row r="6" spans="1:33" ht="22.5" customHeight="1">
      <c r="C6" s="37" t="s">
        <v>123</v>
      </c>
      <c r="D6" s="34"/>
      <c r="E6" s="35"/>
      <c r="F6" s="35"/>
      <c r="G6" s="35"/>
      <c r="V6" s="2"/>
      <c r="W6" s="63" t="s">
        <v>156</v>
      </c>
      <c r="X6" s="63" t="s">
        <v>70</v>
      </c>
      <c r="Y6" s="63" t="s">
        <v>77</v>
      </c>
      <c r="Z6" s="63" t="s">
        <v>78</v>
      </c>
      <c r="AA6" s="63" t="s">
        <v>79</v>
      </c>
      <c r="AB6" s="63" t="s">
        <v>80</v>
      </c>
      <c r="AC6" s="63" t="s">
        <v>81</v>
      </c>
      <c r="AD6" s="63" t="s">
        <v>82</v>
      </c>
      <c r="AE6" s="63" t="s">
        <v>83</v>
      </c>
      <c r="AF6" s="63" t="s">
        <v>84</v>
      </c>
      <c r="AG6" s="63" t="s">
        <v>85</v>
      </c>
    </row>
    <row r="7" spans="1:33" ht="30" customHeight="1">
      <c r="V7" s="63" t="str">
        <f>DM!C8</f>
        <v>Projeção de Receitas</v>
      </c>
      <c r="W7" s="67">
        <f>DM!E8</f>
        <v>0</v>
      </c>
      <c r="X7" s="67">
        <f>DM!F8</f>
        <v>0</v>
      </c>
      <c r="Y7" s="67" t="str">
        <f>DM!G8</f>
        <v>-</v>
      </c>
      <c r="Z7" s="67" t="str">
        <f>DM!H8</f>
        <v>-</v>
      </c>
      <c r="AA7" s="67">
        <f>IF(PG!$E$6&gt;4,DM!I8,0)</f>
        <v>0</v>
      </c>
      <c r="AB7" s="67">
        <f>IF(PG!$E$6&gt;4,DM!J8,0)</f>
        <v>0</v>
      </c>
      <c r="AC7" s="67">
        <f>IF(PG!$E$6&gt;5,DM!K8,0)</f>
        <v>0</v>
      </c>
      <c r="AD7" s="67">
        <f>IF(PG!$E$6&gt;5,DM!L8,0)</f>
        <v>0</v>
      </c>
      <c r="AE7" s="67">
        <f>IF(PG!$E$6&gt;5,DM!M8,0)</f>
        <v>0</v>
      </c>
      <c r="AF7" s="67">
        <f>IF(PG!$E$6&gt;5,DM!N8,0)</f>
        <v>0</v>
      </c>
      <c r="AG7" s="67">
        <f>IF(PG!$E$6&gt;5,DM!O8,0)</f>
        <v>0</v>
      </c>
    </row>
    <row r="8" spans="1:33" ht="30" customHeight="1">
      <c r="V8" s="63" t="str">
        <f>DM!C9</f>
        <v>Projeção de Despesas</v>
      </c>
      <c r="W8" s="67">
        <f>DM!E9</f>
        <v>0</v>
      </c>
      <c r="X8" s="67">
        <f>DM!F9</f>
        <v>0</v>
      </c>
      <c r="Y8" s="67" t="str">
        <f>DM!G9</f>
        <v>-</v>
      </c>
      <c r="Z8" s="67" t="str">
        <f>DM!H9</f>
        <v>-</v>
      </c>
      <c r="AA8" s="67">
        <f>IF(PG!$E$6&gt;4,DM!I9,0)</f>
        <v>0</v>
      </c>
      <c r="AB8" s="67">
        <f>IF(PG!$E$6&gt;4,DM!J9,0)</f>
        <v>0</v>
      </c>
      <c r="AC8" s="67">
        <f>IF(PG!$E$6&gt;5,DM!K9,0)</f>
        <v>0</v>
      </c>
      <c r="AD8" s="67">
        <f>IF(PG!$E$6&gt;5,DM!L9,0)</f>
        <v>0</v>
      </c>
      <c r="AE8" s="67">
        <f>IF(PG!$E$6&gt;5,DM!M9,0)</f>
        <v>0</v>
      </c>
      <c r="AF8" s="67">
        <f>IF(PG!$E$6&gt;5,DM!N9,0)</f>
        <v>0</v>
      </c>
      <c r="AG8" s="67">
        <f>IF(PG!$E$6&gt;5,DM!O9,0)</f>
        <v>0</v>
      </c>
    </row>
    <row r="9" spans="1:33" ht="30" customHeight="1">
      <c r="V9" s="63" t="str">
        <f>DM!C10</f>
        <v>Projeção de Investimentos</v>
      </c>
      <c r="W9" s="67">
        <f>DM!E10</f>
        <v>0</v>
      </c>
      <c r="X9" s="67">
        <f>DM!F10</f>
        <v>0</v>
      </c>
      <c r="Y9" s="67" t="str">
        <f>DM!G10</f>
        <v>-</v>
      </c>
      <c r="Z9" s="67" t="str">
        <f>DM!H10</f>
        <v>-</v>
      </c>
      <c r="AA9" s="67">
        <f>IF(PG!$E$6&gt;4,DM!I10,0)</f>
        <v>0</v>
      </c>
      <c r="AB9" s="67">
        <f>IF(PG!$E$6&gt;4,DM!J10,0)</f>
        <v>0</v>
      </c>
      <c r="AC9" s="67">
        <f>IF(PG!$E$6&gt;5,DM!K10,0)</f>
        <v>0</v>
      </c>
      <c r="AD9" s="67">
        <f>IF(PG!$E$6&gt;5,DM!L10,0)</f>
        <v>0</v>
      </c>
      <c r="AE9" s="67">
        <f>IF(PG!$E$6&gt;5,DM!M10,0)</f>
        <v>0</v>
      </c>
      <c r="AF9" s="67">
        <f>IF(PG!$E$6&gt;5,DM!N10,0)</f>
        <v>0</v>
      </c>
      <c r="AG9" s="67">
        <f>IF(PG!$E$6&gt;5,DM!O10,0)</f>
        <v>0</v>
      </c>
    </row>
    <row r="10" spans="1:33" ht="30" customHeight="1">
      <c r="V10" s="63" t="str">
        <f>DM!C14</f>
        <v>EBITDA (LAJIDA)</v>
      </c>
      <c r="W10" s="67">
        <f>DM!E14</f>
        <v>0</v>
      </c>
      <c r="X10" s="67">
        <f>DM!F14</f>
        <v>0</v>
      </c>
      <c r="Y10" s="67" t="str">
        <f>DM!G14</f>
        <v>-</v>
      </c>
      <c r="Z10" s="67" t="str">
        <f>DM!H14</f>
        <v>-</v>
      </c>
      <c r="AA10" s="67">
        <f>IF(PG!$E$6&gt;4,DM!I14,0)</f>
        <v>0</v>
      </c>
      <c r="AB10" s="67">
        <f>IF(PG!$E$6&gt;4,DM!J14,0)</f>
        <v>0</v>
      </c>
      <c r="AC10" s="67">
        <f>IF(PG!$E$6&gt;5,DM!K14,0)</f>
        <v>0</v>
      </c>
      <c r="AD10" s="67">
        <f>IF(PG!$E$6&gt;5,DM!L14,0)</f>
        <v>0</v>
      </c>
      <c r="AE10" s="67">
        <f>IF(PG!$E$6&gt;5,DM!M14,0)</f>
        <v>0</v>
      </c>
      <c r="AF10" s="67">
        <f>IF(PG!$E$6&gt;5,DM!N14,0)</f>
        <v>0</v>
      </c>
      <c r="AG10" s="67">
        <f>IF(PG!$E$6&gt;5,DM!O14,0)</f>
        <v>0</v>
      </c>
    </row>
    <row r="11" spans="1:33" ht="30" customHeight="1">
      <c r="V11" s="63" t="str">
        <f>DM!C15</f>
        <v>EBIT (LAJIR)</v>
      </c>
      <c r="W11" s="67">
        <f>DM!E15</f>
        <v>0</v>
      </c>
      <c r="X11" s="67">
        <f>DM!F15</f>
        <v>0</v>
      </c>
      <c r="Y11" s="67" t="str">
        <f>DM!G15</f>
        <v>-</v>
      </c>
      <c r="Z11" s="67" t="str">
        <f>DM!H15</f>
        <v>-</v>
      </c>
      <c r="AA11" s="67">
        <f>IF(PG!$E$6&gt;4,DM!I15,0)</f>
        <v>0</v>
      </c>
      <c r="AB11" s="67">
        <f>IF(PG!$E$6&gt;4,DM!J15,0)</f>
        <v>0</v>
      </c>
      <c r="AC11" s="67">
        <f>IF(PG!$E$6&gt;5,DM!K15,0)</f>
        <v>0</v>
      </c>
      <c r="AD11" s="67">
        <f>IF(PG!$E$6&gt;5,DM!L15,0)</f>
        <v>0</v>
      </c>
      <c r="AE11" s="67">
        <f>IF(PG!$E$6&gt;5,DM!M15,0)</f>
        <v>0</v>
      </c>
      <c r="AF11" s="67">
        <f>IF(PG!$E$6&gt;5,DM!N15,0)</f>
        <v>0</v>
      </c>
      <c r="AG11" s="67">
        <f>IF(PG!$E$6&gt;5,DM!O15,0)</f>
        <v>0</v>
      </c>
    </row>
    <row r="12" spans="1:33" ht="30" customHeight="1">
      <c r="V12" s="63" t="str">
        <f>DM!C19</f>
        <v>LAIR</v>
      </c>
      <c r="W12" s="67">
        <f>DM!E19</f>
        <v>0</v>
      </c>
      <c r="X12" s="67">
        <f>DM!F19</f>
        <v>0</v>
      </c>
      <c r="Y12" s="67" t="str">
        <f>DM!G19</f>
        <v>-</v>
      </c>
      <c r="Z12" s="67" t="str">
        <f>DM!H19</f>
        <v>-</v>
      </c>
      <c r="AA12" s="67">
        <f>IF(PG!$E$6&gt;4,DM!I19,0)</f>
        <v>0</v>
      </c>
      <c r="AB12" s="67">
        <f>IF(PG!$E$6&gt;4,DM!J19,0)</f>
        <v>0</v>
      </c>
      <c r="AC12" s="67">
        <f>IF(PG!$E$6&gt;5,DM!K19,0)</f>
        <v>0</v>
      </c>
      <c r="AD12" s="67">
        <f>IF(PG!$E$6&gt;5,DM!L19,0)</f>
        <v>0</v>
      </c>
      <c r="AE12" s="67">
        <f>IF(PG!$E$6&gt;5,DM!M19,0)</f>
        <v>0</v>
      </c>
      <c r="AF12" s="67">
        <f>IF(PG!$E$6&gt;5,DM!N19,0)</f>
        <v>0</v>
      </c>
      <c r="AG12" s="67">
        <f>IF(PG!$E$6&gt;5,DM!O19,0)</f>
        <v>0</v>
      </c>
    </row>
    <row r="13" spans="1:33" ht="30" customHeight="1">
      <c r="V13" s="63" t="str">
        <f>DM!C22</f>
        <v>Fluxo de Caixa livre</v>
      </c>
      <c r="W13" s="67">
        <f>DM!E22</f>
        <v>0</v>
      </c>
      <c r="X13" s="67">
        <f>DM!F22</f>
        <v>0</v>
      </c>
      <c r="Y13" s="67" t="str">
        <f>DM!G22</f>
        <v>-</v>
      </c>
      <c r="Z13" s="67" t="str">
        <f>DM!H22</f>
        <v>-</v>
      </c>
      <c r="AA13" s="67">
        <f>IF(PG!$E$6&gt;4,DM!I22,0)</f>
        <v>0</v>
      </c>
      <c r="AB13" s="67">
        <f>IF(PG!$E$6&gt;4,DM!J22,0)</f>
        <v>0</v>
      </c>
      <c r="AC13" s="67">
        <f>IF(PG!$E$6&gt;5,DM!K22,0)</f>
        <v>0</v>
      </c>
      <c r="AD13" s="67">
        <f>IF(PG!$E$6&gt;5,DM!L22,0)</f>
        <v>0</v>
      </c>
      <c r="AE13" s="67">
        <f>IF(PG!$E$6&gt;5,DM!M22,0)</f>
        <v>0</v>
      </c>
      <c r="AF13" s="67">
        <f>IF(PG!$E$6&gt;5,DM!N22,0)</f>
        <v>0</v>
      </c>
      <c r="AG13" s="67">
        <f>IF(PG!$E$6&gt;5,DM!O22,0)</f>
        <v>0</v>
      </c>
    </row>
    <row r="14" spans="1:33" ht="30" customHeight="1">
      <c r="C14" s="37" t="s">
        <v>125</v>
      </c>
    </row>
    <row r="15" spans="1:33" ht="30" customHeight="1"/>
    <row r="16" spans="1:33" ht="30" customHeight="1"/>
    <row r="17" spans="3:3" ht="30" customHeight="1"/>
    <row r="18" spans="3:3" ht="30" customHeight="1"/>
    <row r="19" spans="3:3" ht="30" customHeight="1"/>
    <row r="20" spans="3:3" ht="30" customHeight="1"/>
    <row r="21" spans="3:3" ht="30" customHeight="1"/>
    <row r="22" spans="3:3" ht="30" customHeight="1">
      <c r="C22" s="37" t="s">
        <v>124</v>
      </c>
    </row>
    <row r="23" spans="3:3" ht="30" customHeight="1"/>
    <row r="24" spans="3:3" ht="30" customHeight="1"/>
    <row r="25" spans="3:3" ht="30" customHeight="1"/>
    <row r="26" spans="3:3" ht="30" customHeight="1"/>
    <row r="27" spans="3:3" ht="30" customHeight="1"/>
    <row r="28" spans="3:3" ht="30" customHeight="1"/>
    <row r="29" spans="3:3" ht="30" customHeight="1"/>
    <row r="30" spans="3:3" ht="30" customHeight="1">
      <c r="C30" s="37" t="s">
        <v>126</v>
      </c>
    </row>
    <row r="31" spans="3:3" ht="30" customHeight="1"/>
    <row r="32" spans="3:3" ht="30" customHeight="1"/>
    <row r="33" spans="3:3" ht="30" customHeight="1"/>
    <row r="34" spans="3:3" ht="30" customHeight="1"/>
    <row r="35" spans="3:3" ht="30" customHeight="1"/>
    <row r="36" spans="3:3" ht="30" customHeight="1"/>
    <row r="37" spans="3:3" ht="30" customHeight="1"/>
    <row r="38" spans="3:3" ht="30" customHeight="1">
      <c r="C38" s="37" t="s">
        <v>127</v>
      </c>
    </row>
    <row r="39" spans="3:3" ht="30" customHeight="1"/>
    <row r="40" spans="3:3" ht="30" customHeight="1"/>
    <row r="41" spans="3:3" ht="30" customHeight="1"/>
    <row r="42" spans="3:3" ht="30" customHeight="1"/>
    <row r="43" spans="3:3" ht="30" customHeight="1"/>
    <row r="44" spans="3:3" ht="30" customHeight="1"/>
    <row r="45" spans="3:3" ht="30" customHeight="1"/>
    <row r="46" spans="3:3" ht="30" customHeight="1">
      <c r="C46" s="37" t="s">
        <v>128</v>
      </c>
    </row>
    <row r="47" spans="3:3" ht="30" customHeight="1">
      <c r="C47" s="36"/>
    </row>
    <row r="48" spans="3:3" ht="30" customHeight="1"/>
    <row r="49" spans="3:3" ht="30" customHeight="1"/>
    <row r="50" spans="3:3" ht="30" customHeight="1"/>
    <row r="51" spans="3:3" ht="30" customHeight="1"/>
    <row r="52" spans="3:3" ht="30" customHeight="1"/>
    <row r="53" spans="3:3" ht="30" customHeight="1"/>
    <row r="54" spans="3:3" ht="30" customHeight="1">
      <c r="C54" s="37" t="s">
        <v>129</v>
      </c>
    </row>
    <row r="55" spans="3:3" ht="30" customHeight="1"/>
    <row r="56" spans="3:3" ht="30" customHeight="1"/>
    <row r="57" spans="3:3" ht="30" customHeight="1"/>
    <row r="58" spans="3:3" ht="30" customHeight="1"/>
    <row r="59" spans="3:3" ht="30" customHeight="1"/>
    <row r="60" spans="3:3" ht="30" customHeight="1"/>
    <row r="61" spans="3:3" ht="30" customHeight="1"/>
    <row r="62" spans="3:3" ht="30" customHeight="1"/>
    <row r="63" spans="3:3" ht="30" customHeight="1"/>
    <row r="64" spans="3:3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44"/>
  <dimension ref="A1:AE100"/>
  <sheetViews>
    <sheetView showGridLines="0" zoomScale="90" zoomScaleNormal="90" zoomScalePageLayoutView="90" workbookViewId="0">
      <selection activeCell="B1" sqref="B1"/>
    </sheetView>
  </sheetViews>
  <sheetFormatPr defaultColWidth="8.85546875" defaultRowHeight="15" customHeight="1" zeroHeight="1"/>
  <cols>
    <col min="1" max="1" width="27.7109375" style="42" customWidth="1"/>
    <col min="2" max="2" width="3.85546875" style="43" customWidth="1"/>
    <col min="3" max="4" width="28.42578125" style="43" customWidth="1"/>
    <col min="5" max="15" width="8.85546875" style="43"/>
    <col min="16" max="25" width="13.85546875" style="66" bestFit="1" customWidth="1"/>
    <col min="26" max="26" width="13.85546875" style="43" bestFit="1" customWidth="1"/>
    <col min="27" max="16384" width="8.85546875" style="43"/>
  </cols>
  <sheetData>
    <row r="1" spans="1:31" s="40" customFormat="1" ht="33.950000000000003" customHeight="1">
      <c r="A1" s="39" t="s">
        <v>118</v>
      </c>
      <c r="C1" s="41" t="s">
        <v>51</v>
      </c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1:31" s="40" customFormat="1" ht="21.6" customHeight="1">
      <c r="A2" s="42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1:31" s="40" customFormat="1" ht="21.6" customHeight="1">
      <c r="A3" s="42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1:31" ht="30" customHeight="1" thickBot="1"/>
    <row r="5" spans="1:31" ht="45" customHeight="1" thickTop="1" thickBot="1">
      <c r="C5" s="44" t="s">
        <v>132</v>
      </c>
      <c r="D5" s="18" t="s">
        <v>78</v>
      </c>
    </row>
    <row r="6" spans="1:31" ht="30" customHeight="1" thickTop="1">
      <c r="O6" s="168" t="s">
        <v>136</v>
      </c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spans="1:31" ht="30" customHeight="1">
      <c r="C7" s="45" t="s">
        <v>133</v>
      </c>
      <c r="O7" s="46">
        <f>HLOOKUP(D5,$P$7:$Z$11,5,FALSE)</f>
        <v>4</v>
      </c>
      <c r="P7" s="46" t="s">
        <v>131</v>
      </c>
      <c r="Q7" s="46" t="s">
        <v>70</v>
      </c>
      <c r="R7" s="46" t="s">
        <v>77</v>
      </c>
      <c r="S7" s="46" t="s">
        <v>78</v>
      </c>
      <c r="T7" s="46" t="str">
        <f>IF(PG!$E$6&gt;3,"Ano 4","-")</f>
        <v>-</v>
      </c>
      <c r="U7" s="46" t="str">
        <f>IF(PG!$E$6&gt;3,"Ano 5","-")</f>
        <v>-</v>
      </c>
      <c r="V7" s="46" t="str">
        <f>IF(PG!$E$6&gt;5,"Ano 6","-")</f>
        <v>-</v>
      </c>
      <c r="W7" s="46" t="str">
        <f>IF(PG!$E$6&gt;5,"Ano 7","-")</f>
        <v>-</v>
      </c>
      <c r="X7" s="46" t="str">
        <f>IF(PG!$E$6&gt;5,"Ano 8","-")</f>
        <v>-</v>
      </c>
      <c r="Y7" s="46" t="str">
        <f>IF(PG!$E$6&gt;5,"Ano 9","-")</f>
        <v>-</v>
      </c>
      <c r="Z7" s="46" t="str">
        <f>IF(PG!$E$6&gt;5,"Ano 10","-")</f>
        <v>-</v>
      </c>
      <c r="AA7" s="49"/>
      <c r="AB7" s="49"/>
      <c r="AC7" s="49"/>
      <c r="AD7" s="49"/>
      <c r="AE7" s="49"/>
    </row>
    <row r="8" spans="1:31" ht="30" customHeight="1">
      <c r="O8" s="46" t="str">
        <f>DM!C8</f>
        <v>Projeção de Receitas</v>
      </c>
      <c r="P8" s="47">
        <f>DM!E8</f>
        <v>0</v>
      </c>
      <c r="Q8" s="47">
        <f>DM!F8</f>
        <v>0</v>
      </c>
      <c r="R8" s="47" t="str">
        <f>DM!G8</f>
        <v>-</v>
      </c>
      <c r="S8" s="47" t="str">
        <f>DM!H8</f>
        <v>-</v>
      </c>
      <c r="T8" s="47" t="str">
        <f>DM!I8</f>
        <v>-</v>
      </c>
      <c r="U8" s="47" t="str">
        <f>DM!J8</f>
        <v>-</v>
      </c>
      <c r="V8" s="47" t="str">
        <f>DM!K8</f>
        <v>-</v>
      </c>
      <c r="W8" s="47" t="str">
        <f>DM!L8</f>
        <v>-</v>
      </c>
      <c r="X8" s="47" t="str">
        <f>DM!M8</f>
        <v>-</v>
      </c>
      <c r="Y8" s="47" t="str">
        <f>DM!N8</f>
        <v>-</v>
      </c>
      <c r="Z8" s="47" t="str">
        <f>DM!O8</f>
        <v>-</v>
      </c>
      <c r="AA8" s="46"/>
      <c r="AB8" s="49"/>
      <c r="AC8" s="49"/>
      <c r="AD8" s="49"/>
      <c r="AE8" s="49"/>
    </row>
    <row r="9" spans="1:31" ht="30" customHeight="1">
      <c r="O9" s="46" t="str">
        <f>DM!C9</f>
        <v>Projeção de Despesas</v>
      </c>
      <c r="P9" s="47">
        <f>DM!E9</f>
        <v>0</v>
      </c>
      <c r="Q9" s="47">
        <f>DM!F9</f>
        <v>0</v>
      </c>
      <c r="R9" s="47" t="str">
        <f>DM!G9</f>
        <v>-</v>
      </c>
      <c r="S9" s="47" t="str">
        <f>DM!H9</f>
        <v>-</v>
      </c>
      <c r="T9" s="47" t="str">
        <f>DM!I9</f>
        <v>-</v>
      </c>
      <c r="U9" s="47" t="str">
        <f>DM!J9</f>
        <v>-</v>
      </c>
      <c r="V9" s="47" t="str">
        <f>DM!K9</f>
        <v>-</v>
      </c>
      <c r="W9" s="47" t="str">
        <f>DM!L9</f>
        <v>-</v>
      </c>
      <c r="X9" s="47" t="str">
        <f>DM!M9</f>
        <v>-</v>
      </c>
      <c r="Y9" s="47" t="str">
        <f>DM!N9</f>
        <v>-</v>
      </c>
      <c r="Z9" s="47" t="str">
        <f>DM!O9</f>
        <v>-</v>
      </c>
      <c r="AA9" s="46"/>
      <c r="AB9" s="49"/>
      <c r="AC9" s="49"/>
      <c r="AD9" s="49"/>
      <c r="AE9" s="49"/>
    </row>
    <row r="10" spans="1:31" ht="30" customHeight="1">
      <c r="O10" s="46" t="str">
        <f>DM!C10</f>
        <v>Projeção de Investimentos</v>
      </c>
      <c r="P10" s="47">
        <f>DM!E10</f>
        <v>0</v>
      </c>
      <c r="Q10" s="47">
        <f>DM!F10</f>
        <v>0</v>
      </c>
      <c r="R10" s="47" t="str">
        <f>DM!G10</f>
        <v>-</v>
      </c>
      <c r="S10" s="47" t="str">
        <f>DM!H10</f>
        <v>-</v>
      </c>
      <c r="T10" s="47" t="str">
        <f>DM!I10</f>
        <v>-</v>
      </c>
      <c r="U10" s="47" t="str">
        <f>DM!J10</f>
        <v>-</v>
      </c>
      <c r="V10" s="47" t="str">
        <f>DM!K10</f>
        <v>-</v>
      </c>
      <c r="W10" s="47" t="str">
        <f>DM!L10</f>
        <v>-</v>
      </c>
      <c r="X10" s="47" t="str">
        <f>DM!M10</f>
        <v>-</v>
      </c>
      <c r="Y10" s="47" t="str">
        <f>DM!N10</f>
        <v>-</v>
      </c>
      <c r="Z10" s="47" t="str">
        <f>DM!O10</f>
        <v>-</v>
      </c>
      <c r="AA10" s="46"/>
      <c r="AB10" s="49"/>
      <c r="AC10" s="49"/>
      <c r="AD10" s="49"/>
      <c r="AE10" s="49"/>
    </row>
    <row r="11" spans="1:31" ht="30" customHeight="1">
      <c r="O11" s="49"/>
      <c r="P11" s="46">
        <v>1</v>
      </c>
      <c r="Q11" s="46">
        <v>2</v>
      </c>
      <c r="R11" s="46">
        <v>3</v>
      </c>
      <c r="S11" s="46">
        <v>4</v>
      </c>
      <c r="T11" s="46">
        <v>5</v>
      </c>
      <c r="U11" s="46">
        <v>6</v>
      </c>
      <c r="V11" s="46">
        <v>7</v>
      </c>
      <c r="W11" s="46">
        <v>8</v>
      </c>
      <c r="X11" s="46">
        <v>9</v>
      </c>
      <c r="Y11" s="46">
        <v>10</v>
      </c>
      <c r="Z11" s="46">
        <v>11</v>
      </c>
      <c r="AA11" s="49"/>
      <c r="AB11" s="49"/>
      <c r="AC11" s="49"/>
      <c r="AD11" s="49"/>
      <c r="AE11" s="49"/>
    </row>
    <row r="12" spans="1:31" ht="30" customHeight="1">
      <c r="O12" s="46"/>
      <c r="P12" s="46" t="str">
        <f>INDEX(P7:Z7,1,$O$7)</f>
        <v>Ano 3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9"/>
      <c r="AB12" s="49"/>
      <c r="AC12" s="49"/>
      <c r="AD12" s="49"/>
      <c r="AE12" s="49"/>
    </row>
    <row r="13" spans="1:31" ht="30" customHeight="1">
      <c r="O13" s="46" t="str">
        <f>O8</f>
        <v>Projeção de Receitas</v>
      </c>
      <c r="P13" s="47" t="str">
        <f>INDEX(P8:Z8,1,$O$7)</f>
        <v>-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30" customHeight="1">
      <c r="O14" s="46" t="str">
        <f>O9</f>
        <v>Projeção de Despesas</v>
      </c>
      <c r="P14" s="47" t="str">
        <f t="shared" ref="P14:P15" si="0">INDEX(P9:Z9,1,$O$7)</f>
        <v>-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30" customHeight="1">
      <c r="C15" s="45" t="s">
        <v>134</v>
      </c>
      <c r="O15" s="46" t="str">
        <f>O10</f>
        <v>Projeção de Investimentos</v>
      </c>
      <c r="P15" s="47" t="str">
        <f t="shared" si="0"/>
        <v>-</v>
      </c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30" customHeight="1">
      <c r="O16" s="168" t="s">
        <v>135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49"/>
      <c r="AB16" s="49"/>
      <c r="AC16" s="49"/>
      <c r="AD16" s="49"/>
      <c r="AE16" s="49"/>
    </row>
    <row r="17" spans="15:31" ht="30" customHeight="1">
      <c r="O17" s="46"/>
      <c r="P17" s="46" t="s">
        <v>131</v>
      </c>
      <c r="Q17" s="46" t="s">
        <v>70</v>
      </c>
      <c r="R17" s="46" t="s">
        <v>77</v>
      </c>
      <c r="S17" s="46" t="s">
        <v>78</v>
      </c>
      <c r="T17" s="46" t="s">
        <v>79</v>
      </c>
      <c r="U17" s="46" t="s">
        <v>80</v>
      </c>
      <c r="V17" s="46" t="s">
        <v>81</v>
      </c>
      <c r="W17" s="46" t="s">
        <v>82</v>
      </c>
      <c r="X17" s="46" t="s">
        <v>83</v>
      </c>
      <c r="Y17" s="46" t="s">
        <v>84</v>
      </c>
      <c r="Z17" s="46" t="s">
        <v>85</v>
      </c>
      <c r="AA17" s="49"/>
      <c r="AB17" s="49"/>
      <c r="AC17" s="49"/>
      <c r="AD17" s="49"/>
      <c r="AE17" s="49"/>
    </row>
    <row r="18" spans="15:31" ht="30" customHeight="1">
      <c r="O18" s="46" t="str">
        <f>DM!C14</f>
        <v>EBITDA (LAJIDA)</v>
      </c>
      <c r="P18" s="50">
        <f>DM!E14</f>
        <v>0</v>
      </c>
      <c r="Q18" s="50">
        <f>DM!F14</f>
        <v>0</v>
      </c>
      <c r="R18" s="50" t="str">
        <f>DM!G14</f>
        <v>-</v>
      </c>
      <c r="S18" s="50" t="str">
        <f>DM!H14</f>
        <v>-</v>
      </c>
      <c r="T18" s="50" t="str">
        <f>DM!I14</f>
        <v>-</v>
      </c>
      <c r="U18" s="50" t="str">
        <f>DM!J14</f>
        <v>-</v>
      </c>
      <c r="V18" s="50" t="str">
        <f>DM!K14</f>
        <v>-</v>
      </c>
      <c r="W18" s="50" t="str">
        <f>DM!L14</f>
        <v>-</v>
      </c>
      <c r="X18" s="50" t="str">
        <f>DM!M14</f>
        <v>-</v>
      </c>
      <c r="Y18" s="50" t="str">
        <f>DM!N14</f>
        <v>-</v>
      </c>
      <c r="Z18" s="50" t="str">
        <f>DM!O14</f>
        <v>-</v>
      </c>
      <c r="AA18" s="49"/>
      <c r="AB18" s="49"/>
      <c r="AC18" s="49"/>
      <c r="AD18" s="49"/>
      <c r="AE18" s="49"/>
    </row>
    <row r="19" spans="15:31" ht="30" customHeight="1">
      <c r="O19" s="46" t="str">
        <f>DM!C15</f>
        <v>EBIT (LAJIR)</v>
      </c>
      <c r="P19" s="50">
        <f>DM!E15</f>
        <v>0</v>
      </c>
      <c r="Q19" s="50">
        <f>DM!F15</f>
        <v>0</v>
      </c>
      <c r="R19" s="50" t="str">
        <f>DM!G15</f>
        <v>-</v>
      </c>
      <c r="S19" s="50" t="str">
        <f>DM!H15</f>
        <v>-</v>
      </c>
      <c r="T19" s="50" t="str">
        <f>DM!I15</f>
        <v>-</v>
      </c>
      <c r="U19" s="50" t="str">
        <f>DM!J15</f>
        <v>-</v>
      </c>
      <c r="V19" s="50" t="str">
        <f>DM!K15</f>
        <v>-</v>
      </c>
      <c r="W19" s="50" t="str">
        <f>DM!L15</f>
        <v>-</v>
      </c>
      <c r="X19" s="50" t="str">
        <f>DM!M15</f>
        <v>-</v>
      </c>
      <c r="Y19" s="50" t="str">
        <f>DM!N15</f>
        <v>-</v>
      </c>
      <c r="Z19" s="50" t="str">
        <f>DM!O15</f>
        <v>-</v>
      </c>
      <c r="AA19" s="49"/>
      <c r="AB19" s="49"/>
      <c r="AC19" s="49"/>
      <c r="AD19" s="49"/>
      <c r="AE19" s="49"/>
    </row>
    <row r="20" spans="15:31" ht="30" customHeight="1">
      <c r="O20" s="46" t="str">
        <f>DM!C19</f>
        <v>LAIR</v>
      </c>
      <c r="P20" s="50">
        <f>DM!E16</f>
        <v>0</v>
      </c>
      <c r="Q20" s="50">
        <f>DM!F16</f>
        <v>0</v>
      </c>
      <c r="R20" s="50" t="str">
        <f>DM!G16</f>
        <v>-</v>
      </c>
      <c r="S20" s="50" t="str">
        <f>DM!H16</f>
        <v>-</v>
      </c>
      <c r="T20" s="50" t="str">
        <f>DM!I16</f>
        <v>-</v>
      </c>
      <c r="U20" s="50" t="str">
        <f>DM!J16</f>
        <v>-</v>
      </c>
      <c r="V20" s="50" t="str">
        <f>DM!K16</f>
        <v>-</v>
      </c>
      <c r="W20" s="50" t="str">
        <f>DM!L16</f>
        <v>-</v>
      </c>
      <c r="X20" s="50" t="str">
        <f>DM!M16</f>
        <v>-</v>
      </c>
      <c r="Y20" s="50" t="str">
        <f>DM!N16</f>
        <v>-</v>
      </c>
      <c r="Z20" s="50" t="str">
        <f>DM!O16</f>
        <v>-</v>
      </c>
      <c r="AA20" s="49"/>
      <c r="AB20" s="49"/>
      <c r="AC20" s="49"/>
      <c r="AD20" s="49"/>
      <c r="AE20" s="49"/>
    </row>
    <row r="21" spans="15:31" ht="30" customHeight="1">
      <c r="O21" s="49"/>
      <c r="P21" s="46">
        <v>1</v>
      </c>
      <c r="Q21" s="46">
        <v>2</v>
      </c>
      <c r="R21" s="46">
        <v>3</v>
      </c>
      <c r="S21" s="46">
        <v>4</v>
      </c>
      <c r="T21" s="46">
        <v>5</v>
      </c>
      <c r="U21" s="46">
        <v>6</v>
      </c>
      <c r="V21" s="46">
        <v>7</v>
      </c>
      <c r="W21" s="46">
        <v>8</v>
      </c>
      <c r="X21" s="46">
        <v>9</v>
      </c>
      <c r="Y21" s="46">
        <v>10</v>
      </c>
      <c r="Z21" s="46">
        <v>11</v>
      </c>
      <c r="AA21" s="49"/>
      <c r="AB21" s="49"/>
      <c r="AC21" s="49"/>
      <c r="AD21" s="49"/>
      <c r="AE21" s="49"/>
    </row>
    <row r="22" spans="15:31" ht="30" customHeight="1">
      <c r="O22" s="46"/>
      <c r="P22" s="46" t="str">
        <f>INDEX(P17:Z17,1,$O$7)</f>
        <v>Ano 3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5:31" ht="30" customHeight="1">
      <c r="O23" s="46" t="str">
        <f>O18</f>
        <v>EBITDA (LAJIDA)</v>
      </c>
      <c r="P23" s="47" t="str">
        <f>INDEX(P18:Z18,1,$O$7)</f>
        <v>-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5:31" ht="30" customHeight="1">
      <c r="O24" s="46" t="str">
        <f t="shared" ref="O24:O25" si="1">O19</f>
        <v>EBIT (LAJIR)</v>
      </c>
      <c r="P24" s="47" t="str">
        <f>INDEX(P19:Z19,1,$O$7)</f>
        <v>-</v>
      </c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5:31" ht="30" customHeight="1">
      <c r="O25" s="46" t="str">
        <f t="shared" si="1"/>
        <v>LAIR</v>
      </c>
      <c r="P25" s="47" t="str">
        <f>INDEX(P20:Z20,1,$O$7)</f>
        <v>-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5:31" ht="30" customHeight="1"/>
    <row r="27" spans="15:31" ht="30" customHeight="1"/>
    <row r="28" spans="15:31" ht="30" customHeight="1"/>
    <row r="29" spans="15:31" ht="30" customHeight="1"/>
    <row r="30" spans="15:31" ht="30" customHeight="1"/>
    <row r="31" spans="15:31" ht="30" customHeight="1"/>
    <row r="32" spans="15:3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sheetProtection selectLockedCells="1"/>
  <mergeCells count="2">
    <mergeCell ref="O16:Z16"/>
    <mergeCell ref="O6:Z6"/>
  </mergeCells>
  <dataValidations count="1">
    <dataValidation type="list" allowBlank="1" showInputMessage="1" showErrorMessage="1" sqref="D5">
      <formula1>$P$7:$Z$7</formula1>
    </dataValidation>
  </dataValidation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Ini</vt:lpstr>
      <vt:lpstr>PG</vt:lpstr>
      <vt:lpstr>ProjD</vt:lpstr>
      <vt:lpstr>ProjI</vt:lpstr>
      <vt:lpstr>ProjR</vt:lpstr>
      <vt:lpstr>DM</vt:lpstr>
      <vt:lpstr>RC</vt:lpstr>
      <vt:lpstr>Graf</vt:lpstr>
      <vt:lpstr>GrafAE</vt:lpstr>
      <vt:lpstr>AD</vt:lpstr>
      <vt:lpstr>RI</vt:lpstr>
      <vt:lpstr>Dúvidas</vt:lpstr>
      <vt:lpstr>Sugestões</vt:lpstr>
      <vt:lpstr>Sobre a LUZ</vt:lpstr>
      <vt:lpstr>RI!Area_de_impressao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Fernand6</dc:creator>
  <cp:lastModifiedBy>leonardo.dasilva</cp:lastModifiedBy>
  <cp:lastPrinted>2015-02-20T17:37:24Z</cp:lastPrinted>
  <dcterms:created xsi:type="dcterms:W3CDTF">2014-08-23T07:21:08Z</dcterms:created>
  <dcterms:modified xsi:type="dcterms:W3CDTF">2016-03-08T18:01:30Z</dcterms:modified>
</cp:coreProperties>
</file>