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zz coding\Python_DataScience_Basic\9 ML Sklearn\"/>
    </mc:Choice>
  </mc:AlternateContent>
  <bookViews>
    <workbookView xWindow="0" yWindow="0" windowWidth="23040" windowHeight="9780" activeTab="3"/>
  </bookViews>
  <sheets>
    <sheet name="simple_linreg" sheetId="1" r:id="rId1"/>
    <sheet name="metrics" sheetId="2" r:id="rId2"/>
    <sheet name="metrics_OK" sheetId="3" r:id="rId3"/>
    <sheet name="standardisasi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D14" i="4"/>
  <c r="D15" i="4"/>
  <c r="D16" i="4"/>
  <c r="D12" i="4"/>
  <c r="C8" i="4"/>
  <c r="C14" i="4" s="1"/>
  <c r="C9" i="4"/>
  <c r="A13" i="4"/>
  <c r="A14" i="4"/>
  <c r="A15" i="4"/>
  <c r="A16" i="4"/>
  <c r="A12" i="4"/>
  <c r="A9" i="4"/>
  <c r="A8" i="4"/>
  <c r="D3" i="4"/>
  <c r="D4" i="4"/>
  <c r="D5" i="4"/>
  <c r="D6" i="4"/>
  <c r="D2" i="4"/>
  <c r="C3" i="4"/>
  <c r="C4" i="4"/>
  <c r="C5" i="4"/>
  <c r="C6" i="4"/>
  <c r="C2" i="4"/>
  <c r="C12" i="4" l="1"/>
  <c r="C15" i="4"/>
  <c r="C13" i="4"/>
  <c r="C16" i="4"/>
  <c r="A58" i="3"/>
  <c r="A15" i="3" l="1"/>
  <c r="A13" i="3"/>
  <c r="A11" i="3"/>
  <c r="F2" i="3" s="1"/>
  <c r="B7" i="3"/>
  <c r="A7" i="3"/>
  <c r="K6" i="3"/>
  <c r="I6" i="3"/>
  <c r="J6" i="3" s="1"/>
  <c r="E6" i="3"/>
  <c r="D6" i="3"/>
  <c r="C6" i="3"/>
  <c r="K5" i="3"/>
  <c r="J5" i="3"/>
  <c r="I5" i="3"/>
  <c r="E5" i="3"/>
  <c r="D5" i="3"/>
  <c r="C5" i="3"/>
  <c r="K4" i="3"/>
  <c r="I4" i="3"/>
  <c r="J4" i="3" s="1"/>
  <c r="E4" i="3"/>
  <c r="D4" i="3"/>
  <c r="C4" i="3"/>
  <c r="K3" i="3"/>
  <c r="J3" i="3"/>
  <c r="I3" i="3"/>
  <c r="E3" i="3"/>
  <c r="D3" i="3"/>
  <c r="C3" i="3"/>
  <c r="K2" i="3"/>
  <c r="I2" i="3"/>
  <c r="J2" i="3" s="1"/>
  <c r="E2" i="3"/>
  <c r="D2" i="3"/>
  <c r="C2" i="3"/>
  <c r="R32" i="2"/>
  <c r="O3" i="2"/>
  <c r="O4" i="2"/>
  <c r="O5" i="2"/>
  <c r="O6" i="2"/>
  <c r="O2" i="2"/>
  <c r="R26" i="2"/>
  <c r="N3" i="2"/>
  <c r="N4" i="2"/>
  <c r="N5" i="2"/>
  <c r="N6" i="2"/>
  <c r="N2" i="2"/>
  <c r="K3" i="2"/>
  <c r="K4" i="2"/>
  <c r="K5" i="2"/>
  <c r="K6" i="2"/>
  <c r="K2" i="2"/>
  <c r="D7" i="3" l="1"/>
  <c r="A16" i="3" s="1"/>
  <c r="C7" i="3"/>
  <c r="E7" i="3"/>
  <c r="M2" i="3"/>
  <c r="N2" i="3"/>
  <c r="L2" i="3"/>
  <c r="G2" i="3"/>
  <c r="F4" i="3"/>
  <c r="F6" i="3"/>
  <c r="F3" i="3"/>
  <c r="F5" i="3"/>
  <c r="I10" i="2"/>
  <c r="J10" i="2" s="1"/>
  <c r="B9" i="2"/>
  <c r="G12" i="2"/>
  <c r="G10" i="2"/>
  <c r="B7" i="2"/>
  <c r="A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G6" i="3" l="1"/>
  <c r="H6" i="3" s="1"/>
  <c r="N6" i="3"/>
  <c r="O6" i="3" s="1"/>
  <c r="L6" i="3"/>
  <c r="M6" i="3" s="1"/>
  <c r="L4" i="3"/>
  <c r="M4" i="3" s="1"/>
  <c r="G4" i="3"/>
  <c r="H4" i="3" s="1"/>
  <c r="N4" i="3"/>
  <c r="O4" i="3" s="1"/>
  <c r="G5" i="3"/>
  <c r="H5" i="3" s="1"/>
  <c r="N5" i="3"/>
  <c r="O5" i="3" s="1"/>
  <c r="L5" i="3"/>
  <c r="M5" i="3" s="1"/>
  <c r="L3" i="3"/>
  <c r="M3" i="3" s="1"/>
  <c r="G3" i="3"/>
  <c r="H3" i="3" s="1"/>
  <c r="N3" i="3"/>
  <c r="O3" i="3" s="1"/>
  <c r="H2" i="3"/>
  <c r="C45" i="3"/>
  <c r="O2" i="3"/>
  <c r="I13" i="2"/>
  <c r="J13" i="2" s="1"/>
  <c r="I9" i="2"/>
  <c r="I11" i="2"/>
  <c r="J11" i="2" s="1"/>
  <c r="D7" i="2"/>
  <c r="C7" i="2"/>
  <c r="I12" i="2"/>
  <c r="J12" i="2" s="1"/>
  <c r="J9" i="2"/>
  <c r="E7" i="2"/>
  <c r="G9" i="2" s="1"/>
  <c r="G17" i="1"/>
  <c r="G18" i="1"/>
  <c r="C38" i="3" l="1"/>
  <c r="C42" i="3" s="1"/>
  <c r="C34" i="3"/>
  <c r="C54" i="3"/>
  <c r="C26" i="3"/>
  <c r="C31" i="3" s="1"/>
  <c r="C20" i="3"/>
  <c r="C22" i="3"/>
  <c r="C49" i="3"/>
  <c r="G11" i="2"/>
  <c r="G5" i="2"/>
  <c r="G3" i="2"/>
  <c r="G6" i="2"/>
  <c r="G2" i="2"/>
  <c r="G4" i="2"/>
  <c r="J5" i="1"/>
  <c r="J4" i="1"/>
  <c r="G9" i="1"/>
  <c r="G3" i="1" s="1"/>
  <c r="G11" i="1"/>
  <c r="G12" i="1"/>
  <c r="G10" i="1"/>
  <c r="B7" i="1"/>
  <c r="C7" i="1"/>
  <c r="D7" i="1"/>
  <c r="E7" i="1"/>
  <c r="A7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I3" i="2" l="1"/>
  <c r="J3" i="2" s="1"/>
  <c r="L3" i="2"/>
  <c r="M3" i="2" s="1"/>
  <c r="I4" i="2"/>
  <c r="J4" i="2" s="1"/>
  <c r="L4" i="2"/>
  <c r="M4" i="2" s="1"/>
  <c r="I2" i="2"/>
  <c r="R15" i="2" s="1"/>
  <c r="L2" i="2"/>
  <c r="M2" i="2" s="1"/>
  <c r="I6" i="2"/>
  <c r="J6" i="2" s="1"/>
  <c r="L6" i="2"/>
  <c r="M6" i="2" s="1"/>
  <c r="I5" i="2"/>
  <c r="J5" i="2" s="1"/>
  <c r="L5" i="2"/>
  <c r="M5" i="2" s="1"/>
  <c r="G6" i="1"/>
  <c r="G2" i="1"/>
  <c r="G5" i="1"/>
  <c r="G4" i="1"/>
  <c r="J2" i="2" l="1"/>
  <c r="R19" i="2"/>
  <c r="R24" i="2" s="1"/>
  <c r="R2" i="2"/>
  <c r="R1" i="2"/>
  <c r="R7" i="2"/>
  <c r="R11" i="2" s="1"/>
  <c r="R37" i="2"/>
</calcChain>
</file>

<file path=xl/sharedStrings.xml><?xml version="1.0" encoding="utf-8"?>
<sst xmlns="http://schemas.openxmlformats.org/spreadsheetml/2006/main" count="129" uniqueCount="103">
  <si>
    <t>mesinMobil x</t>
  </si>
  <si>
    <t>hargaMobil y</t>
  </si>
  <si>
    <t>x^2</t>
  </si>
  <si>
    <t>xy</t>
  </si>
  <si>
    <t>y^2</t>
  </si>
  <si>
    <t>b / m /gradien / slope</t>
  </si>
  <si>
    <t>a / c / ttkpotY</t>
  </si>
  <si>
    <t>y bestfitline</t>
  </si>
  <si>
    <t>( (B7 * C7) - (A7 * E7) )  /  (  (5 * C7) - (A7 ^ 2))</t>
  </si>
  <si>
    <t>( (5 * E7) - ( A7 * B7 ) ) / ( (5 * C7 ) - ( A7 ^ 2 ) )</t>
  </si>
  <si>
    <t>slope(y; x)</t>
  </si>
  <si>
    <t>intercept(y; x)</t>
  </si>
  <si>
    <t>rumus linear regression</t>
  </si>
  <si>
    <t>rumus correlation Pearson</t>
  </si>
  <si>
    <t>corr</t>
  </si>
  <si>
    <t>( (5 * E7) - (A7 * B7) ) / SQRT(ABS((5 * C7) - (A7 ^ 2)) * ABS( (5 * D7) - (B7 ^ 2) ))</t>
  </si>
  <si>
    <t>correl(x; y)</t>
  </si>
  <si>
    <t>mx + c = 0.017x - 10</t>
  </si>
  <si>
    <t>Berapa harga terbaik mobil dg cc:</t>
  </si>
  <si>
    <t>1000cc</t>
  </si>
  <si>
    <t>1001cc</t>
  </si>
  <si>
    <t>*arti: naik 1 cc, harga naik 0,017</t>
  </si>
  <si>
    <t>maxError</t>
  </si>
  <si>
    <t>selisih y &amp; yBest</t>
  </si>
  <si>
    <t>MAE</t>
  </si>
  <si>
    <t>MSE</t>
  </si>
  <si>
    <t>mean absolute error</t>
  </si>
  <si>
    <t>mean squared error</t>
  </si>
  <si>
    <t>RMSE</t>
  </si>
  <si>
    <t>MAE is the easiest to understand, because it's the average error.</t>
  </si>
  <si>
    <t>MSE is more popular than MAE, because MSE "punishes" larger errors, which tends to be useful in the real world.</t>
  </si>
  <si>
    <t>RMSE is even more popular than MSE, because RMSE is interpretable in the "y" units.</t>
  </si>
  <si>
    <t>MAE, MSE, RMSE are loss functions, because we want to minimize them.</t>
  </si>
  <si>
    <t>square root of MSE</t>
  </si>
  <si>
    <t>R2 Score</t>
  </si>
  <si>
    <t>average y</t>
  </si>
  <si>
    <t>selisih y &amp; yAVG</t>
  </si>
  <si>
    <t>y-yAVG ^ 2</t>
  </si>
  <si>
    <t>y-yBest ^ 2</t>
  </si>
  <si>
    <t>coef of determination</t>
  </si>
  <si>
    <t>MedAE</t>
  </si>
  <si>
    <t>median absolute error</t>
  </si>
  <si>
    <t>It represents the proportion of variance (of y) that has been explained by the independent variables in the model. It provides an indication of goodness of fit and therefore a measure of how well unseen samples are likely to be predicted by the model, through the proportion of explained variance.</t>
  </si>
  <si>
    <t>MSLE</t>
  </si>
  <si>
    <t>(elog(1+y) - elog(1+yBest)) ^ 2</t>
  </si>
  <si>
    <t>elog(1+y)</t>
  </si>
  <si>
    <t>elog(1+yBest)</t>
  </si>
  <si>
    <t>RMSLE</t>
  </si>
  <si>
    <t>mean squared logarithmic error</t>
  </si>
  <si>
    <t>MAPE</t>
  </si>
  <si>
    <t>At = harga aktual</t>
  </si>
  <si>
    <t>Ft = harga prediksi</t>
  </si>
  <si>
    <t>MSPE</t>
  </si>
  <si>
    <t>mean absolute percentage errror</t>
  </si>
  <si>
    <t>%error = |(y-y')/y |</t>
  </si>
  <si>
    <t>mean squared percentage error</t>
  </si>
  <si>
    <t>%error ^ 2</t>
  </si>
  <si>
    <t>mesin x</t>
  </si>
  <si>
    <t>harga y</t>
  </si>
  <si>
    <t>y' = mx+c</t>
  </si>
  <si>
    <t>selisih |y-y'|</t>
  </si>
  <si>
    <t>selisih^2</t>
  </si>
  <si>
    <t>selisih |y-avgy|</t>
  </si>
  <si>
    <t>selisih ^ 2</t>
  </si>
  <si>
    <t>elog(1 + y')</t>
  </si>
  <si>
    <t>(elog(1+y) - elog(1+y')) ^ 2</t>
  </si>
  <si>
    <t>%error = |y-y' / y|</t>
  </si>
  <si>
    <t>m / slope/ gradient / b</t>
  </si>
  <si>
    <t xml:space="preserve">    SLOPE(B2:B6; A2:A6)</t>
  </si>
  <si>
    <t>c / intercept / a</t>
  </si>
  <si>
    <t xml:space="preserve">     INTERCEPT(B2:B6; A2:A6)</t>
  </si>
  <si>
    <t>r / correlation / co-relation</t>
  </si>
  <si>
    <t xml:space="preserve">    CORREL(A2:A6; B2:B6)</t>
  </si>
  <si>
    <t xml:space="preserve">    (5*C7-A7*B7)/SQRT(ABS(5*D7-A7^2) * ABS(5 * E7 - B7 ^ 2))</t>
  </si>
  <si>
    <t>Evaluation Metrics Linear Regression</t>
  </si>
  <si>
    <t>max error</t>
  </si>
  <si>
    <t xml:space="preserve">   MAX(G2:G6)</t>
  </si>
  <si>
    <t xml:space="preserve">    1/5*(SUM(G2:G6))</t>
  </si>
  <si>
    <t>Mean Absolute Error</t>
  </si>
  <si>
    <t xml:space="preserve">    1/5 * SUM(H2:H6)</t>
  </si>
  <si>
    <t>Mean Squared Error</t>
  </si>
  <si>
    <t xml:space="preserve">    SQRT(MSE)</t>
  </si>
  <si>
    <t>Square Root MSE</t>
  </si>
  <si>
    <t xml:space="preserve">    MEDIAN(G2:G6)</t>
  </si>
  <si>
    <t>Median Absolute Error</t>
  </si>
  <si>
    <t xml:space="preserve">    1/5 * SUM(K2:K6)</t>
  </si>
  <si>
    <t>Mean Squared Logarithmic Error</t>
  </si>
  <si>
    <t xml:space="preserve">   SQRT(MSLE)</t>
  </si>
  <si>
    <t>Root MSLE</t>
  </si>
  <si>
    <t xml:space="preserve">    1/5 * SUM(N2:N6)</t>
  </si>
  <si>
    <t>Mean Absolute Percentage Error</t>
  </si>
  <si>
    <t>At = y aktual</t>
  </si>
  <si>
    <t>Ft = y prediksi</t>
  </si>
  <si>
    <t xml:space="preserve">    1/5 * SUM(O2:O6)</t>
  </si>
  <si>
    <t>Mean Squared Percentage Error</t>
  </si>
  <si>
    <t xml:space="preserve">  1 - ( SUM(H2:H6) / SUM(J2:J6) )</t>
  </si>
  <si>
    <t>Coef of determination</t>
  </si>
  <si>
    <t>1 - (MSE Model / MSE Baseline)</t>
  </si>
  <si>
    <t>R2 score = correlation ^ 2</t>
  </si>
  <si>
    <t>z x</t>
  </si>
  <si>
    <t>z y</t>
  </si>
  <si>
    <t>y Predict</t>
  </si>
  <si>
    <t>z y 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</si>
</sst>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212529"/>
      <name val="Segoe UI"/>
      <family val="2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3" borderId="0" xfId="0" applyFont="1" applyFill="1"/>
    <xf numFmtId="0" fontId="2" fillId="5" borderId="0" xfId="0" applyFont="1" applyFill="1"/>
    <xf numFmtId="0" fontId="2" fillId="0" borderId="0" xfId="0" applyFont="1"/>
    <xf numFmtId="0" fontId="1" fillId="6" borderId="0" xfId="0" applyFont="1" applyFill="1"/>
    <xf numFmtId="0" fontId="3" fillId="6" borderId="0" xfId="0" applyFont="1" applyFill="1"/>
    <xf numFmtId="0" fontId="4" fillId="0" borderId="0" xfId="0" applyFont="1"/>
    <xf numFmtId="0" fontId="0" fillId="7" borderId="0" xfId="0" applyFill="1"/>
    <xf numFmtId="0" fontId="5" fillId="0" borderId="0" xfId="0" applyFont="1" applyFill="1"/>
    <xf numFmtId="0" fontId="6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3" fillId="9" borderId="0" xfId="0" applyFont="1" applyFill="1"/>
    <xf numFmtId="0" fontId="0" fillId="0" borderId="0" xfId="0" applyAlignment="1">
      <alignment horizontal="left"/>
    </xf>
    <xf numFmtId="0" fontId="0" fillId="10" borderId="0" xfId="0" applyFill="1"/>
    <xf numFmtId="0" fontId="7" fillId="9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simple_linreg!$A$2:$A$6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simple_linreg!$B$2:$B$6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35</c:v>
                </c:pt>
                <c:pt idx="3">
                  <c:v>55</c:v>
                </c:pt>
                <c:pt idx="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B6-4791-BC26-452FD7E460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simple_linreg!$A$2:$A$6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simple_linreg!$G$2:$G$6</c:f>
              <c:numCache>
                <c:formatCode>General</c:formatCode>
                <c:ptCount val="5"/>
                <c:pt idx="0">
                  <c:v>6.9999999999999929</c:v>
                </c:pt>
                <c:pt idx="1">
                  <c:v>23.999999999999993</c:v>
                </c:pt>
                <c:pt idx="2">
                  <c:v>41</c:v>
                </c:pt>
                <c:pt idx="3">
                  <c:v>57.999999999999993</c:v>
                </c:pt>
                <c:pt idx="4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B6-4791-BC26-452FD7E46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953455"/>
        <c:axId val="688951791"/>
      </c:scatterChart>
      <c:valAx>
        <c:axId val="6889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51791"/>
        <c:crosses val="autoZero"/>
        <c:crossBetween val="midCat"/>
      </c:valAx>
      <c:valAx>
        <c:axId val="6889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5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251793</xdr:colOff>
      <xdr:row>9</xdr:row>
      <xdr:rowOff>86138</xdr:rowOff>
    </xdr:from>
    <xdr:to>
      <xdr:col>2</xdr:col>
      <xdr:colOff>504827</xdr:colOff>
      <xdr:row>14</xdr:row>
      <xdr:rowOff>82411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793" y="1755912"/>
          <a:ext cx="2181225" cy="923925"/>
        </a:xfrm>
        <a:prstGeom prst="rect">
          <a:avLst/>
        </a:prstGeom>
      </xdr:spPr>
    </xdr:pic>
    <xdr:clientData/>
  </xdr:twoCellAnchor>
  <xdr:twoCellAnchor>
    <xdr:from>
      <xdr:col>12</xdr:col>
      <xdr:colOff>533401</xdr:colOff>
      <xdr:row>0</xdr:row>
      <xdr:rowOff>132526</xdr:rowOff>
    </xdr:from>
    <xdr:to>
      <xdr:col>20</xdr:col>
      <xdr:colOff>228601</xdr:colOff>
      <xdr:row>15</xdr:row>
      <xdr:rowOff>92769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172278</xdr:colOff>
      <xdr:row>16</xdr:row>
      <xdr:rowOff>119270</xdr:rowOff>
    </xdr:from>
    <xdr:to>
      <xdr:col>3</xdr:col>
      <xdr:colOff>475666</xdr:colOff>
      <xdr:row>19</xdr:row>
      <xdr:rowOff>165652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390" b="33051"/>
        <a:stretch/>
      </xdr:blipFill>
      <xdr:spPr>
        <a:xfrm>
          <a:off x="172278" y="3087757"/>
          <a:ext cx="2993579" cy="6029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8608</xdr:colOff>
      <xdr:row>2</xdr:row>
      <xdr:rowOff>46893</xdr:rowOff>
    </xdr:from>
    <xdr:to>
      <xdr:col>19</xdr:col>
      <xdr:colOff>35170</xdr:colOff>
      <xdr:row>5</xdr:row>
      <xdr:rowOff>5862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080" t="31411" r="27890" b="57236"/>
        <a:stretch/>
      </xdr:blipFill>
      <xdr:spPr>
        <a:xfrm>
          <a:off x="6936946" y="410308"/>
          <a:ext cx="2054655" cy="504092"/>
        </a:xfrm>
        <a:prstGeom prst="rect">
          <a:avLst/>
        </a:prstGeom>
      </xdr:spPr>
    </xdr:pic>
    <xdr:clientData/>
  </xdr:twoCellAnchor>
  <xdr:twoCellAnchor editAs="oneCell">
    <xdr:from>
      <xdr:col>15</xdr:col>
      <xdr:colOff>545122</xdr:colOff>
      <xdr:row>7</xdr:row>
      <xdr:rowOff>11722</xdr:rowOff>
    </xdr:from>
    <xdr:to>
      <xdr:col>19</xdr:col>
      <xdr:colOff>185275</xdr:colOff>
      <xdr:row>10</xdr:row>
      <xdr:rowOff>5993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607" t="48071" r="26464" b="39842"/>
        <a:stretch/>
      </xdr:blipFill>
      <xdr:spPr>
        <a:xfrm>
          <a:off x="7731368" y="1283676"/>
          <a:ext cx="2215663" cy="539394"/>
        </a:xfrm>
        <a:prstGeom prst="rect">
          <a:avLst/>
        </a:prstGeom>
      </xdr:spPr>
    </xdr:pic>
    <xdr:clientData/>
  </xdr:twoCellAnchor>
  <xdr:twoCellAnchor editAs="oneCell">
    <xdr:from>
      <xdr:col>16</xdr:col>
      <xdr:colOff>17587</xdr:colOff>
      <xdr:row>37</xdr:row>
      <xdr:rowOff>17585</xdr:rowOff>
    </xdr:from>
    <xdr:to>
      <xdr:col>19</xdr:col>
      <xdr:colOff>93786</xdr:colOff>
      <xdr:row>40</xdr:row>
      <xdr:rowOff>64478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718" t="45998" r="30361" b="43538"/>
        <a:stretch/>
      </xdr:blipFill>
      <xdr:spPr>
        <a:xfrm>
          <a:off x="11107618" y="4583723"/>
          <a:ext cx="2104292" cy="592016"/>
        </a:xfrm>
        <a:prstGeom prst="rect">
          <a:avLst/>
        </a:prstGeom>
      </xdr:spPr>
    </xdr:pic>
    <xdr:clientData/>
  </xdr:twoCellAnchor>
  <xdr:twoCellAnchor editAs="oneCell">
    <xdr:from>
      <xdr:col>15</xdr:col>
      <xdr:colOff>562706</xdr:colOff>
      <xdr:row>15</xdr:row>
      <xdr:rowOff>52754</xdr:rowOff>
    </xdr:from>
    <xdr:to>
      <xdr:col>21</xdr:col>
      <xdr:colOff>255399</xdr:colOff>
      <xdr:row>17</xdr:row>
      <xdr:rowOff>76199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024" t="44720" r="24510" b="47826"/>
        <a:stretch/>
      </xdr:blipFill>
      <xdr:spPr>
        <a:xfrm>
          <a:off x="11048998" y="2778369"/>
          <a:ext cx="3086473" cy="398584"/>
        </a:xfrm>
        <a:prstGeom prst="rect">
          <a:avLst/>
        </a:prstGeom>
      </xdr:spPr>
    </xdr:pic>
    <xdr:clientData/>
  </xdr:twoCellAnchor>
  <xdr:twoCellAnchor editAs="oneCell">
    <xdr:from>
      <xdr:col>15</xdr:col>
      <xdr:colOff>578067</xdr:colOff>
      <xdr:row>19</xdr:row>
      <xdr:rowOff>35171</xdr:rowOff>
    </xdr:from>
    <xdr:to>
      <xdr:col>21</xdr:col>
      <xdr:colOff>178243</xdr:colOff>
      <xdr:row>21</xdr:row>
      <xdr:rowOff>146539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6079" t="41610" r="50682" b="48395"/>
        <a:stretch/>
      </xdr:blipFill>
      <xdr:spPr>
        <a:xfrm>
          <a:off x="11064359" y="3499340"/>
          <a:ext cx="3009196" cy="474784"/>
        </a:xfrm>
        <a:prstGeom prst="rect">
          <a:avLst/>
        </a:prstGeom>
      </xdr:spPr>
    </xdr:pic>
    <xdr:clientData/>
  </xdr:twoCellAnchor>
  <xdr:twoCellAnchor editAs="oneCell">
    <xdr:from>
      <xdr:col>15</xdr:col>
      <xdr:colOff>589721</xdr:colOff>
      <xdr:row>26</xdr:row>
      <xdr:rowOff>66262</xdr:rowOff>
    </xdr:from>
    <xdr:to>
      <xdr:col>18</xdr:col>
      <xdr:colOff>593214</xdr:colOff>
      <xdr:row>30</xdr:row>
      <xdr:rowOff>46382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8817" y="4340088"/>
          <a:ext cx="2006228" cy="722242"/>
        </a:xfrm>
        <a:prstGeom prst="rect">
          <a:avLst/>
        </a:prstGeom>
      </xdr:spPr>
    </xdr:pic>
    <xdr:clientData/>
  </xdr:twoCellAnchor>
  <xdr:twoCellAnchor editAs="oneCell">
    <xdr:from>
      <xdr:col>16</xdr:col>
      <xdr:colOff>192157</xdr:colOff>
      <xdr:row>32</xdr:row>
      <xdr:rowOff>72888</xdr:rowOff>
    </xdr:from>
    <xdr:to>
      <xdr:col>19</xdr:col>
      <xdr:colOff>26505</xdr:colOff>
      <xdr:row>36</xdr:row>
      <xdr:rowOff>1061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4035" y="6016488"/>
          <a:ext cx="1861931" cy="6702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11724</xdr:colOff>
      <xdr:row>8</xdr:row>
      <xdr:rowOff>64477</xdr:rowOff>
    </xdr:from>
    <xdr:to>
      <xdr:col>6</xdr:col>
      <xdr:colOff>468924</xdr:colOff>
      <xdr:row>12</xdr:row>
      <xdr:rowOff>47738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0124" y="1344637"/>
          <a:ext cx="1676400" cy="714780"/>
        </a:xfrm>
        <a:prstGeom prst="rect">
          <a:avLst/>
        </a:prstGeom>
      </xdr:spPr>
    </xdr:pic>
    <xdr:clientData/>
  </xdr:twoCellAnchor>
  <xdr:twoCellAnchor editAs="oneCell">
    <xdr:from>
      <xdr:col>4</xdr:col>
      <xdr:colOff>58616</xdr:colOff>
      <xdr:row>12</xdr:row>
      <xdr:rowOff>53208</xdr:rowOff>
    </xdr:from>
    <xdr:to>
      <xdr:col>7</xdr:col>
      <xdr:colOff>463062</xdr:colOff>
      <xdr:row>14</xdr:row>
      <xdr:rowOff>180940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390" b="33051"/>
        <a:stretch/>
      </xdr:blipFill>
      <xdr:spPr>
        <a:xfrm>
          <a:off x="2497016" y="2064888"/>
          <a:ext cx="2438986" cy="493493"/>
        </a:xfrm>
        <a:prstGeom prst="rect">
          <a:avLst/>
        </a:prstGeom>
      </xdr:spPr>
    </xdr:pic>
    <xdr:clientData/>
  </xdr:twoCellAnchor>
  <xdr:twoCellAnchor editAs="oneCell">
    <xdr:from>
      <xdr:col>2</xdr:col>
      <xdr:colOff>140678</xdr:colOff>
      <xdr:row>22</xdr:row>
      <xdr:rowOff>11722</xdr:rowOff>
    </xdr:from>
    <xdr:to>
      <xdr:col>5</xdr:col>
      <xdr:colOff>533400</xdr:colOff>
      <xdr:row>24</xdr:row>
      <xdr:rowOff>193338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080" t="31411" r="27890" b="57236"/>
        <a:stretch/>
      </xdr:blipFill>
      <xdr:spPr>
        <a:xfrm>
          <a:off x="1359878" y="3615982"/>
          <a:ext cx="2221522" cy="547376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2</xdr:col>
      <xdr:colOff>193430</xdr:colOff>
      <xdr:row>26</xdr:row>
      <xdr:rowOff>29308</xdr:rowOff>
    </xdr:from>
    <xdr:to>
      <xdr:col>5</xdr:col>
      <xdr:colOff>580293</xdr:colOff>
      <xdr:row>29</xdr:row>
      <xdr:rowOff>23579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607" t="48071" r="26464" b="39842"/>
        <a:stretch/>
      </xdr:blipFill>
      <xdr:spPr>
        <a:xfrm>
          <a:off x="1412630" y="4403188"/>
          <a:ext cx="2215663" cy="542911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2</xdr:col>
      <xdr:colOff>416170</xdr:colOff>
      <xdr:row>33</xdr:row>
      <xdr:rowOff>181707</xdr:rowOff>
    </xdr:from>
    <xdr:to>
      <xdr:col>7</xdr:col>
      <xdr:colOff>249489</xdr:colOff>
      <xdr:row>36</xdr:row>
      <xdr:rowOff>35168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024" t="44720" r="24510" b="47826"/>
        <a:stretch/>
      </xdr:blipFill>
      <xdr:spPr>
        <a:xfrm>
          <a:off x="1635370" y="5668107"/>
          <a:ext cx="3087059" cy="402101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3</xdr:col>
      <xdr:colOff>175846</xdr:colOff>
      <xdr:row>37</xdr:row>
      <xdr:rowOff>169984</xdr:rowOff>
    </xdr:from>
    <xdr:to>
      <xdr:col>7</xdr:col>
      <xdr:colOff>541488</xdr:colOff>
      <xdr:row>40</xdr:row>
      <xdr:rowOff>99645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6079" t="41610" r="50682" b="48395"/>
        <a:stretch/>
      </xdr:blipFill>
      <xdr:spPr>
        <a:xfrm>
          <a:off x="2004646" y="6319324"/>
          <a:ext cx="3009782" cy="478301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3</xdr:col>
      <xdr:colOff>205154</xdr:colOff>
      <xdr:row>54</xdr:row>
      <xdr:rowOff>11722</xdr:rowOff>
    </xdr:from>
    <xdr:to>
      <xdr:col>6</xdr:col>
      <xdr:colOff>480646</xdr:colOff>
      <xdr:row>57</xdr:row>
      <xdr:rowOff>58615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718" t="45998" r="30361" b="43538"/>
        <a:stretch/>
      </xdr:blipFill>
      <xdr:spPr>
        <a:xfrm>
          <a:off x="2033954" y="9270022"/>
          <a:ext cx="2104292" cy="595533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3</xdr:col>
      <xdr:colOff>222739</xdr:colOff>
      <xdr:row>44</xdr:row>
      <xdr:rowOff>169986</xdr:rowOff>
    </xdr:from>
    <xdr:to>
      <xdr:col>5</xdr:col>
      <xdr:colOff>457200</xdr:colOff>
      <xdr:row>47</xdr:row>
      <xdr:rowOff>148181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539" y="7599486"/>
          <a:ext cx="1453661" cy="526835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3</xdr:col>
      <xdr:colOff>392725</xdr:colOff>
      <xdr:row>49</xdr:row>
      <xdr:rowOff>111371</xdr:rowOff>
    </xdr:from>
    <xdr:to>
      <xdr:col>6</xdr:col>
      <xdr:colOff>17586</xdr:colOff>
      <xdr:row>52</xdr:row>
      <xdr:rowOff>89566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1525" y="8411309"/>
          <a:ext cx="1453661" cy="523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sqref="A1:B6"/>
    </sheetView>
  </sheetViews>
  <sheetFormatPr defaultRowHeight="14.4" x14ac:dyDescent="0.3"/>
  <cols>
    <col min="1" max="1" width="12.77734375" customWidth="1"/>
    <col min="2" max="2" width="15.33203125" customWidth="1"/>
    <col min="3" max="3" width="11.109375" customWidth="1"/>
    <col min="6" max="6" width="3" customWidth="1"/>
    <col min="8" max="8" width="10.5546875" customWidth="1"/>
  </cols>
  <sheetData>
    <row r="1" spans="1:10" x14ac:dyDescent="0.3">
      <c r="A1" s="5" t="s">
        <v>0</v>
      </c>
      <c r="B1" s="5" t="s">
        <v>1</v>
      </c>
      <c r="C1" s="6" t="s">
        <v>2</v>
      </c>
      <c r="D1" s="6" t="s">
        <v>4</v>
      </c>
      <c r="E1" s="6" t="s">
        <v>3</v>
      </c>
      <c r="G1" t="s">
        <v>7</v>
      </c>
    </row>
    <row r="2" spans="1:10" x14ac:dyDescent="0.3">
      <c r="A2" s="2">
        <v>1000</v>
      </c>
      <c r="B2" s="2">
        <v>10</v>
      </c>
      <c r="C2" s="4">
        <f>A2^2</f>
        <v>1000000</v>
      </c>
      <c r="D2" s="4">
        <f>B2^2</f>
        <v>100</v>
      </c>
      <c r="E2" s="4">
        <f>A2*B2</f>
        <v>10000</v>
      </c>
      <c r="G2" s="3">
        <f>$G$9*A2+$G$12</f>
        <v>6.9999999999999929</v>
      </c>
    </row>
    <row r="3" spans="1:10" x14ac:dyDescent="0.3">
      <c r="A3" s="2">
        <v>2000</v>
      </c>
      <c r="B3" s="2">
        <v>25</v>
      </c>
      <c r="C3" s="4">
        <f t="shared" ref="C3:C6" si="0">A3^2</f>
        <v>4000000</v>
      </c>
      <c r="D3" s="4">
        <f t="shared" ref="D3:D6" si="1">B3^2</f>
        <v>625</v>
      </c>
      <c r="E3" s="4">
        <f t="shared" ref="E3:E6" si="2">A3*B3</f>
        <v>50000</v>
      </c>
      <c r="G3" s="3">
        <f t="shared" ref="G3:G6" si="3">$G$9*A3+$G$12</f>
        <v>23.999999999999993</v>
      </c>
      <c r="I3" t="s">
        <v>18</v>
      </c>
    </row>
    <row r="4" spans="1:10" x14ac:dyDescent="0.3">
      <c r="A4" s="2">
        <v>3000</v>
      </c>
      <c r="B4" s="2">
        <v>35</v>
      </c>
      <c r="C4" s="4">
        <f t="shared" si="0"/>
        <v>9000000</v>
      </c>
      <c r="D4" s="4">
        <f t="shared" si="1"/>
        <v>1225</v>
      </c>
      <c r="E4" s="4">
        <f t="shared" si="2"/>
        <v>105000</v>
      </c>
      <c r="G4" s="3">
        <f t="shared" si="3"/>
        <v>41</v>
      </c>
      <c r="I4" t="s">
        <v>19</v>
      </c>
      <c r="J4">
        <f xml:space="preserve"> G9 * 1000 - 10</f>
        <v>7</v>
      </c>
    </row>
    <row r="5" spans="1:10" x14ac:dyDescent="0.3">
      <c r="A5" s="2">
        <v>4000</v>
      </c>
      <c r="B5" s="2">
        <v>55</v>
      </c>
      <c r="C5" s="4">
        <f t="shared" si="0"/>
        <v>16000000</v>
      </c>
      <c r="D5" s="4">
        <f t="shared" si="1"/>
        <v>3025</v>
      </c>
      <c r="E5" s="4">
        <f t="shared" si="2"/>
        <v>220000</v>
      </c>
      <c r="G5" s="3">
        <f t="shared" si="3"/>
        <v>57.999999999999993</v>
      </c>
      <c r="I5" t="s">
        <v>20</v>
      </c>
      <c r="J5">
        <f xml:space="preserve"> G9 * 1001 - 10</f>
        <v>7.0169999999999995</v>
      </c>
    </row>
    <row r="6" spans="1:10" x14ac:dyDescent="0.3">
      <c r="A6" s="2">
        <v>5000</v>
      </c>
      <c r="B6" s="2">
        <v>80</v>
      </c>
      <c r="C6" s="4">
        <f t="shared" si="0"/>
        <v>25000000</v>
      </c>
      <c r="D6" s="4">
        <f t="shared" si="1"/>
        <v>6400</v>
      </c>
      <c r="E6" s="4">
        <f t="shared" si="2"/>
        <v>400000</v>
      </c>
      <c r="G6" s="3">
        <f t="shared" si="3"/>
        <v>75</v>
      </c>
      <c r="I6" t="s">
        <v>21</v>
      </c>
    </row>
    <row r="7" spans="1:10" x14ac:dyDescent="0.3">
      <c r="A7" s="1">
        <f>SUM(A2:A6)</f>
        <v>15000</v>
      </c>
      <c r="B7" s="1">
        <f t="shared" ref="B7:E7" si="4">SUM(B2:B6)</f>
        <v>205</v>
      </c>
      <c r="C7" s="1">
        <f t="shared" si="4"/>
        <v>55000000</v>
      </c>
      <c r="D7" s="1">
        <f t="shared" si="4"/>
        <v>11375</v>
      </c>
      <c r="E7" s="1">
        <f t="shared" si="4"/>
        <v>785000</v>
      </c>
      <c r="G7" t="s">
        <v>17</v>
      </c>
    </row>
    <row r="9" spans="1:10" x14ac:dyDescent="0.3">
      <c r="A9" s="8" t="s">
        <v>12</v>
      </c>
      <c r="B9" s="9"/>
      <c r="D9" s="7" t="s">
        <v>5</v>
      </c>
      <c r="G9" s="10">
        <f xml:space="preserve"> ( (5 * E7) - ( A7 * B7 ) ) / ( (5 * C7 ) - ( A7 ^ 2 ) )</f>
        <v>1.7000000000000001E-2</v>
      </c>
      <c r="I9" s="10" t="s">
        <v>9</v>
      </c>
    </row>
    <row r="10" spans="1:10" x14ac:dyDescent="0.3">
      <c r="G10" s="10">
        <f>SLOPE(B2:B6, A2:A6)</f>
        <v>1.7000000000000001E-2</v>
      </c>
      <c r="I10" s="10" t="s">
        <v>10</v>
      </c>
    </row>
    <row r="11" spans="1:10" x14ac:dyDescent="0.3">
      <c r="D11" s="7" t="s">
        <v>6</v>
      </c>
      <c r="G11" s="10">
        <f xml:space="preserve"> ( (B7 * C7) - (A7 * E7) )  /  (  (5 * C7) - (A7 ^ 2))</f>
        <v>-10</v>
      </c>
      <c r="I11" s="10" t="s">
        <v>8</v>
      </c>
    </row>
    <row r="12" spans="1:10" x14ac:dyDescent="0.3">
      <c r="G12" s="10">
        <f>INTERCEPT(B2:B6, A2:A6)</f>
        <v>-10.000000000000007</v>
      </c>
      <c r="I12" s="10" t="s">
        <v>11</v>
      </c>
    </row>
    <row r="13" spans="1:10" x14ac:dyDescent="0.3">
      <c r="I13" s="10"/>
    </row>
    <row r="14" spans="1:10" x14ac:dyDescent="0.3">
      <c r="I14" s="10"/>
    </row>
    <row r="15" spans="1:10" x14ac:dyDescent="0.3">
      <c r="I15" s="10"/>
    </row>
    <row r="16" spans="1:10" x14ac:dyDescent="0.3">
      <c r="A16" s="8" t="s">
        <v>13</v>
      </c>
      <c r="B16" s="9"/>
      <c r="I16" s="10"/>
    </row>
    <row r="17" spans="5:9" x14ac:dyDescent="0.3">
      <c r="E17" s="7" t="s">
        <v>14</v>
      </c>
      <c r="G17" s="10">
        <f>( (5 * E7) - (A7 * B7) ) / SQRT(ABS((5 * C7) - (A7 ^ 2)) * ABS( (5 * D7) - (B7 ^ 2) ))</f>
        <v>0.98644005041562111</v>
      </c>
      <c r="I17" s="10" t="s">
        <v>15</v>
      </c>
    </row>
    <row r="18" spans="5:9" x14ac:dyDescent="0.3">
      <c r="G18" s="10">
        <f>CORREL(A2:A6, B2:B6)</f>
        <v>0.98644005041562099</v>
      </c>
      <c r="I18" s="10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K19" zoomScale="115" zoomScaleNormal="115" workbookViewId="0">
      <selection activeCell="W30" sqref="W30"/>
    </sheetView>
  </sheetViews>
  <sheetFormatPr defaultRowHeight="14.4" x14ac:dyDescent="0.3"/>
  <cols>
    <col min="1" max="1" width="13.6640625" customWidth="1"/>
    <col min="2" max="2" width="13.44140625" customWidth="1"/>
    <col min="6" max="6" width="3" customWidth="1"/>
    <col min="7" max="7" width="10.44140625" customWidth="1"/>
    <col min="8" max="8" width="7.88671875" customWidth="1"/>
    <col min="9" max="9" width="14.33203125" customWidth="1"/>
    <col min="10" max="12" width="12.6640625" customWidth="1"/>
    <col min="13" max="13" width="25.5546875" customWidth="1"/>
    <col min="14" max="14" width="16.33203125" customWidth="1"/>
    <col min="15" max="15" width="11.6640625" customWidth="1"/>
    <col min="16" max="16" width="4.6640625" customWidth="1"/>
    <col min="18" max="18" width="11.77734375" customWidth="1"/>
    <col min="21" max="21" width="2.77734375" customWidth="1"/>
  </cols>
  <sheetData>
    <row r="1" spans="1:23" x14ac:dyDescent="0.3">
      <c r="A1" s="5" t="s">
        <v>0</v>
      </c>
      <c r="B1" s="5" t="s">
        <v>1</v>
      </c>
      <c r="C1" s="6" t="s">
        <v>2</v>
      </c>
      <c r="D1" s="6" t="s">
        <v>4</v>
      </c>
      <c r="E1" s="6" t="s">
        <v>3</v>
      </c>
      <c r="G1" s="3" t="s">
        <v>7</v>
      </c>
      <c r="I1" s="2" t="s">
        <v>23</v>
      </c>
      <c r="J1" s="2" t="s">
        <v>38</v>
      </c>
      <c r="K1" s="3" t="s">
        <v>45</v>
      </c>
      <c r="L1" s="3" t="s">
        <v>46</v>
      </c>
      <c r="M1" s="3" t="s">
        <v>44</v>
      </c>
      <c r="N1" s="1" t="s">
        <v>54</v>
      </c>
      <c r="O1" s="1" t="s">
        <v>56</v>
      </c>
      <c r="Q1" s="8" t="s">
        <v>22</v>
      </c>
      <c r="R1" s="8">
        <f>MAX(I2:I6)</f>
        <v>6</v>
      </c>
    </row>
    <row r="2" spans="1:23" x14ac:dyDescent="0.3">
      <c r="A2" s="2">
        <v>1000</v>
      </c>
      <c r="B2" s="2">
        <v>10</v>
      </c>
      <c r="C2" s="4">
        <f>A2^2</f>
        <v>1000000</v>
      </c>
      <c r="D2" s="4">
        <f>B2^2</f>
        <v>100</v>
      </c>
      <c r="E2" s="4">
        <f>A2*B2</f>
        <v>10000</v>
      </c>
      <c r="G2" s="3">
        <f>$G$9*A2+$G$12</f>
        <v>6.9999999999999929</v>
      </c>
      <c r="I2" s="2">
        <f>ABS(B2-G2)</f>
        <v>3.0000000000000071</v>
      </c>
      <c r="J2" s="2">
        <f>I2^2</f>
        <v>9.0000000000000426</v>
      </c>
      <c r="K2" s="3">
        <f>LN(1+B2)</f>
        <v>2.3978952727983707</v>
      </c>
      <c r="L2" s="3">
        <f>LN(1+G2)</f>
        <v>2.0794415416798349</v>
      </c>
      <c r="M2" s="3">
        <f>(K2-L2) ^ 2</f>
        <v>0.1014127788633167</v>
      </c>
      <c r="N2" s="1">
        <f>ABS((B2-G2)/B2)</f>
        <v>0.30000000000000071</v>
      </c>
      <c r="O2" s="1">
        <f>N2^2</f>
        <v>9.0000000000000427E-2</v>
      </c>
      <c r="Q2" s="8" t="s">
        <v>24</v>
      </c>
      <c r="R2" s="8">
        <f>(1/5) * SUM(I2:I6)</f>
        <v>3.6000000000000014</v>
      </c>
      <c r="S2" t="s">
        <v>26</v>
      </c>
      <c r="V2" t="s">
        <v>29</v>
      </c>
    </row>
    <row r="3" spans="1:23" x14ac:dyDescent="0.3">
      <c r="A3" s="2">
        <v>2000</v>
      </c>
      <c r="B3" s="2">
        <v>25</v>
      </c>
      <c r="C3" s="4">
        <f t="shared" ref="C3:D6" si="0">A3^2</f>
        <v>4000000</v>
      </c>
      <c r="D3" s="4">
        <f t="shared" si="0"/>
        <v>625</v>
      </c>
      <c r="E3" s="4">
        <f t="shared" ref="E3:E6" si="1">A3*B3</f>
        <v>50000</v>
      </c>
      <c r="G3" s="3">
        <f t="shared" ref="G3:G6" si="2">$G$9*A3+$G$12</f>
        <v>23.999999999999993</v>
      </c>
      <c r="I3" s="2">
        <f t="shared" ref="I3:I6" si="3">ABS(B3-G3)</f>
        <v>1.0000000000000071</v>
      </c>
      <c r="J3" s="2">
        <f t="shared" ref="J3:J6" si="4">I3^2</f>
        <v>1.0000000000000142</v>
      </c>
      <c r="K3" s="3">
        <f t="shared" ref="K3:K6" si="5">LN(1+B3)</f>
        <v>3.2580965380214821</v>
      </c>
      <c r="L3" s="3">
        <f t="shared" ref="L3:L6" si="6">LN(1+G3)</f>
        <v>3.2188758248682006</v>
      </c>
      <c r="M3" s="3">
        <f t="shared" ref="M3:M6" si="7">(K3-L3) ^ 2</f>
        <v>1.5382643402519942E-3</v>
      </c>
      <c r="N3" s="1">
        <f t="shared" ref="N3:N6" si="8">ABS((B3-G3)/B3)</f>
        <v>4.0000000000000285E-2</v>
      </c>
      <c r="O3" s="1">
        <f t="shared" ref="O3:O6" si="9">N3^2</f>
        <v>1.6000000000000228E-3</v>
      </c>
    </row>
    <row r="4" spans="1:23" x14ac:dyDescent="0.3">
      <c r="A4" s="2">
        <v>3000</v>
      </c>
      <c r="B4" s="2">
        <v>35</v>
      </c>
      <c r="C4" s="4">
        <f t="shared" si="0"/>
        <v>9000000</v>
      </c>
      <c r="D4" s="4">
        <f t="shared" si="0"/>
        <v>1225</v>
      </c>
      <c r="E4" s="4">
        <f t="shared" si="1"/>
        <v>105000</v>
      </c>
      <c r="G4" s="3">
        <f t="shared" si="2"/>
        <v>41</v>
      </c>
      <c r="I4" s="2">
        <f t="shared" si="3"/>
        <v>6</v>
      </c>
      <c r="J4" s="2">
        <f t="shared" si="4"/>
        <v>36</v>
      </c>
      <c r="K4" s="3">
        <f t="shared" si="5"/>
        <v>3.5835189384561099</v>
      </c>
      <c r="L4" s="3">
        <f t="shared" si="6"/>
        <v>3.7376696182833684</v>
      </c>
      <c r="M4" s="3">
        <f t="shared" si="7"/>
        <v>2.3762432091205959E-2</v>
      </c>
      <c r="N4" s="1">
        <f t="shared" si="8"/>
        <v>0.17142857142857143</v>
      </c>
      <c r="O4" s="1">
        <f t="shared" si="9"/>
        <v>2.9387755102040818E-2</v>
      </c>
    </row>
    <row r="5" spans="1:23" x14ac:dyDescent="0.3">
      <c r="A5" s="2">
        <v>4000</v>
      </c>
      <c r="B5" s="2">
        <v>55</v>
      </c>
      <c r="C5" s="4">
        <f t="shared" si="0"/>
        <v>16000000</v>
      </c>
      <c r="D5" s="4">
        <f t="shared" si="0"/>
        <v>3025</v>
      </c>
      <c r="E5" s="4">
        <f t="shared" si="1"/>
        <v>220000</v>
      </c>
      <c r="G5" s="3">
        <f t="shared" si="2"/>
        <v>57.999999999999993</v>
      </c>
      <c r="I5" s="2">
        <f t="shared" si="3"/>
        <v>2.9999999999999929</v>
      </c>
      <c r="J5" s="2">
        <f t="shared" si="4"/>
        <v>8.9999999999999574</v>
      </c>
      <c r="K5" s="3">
        <f t="shared" si="5"/>
        <v>4.0253516907351496</v>
      </c>
      <c r="L5" s="3">
        <f t="shared" si="6"/>
        <v>4.0775374439057197</v>
      </c>
      <c r="M5" s="3">
        <f t="shared" si="7"/>
        <v>2.7233528339796632E-3</v>
      </c>
      <c r="N5" s="1">
        <f t="shared" si="8"/>
        <v>5.4545454545454418E-2</v>
      </c>
      <c r="O5" s="1">
        <f t="shared" si="9"/>
        <v>2.9752066115702339E-3</v>
      </c>
    </row>
    <row r="6" spans="1:23" x14ac:dyDescent="0.3">
      <c r="A6" s="2">
        <v>5000</v>
      </c>
      <c r="B6" s="2">
        <v>80</v>
      </c>
      <c r="C6" s="4">
        <f t="shared" si="0"/>
        <v>25000000</v>
      </c>
      <c r="D6" s="4">
        <f t="shared" si="0"/>
        <v>6400</v>
      </c>
      <c r="E6" s="4">
        <f t="shared" si="1"/>
        <v>400000</v>
      </c>
      <c r="G6" s="3">
        <f t="shared" si="2"/>
        <v>75</v>
      </c>
      <c r="I6" s="2">
        <f t="shared" si="3"/>
        <v>5</v>
      </c>
      <c r="J6" s="2">
        <f t="shared" si="4"/>
        <v>25</v>
      </c>
      <c r="K6" s="3">
        <f t="shared" si="5"/>
        <v>4.3944491546724391</v>
      </c>
      <c r="L6" s="3">
        <f t="shared" si="6"/>
        <v>4.3307333402863311</v>
      </c>
      <c r="M6" s="3">
        <f t="shared" si="7"/>
        <v>4.0597050028849764E-3</v>
      </c>
      <c r="N6" s="1">
        <f t="shared" si="8"/>
        <v>6.25E-2</v>
      </c>
      <c r="O6" s="1">
        <f t="shared" si="9"/>
        <v>3.90625E-3</v>
      </c>
    </row>
    <row r="7" spans="1:23" x14ac:dyDescent="0.3">
      <c r="A7" s="1">
        <f>SUM(A2:A6)</f>
        <v>15000</v>
      </c>
      <c r="B7" s="1">
        <f t="shared" ref="B7:E7" si="10">SUM(B2:B6)</f>
        <v>205</v>
      </c>
      <c r="C7" s="1">
        <f t="shared" si="10"/>
        <v>55000000</v>
      </c>
      <c r="D7" s="1">
        <f t="shared" si="10"/>
        <v>11375</v>
      </c>
      <c r="E7" s="1">
        <f t="shared" si="10"/>
        <v>785000</v>
      </c>
      <c r="G7" t="s">
        <v>17</v>
      </c>
      <c r="I7" s="7"/>
      <c r="J7" s="7"/>
      <c r="K7" s="7"/>
      <c r="L7" s="7"/>
      <c r="M7" s="7"/>
      <c r="N7" s="7"/>
      <c r="O7" s="7"/>
      <c r="P7" s="7"/>
      <c r="Q7" s="8" t="s">
        <v>25</v>
      </c>
      <c r="R7" s="8">
        <f>(1/5)*SUM(J2:J6)</f>
        <v>16.000000000000004</v>
      </c>
      <c r="S7" t="s">
        <v>27</v>
      </c>
      <c r="V7" t="s">
        <v>30</v>
      </c>
    </row>
    <row r="8" spans="1:23" x14ac:dyDescent="0.3">
      <c r="I8" s="11" t="s">
        <v>36</v>
      </c>
      <c r="J8" s="11" t="s">
        <v>37</v>
      </c>
      <c r="K8" s="15"/>
      <c r="L8" s="15"/>
      <c r="M8" s="15"/>
      <c r="N8" s="15"/>
      <c r="O8" s="15"/>
    </row>
    <row r="9" spans="1:23" x14ac:dyDescent="0.3">
      <c r="A9" t="s">
        <v>35</v>
      </c>
      <c r="B9" s="12">
        <f>AVERAGE(B2:B6)</f>
        <v>41</v>
      </c>
      <c r="D9" s="7" t="s">
        <v>5</v>
      </c>
      <c r="G9" s="10">
        <f xml:space="preserve"> ( (5 * E7) - ( A7 * B7 ) ) / ( (5 * C7 ) - ( A7 ^ 2 ) )</f>
        <v>1.7000000000000001E-2</v>
      </c>
      <c r="I9" s="11">
        <f>B2-$B$9</f>
        <v>-31</v>
      </c>
      <c r="J9" s="11">
        <f>I9^2</f>
        <v>961</v>
      </c>
      <c r="K9" s="15"/>
      <c r="L9" s="15"/>
      <c r="M9" s="15"/>
      <c r="N9" s="15"/>
      <c r="O9" s="15"/>
    </row>
    <row r="10" spans="1:23" x14ac:dyDescent="0.3">
      <c r="G10" s="10">
        <f>SLOPE(B2:B6, A2:A6)</f>
        <v>1.7000000000000001E-2</v>
      </c>
      <c r="I10" s="11">
        <f t="shared" ref="I10:I13" si="11">B3-$B$9</f>
        <v>-16</v>
      </c>
      <c r="J10" s="11">
        <f t="shared" ref="J10:J13" si="12">I10^2</f>
        <v>256</v>
      </c>
      <c r="K10" s="15"/>
      <c r="L10" s="15"/>
      <c r="M10" s="15"/>
      <c r="N10" s="15"/>
      <c r="O10" s="15"/>
    </row>
    <row r="11" spans="1:23" x14ac:dyDescent="0.3">
      <c r="D11" s="7" t="s">
        <v>6</v>
      </c>
      <c r="G11" s="10">
        <f xml:space="preserve"> ( (B7 * C7) - (A7 * E7) )  /  (  (5 * C7) - (A7 ^ 2))</f>
        <v>-10</v>
      </c>
      <c r="I11" s="11">
        <f t="shared" si="11"/>
        <v>-6</v>
      </c>
      <c r="J11" s="11">
        <f t="shared" si="12"/>
        <v>36</v>
      </c>
      <c r="K11" s="15"/>
      <c r="L11" s="15"/>
      <c r="M11" s="15"/>
      <c r="N11" s="15"/>
      <c r="O11" s="15"/>
      <c r="Q11" s="8" t="s">
        <v>28</v>
      </c>
      <c r="R11" s="8">
        <f>SQRT(R7)</f>
        <v>4</v>
      </c>
      <c r="S11" t="s">
        <v>33</v>
      </c>
      <c r="V11" t="s">
        <v>31</v>
      </c>
    </row>
    <row r="12" spans="1:23" x14ac:dyDescent="0.3">
      <c r="G12" s="10">
        <f>INTERCEPT(B2:B6, A2:A6)</f>
        <v>-10.000000000000007</v>
      </c>
      <c r="I12" s="11">
        <f t="shared" si="11"/>
        <v>14</v>
      </c>
      <c r="J12" s="11">
        <f t="shared" si="12"/>
        <v>196</v>
      </c>
      <c r="K12" s="15"/>
      <c r="L12" s="15"/>
      <c r="M12" s="15"/>
      <c r="N12" s="15"/>
      <c r="O12" s="15"/>
    </row>
    <row r="13" spans="1:23" x14ac:dyDescent="0.3">
      <c r="I13" s="11">
        <f t="shared" si="11"/>
        <v>39</v>
      </c>
      <c r="J13" s="11">
        <f t="shared" si="12"/>
        <v>1521</v>
      </c>
      <c r="K13" s="15"/>
      <c r="L13" s="15"/>
      <c r="M13" s="15"/>
      <c r="N13" s="15"/>
      <c r="O13" s="15"/>
      <c r="V13" t="s">
        <v>32</v>
      </c>
    </row>
    <row r="15" spans="1:23" x14ac:dyDescent="0.3">
      <c r="Q15" s="8" t="s">
        <v>40</v>
      </c>
      <c r="R15" s="8">
        <f>MEDIAN(I2:I6)</f>
        <v>3.0000000000000071</v>
      </c>
      <c r="S15" t="s">
        <v>41</v>
      </c>
    </row>
    <row r="16" spans="1:23" ht="15" x14ac:dyDescent="0.35">
      <c r="W16" s="13"/>
    </row>
    <row r="19" spans="17:20" x14ac:dyDescent="0.3">
      <c r="Q19" s="8" t="s">
        <v>43</v>
      </c>
      <c r="R19" s="8">
        <f>1/5 * SUM(M2:M6)</f>
        <v>2.6699306626327864E-2</v>
      </c>
      <c r="S19" t="s">
        <v>48</v>
      </c>
    </row>
    <row r="24" spans="17:20" x14ac:dyDescent="0.3">
      <c r="Q24" s="8" t="s">
        <v>47</v>
      </c>
      <c r="R24" s="8">
        <f>SQRT(R19)</f>
        <v>0.16339922468092638</v>
      </c>
    </row>
    <row r="26" spans="17:20" x14ac:dyDescent="0.3">
      <c r="Q26" s="8" t="s">
        <v>49</v>
      </c>
      <c r="R26" s="8">
        <f xml:space="preserve"> 1/5 * SUM(N2:N6)</f>
        <v>0.12569480519480539</v>
      </c>
      <c r="S26" t="s">
        <v>53</v>
      </c>
    </row>
    <row r="28" spans="17:20" x14ac:dyDescent="0.3">
      <c r="T28" t="s">
        <v>50</v>
      </c>
    </row>
    <row r="29" spans="17:20" x14ac:dyDescent="0.3">
      <c r="T29" t="s">
        <v>51</v>
      </c>
    </row>
    <row r="32" spans="17:20" x14ac:dyDescent="0.3">
      <c r="Q32" s="8" t="s">
        <v>52</v>
      </c>
      <c r="R32" s="8">
        <f>1/5 * SUM(O2:O6)</f>
        <v>2.5573842342722298E-2</v>
      </c>
      <c r="S32" t="s">
        <v>55</v>
      </c>
    </row>
    <row r="33" spans="17:22" x14ac:dyDescent="0.3">
      <c r="Q33" s="16"/>
      <c r="R33" s="17"/>
    </row>
    <row r="34" spans="17:22" x14ac:dyDescent="0.3">
      <c r="Q34" s="16"/>
      <c r="R34" s="17"/>
      <c r="T34" s="18">
        <v>2</v>
      </c>
    </row>
    <row r="35" spans="17:22" x14ac:dyDescent="0.3">
      <c r="Q35" s="16"/>
      <c r="R35" s="17"/>
    </row>
    <row r="37" spans="17:22" ht="15" x14ac:dyDescent="0.35">
      <c r="Q37" s="8" t="s">
        <v>34</v>
      </c>
      <c r="R37" s="8">
        <f xml:space="preserve"> 1 - ( SUM(J2:J6) / SUM(J9:J13) )</f>
        <v>0.97306397306397308</v>
      </c>
      <c r="S37" t="s">
        <v>39</v>
      </c>
      <c r="V37" s="13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3" zoomScale="130" zoomScaleNormal="130" workbookViewId="0">
      <selection activeCell="A59" sqref="A59"/>
    </sheetView>
  </sheetViews>
  <sheetFormatPr defaultRowHeight="14.4" x14ac:dyDescent="0.3"/>
  <cols>
    <col min="7" max="7" width="11.88671875" customWidth="1"/>
    <col min="9" max="9" width="14.109375" customWidth="1"/>
    <col min="11" max="11" width="9.44140625" customWidth="1"/>
    <col min="12" max="12" width="10.109375" customWidth="1"/>
    <col min="13" max="13" width="22.5546875" bestFit="1" customWidth="1"/>
    <col min="14" max="14" width="16.88671875" customWidth="1"/>
    <col min="15" max="15" width="10" customWidth="1"/>
  </cols>
  <sheetData>
    <row r="1" spans="1:15" x14ac:dyDescent="0.3">
      <c r="A1" s="19" t="s">
        <v>57</v>
      </c>
      <c r="B1" s="19" t="s">
        <v>58</v>
      </c>
      <c r="C1" s="2" t="s">
        <v>3</v>
      </c>
      <c r="D1" s="2" t="s">
        <v>2</v>
      </c>
      <c r="E1" s="2" t="s">
        <v>4</v>
      </c>
      <c r="F1" s="1" t="s">
        <v>59</v>
      </c>
      <c r="G1" s="3" t="s">
        <v>60</v>
      </c>
      <c r="H1" s="3" t="s">
        <v>61</v>
      </c>
      <c r="I1" s="14" t="s">
        <v>62</v>
      </c>
      <c r="J1" s="14" t="s">
        <v>63</v>
      </c>
      <c r="K1" s="1" t="s">
        <v>45</v>
      </c>
      <c r="L1" s="1" t="s">
        <v>64</v>
      </c>
      <c r="M1" s="1" t="s">
        <v>65</v>
      </c>
      <c r="N1" s="22" t="s">
        <v>66</v>
      </c>
      <c r="O1" s="22" t="s">
        <v>56</v>
      </c>
    </row>
    <row r="2" spans="1:15" x14ac:dyDescent="0.3">
      <c r="A2" s="19">
        <v>1000</v>
      </c>
      <c r="B2" s="19">
        <v>10</v>
      </c>
      <c r="C2" s="2">
        <f>A2*B2</f>
        <v>10000</v>
      </c>
      <c r="D2" s="2">
        <f>A2^2</f>
        <v>1000000</v>
      </c>
      <c r="E2" s="2">
        <f>B2^2</f>
        <v>100</v>
      </c>
      <c r="F2" s="1">
        <f>$A$11*A2+$A$13</f>
        <v>6.9999999999999929</v>
      </c>
      <c r="G2" s="3">
        <f>ABS(B2:B6-F2:F6)</f>
        <v>3.0000000000000071</v>
      </c>
      <c r="H2" s="3">
        <f>G2^2</f>
        <v>9.0000000000000426</v>
      </c>
      <c r="I2" s="14">
        <f>ABS(B2 - AVERAGE($B$2:$B$6))</f>
        <v>31</v>
      </c>
      <c r="J2" s="14">
        <f>I2^2</f>
        <v>961</v>
      </c>
      <c r="K2" s="1">
        <f>LN(1+B2)</f>
        <v>2.3978952727983707</v>
      </c>
      <c r="L2" s="1">
        <f>LN(1+F2)</f>
        <v>2.0794415416798349</v>
      </c>
      <c r="M2" s="1">
        <f>(K2 - L2) ^ 2</f>
        <v>0.1014127788633167</v>
      </c>
      <c r="N2" s="22">
        <f>ABS((B2-F2)/B2)</f>
        <v>0.30000000000000071</v>
      </c>
      <c r="O2" s="22">
        <f>N2^2</f>
        <v>9.0000000000000427E-2</v>
      </c>
    </row>
    <row r="3" spans="1:15" x14ac:dyDescent="0.3">
      <c r="A3" s="19">
        <v>2000</v>
      </c>
      <c r="B3" s="19">
        <v>25</v>
      </c>
      <c r="C3" s="2">
        <f t="shared" ref="C3:C6" si="0">A3*B3</f>
        <v>50000</v>
      </c>
      <c r="D3" s="2">
        <f t="shared" ref="D3:E6" si="1">A3^2</f>
        <v>4000000</v>
      </c>
      <c r="E3" s="2">
        <f t="shared" si="1"/>
        <v>625</v>
      </c>
      <c r="F3" s="1">
        <f>$A$11*A3+$A$13</f>
        <v>23.999999999999993</v>
      </c>
      <c r="G3" s="3">
        <f t="shared" ref="G3" si="2">ABS(B3:B7-F3:F7)</f>
        <v>1.0000000000000071</v>
      </c>
      <c r="H3" s="3">
        <f t="shared" ref="H3:H6" si="3">G3^2</f>
        <v>1.0000000000000142</v>
      </c>
      <c r="I3" s="14">
        <f t="shared" ref="I3:I6" si="4">ABS(B3 - AVERAGE($B$2:$B$6))</f>
        <v>16</v>
      </c>
      <c r="J3" s="14">
        <f t="shared" ref="J3:J6" si="5">I3^2</f>
        <v>256</v>
      </c>
      <c r="K3" s="1">
        <f t="shared" ref="K3:K6" si="6">LN(1+B3)</f>
        <v>3.2580965380214821</v>
      </c>
      <c r="L3" s="1">
        <f t="shared" ref="L3:L6" si="7">LN(1+F3)</f>
        <v>3.2188758248682006</v>
      </c>
      <c r="M3" s="1">
        <f t="shared" ref="M3:M6" si="8">(K3 - L3) ^ 2</f>
        <v>1.5382643402519942E-3</v>
      </c>
      <c r="N3" s="22">
        <f t="shared" ref="N3:N6" si="9">ABS((B3-F3)/B3)</f>
        <v>4.0000000000000285E-2</v>
      </c>
      <c r="O3" s="22">
        <f t="shared" ref="O3:O6" si="10">N3^2</f>
        <v>1.6000000000000228E-3</v>
      </c>
    </row>
    <row r="4" spans="1:15" x14ac:dyDescent="0.3">
      <c r="A4" s="19">
        <v>3000</v>
      </c>
      <c r="B4" s="19">
        <v>35</v>
      </c>
      <c r="C4" s="2">
        <f t="shared" si="0"/>
        <v>105000</v>
      </c>
      <c r="D4" s="2">
        <f t="shared" si="1"/>
        <v>9000000</v>
      </c>
      <c r="E4" s="2">
        <f t="shared" si="1"/>
        <v>1225</v>
      </c>
      <c r="F4" s="1">
        <f>$A$11*A4+$A$13</f>
        <v>41</v>
      </c>
      <c r="G4" s="3">
        <f>ABS(B4:B9-F4:F9)</f>
        <v>6</v>
      </c>
      <c r="H4" s="3">
        <f t="shared" si="3"/>
        <v>36</v>
      </c>
      <c r="I4" s="14">
        <f t="shared" si="4"/>
        <v>6</v>
      </c>
      <c r="J4" s="14">
        <f t="shared" si="5"/>
        <v>36</v>
      </c>
      <c r="K4" s="1">
        <f t="shared" si="6"/>
        <v>3.5835189384561099</v>
      </c>
      <c r="L4" s="1">
        <f t="shared" si="7"/>
        <v>3.7376696182833684</v>
      </c>
      <c r="M4" s="1">
        <f t="shared" si="8"/>
        <v>2.3762432091205959E-2</v>
      </c>
      <c r="N4" s="22">
        <f t="shared" si="9"/>
        <v>0.17142857142857143</v>
      </c>
      <c r="O4" s="22">
        <f t="shared" si="10"/>
        <v>2.9387755102040818E-2</v>
      </c>
    </row>
    <row r="5" spans="1:15" x14ac:dyDescent="0.3">
      <c r="A5" s="19">
        <v>4000</v>
      </c>
      <c r="B5" s="19">
        <v>55</v>
      </c>
      <c r="C5" s="2">
        <f t="shared" si="0"/>
        <v>220000</v>
      </c>
      <c r="D5" s="2">
        <f t="shared" si="1"/>
        <v>16000000</v>
      </c>
      <c r="E5" s="2">
        <f t="shared" si="1"/>
        <v>3025</v>
      </c>
      <c r="F5" s="1">
        <f>$A$11*A5+$A$13</f>
        <v>57.999999999999993</v>
      </c>
      <c r="G5" s="3">
        <f>ABS(B5:B10-F5:F10)</f>
        <v>2.9999999999999929</v>
      </c>
      <c r="H5" s="3">
        <f t="shared" si="3"/>
        <v>8.9999999999999574</v>
      </c>
      <c r="I5" s="14">
        <f t="shared" si="4"/>
        <v>14</v>
      </c>
      <c r="J5" s="14">
        <f t="shared" si="5"/>
        <v>196</v>
      </c>
      <c r="K5" s="1">
        <f t="shared" si="6"/>
        <v>4.0253516907351496</v>
      </c>
      <c r="L5" s="1">
        <f t="shared" si="7"/>
        <v>4.0775374439057197</v>
      </c>
      <c r="M5" s="1">
        <f t="shared" si="8"/>
        <v>2.7233528339796632E-3</v>
      </c>
      <c r="N5" s="22">
        <f t="shared" si="9"/>
        <v>5.4545454545454418E-2</v>
      </c>
      <c r="O5" s="22">
        <f t="shared" si="10"/>
        <v>2.9752066115702339E-3</v>
      </c>
    </row>
    <row r="6" spans="1:15" x14ac:dyDescent="0.3">
      <c r="A6" s="19">
        <v>5000</v>
      </c>
      <c r="B6" s="19">
        <v>80</v>
      </c>
      <c r="C6" s="2">
        <f t="shared" si="0"/>
        <v>400000</v>
      </c>
      <c r="D6" s="2">
        <f t="shared" si="1"/>
        <v>25000000</v>
      </c>
      <c r="E6" s="2">
        <f t="shared" si="1"/>
        <v>6400</v>
      </c>
      <c r="F6" s="1">
        <f>$A$11*A6+$A$13</f>
        <v>75</v>
      </c>
      <c r="G6" s="3">
        <f>ABS(B6:B11-F6:F11)</f>
        <v>5</v>
      </c>
      <c r="H6" s="3">
        <f t="shared" si="3"/>
        <v>25</v>
      </c>
      <c r="I6" s="14">
        <f t="shared" si="4"/>
        <v>39</v>
      </c>
      <c r="J6" s="14">
        <f t="shared" si="5"/>
        <v>1521</v>
      </c>
      <c r="K6" s="1">
        <f t="shared" si="6"/>
        <v>4.3944491546724391</v>
      </c>
      <c r="L6" s="1">
        <f t="shared" si="7"/>
        <v>4.3307333402863311</v>
      </c>
      <c r="M6" s="1">
        <f t="shared" si="8"/>
        <v>4.0597050028849764E-3</v>
      </c>
      <c r="N6" s="22">
        <f t="shared" si="9"/>
        <v>6.25E-2</v>
      </c>
      <c r="O6" s="22">
        <f t="shared" si="10"/>
        <v>3.90625E-3</v>
      </c>
    </row>
    <row r="7" spans="1:15" x14ac:dyDescent="0.3">
      <c r="A7" s="23">
        <f>SUM(A2:A6)</f>
        <v>15000</v>
      </c>
      <c r="B7" s="23">
        <f t="shared" ref="B7:E7" si="11">SUM(B2:B6)</f>
        <v>205</v>
      </c>
      <c r="C7" s="23">
        <f t="shared" si="11"/>
        <v>785000</v>
      </c>
      <c r="D7" s="23">
        <f t="shared" si="11"/>
        <v>55000000</v>
      </c>
      <c r="E7" s="23">
        <f t="shared" si="11"/>
        <v>11375</v>
      </c>
      <c r="G7" s="15"/>
      <c r="J7" s="15"/>
    </row>
    <row r="8" spans="1:15" x14ac:dyDescent="0.3">
      <c r="A8" s="15"/>
      <c r="B8" s="15"/>
      <c r="C8" s="15"/>
      <c r="D8" s="15"/>
      <c r="E8" s="15"/>
      <c r="G8" s="15"/>
      <c r="J8" s="15"/>
    </row>
    <row r="10" spans="1:15" x14ac:dyDescent="0.3">
      <c r="A10" s="3" t="s">
        <v>67</v>
      </c>
    </row>
    <row r="11" spans="1:15" x14ac:dyDescent="0.3">
      <c r="A11">
        <f>SLOPE(B2:B6, A2:A6)</f>
        <v>1.7000000000000001E-2</v>
      </c>
      <c r="B11" t="s">
        <v>68</v>
      </c>
    </row>
    <row r="12" spans="1:15" x14ac:dyDescent="0.3">
      <c r="A12" s="3" t="s">
        <v>69</v>
      </c>
    </row>
    <row r="13" spans="1:15" x14ac:dyDescent="0.3">
      <c r="A13">
        <f>INTERCEPT(B2:B6, A2:A6)</f>
        <v>-10.000000000000007</v>
      </c>
      <c r="B13" t="s">
        <v>70</v>
      </c>
    </row>
    <row r="14" spans="1:15" x14ac:dyDescent="0.3">
      <c r="A14" s="3" t="s">
        <v>71</v>
      </c>
    </row>
    <row r="15" spans="1:15" x14ac:dyDescent="0.3">
      <c r="A15">
        <f>CORREL(A2:A6, B2:B6)</f>
        <v>0.98644005041562099</v>
      </c>
      <c r="B15" t="s">
        <v>72</v>
      </c>
    </row>
    <row r="16" spans="1:15" x14ac:dyDescent="0.3">
      <c r="A16">
        <f>(5*C7-A7*B7)/SQRT(ABS(5*D7-A7^2) * ABS(5 * E7 - B7 ^ 2))</f>
        <v>0.98644005041562111</v>
      </c>
      <c r="B16" t="s">
        <v>73</v>
      </c>
    </row>
    <row r="18" spans="1:4" x14ac:dyDescent="0.3">
      <c r="A18" s="20" t="s">
        <v>74</v>
      </c>
    </row>
    <row r="19" spans="1:4" ht="4.8" customHeight="1" x14ac:dyDescent="0.3">
      <c r="A19" s="20"/>
    </row>
    <row r="20" spans="1:4" x14ac:dyDescent="0.3">
      <c r="A20" s="21" t="s">
        <v>75</v>
      </c>
      <c r="C20">
        <f xml:space="preserve"> MAX(G2:G6)</f>
        <v>6</v>
      </c>
      <c r="D20" t="s">
        <v>76</v>
      </c>
    </row>
    <row r="21" spans="1:4" ht="5.4" customHeight="1" x14ac:dyDescent="0.3"/>
    <row r="22" spans="1:4" x14ac:dyDescent="0.3">
      <c r="A22" s="21" t="s">
        <v>24</v>
      </c>
      <c r="C22">
        <f>1/5*(SUM(G2:G6))</f>
        <v>3.6000000000000014</v>
      </c>
      <c r="D22" t="s">
        <v>77</v>
      </c>
    </row>
    <row r="23" spans="1:4" x14ac:dyDescent="0.3">
      <c r="A23" s="21" t="s">
        <v>78</v>
      </c>
    </row>
    <row r="25" spans="1:4" ht="17.399999999999999" customHeight="1" x14ac:dyDescent="0.3"/>
    <row r="26" spans="1:4" x14ac:dyDescent="0.3">
      <c r="A26" s="21" t="s">
        <v>25</v>
      </c>
      <c r="C26">
        <f xml:space="preserve"> 1/5 * SUM(H2:H6)</f>
        <v>16.000000000000004</v>
      </c>
      <c r="D26" t="s">
        <v>79</v>
      </c>
    </row>
    <row r="27" spans="1:4" x14ac:dyDescent="0.3">
      <c r="A27" s="21" t="s">
        <v>80</v>
      </c>
    </row>
    <row r="30" spans="1:4" ht="8.4" customHeight="1" x14ac:dyDescent="0.3"/>
    <row r="31" spans="1:4" x14ac:dyDescent="0.3">
      <c r="A31" s="21" t="s">
        <v>28</v>
      </c>
      <c r="C31">
        <f xml:space="preserve"> SQRT(C26)</f>
        <v>4</v>
      </c>
      <c r="D31" t="s">
        <v>81</v>
      </c>
    </row>
    <row r="32" spans="1:4" x14ac:dyDescent="0.3">
      <c r="A32" s="21" t="s">
        <v>82</v>
      </c>
    </row>
    <row r="33" spans="1:7" ht="7.2" customHeight="1" x14ac:dyDescent="0.3"/>
    <row r="34" spans="1:7" x14ac:dyDescent="0.3">
      <c r="A34" s="21" t="s">
        <v>40</v>
      </c>
      <c r="C34">
        <f>MEDIAN(G2:G6)</f>
        <v>3.0000000000000071</v>
      </c>
      <c r="D34" t="s">
        <v>83</v>
      </c>
    </row>
    <row r="35" spans="1:7" x14ac:dyDescent="0.3">
      <c r="A35" s="21" t="s">
        <v>84</v>
      </c>
    </row>
    <row r="37" spans="1:7" ht="9" customHeight="1" x14ac:dyDescent="0.3"/>
    <row r="38" spans="1:7" x14ac:dyDescent="0.3">
      <c r="A38" s="21" t="s">
        <v>43</v>
      </c>
      <c r="C38">
        <f xml:space="preserve"> 1/5 * SUM(M2:M6)</f>
        <v>2.6699306626327864E-2</v>
      </c>
      <c r="D38" t="s">
        <v>85</v>
      </c>
    </row>
    <row r="39" spans="1:7" x14ac:dyDescent="0.3">
      <c r="A39" s="21" t="s">
        <v>86</v>
      </c>
    </row>
    <row r="42" spans="1:7" x14ac:dyDescent="0.3">
      <c r="A42" s="21" t="s">
        <v>47</v>
      </c>
      <c r="C42">
        <f>SQRT(C38)</f>
        <v>0.16339922468092638</v>
      </c>
      <c r="D42" t="s">
        <v>87</v>
      </c>
    </row>
    <row r="43" spans="1:7" x14ac:dyDescent="0.3">
      <c r="A43" s="21" t="s">
        <v>88</v>
      </c>
    </row>
    <row r="44" spans="1:7" x14ac:dyDescent="0.3">
      <c r="A44" s="15"/>
    </row>
    <row r="45" spans="1:7" x14ac:dyDescent="0.3">
      <c r="A45" s="21" t="s">
        <v>49</v>
      </c>
      <c r="C45">
        <f>1/5 * SUM(N2:N6)</f>
        <v>0.12569480519480539</v>
      </c>
      <c r="D45" t="s">
        <v>89</v>
      </c>
    </row>
    <row r="46" spans="1:7" x14ac:dyDescent="0.3">
      <c r="A46" s="21" t="s">
        <v>90</v>
      </c>
      <c r="G46" t="s">
        <v>91</v>
      </c>
    </row>
    <row r="47" spans="1:7" x14ac:dyDescent="0.3">
      <c r="A47" s="15"/>
      <c r="G47" t="s">
        <v>92</v>
      </c>
    </row>
    <row r="48" spans="1:7" x14ac:dyDescent="0.3">
      <c r="A48" s="15"/>
    </row>
    <row r="49" spans="1:7" x14ac:dyDescent="0.3">
      <c r="A49" s="21" t="s">
        <v>52</v>
      </c>
      <c r="C49">
        <f xml:space="preserve"> 1/5 * SUM(O2:O6)</f>
        <v>2.5573842342722298E-2</v>
      </c>
      <c r="D49" t="s">
        <v>93</v>
      </c>
    </row>
    <row r="50" spans="1:7" x14ac:dyDescent="0.3">
      <c r="A50" s="21" t="s">
        <v>94</v>
      </c>
    </row>
    <row r="51" spans="1:7" x14ac:dyDescent="0.3">
      <c r="A51" s="15"/>
      <c r="G51" s="18">
        <v>2</v>
      </c>
    </row>
    <row r="52" spans="1:7" x14ac:dyDescent="0.3">
      <c r="A52" s="15"/>
    </row>
    <row r="54" spans="1:7" x14ac:dyDescent="0.3">
      <c r="A54" s="21" t="s">
        <v>34</v>
      </c>
      <c r="C54">
        <f xml:space="preserve"> 1 - (SUM(H2:H6) / SUM(J2:J6))</f>
        <v>0.97306397306397308</v>
      </c>
      <c r="D54" t="s">
        <v>95</v>
      </c>
    </row>
    <row r="55" spans="1:7" x14ac:dyDescent="0.3">
      <c r="A55" s="21" t="s">
        <v>96</v>
      </c>
    </row>
    <row r="56" spans="1:7" x14ac:dyDescent="0.3">
      <c r="A56" t="s">
        <v>97</v>
      </c>
    </row>
    <row r="57" spans="1:7" x14ac:dyDescent="0.3">
      <c r="A57" t="s">
        <v>98</v>
      </c>
    </row>
    <row r="58" spans="1:7" x14ac:dyDescent="0.3">
      <c r="A58">
        <f>SQRT(C54)</f>
        <v>0.98644005041562111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="115" zoomScaleNormal="115" workbookViewId="0">
      <selection activeCell="F11" sqref="F11"/>
    </sheetView>
  </sheetViews>
  <sheetFormatPr defaultRowHeight="14.4" x14ac:dyDescent="0.3"/>
  <cols>
    <col min="1" max="1" width="12.109375" customWidth="1"/>
    <col min="2" max="2" width="12.44140625" customWidth="1"/>
    <col min="3" max="3" width="13" bestFit="1" customWidth="1"/>
  </cols>
  <sheetData>
    <row r="1" spans="1:4" x14ac:dyDescent="0.3">
      <c r="A1" s="5" t="s">
        <v>0</v>
      </c>
      <c r="B1" s="5" t="s">
        <v>1</v>
      </c>
      <c r="C1" t="s">
        <v>99</v>
      </c>
      <c r="D1" t="s">
        <v>100</v>
      </c>
    </row>
    <row r="2" spans="1:4" x14ac:dyDescent="0.3">
      <c r="A2" s="2">
        <v>1000</v>
      </c>
      <c r="B2" s="2">
        <v>10</v>
      </c>
      <c r="C2">
        <f>STANDARDIZE(A2, AVERAGE($A$2:$A$6), STDEV($A$2:$A$6))</f>
        <v>-1.2649110640673518</v>
      </c>
      <c r="D2">
        <f>STANDARDIZE(B2, AVERAGE($B$2:$B$6), STDEV($B$2:$B$6))</f>
        <v>-1.1376625572972392</v>
      </c>
    </row>
    <row r="3" spans="1:4" x14ac:dyDescent="0.3">
      <c r="A3" s="2">
        <v>2000</v>
      </c>
      <c r="B3" s="2">
        <v>25</v>
      </c>
      <c r="C3">
        <f t="shared" ref="C3:C6" si="0">STANDARDIZE(A3, AVERAGE($A$2:$A$6), STDEV($A$2:$A$6))</f>
        <v>-0.63245553203367588</v>
      </c>
      <c r="D3">
        <f t="shared" ref="D3:D6" si="1">STANDARDIZE(B3, AVERAGE($B$2:$B$6), STDEV($B$2:$B$6))</f>
        <v>-0.58718067473405899</v>
      </c>
    </row>
    <row r="4" spans="1:4" x14ac:dyDescent="0.3">
      <c r="A4" s="2">
        <v>3000</v>
      </c>
      <c r="B4" s="2">
        <v>35</v>
      </c>
      <c r="C4">
        <f t="shared" si="0"/>
        <v>0</v>
      </c>
      <c r="D4">
        <f t="shared" si="1"/>
        <v>-0.22019275302527211</v>
      </c>
    </row>
    <row r="5" spans="1:4" x14ac:dyDescent="0.3">
      <c r="A5" s="2">
        <v>4000</v>
      </c>
      <c r="B5" s="2">
        <v>55</v>
      </c>
      <c r="C5">
        <f t="shared" si="0"/>
        <v>0.63245553203367588</v>
      </c>
      <c r="D5">
        <f t="shared" si="1"/>
        <v>0.51378309039230163</v>
      </c>
    </row>
    <row r="6" spans="1:4" x14ac:dyDescent="0.3">
      <c r="A6" s="2">
        <v>5000</v>
      </c>
      <c r="B6" s="2">
        <v>80</v>
      </c>
      <c r="C6">
        <f t="shared" si="0"/>
        <v>1.2649110640673518</v>
      </c>
      <c r="D6">
        <f t="shared" si="1"/>
        <v>1.4312528946642686</v>
      </c>
    </row>
    <row r="8" spans="1:4" x14ac:dyDescent="0.3">
      <c r="A8">
        <f>SLOPE(B2:B6, A2:A6)</f>
        <v>1.7000000000000001E-2</v>
      </c>
      <c r="C8">
        <f>SLOPE(D2:D6, C2:C6)</f>
        <v>0.98644005041562099</v>
      </c>
    </row>
    <row r="9" spans="1:4" x14ac:dyDescent="0.3">
      <c r="A9">
        <f>INTERCEPT(B2:B6, A2:A6)</f>
        <v>-10.000000000000007</v>
      </c>
      <c r="C9">
        <f>INTERCEPT(D2:D6, C2:C6)</f>
        <v>-4.380673825535291E-17</v>
      </c>
    </row>
    <row r="11" spans="1:4" x14ac:dyDescent="0.3">
      <c r="A11" t="s">
        <v>101</v>
      </c>
      <c r="C11" t="s">
        <v>102</v>
      </c>
      <c r="D11" t="s">
        <v>101</v>
      </c>
    </row>
    <row r="12" spans="1:4" x14ac:dyDescent="0.3">
      <c r="A12">
        <f>$A$8 * A2 + $A$9</f>
        <v>6.9999999999999929</v>
      </c>
      <c r="C12">
        <f xml:space="preserve"> $C$8 * C2 + $C$9</f>
        <v>-1.2477589338098753</v>
      </c>
      <c r="D12">
        <f xml:space="preserve"> C12 * STDEV($B$2:$B$6) + AVERAGE($B$2:$B$6)</f>
        <v>7</v>
      </c>
    </row>
    <row r="13" spans="1:4" x14ac:dyDescent="0.3">
      <c r="A13">
        <f t="shared" ref="A13:A16" si="2">$A$8 * A3 + $A$9</f>
        <v>23.999999999999993</v>
      </c>
      <c r="C13">
        <f t="shared" ref="C13:C16" si="3" xml:space="preserve"> $C$8 * C3 + $C$9</f>
        <v>-0.62387946690493767</v>
      </c>
      <c r="D13">
        <f t="shared" ref="D13:D16" si="4" xml:space="preserve"> C13 * STDEV($B$2:$B$6) + AVERAGE($B$2:$B$6)</f>
        <v>24</v>
      </c>
    </row>
    <row r="14" spans="1:4" x14ac:dyDescent="0.3">
      <c r="A14">
        <f t="shared" si="2"/>
        <v>41</v>
      </c>
      <c r="C14">
        <f t="shared" si="3"/>
        <v>-4.380673825535291E-17</v>
      </c>
      <c r="D14">
        <f t="shared" si="4"/>
        <v>41</v>
      </c>
    </row>
    <row r="15" spans="1:4" x14ac:dyDescent="0.3">
      <c r="A15">
        <f t="shared" si="2"/>
        <v>57.999999999999993</v>
      </c>
      <c r="C15">
        <f t="shared" si="3"/>
        <v>0.62387946690493767</v>
      </c>
      <c r="D15">
        <f t="shared" si="4"/>
        <v>58</v>
      </c>
    </row>
    <row r="16" spans="1:4" x14ac:dyDescent="0.3">
      <c r="A16">
        <f t="shared" si="2"/>
        <v>75</v>
      </c>
      <c r="C16">
        <f t="shared" si="3"/>
        <v>1.2477589338098753</v>
      </c>
      <c r="D16">
        <f t="shared" si="4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simple_linreg</vt:lpstr>
      <vt:lpstr>metrics</vt:lpstr>
      <vt:lpstr>metrics_OK</vt:lpstr>
      <vt:lpstr>standardisasi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lintangwisesa</cp:lastModifiedBy>
  <dcterms:created xsi:type="dcterms:W3CDTF">2020-01-08T02:57:07Z</dcterms:created>
  <dcterms:modified xsi:type="dcterms:W3CDTF">2020-01-13T05:24:02Z</dcterms:modified>
</cp:coreProperties>
</file>