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7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c Socsuba\Annida\"/>
    </mc:Choice>
  </mc:AlternateContent>
  <xr:revisionPtr revIDLastSave="0" documentId="13_ncr:1_{8B44C8B7-34C2-4534-A39B-91D7231ED76F}" xr6:coauthVersionLast="47" xr6:coauthVersionMax="47" xr10:uidLastSave="{00000000-0000-0000-0000-000000000000}"/>
  <bookViews>
    <workbookView xWindow="-120" yWindow="-120" windowWidth="25440" windowHeight="15390" tabRatio="768" activeTab="6" xr2:uid="{DE82AFA5-EC8D-4828-80CC-8068A74D0723}"/>
  </bookViews>
  <sheets>
    <sheet name="Table" sheetId="2" r:id="rId1"/>
    <sheet name="Achats" sheetId="3" r:id="rId2"/>
    <sheet name="Ventes" sheetId="4" r:id="rId3"/>
    <sheet name="Cout de Vente" sheetId="8" r:id="rId4"/>
    <sheet name="Inventaire" sheetId="5" r:id="rId5"/>
    <sheet name="Rapport" sheetId="13" r:id="rId6"/>
    <sheet name="Ecart" sheetId="15" r:id="rId7"/>
    <sheet name="Resultats Comptes" sheetId="17" r:id="rId8"/>
    <sheet name="Sheet1" sheetId="16" r:id="rId9"/>
  </sheets>
  <definedNames>
    <definedName name="_xlnm._FilterDatabase" localSheetId="6" hidden="1">Ecart!$A$4:$M$52</definedName>
    <definedName name="_liste_inventaire_name_range">ROOT[Designation]</definedName>
    <definedName name="ExternalData_1" localSheetId="1" hidden="1">Achats!$A$4:$H$48</definedName>
    <definedName name="ExternalData_1" localSheetId="6" hidden="1">Ecart!$A$4:$M$47</definedName>
    <definedName name="ExternalData_1" localSheetId="0" hidden="1">Table!$U$20:$Y$34</definedName>
    <definedName name="ExternalData_1" localSheetId="2" hidden="1">Ventes!$A$4:$H$84</definedName>
    <definedName name="ExternalData_2" localSheetId="3" hidden="1">'Cout de Vente'!#REF!</definedName>
    <definedName name="ExternalData_2" localSheetId="4" hidden="1">Inventaire!$A$4:$F$228</definedName>
    <definedName name="ExternalData_2" localSheetId="0" hidden="1">Table!#REF!</definedName>
    <definedName name="ExternalData_3" localSheetId="3" hidden="1">'Cout de Vente'!$A$4:$I$59</definedName>
    <definedName name="ExternalData_4" localSheetId="5" hidden="1">Rapport!$A$5:$Q$327</definedName>
    <definedName name="ExternalData_5" localSheetId="6" hidden="1">Ecart!#REF!</definedName>
    <definedName name="list_achat_name_range">#REF!</definedName>
    <definedName name="list_periode">_xlfn.UNIQUE(RAPPORT_FINAL[Periode])</definedName>
    <definedName name="_xlnm.Print_Area" localSheetId="6">Ecart!$A$2:$M$47</definedName>
    <definedName name="_xlnm.Print_Titles" localSheetId="6">Ecart!$2:$2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3" l="1" a="1"/>
  <c r="F6" i="13" s="1"/>
  <c r="F7" i="13" a="1"/>
  <c r="F7" i="13" s="1"/>
  <c r="F8" i="13" a="1"/>
  <c r="F8" i="13" s="1"/>
  <c r="F9" i="13" a="1"/>
  <c r="F9" i="13" s="1"/>
  <c r="F10" i="13" a="1"/>
  <c r="F10" i="13" s="1"/>
  <c r="F11" i="13" a="1"/>
  <c r="F11" i="13" s="1"/>
  <c r="F12" i="13" a="1"/>
  <c r="F12" i="13" s="1"/>
  <c r="F13" i="13" a="1"/>
  <c r="F13" i="13" s="1"/>
  <c r="F14" i="13" a="1"/>
  <c r="F14" i="13" s="1"/>
  <c r="F15" i="13" a="1"/>
  <c r="F15" i="13" s="1"/>
  <c r="F16" i="13" a="1"/>
  <c r="F16" i="13" s="1"/>
  <c r="F17" i="13" a="1"/>
  <c r="F17" i="13" s="1"/>
  <c r="F18" i="13" a="1"/>
  <c r="F18" i="13" s="1"/>
  <c r="F19" i="13" a="1"/>
  <c r="F19" i="13" s="1"/>
  <c r="F20" i="13" a="1"/>
  <c r="F20" i="13" s="1"/>
  <c r="F21" i="13" a="1"/>
  <c r="F21" i="13" s="1"/>
  <c r="F22" i="13" a="1"/>
  <c r="F22" i="13" s="1"/>
  <c r="F23" i="13" a="1"/>
  <c r="F23" i="13" s="1"/>
  <c r="F24" i="13" a="1"/>
  <c r="F24" i="13" s="1"/>
  <c r="F25" i="13" a="1"/>
  <c r="F25" i="13" s="1"/>
  <c r="F26" i="13" a="1"/>
  <c r="F26" i="13" s="1"/>
  <c r="F27" i="13" a="1"/>
  <c r="F27" i="13" s="1"/>
  <c r="F28" i="13" a="1"/>
  <c r="F28" i="13" s="1"/>
  <c r="F29" i="13" a="1"/>
  <c r="F29" i="13"/>
  <c r="F30" i="13" a="1"/>
  <c r="F30" i="13" s="1"/>
  <c r="F31" i="13" a="1"/>
  <c r="F31" i="13" s="1"/>
  <c r="F32" i="13" a="1"/>
  <c r="F32" i="13" s="1"/>
  <c r="F33" i="13" a="1"/>
  <c r="F33" i="13" s="1"/>
  <c r="F34" i="13" a="1"/>
  <c r="F34" i="13" s="1"/>
  <c r="F35" i="13" a="1"/>
  <c r="F35" i="13" s="1"/>
  <c r="F36" i="13" a="1"/>
  <c r="F36" i="13" s="1"/>
  <c r="F37" i="13" a="1"/>
  <c r="F37" i="13" s="1"/>
  <c r="F38" i="13" a="1"/>
  <c r="F38" i="13" s="1"/>
  <c r="F39" i="13" a="1"/>
  <c r="F39" i="13" s="1"/>
  <c r="F40" i="13" a="1"/>
  <c r="F40" i="13" s="1"/>
  <c r="F41" i="13" a="1"/>
  <c r="F41" i="13" s="1"/>
  <c r="F42" i="13" a="1"/>
  <c r="F42" i="13" s="1"/>
  <c r="F43" i="13" a="1"/>
  <c r="F43" i="13" s="1"/>
  <c r="F44" i="13" a="1"/>
  <c r="F44" i="13" s="1"/>
  <c r="F45" i="13" a="1"/>
  <c r="F45" i="13"/>
  <c r="F46" i="13" a="1"/>
  <c r="F46" i="13" s="1"/>
  <c r="F47" i="13" a="1"/>
  <c r="F47" i="13" s="1"/>
  <c r="F48" i="13" a="1"/>
  <c r="F48" i="13" s="1"/>
  <c r="F49" i="13" a="1"/>
  <c r="F49" i="13" s="1"/>
  <c r="F50" i="13" a="1"/>
  <c r="F50" i="13" s="1"/>
  <c r="F51" i="13" a="1"/>
  <c r="F51" i="13" s="1"/>
  <c r="F52" i="13" a="1"/>
  <c r="F52" i="13" s="1"/>
  <c r="F53" i="13" a="1"/>
  <c r="F53" i="13" s="1"/>
  <c r="F54" i="13" a="1"/>
  <c r="F54" i="13" s="1"/>
  <c r="F55" i="13" a="1"/>
  <c r="F55" i="13" s="1"/>
  <c r="F56" i="13" a="1"/>
  <c r="F56" i="13" s="1"/>
  <c r="F57" i="13" a="1"/>
  <c r="F57" i="13" s="1"/>
  <c r="F58" i="13" a="1"/>
  <c r="F58" i="13" s="1"/>
  <c r="F59" i="13" a="1"/>
  <c r="F59" i="13" s="1"/>
  <c r="F60" i="13" a="1"/>
  <c r="F60" i="13" s="1"/>
  <c r="F61" i="13" a="1"/>
  <c r="F61" i="13"/>
  <c r="F62" i="13" a="1"/>
  <c r="F62" i="13" s="1"/>
  <c r="F63" i="13" a="1"/>
  <c r="F63" i="13" s="1"/>
  <c r="F64" i="13" a="1"/>
  <c r="F64" i="13" s="1"/>
  <c r="F65" i="13" a="1"/>
  <c r="F65" i="13" s="1"/>
  <c r="F66" i="13" a="1"/>
  <c r="F66" i="13" s="1"/>
  <c r="F67" i="13" a="1"/>
  <c r="F67" i="13" s="1"/>
  <c r="F68" i="13" a="1"/>
  <c r="F68" i="13" s="1"/>
  <c r="F69" i="13" a="1"/>
  <c r="F69" i="13" s="1"/>
  <c r="F70" i="13" a="1"/>
  <c r="F70" i="13" s="1"/>
  <c r="F71" i="13" a="1"/>
  <c r="F71" i="13" s="1"/>
  <c r="F72" i="13" a="1"/>
  <c r="F72" i="13" s="1"/>
  <c r="F73" i="13" a="1"/>
  <c r="F73" i="13" s="1"/>
  <c r="F74" i="13" a="1"/>
  <c r="F74" i="13" s="1"/>
  <c r="F75" i="13" a="1"/>
  <c r="F75" i="13" s="1"/>
  <c r="F76" i="13" a="1"/>
  <c r="F76" i="13" s="1"/>
  <c r="F77" i="13" a="1"/>
  <c r="F77" i="13"/>
  <c r="F78" i="13" a="1"/>
  <c r="F78" i="13" s="1"/>
  <c r="F79" i="13" a="1"/>
  <c r="F79" i="13" s="1"/>
  <c r="F80" i="13" a="1"/>
  <c r="F80" i="13" s="1"/>
  <c r="F81" i="13" a="1"/>
  <c r="F81" i="13" s="1"/>
  <c r="F82" i="13" a="1"/>
  <c r="F82" i="13" s="1"/>
  <c r="F83" i="13" a="1"/>
  <c r="F83" i="13" s="1"/>
  <c r="F84" i="13" a="1"/>
  <c r="F84" i="13" s="1"/>
  <c r="F85" i="13" a="1"/>
  <c r="F85" i="13"/>
  <c r="F86" i="13" a="1"/>
  <c r="F86" i="13" s="1"/>
  <c r="F87" i="13" a="1"/>
  <c r="F87" i="13" s="1"/>
  <c r="F88" i="13" a="1"/>
  <c r="F88" i="13" s="1"/>
  <c r="F89" i="13" a="1"/>
  <c r="F89" i="13" s="1"/>
  <c r="F90" i="13" a="1"/>
  <c r="F90" i="13" s="1"/>
  <c r="F91" i="13" a="1"/>
  <c r="F91" i="13" s="1"/>
  <c r="F92" i="13" a="1"/>
  <c r="F92" i="13" s="1"/>
  <c r="F93" i="13" a="1"/>
  <c r="F93" i="13" s="1"/>
  <c r="F94" i="13" a="1"/>
  <c r="F94" i="13" s="1"/>
  <c r="F95" i="13" a="1"/>
  <c r="F95" i="13" s="1"/>
  <c r="F96" i="13" a="1"/>
  <c r="F96" i="13" s="1"/>
  <c r="F97" i="13" a="1"/>
  <c r="F97" i="13" s="1"/>
  <c r="F98" i="13" a="1"/>
  <c r="F98" i="13" s="1"/>
  <c r="F99" i="13" a="1"/>
  <c r="F99" i="13" s="1"/>
  <c r="F100" i="13" a="1"/>
  <c r="F100" i="13" s="1"/>
  <c r="F101" i="13" a="1"/>
  <c r="F101" i="13" s="1"/>
  <c r="F102" i="13" a="1"/>
  <c r="F102" i="13" s="1"/>
  <c r="F103" i="13" a="1"/>
  <c r="F103" i="13" s="1"/>
  <c r="F104" i="13" a="1"/>
  <c r="F104" i="13" s="1"/>
  <c r="F105" i="13" a="1"/>
  <c r="F105" i="13" s="1"/>
  <c r="F106" i="13" a="1"/>
  <c r="F106" i="13" s="1"/>
  <c r="F107" i="13" a="1"/>
  <c r="F107" i="13" s="1"/>
  <c r="F108" i="13" a="1"/>
  <c r="F108" i="13" s="1"/>
  <c r="F109" i="13" a="1"/>
  <c r="F109" i="13"/>
  <c r="F110" i="13" a="1"/>
  <c r="F110" i="13" s="1"/>
  <c r="F111" i="13" a="1"/>
  <c r="F111" i="13" s="1"/>
  <c r="F112" i="13" a="1"/>
  <c r="F112" i="13" s="1"/>
  <c r="F113" i="13" a="1"/>
  <c r="F113" i="13" s="1"/>
  <c r="F114" i="13" a="1"/>
  <c r="F114" i="13" s="1"/>
  <c r="F115" i="13" a="1"/>
  <c r="F115" i="13" s="1"/>
  <c r="F116" i="13" a="1"/>
  <c r="F116" i="13" s="1"/>
  <c r="F117" i="13" a="1"/>
  <c r="F117" i="13"/>
  <c r="F118" i="13" a="1"/>
  <c r="F118" i="13" s="1"/>
  <c r="F119" i="13" a="1"/>
  <c r="F119" i="13" s="1"/>
  <c r="F120" i="13" a="1"/>
  <c r="F120" i="13" s="1"/>
  <c r="F121" i="13" a="1"/>
  <c r="F121" i="13" s="1"/>
  <c r="F122" i="13" a="1"/>
  <c r="F122" i="13" s="1"/>
  <c r="F123" i="13" a="1"/>
  <c r="F123" i="13" s="1"/>
  <c r="F124" i="13" a="1"/>
  <c r="F124" i="13" s="1"/>
  <c r="F125" i="13" a="1"/>
  <c r="F125" i="13" s="1"/>
  <c r="F126" i="13" a="1"/>
  <c r="F126" i="13" s="1"/>
  <c r="F127" i="13" a="1"/>
  <c r="F127" i="13" s="1"/>
  <c r="F128" i="13" a="1"/>
  <c r="F128" i="13" s="1"/>
  <c r="F129" i="13" a="1"/>
  <c r="F129" i="13" s="1"/>
  <c r="F130" i="13" a="1"/>
  <c r="F130" i="13" s="1"/>
  <c r="F131" i="13" a="1"/>
  <c r="F131" i="13" s="1"/>
  <c r="F132" i="13" a="1"/>
  <c r="F132" i="13" s="1"/>
  <c r="F133" i="13" a="1"/>
  <c r="F133" i="13" s="1"/>
  <c r="F134" i="13" a="1"/>
  <c r="F134" i="13" s="1"/>
  <c r="F135" i="13" a="1"/>
  <c r="F135" i="13" s="1"/>
  <c r="F136" i="13" a="1"/>
  <c r="F136" i="13" s="1"/>
  <c r="F137" i="13" a="1"/>
  <c r="F137" i="13" s="1"/>
  <c r="F138" i="13" a="1"/>
  <c r="F138" i="13" s="1"/>
  <c r="F139" i="13" a="1"/>
  <c r="F139" i="13" s="1"/>
  <c r="F140" i="13" a="1"/>
  <c r="F140" i="13" s="1"/>
  <c r="F141" i="13" a="1"/>
  <c r="F141" i="13"/>
  <c r="F142" i="13" a="1"/>
  <c r="F142" i="13" s="1"/>
  <c r="F143" i="13" a="1"/>
  <c r="F143" i="13" s="1"/>
  <c r="F144" i="13" a="1"/>
  <c r="F144" i="13" s="1"/>
  <c r="F145" i="13" a="1"/>
  <c r="F145" i="13" s="1"/>
  <c r="F146" i="13" a="1"/>
  <c r="F146" i="13" s="1"/>
  <c r="F147" i="13" a="1"/>
  <c r="F147" i="13" s="1"/>
  <c r="F148" i="13" a="1"/>
  <c r="F148" i="13" s="1"/>
  <c r="F149" i="13" a="1"/>
  <c r="F149" i="13"/>
  <c r="F150" i="13" a="1"/>
  <c r="F150" i="13" s="1"/>
  <c r="F151" i="13" a="1"/>
  <c r="F151" i="13" s="1"/>
  <c r="F152" i="13" a="1"/>
  <c r="F152" i="13" s="1"/>
  <c r="F153" i="13" a="1"/>
  <c r="F153" i="13" s="1"/>
  <c r="F154" i="13" a="1"/>
  <c r="F154" i="13" s="1"/>
  <c r="F155" i="13" a="1"/>
  <c r="F155" i="13" s="1"/>
  <c r="F156" i="13" a="1"/>
  <c r="F156" i="13" s="1"/>
  <c r="F157" i="13" a="1"/>
  <c r="F157" i="13" s="1"/>
  <c r="F158" i="13" a="1"/>
  <c r="F158" i="13" s="1"/>
  <c r="F159" i="13" a="1"/>
  <c r="F159" i="13" s="1"/>
  <c r="F160" i="13" a="1"/>
  <c r="F160" i="13" s="1"/>
  <c r="F161" i="13" a="1"/>
  <c r="F161" i="13" s="1"/>
  <c r="F162" i="13" a="1"/>
  <c r="F162" i="13" s="1"/>
  <c r="F163" i="13" a="1"/>
  <c r="F163" i="13" s="1"/>
  <c r="F164" i="13" a="1"/>
  <c r="F164" i="13" s="1"/>
  <c r="F165" i="13" a="1"/>
  <c r="F165" i="13"/>
  <c r="F166" i="13" a="1"/>
  <c r="F166" i="13" s="1"/>
  <c r="F167" i="13" a="1"/>
  <c r="F167" i="13" s="1"/>
  <c r="F168" i="13" a="1"/>
  <c r="F168" i="13" s="1"/>
  <c r="F169" i="13" a="1"/>
  <c r="F169" i="13" s="1"/>
  <c r="F170" i="13" a="1"/>
  <c r="F170" i="13" s="1"/>
  <c r="F171" i="13" a="1"/>
  <c r="F171" i="13" s="1"/>
  <c r="F172" i="13" a="1"/>
  <c r="F172" i="13" s="1"/>
  <c r="F173" i="13" a="1"/>
  <c r="F173" i="13" s="1"/>
  <c r="F174" i="13" a="1"/>
  <c r="F174" i="13" s="1"/>
  <c r="F175" i="13" a="1"/>
  <c r="F175" i="13" s="1"/>
  <c r="F176" i="13" a="1"/>
  <c r="F176" i="13" s="1"/>
  <c r="F177" i="13" a="1"/>
  <c r="F177" i="13" s="1"/>
  <c r="F178" i="13" a="1"/>
  <c r="F178" i="13" s="1"/>
  <c r="F179" i="13" a="1"/>
  <c r="F179" i="13" s="1"/>
  <c r="F180" i="13" a="1"/>
  <c r="F180" i="13" s="1"/>
  <c r="F181" i="13" a="1"/>
  <c r="F181" i="13" s="1"/>
  <c r="F182" i="13" a="1"/>
  <c r="F182" i="13" s="1"/>
  <c r="F183" i="13" a="1"/>
  <c r="F183" i="13" s="1"/>
  <c r="F184" i="13" a="1"/>
  <c r="F184" i="13" s="1"/>
  <c r="F185" i="13" a="1"/>
  <c r="F185" i="13" s="1"/>
  <c r="F186" i="13" a="1"/>
  <c r="F186" i="13" s="1"/>
  <c r="F187" i="13" a="1"/>
  <c r="F187" i="13" s="1"/>
  <c r="F188" i="13" a="1"/>
  <c r="F188" i="13" s="1"/>
  <c r="F189" i="13" a="1"/>
  <c r="F189" i="13" s="1"/>
  <c r="F190" i="13" a="1"/>
  <c r="F190" i="13" s="1"/>
  <c r="F191" i="13" a="1"/>
  <c r="F191" i="13" s="1"/>
  <c r="F192" i="13" a="1"/>
  <c r="F192" i="13" s="1"/>
  <c r="F193" i="13" a="1"/>
  <c r="F193" i="13" s="1"/>
  <c r="F194" i="13" a="1"/>
  <c r="F194" i="13" s="1"/>
  <c r="F195" i="13" a="1"/>
  <c r="F195" i="13" s="1"/>
  <c r="F196" i="13" a="1"/>
  <c r="F196" i="13" s="1"/>
  <c r="F197" i="13" a="1"/>
  <c r="F197" i="13" s="1"/>
  <c r="F198" i="13" a="1"/>
  <c r="F198" i="13" s="1"/>
  <c r="F199" i="13" a="1"/>
  <c r="F199" i="13" s="1"/>
  <c r="F200" i="13" a="1"/>
  <c r="F200" i="13" s="1"/>
  <c r="F201" i="13" a="1"/>
  <c r="F201" i="13" s="1"/>
  <c r="F202" i="13" a="1"/>
  <c r="F202" i="13" s="1"/>
  <c r="F203" i="13" a="1"/>
  <c r="F203" i="13" s="1"/>
  <c r="F204" i="13" a="1"/>
  <c r="F204" i="13" s="1"/>
  <c r="F205" i="13" a="1"/>
  <c r="F205" i="13" s="1"/>
  <c r="F206" i="13" a="1"/>
  <c r="F206" i="13" s="1"/>
  <c r="F207" i="13" a="1"/>
  <c r="F207" i="13" s="1"/>
  <c r="F208" i="13" a="1"/>
  <c r="F208" i="13" s="1"/>
  <c r="F209" i="13" a="1"/>
  <c r="F209" i="13" s="1"/>
  <c r="F210" i="13" a="1"/>
  <c r="F210" i="13" s="1"/>
  <c r="F211" i="13" a="1"/>
  <c r="F211" i="13" s="1"/>
  <c r="F212" i="13" a="1"/>
  <c r="F212" i="13" s="1"/>
  <c r="F213" i="13" a="1"/>
  <c r="F213" i="13" s="1"/>
  <c r="F214" i="13" a="1"/>
  <c r="F214" i="13" s="1"/>
  <c r="F215" i="13" a="1"/>
  <c r="F215" i="13" s="1"/>
  <c r="F216" i="13" a="1"/>
  <c r="F216" i="13" s="1"/>
  <c r="F217" i="13" a="1"/>
  <c r="F217" i="13" s="1"/>
  <c r="F218" i="13" a="1"/>
  <c r="F218" i="13" s="1"/>
  <c r="F219" i="13" a="1"/>
  <c r="F219" i="13" s="1"/>
  <c r="F220" i="13" a="1"/>
  <c r="F220" i="13" s="1"/>
  <c r="F221" i="13" a="1"/>
  <c r="F221" i="13" s="1"/>
  <c r="F222" i="13" a="1"/>
  <c r="F222" i="13" s="1"/>
  <c r="F223" i="13" a="1"/>
  <c r="F223" i="13" s="1"/>
  <c r="F224" i="13" a="1"/>
  <c r="F224" i="13" s="1"/>
  <c r="F225" i="13" a="1"/>
  <c r="F225" i="13" s="1"/>
  <c r="F226" i="13" a="1"/>
  <c r="F226" i="13" s="1"/>
  <c r="F227" i="13" a="1"/>
  <c r="F227" i="13" s="1"/>
  <c r="F228" i="13" a="1"/>
  <c r="F228" i="13" s="1"/>
  <c r="F229" i="13" a="1"/>
  <c r="F229" i="13" s="1"/>
  <c r="F230" i="13" a="1"/>
  <c r="F230" i="13" s="1"/>
  <c r="F231" i="13" a="1"/>
  <c r="F231" i="13" s="1"/>
  <c r="F232" i="13" a="1"/>
  <c r="F232" i="13" s="1"/>
  <c r="F233" i="13" a="1"/>
  <c r="F233" i="13" s="1"/>
  <c r="F234" i="13" a="1"/>
  <c r="F234" i="13" s="1"/>
  <c r="F235" i="13" a="1"/>
  <c r="F235" i="13" s="1"/>
  <c r="F236" i="13" a="1"/>
  <c r="F236" i="13" s="1"/>
  <c r="F237" i="13" a="1"/>
  <c r="F237" i="13" s="1"/>
  <c r="F238" i="13" a="1"/>
  <c r="F238" i="13" s="1"/>
  <c r="F239" i="13" a="1"/>
  <c r="F239" i="13" s="1"/>
  <c r="F240" i="13" a="1"/>
  <c r="F240" i="13" s="1"/>
  <c r="F241" i="13" a="1"/>
  <c r="F241" i="13" s="1"/>
  <c r="F242" i="13" a="1"/>
  <c r="F242" i="13" s="1"/>
  <c r="F243" i="13" a="1"/>
  <c r="F243" i="13" s="1"/>
  <c r="F244" i="13" a="1"/>
  <c r="F244" i="13" s="1"/>
  <c r="F245" i="13" a="1"/>
  <c r="F245" i="13" s="1"/>
  <c r="F246" i="13" a="1"/>
  <c r="F246" i="13" s="1"/>
  <c r="F247" i="13" a="1"/>
  <c r="F247" i="13" s="1"/>
  <c r="F248" i="13" a="1"/>
  <c r="F248" i="13" s="1"/>
  <c r="F249" i="13" a="1"/>
  <c r="F249" i="13" s="1"/>
  <c r="F250" i="13" a="1"/>
  <c r="F250" i="13" s="1"/>
  <c r="F251" i="13" a="1"/>
  <c r="F251" i="13" s="1"/>
  <c r="F252" i="13" a="1"/>
  <c r="F252" i="13" s="1"/>
  <c r="F253" i="13" a="1"/>
  <c r="F253" i="13" s="1"/>
  <c r="F254" i="13" a="1"/>
  <c r="F254" i="13" s="1"/>
  <c r="F255" i="13" a="1"/>
  <c r="F255" i="13" s="1"/>
  <c r="F256" i="13" a="1"/>
  <c r="F256" i="13" s="1"/>
  <c r="F257" i="13" a="1"/>
  <c r="F257" i="13" s="1"/>
  <c r="F258" i="13" a="1"/>
  <c r="F258" i="13" s="1"/>
  <c r="F259" i="13" a="1"/>
  <c r="F259" i="13" s="1"/>
  <c r="F260" i="13" a="1"/>
  <c r="F260" i="13" s="1"/>
  <c r="F261" i="13" a="1"/>
  <c r="F261" i="13" s="1"/>
  <c r="F262" i="13" a="1"/>
  <c r="F262" i="13" s="1"/>
  <c r="F263" i="13" a="1"/>
  <c r="F263" i="13" s="1"/>
  <c r="F264" i="13" a="1"/>
  <c r="F264" i="13" s="1"/>
  <c r="F265" i="13" a="1"/>
  <c r="F265" i="13" s="1"/>
  <c r="F266" i="13" a="1"/>
  <c r="F266" i="13" s="1"/>
  <c r="F267" i="13" a="1"/>
  <c r="F267" i="13" s="1"/>
  <c r="F268" i="13" a="1"/>
  <c r="F268" i="13" s="1"/>
  <c r="F269" i="13" a="1"/>
  <c r="F269" i="13" s="1"/>
  <c r="F270" i="13" a="1"/>
  <c r="F270" i="13" s="1"/>
  <c r="F271" i="13" a="1"/>
  <c r="F271" i="13" s="1"/>
  <c r="F272" i="13" a="1"/>
  <c r="F272" i="13" s="1"/>
  <c r="F273" i="13" a="1"/>
  <c r="F273" i="13" s="1"/>
  <c r="F274" i="13" a="1"/>
  <c r="F274" i="13" s="1"/>
  <c r="F275" i="13" a="1"/>
  <c r="F275" i="13" s="1"/>
  <c r="F276" i="13" a="1"/>
  <c r="F276" i="13" s="1"/>
  <c r="F277" i="13" a="1"/>
  <c r="F277" i="13" s="1"/>
  <c r="F278" i="13" a="1"/>
  <c r="F278" i="13" s="1"/>
  <c r="F279" i="13" a="1"/>
  <c r="F279" i="13" s="1"/>
  <c r="F280" i="13" a="1"/>
  <c r="F280" i="13" s="1"/>
  <c r="F281" i="13" a="1"/>
  <c r="F281" i="13" s="1"/>
  <c r="F282" i="13" a="1"/>
  <c r="F282" i="13" s="1"/>
  <c r="F283" i="13" a="1"/>
  <c r="F283" i="13" s="1"/>
  <c r="F284" i="13" a="1"/>
  <c r="F284" i="13" s="1"/>
  <c r="F285" i="13" a="1"/>
  <c r="F285" i="13" s="1"/>
  <c r="F286" i="13" a="1"/>
  <c r="F286" i="13" s="1"/>
  <c r="F287" i="13" a="1"/>
  <c r="F287" i="13" s="1"/>
  <c r="F288" i="13" a="1"/>
  <c r="F288" i="13" s="1"/>
  <c r="F289" i="13" a="1"/>
  <c r="F289" i="13" s="1"/>
  <c r="F290" i="13" a="1"/>
  <c r="F290" i="13" s="1"/>
  <c r="F291" i="13" a="1"/>
  <c r="F291" i="13" s="1"/>
  <c r="F292" i="13" a="1"/>
  <c r="F292" i="13" s="1"/>
  <c r="F293" i="13" a="1"/>
  <c r="F293" i="13" s="1"/>
  <c r="F294" i="13" a="1"/>
  <c r="F294" i="13" s="1"/>
  <c r="F295" i="13" a="1"/>
  <c r="F295" i="13" s="1"/>
  <c r="F296" i="13" a="1"/>
  <c r="F296" i="13" s="1"/>
  <c r="F297" i="13" a="1"/>
  <c r="F297" i="13" s="1"/>
  <c r="F298" i="13" a="1"/>
  <c r="F298" i="13" s="1"/>
  <c r="F299" i="13" a="1"/>
  <c r="F299" i="13" s="1"/>
  <c r="F300" i="13" a="1"/>
  <c r="F300" i="13" s="1"/>
  <c r="F301" i="13" a="1"/>
  <c r="F301" i="13" s="1"/>
  <c r="F302" i="13" a="1"/>
  <c r="F302" i="13" s="1"/>
  <c r="F303" i="13" a="1"/>
  <c r="F303" i="13" s="1"/>
  <c r="F304" i="13" a="1"/>
  <c r="F304" i="13" s="1"/>
  <c r="F305" i="13" a="1"/>
  <c r="F305" i="13"/>
  <c r="F306" i="13" a="1"/>
  <c r="F306" i="13" s="1"/>
  <c r="F307" i="13" a="1"/>
  <c r="F307" i="13"/>
  <c r="F308" i="13" a="1"/>
  <c r="F308" i="13" s="1"/>
  <c r="F309" i="13" a="1"/>
  <c r="F309" i="13"/>
  <c r="F310" i="13" a="1"/>
  <c r="F310" i="13" s="1"/>
  <c r="F311" i="13" a="1"/>
  <c r="F311" i="13"/>
  <c r="F312" i="13" a="1"/>
  <c r="F312" i="13" s="1"/>
  <c r="F313" i="13" a="1"/>
  <c r="F313" i="13" s="1"/>
  <c r="F314" i="13" a="1"/>
  <c r="F314" i="13" s="1"/>
  <c r="F315" i="13" a="1"/>
  <c r="F315" i="13" s="1"/>
  <c r="F316" i="13" a="1"/>
  <c r="F316" i="13"/>
  <c r="F317" i="13" a="1"/>
  <c r="F317" i="13" s="1"/>
  <c r="F318" i="13" a="1"/>
  <c r="F318" i="13" s="1"/>
  <c r="F319" i="13" a="1"/>
  <c r="F319" i="13" s="1"/>
  <c r="F320" i="13" a="1"/>
  <c r="F320" i="13" s="1"/>
  <c r="F321" i="13" a="1"/>
  <c r="F321" i="13" s="1"/>
  <c r="F322" i="13" a="1"/>
  <c r="F322" i="13" s="1"/>
  <c r="F323" i="13" a="1"/>
  <c r="F323" i="13" s="1"/>
  <c r="F324" i="13" a="1"/>
  <c r="F324" i="13" s="1"/>
  <c r="F325" i="13" a="1"/>
  <c r="F325" i="13" s="1"/>
  <c r="F326" i="13" a="1"/>
  <c r="F326" i="13" s="1"/>
  <c r="F327" i="13" a="1"/>
  <c r="F327" i="13" s="1"/>
  <c r="G250" i="13" a="1"/>
  <c r="G250" i="13" s="1"/>
  <c r="G251" i="13" a="1"/>
  <c r="G251" i="13" s="1"/>
  <c r="G252" i="13" a="1"/>
  <c r="G252" i="13" s="1"/>
  <c r="G253" i="13" a="1"/>
  <c r="G253" i="13" s="1"/>
  <c r="G254" i="13" a="1"/>
  <c r="G254" i="13" s="1"/>
  <c r="G255" i="13" a="1"/>
  <c r="G255" i="13" s="1"/>
  <c r="G256" i="13" a="1"/>
  <c r="G256" i="13" s="1"/>
  <c r="G257" i="13" a="1"/>
  <c r="G257" i="13" s="1"/>
  <c r="G258" i="13" a="1"/>
  <c r="G258" i="13" s="1"/>
  <c r="G259" i="13" a="1"/>
  <c r="G259" i="13" s="1"/>
  <c r="G260" i="13" a="1"/>
  <c r="G260" i="13" s="1"/>
  <c r="G261" i="13" a="1"/>
  <c r="G261" i="13"/>
  <c r="G262" i="13" a="1"/>
  <c r="G262" i="13" s="1"/>
  <c r="G263" i="13" a="1"/>
  <c r="G263" i="13" s="1"/>
  <c r="G264" i="13" a="1"/>
  <c r="G264" i="13" s="1"/>
  <c r="G265" i="13" a="1"/>
  <c r="G265" i="13"/>
  <c r="G266" i="13" a="1"/>
  <c r="G266" i="13" s="1"/>
  <c r="G267" i="13" a="1"/>
  <c r="G267" i="13" s="1"/>
  <c r="G268" i="13" a="1"/>
  <c r="G268" i="13" s="1"/>
  <c r="G269" i="13" a="1"/>
  <c r="G269" i="13" s="1"/>
  <c r="G270" i="13" a="1"/>
  <c r="G270" i="13" s="1"/>
  <c r="G271" i="13" a="1"/>
  <c r="G271" i="13" s="1"/>
  <c r="G272" i="13" a="1"/>
  <c r="G272" i="13" s="1"/>
  <c r="G273" i="13" a="1"/>
  <c r="G273" i="13" s="1"/>
  <c r="G274" i="13" a="1"/>
  <c r="G274" i="13" s="1"/>
  <c r="G275" i="13" a="1"/>
  <c r="G275" i="13" s="1"/>
  <c r="G276" i="13" a="1"/>
  <c r="G276" i="13" s="1"/>
  <c r="G277" i="13" a="1"/>
  <c r="G277" i="13"/>
  <c r="G278" i="13" a="1"/>
  <c r="G278" i="13" s="1"/>
  <c r="G279" i="13" a="1"/>
  <c r="G279" i="13" s="1"/>
  <c r="G280" i="13" a="1"/>
  <c r="G280" i="13" s="1"/>
  <c r="G281" i="13" a="1"/>
  <c r="G281" i="13"/>
  <c r="G282" i="13" a="1"/>
  <c r="G282" i="13" s="1"/>
  <c r="G283" i="13" a="1"/>
  <c r="G283" i="13" s="1"/>
  <c r="G284" i="13" a="1"/>
  <c r="G284" i="13" s="1"/>
  <c r="G285" i="13" a="1"/>
  <c r="G285" i="13" s="1"/>
  <c r="G286" i="13" a="1"/>
  <c r="G286" i="13" s="1"/>
  <c r="G287" i="13" a="1"/>
  <c r="G287" i="13" s="1"/>
  <c r="G288" i="13" a="1"/>
  <c r="G288" i="13" s="1"/>
  <c r="G289" i="13" a="1"/>
  <c r="G289" i="13" s="1"/>
  <c r="G290" i="13" a="1"/>
  <c r="G290" i="13" s="1"/>
  <c r="G291" i="13" a="1"/>
  <c r="G291" i="13" s="1"/>
  <c r="G292" i="13" a="1"/>
  <c r="G292" i="13" s="1"/>
  <c r="G293" i="13" a="1"/>
  <c r="G293" i="13"/>
  <c r="G294" i="13" a="1"/>
  <c r="G294" i="13" s="1"/>
  <c r="G295" i="13" a="1"/>
  <c r="G295" i="13" s="1"/>
  <c r="G296" i="13" a="1"/>
  <c r="G296" i="13" s="1"/>
  <c r="G297" i="13" a="1"/>
  <c r="G297" i="13"/>
  <c r="G298" i="13" a="1"/>
  <c r="G298" i="13" s="1"/>
  <c r="G299" i="13" a="1"/>
  <c r="G299" i="13" s="1"/>
  <c r="G300" i="13" a="1"/>
  <c r="G300" i="13" s="1"/>
  <c r="G301" i="13" a="1"/>
  <c r="G301" i="13" s="1"/>
  <c r="G302" i="13" a="1"/>
  <c r="G302" i="13" s="1"/>
  <c r="G303" i="13" a="1"/>
  <c r="G303" i="13" s="1"/>
  <c r="G304" i="13" a="1"/>
  <c r="G304" i="13" s="1"/>
  <c r="G305" i="13" a="1"/>
  <c r="G305" i="13" s="1"/>
  <c r="G306" i="13" a="1"/>
  <c r="G306" i="13" s="1"/>
  <c r="G307" i="13" a="1"/>
  <c r="G307" i="13" s="1"/>
  <c r="G308" i="13" a="1"/>
  <c r="G308" i="13" s="1"/>
  <c r="G309" i="13" a="1"/>
  <c r="G309" i="13"/>
  <c r="G310" i="13" a="1"/>
  <c r="G310" i="13" s="1"/>
  <c r="G311" i="13" a="1"/>
  <c r="G311" i="13" s="1"/>
  <c r="G312" i="13" a="1"/>
  <c r="G312" i="13" s="1"/>
  <c r="G313" i="13" a="1"/>
  <c r="G313" i="13"/>
  <c r="G314" i="13" a="1"/>
  <c r="G314" i="13" s="1"/>
  <c r="G315" i="13" a="1"/>
  <c r="G315" i="13" s="1"/>
  <c r="G316" i="13" a="1"/>
  <c r="G316" i="13" s="1"/>
  <c r="G317" i="13" a="1"/>
  <c r="G317" i="13" s="1"/>
  <c r="G318" i="13" a="1"/>
  <c r="G318" i="13" s="1"/>
  <c r="G319" i="13" a="1"/>
  <c r="G319" i="13" s="1"/>
  <c r="G320" i="13" a="1"/>
  <c r="G320" i="13" s="1"/>
  <c r="G321" i="13" a="1"/>
  <c r="G321" i="13" s="1"/>
  <c r="G322" i="13" a="1"/>
  <c r="G322" i="13" s="1"/>
  <c r="G323" i="13" a="1"/>
  <c r="G323" i="13" s="1"/>
  <c r="G324" i="13" a="1"/>
  <c r="G324" i="13" s="1"/>
  <c r="G325" i="13" a="1"/>
  <c r="G325" i="13"/>
  <c r="G326" i="13" a="1"/>
  <c r="G326" i="13" s="1"/>
  <c r="G327" i="13" a="1"/>
  <c r="G327" i="13" s="1"/>
  <c r="I250" i="13" a="1"/>
  <c r="I250" i="13"/>
  <c r="H250" i="13" s="1"/>
  <c r="I251" i="13" a="1"/>
  <c r="I251" i="13" s="1"/>
  <c r="H251" i="13" s="1"/>
  <c r="I252" i="13" a="1"/>
  <c r="I252" i="13" s="1"/>
  <c r="I253" i="13" a="1"/>
  <c r="I253" i="13" s="1"/>
  <c r="H253" i="13" s="1"/>
  <c r="I254" i="13" a="1"/>
  <c r="I254" i="13" s="1"/>
  <c r="I255" i="13" a="1"/>
  <c r="I255" i="13" s="1"/>
  <c r="H255" i="13" s="1"/>
  <c r="I256" i="13" a="1"/>
  <c r="I256" i="13" s="1"/>
  <c r="I257" i="13" a="1"/>
  <c r="I257" i="13" s="1"/>
  <c r="H257" i="13" s="1"/>
  <c r="I258" i="13" a="1"/>
  <c r="I258" i="13"/>
  <c r="H258" i="13" s="1"/>
  <c r="I259" i="13" a="1"/>
  <c r="I259" i="13" s="1"/>
  <c r="H259" i="13" s="1"/>
  <c r="I260" i="13" a="1"/>
  <c r="I260" i="13" s="1"/>
  <c r="I261" i="13" a="1"/>
  <c r="I261" i="13" s="1"/>
  <c r="H261" i="13" s="1"/>
  <c r="I262" i="13" a="1"/>
  <c r="I262" i="13" s="1"/>
  <c r="I263" i="13" a="1"/>
  <c r="I263" i="13" s="1"/>
  <c r="H263" i="13" s="1"/>
  <c r="I264" i="13" a="1"/>
  <c r="I264" i="13" s="1"/>
  <c r="I265" i="13" a="1"/>
  <c r="I265" i="13" s="1"/>
  <c r="H265" i="13" s="1"/>
  <c r="I266" i="13" a="1"/>
  <c r="I266" i="13" s="1"/>
  <c r="I267" i="13" a="1"/>
  <c r="I267" i="13" s="1"/>
  <c r="H267" i="13" s="1"/>
  <c r="I268" i="13" a="1"/>
  <c r="I268" i="13" s="1"/>
  <c r="I269" i="13" a="1"/>
  <c r="I269" i="13" s="1"/>
  <c r="H269" i="13" s="1"/>
  <c r="I270" i="13" a="1"/>
  <c r="I270" i="13" s="1"/>
  <c r="I271" i="13" a="1"/>
  <c r="I271" i="13" s="1"/>
  <c r="H271" i="13" s="1"/>
  <c r="I272" i="13" a="1"/>
  <c r="I272" i="13" s="1"/>
  <c r="I273" i="13" a="1"/>
  <c r="I273" i="13" s="1"/>
  <c r="H273" i="13" s="1"/>
  <c r="I274" i="13" a="1"/>
  <c r="I274" i="13" s="1"/>
  <c r="I275" i="13" a="1"/>
  <c r="I275" i="13" s="1"/>
  <c r="H275" i="13" s="1"/>
  <c r="I276" i="13" a="1"/>
  <c r="I276" i="13" s="1"/>
  <c r="I277" i="13" a="1"/>
  <c r="I277" i="13" s="1"/>
  <c r="H277" i="13" s="1"/>
  <c r="I278" i="13" a="1"/>
  <c r="I278" i="13" s="1"/>
  <c r="I279" i="13" a="1"/>
  <c r="I279" i="13" s="1"/>
  <c r="H279" i="13" s="1"/>
  <c r="I280" i="13" a="1"/>
  <c r="I280" i="13" s="1"/>
  <c r="I281" i="13" a="1"/>
  <c r="I281" i="13" s="1"/>
  <c r="H281" i="13" s="1"/>
  <c r="I282" i="13" a="1"/>
  <c r="I282" i="13"/>
  <c r="H282" i="13" s="1"/>
  <c r="I283" i="13" a="1"/>
  <c r="I283" i="13" s="1"/>
  <c r="H283" i="13" s="1"/>
  <c r="I284" i="13" a="1"/>
  <c r="I284" i="13" s="1"/>
  <c r="I285" i="13" a="1"/>
  <c r="I285" i="13" s="1"/>
  <c r="H285" i="13" s="1"/>
  <c r="I286" i="13" a="1"/>
  <c r="I286" i="13" s="1"/>
  <c r="I287" i="13" a="1"/>
  <c r="I287" i="13" s="1"/>
  <c r="H287" i="13" s="1"/>
  <c r="I288" i="13" a="1"/>
  <c r="I288" i="13" s="1"/>
  <c r="I289" i="13" a="1"/>
  <c r="I289" i="13" s="1"/>
  <c r="H289" i="13" s="1"/>
  <c r="I290" i="13" a="1"/>
  <c r="I290" i="13"/>
  <c r="H290" i="13" s="1"/>
  <c r="I291" i="13" a="1"/>
  <c r="I291" i="13" s="1"/>
  <c r="H291" i="13" s="1"/>
  <c r="I292" i="13" a="1"/>
  <c r="I292" i="13" s="1"/>
  <c r="I293" i="13" a="1"/>
  <c r="I293" i="13" s="1"/>
  <c r="H293" i="13" s="1"/>
  <c r="I294" i="13" a="1"/>
  <c r="I294" i="13" s="1"/>
  <c r="I295" i="13" a="1"/>
  <c r="I295" i="13" s="1"/>
  <c r="H295" i="13" s="1"/>
  <c r="I296" i="13" a="1"/>
  <c r="I296" i="13" s="1"/>
  <c r="I297" i="13" a="1"/>
  <c r="I297" i="13" s="1"/>
  <c r="H297" i="13" s="1"/>
  <c r="I298" i="13" a="1"/>
  <c r="I298" i="13" s="1"/>
  <c r="I299" i="13" a="1"/>
  <c r="I299" i="13" s="1"/>
  <c r="H299" i="13" s="1"/>
  <c r="I300" i="13" a="1"/>
  <c r="I300" i="13" s="1"/>
  <c r="I301" i="13" a="1"/>
  <c r="I301" i="13" s="1"/>
  <c r="H301" i="13" s="1"/>
  <c r="I302" i="13" a="1"/>
  <c r="I302" i="13" s="1"/>
  <c r="I303" i="13" a="1"/>
  <c r="I303" i="13" s="1"/>
  <c r="H303" i="13" s="1"/>
  <c r="I304" i="13" a="1"/>
  <c r="I304" i="13" s="1"/>
  <c r="I305" i="13" a="1"/>
  <c r="I305" i="13" s="1"/>
  <c r="H305" i="13" s="1"/>
  <c r="I306" i="13" a="1"/>
  <c r="I306" i="13" s="1"/>
  <c r="I307" i="13" a="1"/>
  <c r="I307" i="13" s="1"/>
  <c r="H307" i="13" s="1"/>
  <c r="I308" i="13" a="1"/>
  <c r="I308" i="13" s="1"/>
  <c r="I309" i="13" a="1"/>
  <c r="I309" i="13" s="1"/>
  <c r="H309" i="13" s="1"/>
  <c r="I310" i="13" a="1"/>
  <c r="I310" i="13" s="1"/>
  <c r="I311" i="13" a="1"/>
  <c r="I311" i="13" s="1"/>
  <c r="H311" i="13" s="1"/>
  <c r="I312" i="13" a="1"/>
  <c r="I312" i="13" s="1"/>
  <c r="I313" i="13" a="1"/>
  <c r="I313" i="13" s="1"/>
  <c r="H313" i="13" s="1"/>
  <c r="I314" i="13" a="1"/>
  <c r="I314" i="13"/>
  <c r="H314" i="13" s="1"/>
  <c r="I315" i="13" a="1"/>
  <c r="I315" i="13" s="1"/>
  <c r="H315" i="13" s="1"/>
  <c r="I316" i="13" a="1"/>
  <c r="I316" i="13" s="1"/>
  <c r="I317" i="13" a="1"/>
  <c r="I317" i="13" s="1"/>
  <c r="H317" i="13" s="1"/>
  <c r="I318" i="13" a="1"/>
  <c r="I318" i="13" s="1"/>
  <c r="I319" i="13" a="1"/>
  <c r="I319" i="13" s="1"/>
  <c r="H319" i="13" s="1"/>
  <c r="I320" i="13" a="1"/>
  <c r="I320" i="13" s="1"/>
  <c r="I321" i="13" a="1"/>
  <c r="I321" i="13" s="1"/>
  <c r="H321" i="13" s="1"/>
  <c r="I322" i="13" a="1"/>
  <c r="I322" i="13"/>
  <c r="I323" i="13" a="1"/>
  <c r="I323" i="13" s="1"/>
  <c r="H323" i="13" s="1"/>
  <c r="I324" i="13" a="1"/>
  <c r="I324" i="13" s="1"/>
  <c r="I325" i="13" a="1"/>
  <c r="I325" i="13" s="1"/>
  <c r="H325" i="13" s="1"/>
  <c r="I326" i="13" a="1"/>
  <c r="I326" i="13" s="1"/>
  <c r="I327" i="13" a="1"/>
  <c r="I327" i="13" s="1"/>
  <c r="H327" i="13" s="1"/>
  <c r="J250" i="13"/>
  <c r="J251" i="13"/>
  <c r="J253" i="13"/>
  <c r="J255" i="13"/>
  <c r="J257" i="13"/>
  <c r="J258" i="13"/>
  <c r="J259" i="13"/>
  <c r="J261" i="13"/>
  <c r="J263" i="13"/>
  <c r="J265" i="13"/>
  <c r="J267" i="13"/>
  <c r="J269" i="13"/>
  <c r="J271" i="13"/>
  <c r="J273" i="13"/>
  <c r="J275" i="13"/>
  <c r="J277" i="13"/>
  <c r="J279" i="13"/>
  <c r="J281" i="13"/>
  <c r="J282" i="13"/>
  <c r="J283" i="13"/>
  <c r="J285" i="13"/>
  <c r="J287" i="13"/>
  <c r="J289" i="13"/>
  <c r="J290" i="13"/>
  <c r="J291" i="13"/>
  <c r="J293" i="13"/>
  <c r="J295" i="13"/>
  <c r="J297" i="13"/>
  <c r="J299" i="13"/>
  <c r="J303" i="13"/>
  <c r="J305" i="13"/>
  <c r="J309" i="13"/>
  <c r="J311" i="13"/>
  <c r="J313" i="13"/>
  <c r="J317" i="13"/>
  <c r="J321" i="13"/>
  <c r="J323" i="13"/>
  <c r="J327" i="13"/>
  <c r="R250" i="13" a="1"/>
  <c r="R250" i="13" s="1"/>
  <c r="R251" i="13" a="1"/>
  <c r="R251" i="13" s="1"/>
  <c r="R252" i="13" a="1"/>
  <c r="R252" i="13"/>
  <c r="S252" i="13" s="1"/>
  <c r="R253" i="13" a="1"/>
  <c r="R253" i="13" s="1"/>
  <c r="R254" i="13" a="1"/>
  <c r="R254" i="13" s="1"/>
  <c r="R255" i="13" a="1"/>
  <c r="R255" i="13" s="1"/>
  <c r="R256" i="13" a="1"/>
  <c r="R256" i="13" s="1"/>
  <c r="R257" i="13" a="1"/>
  <c r="R257" i="13" s="1"/>
  <c r="R258" i="13" a="1"/>
  <c r="R258" i="13" s="1"/>
  <c r="R259" i="13" a="1"/>
  <c r="R259" i="13" s="1"/>
  <c r="G165" i="13" s="1" a="1"/>
  <c r="G165" i="13" s="1"/>
  <c r="R260" i="13" a="1"/>
  <c r="R260" i="13" s="1"/>
  <c r="S260" i="13" s="1"/>
  <c r="R261" i="13" a="1"/>
  <c r="R261" i="13" s="1"/>
  <c r="R262" i="13" a="1"/>
  <c r="R262" i="13" s="1"/>
  <c r="R263" i="13" a="1"/>
  <c r="R263" i="13" s="1"/>
  <c r="R264" i="13" a="1"/>
  <c r="R264" i="13"/>
  <c r="S264" i="13" s="1"/>
  <c r="R265" i="13" a="1"/>
  <c r="R265" i="13" s="1"/>
  <c r="R266" i="13" a="1"/>
  <c r="R266" i="13" s="1"/>
  <c r="R267" i="13" a="1"/>
  <c r="R267" i="13" s="1"/>
  <c r="G132" i="13" s="1" a="1"/>
  <c r="G132" i="13" s="1"/>
  <c r="R268" i="13" a="1"/>
  <c r="R268" i="13"/>
  <c r="R269" i="13" a="1"/>
  <c r="R269" i="13" s="1"/>
  <c r="R270" i="13" a="1"/>
  <c r="R270" i="13" s="1"/>
  <c r="R271" i="13" a="1"/>
  <c r="R271" i="13" s="1"/>
  <c r="R272" i="13" a="1"/>
  <c r="R272" i="13" s="1"/>
  <c r="R273" i="13" a="1"/>
  <c r="R273" i="13" s="1"/>
  <c r="R274" i="13" a="1"/>
  <c r="R274" i="13" s="1"/>
  <c r="R275" i="13" a="1"/>
  <c r="R275" i="13" s="1"/>
  <c r="S275" i="13" s="1"/>
  <c r="R276" i="13" a="1"/>
  <c r="R276" i="13" s="1"/>
  <c r="R277" i="13" a="1"/>
  <c r="R277" i="13" s="1"/>
  <c r="R278" i="13" a="1"/>
  <c r="R278" i="13" s="1"/>
  <c r="R279" i="13" a="1"/>
  <c r="R279" i="13" s="1"/>
  <c r="R280" i="13" a="1"/>
  <c r="R280" i="13"/>
  <c r="S280" i="13" s="1"/>
  <c r="R281" i="13" a="1"/>
  <c r="R281" i="13" s="1"/>
  <c r="R282" i="13" a="1"/>
  <c r="R282" i="13" s="1"/>
  <c r="R283" i="13" a="1"/>
  <c r="R283" i="13" s="1"/>
  <c r="R284" i="13" a="1"/>
  <c r="R284" i="13"/>
  <c r="R285" i="13" a="1"/>
  <c r="R285" i="13" s="1"/>
  <c r="R286" i="13" a="1"/>
  <c r="R286" i="13" s="1"/>
  <c r="R287" i="13" a="1"/>
  <c r="R287" i="13" s="1"/>
  <c r="G156" i="13" s="1" a="1"/>
  <c r="G156" i="13" s="1"/>
  <c r="R288" i="13" a="1"/>
  <c r="R288" i="13" s="1"/>
  <c r="R289" i="13" a="1"/>
  <c r="R289" i="13" s="1"/>
  <c r="R290" i="13" a="1"/>
  <c r="R290" i="13" s="1"/>
  <c r="R291" i="13" a="1"/>
  <c r="R291" i="13" s="1"/>
  <c r="S291" i="13" s="1"/>
  <c r="R292" i="13" a="1"/>
  <c r="R292" i="13" s="1"/>
  <c r="S292" i="13" s="1"/>
  <c r="R293" i="13" a="1"/>
  <c r="R293" i="13" s="1"/>
  <c r="R294" i="13" a="1"/>
  <c r="R294" i="13" s="1"/>
  <c r="R295" i="13" a="1"/>
  <c r="R295" i="13" s="1"/>
  <c r="R296" i="13" a="1"/>
  <c r="R296" i="13"/>
  <c r="S296" i="13" s="1"/>
  <c r="R297" i="13" a="1"/>
  <c r="R297" i="13" s="1"/>
  <c r="R298" i="13" a="1"/>
  <c r="R298" i="13" s="1"/>
  <c r="R299" i="13" a="1"/>
  <c r="R299" i="13" s="1"/>
  <c r="R300" i="13" a="1"/>
  <c r="R300" i="13"/>
  <c r="R301" i="13" a="1"/>
  <c r="R301" i="13" s="1"/>
  <c r="R302" i="13" a="1"/>
  <c r="R302" i="13" s="1"/>
  <c r="R303" i="13" a="1"/>
  <c r="R303" i="13" s="1"/>
  <c r="R304" i="13" a="1"/>
  <c r="R304" i="13" s="1"/>
  <c r="R305" i="13" a="1"/>
  <c r="R305" i="13" s="1"/>
  <c r="R306" i="13" a="1"/>
  <c r="R306" i="13" s="1"/>
  <c r="R307" i="13" a="1"/>
  <c r="R307" i="13" s="1"/>
  <c r="S307" i="13" s="1"/>
  <c r="R308" i="13" a="1"/>
  <c r="R308" i="13" s="1"/>
  <c r="S308" i="13" s="1"/>
  <c r="R309" i="13" a="1"/>
  <c r="R309" i="13" s="1"/>
  <c r="R310" i="13" a="1"/>
  <c r="R310" i="13" s="1"/>
  <c r="R311" i="13" a="1"/>
  <c r="R311" i="13" s="1"/>
  <c r="R312" i="13" a="1"/>
  <c r="R312" i="13"/>
  <c r="S312" i="13" s="1"/>
  <c r="R313" i="13" a="1"/>
  <c r="R313" i="13" s="1"/>
  <c r="R314" i="13" a="1"/>
  <c r="R314" i="13" s="1"/>
  <c r="R315" i="13" a="1"/>
  <c r="R315" i="13" s="1"/>
  <c r="R316" i="13" a="1"/>
  <c r="R316" i="13"/>
  <c r="R317" i="13" a="1"/>
  <c r="R317" i="13" s="1"/>
  <c r="R318" i="13" a="1"/>
  <c r="R318" i="13" s="1"/>
  <c r="R319" i="13" a="1"/>
  <c r="R319" i="13" s="1"/>
  <c r="S319" i="13" s="1"/>
  <c r="R320" i="13" a="1"/>
  <c r="R320" i="13" s="1"/>
  <c r="R321" i="13" a="1"/>
  <c r="R321" i="13" s="1"/>
  <c r="R322" i="13" a="1"/>
  <c r="R322" i="13" s="1"/>
  <c r="R323" i="13" a="1"/>
  <c r="R323" i="13" s="1"/>
  <c r="S323" i="13" s="1"/>
  <c r="R324" i="13" a="1"/>
  <c r="R324" i="13" s="1"/>
  <c r="S324" i="13" s="1"/>
  <c r="R325" i="13" a="1"/>
  <c r="R325" i="13" s="1"/>
  <c r="R326" i="13" a="1"/>
  <c r="R326" i="13" s="1"/>
  <c r="R327" i="13" a="1"/>
  <c r="R327" i="13" s="1"/>
  <c r="S251" i="13"/>
  <c r="S255" i="13"/>
  <c r="S263" i="13"/>
  <c r="S268" i="13"/>
  <c r="S271" i="13"/>
  <c r="S279" i="13"/>
  <c r="S284" i="13"/>
  <c r="S287" i="13"/>
  <c r="S295" i="13"/>
  <c r="S300" i="13"/>
  <c r="S303" i="13"/>
  <c r="S311" i="13"/>
  <c r="S316" i="13"/>
  <c r="S327" i="13"/>
  <c r="T6" i="13" a="1"/>
  <c r="T6" i="13" s="1"/>
  <c r="T7" i="13" a="1"/>
  <c r="T7" i="13" s="1"/>
  <c r="T8" i="13" a="1"/>
  <c r="T8" i="13" s="1"/>
  <c r="T9" i="13" a="1"/>
  <c r="T9" i="13"/>
  <c r="T10" i="13" a="1"/>
  <c r="T10" i="13" s="1"/>
  <c r="T11" i="13" a="1"/>
  <c r="T11" i="13" s="1"/>
  <c r="T12" i="13" a="1"/>
  <c r="T12" i="13" s="1"/>
  <c r="T13" i="13" a="1"/>
  <c r="T13" i="13" s="1"/>
  <c r="U13" i="13" s="1"/>
  <c r="T14" i="13" a="1"/>
  <c r="T14" i="13" s="1"/>
  <c r="T15" i="13" a="1"/>
  <c r="T15" i="13" s="1"/>
  <c r="T16" i="13" a="1"/>
  <c r="T16" i="13" s="1"/>
  <c r="T17" i="13" a="1"/>
  <c r="T17" i="13" s="1"/>
  <c r="U17" i="13" s="1"/>
  <c r="T18" i="13" a="1"/>
  <c r="T18" i="13" s="1"/>
  <c r="T19" i="13" a="1"/>
  <c r="T19" i="13" s="1"/>
  <c r="T20" i="13" a="1"/>
  <c r="T20" i="13" s="1"/>
  <c r="T21" i="13" a="1"/>
  <c r="T21" i="13"/>
  <c r="U21" i="13" s="1"/>
  <c r="T22" i="13" a="1"/>
  <c r="T22" i="13" s="1"/>
  <c r="T23" i="13" a="1"/>
  <c r="T23" i="13" s="1"/>
  <c r="T24" i="13" a="1"/>
  <c r="T24" i="13" s="1"/>
  <c r="T25" i="13" a="1"/>
  <c r="T25" i="13"/>
  <c r="T26" i="13" a="1"/>
  <c r="T26" i="13" s="1"/>
  <c r="T27" i="13" a="1"/>
  <c r="T27" i="13" s="1"/>
  <c r="T28" i="13" a="1"/>
  <c r="T28" i="13" s="1"/>
  <c r="T29" i="13" a="1"/>
  <c r="T29" i="13" s="1"/>
  <c r="U29" i="13" s="1"/>
  <c r="T30" i="13" a="1"/>
  <c r="T30" i="13" s="1"/>
  <c r="T31" i="13" a="1"/>
  <c r="T31" i="13" s="1"/>
  <c r="T32" i="13" a="1"/>
  <c r="T32" i="13" s="1"/>
  <c r="T33" i="13" a="1"/>
  <c r="T33" i="13" s="1"/>
  <c r="T34" i="13" a="1"/>
  <c r="T34" i="13" s="1"/>
  <c r="T35" i="13" a="1"/>
  <c r="T35" i="13" s="1"/>
  <c r="T36" i="13" a="1"/>
  <c r="T36" i="13" s="1"/>
  <c r="T37" i="13" a="1"/>
  <c r="T37" i="13"/>
  <c r="T38" i="13" a="1"/>
  <c r="T38" i="13" s="1"/>
  <c r="T39" i="13" a="1"/>
  <c r="T39" i="13" s="1"/>
  <c r="T40" i="13" a="1"/>
  <c r="T40" i="13" s="1"/>
  <c r="T41" i="13" a="1"/>
  <c r="T41" i="13"/>
  <c r="T42" i="13" a="1"/>
  <c r="T42" i="13" s="1"/>
  <c r="T43" i="13" a="1"/>
  <c r="T43" i="13"/>
  <c r="T44" i="13" a="1"/>
  <c r="T44" i="13" s="1"/>
  <c r="U44" i="13" s="1"/>
  <c r="T45" i="13" a="1"/>
  <c r="T45" i="13"/>
  <c r="T46" i="13" a="1"/>
  <c r="T46" i="13" s="1"/>
  <c r="T47" i="13" a="1"/>
  <c r="T47" i="13"/>
  <c r="T48" i="13" a="1"/>
  <c r="T48" i="13" s="1"/>
  <c r="U48" i="13" s="1"/>
  <c r="T49" i="13" a="1"/>
  <c r="T49" i="13"/>
  <c r="T50" i="13" a="1"/>
  <c r="T50" i="13" s="1"/>
  <c r="T51" i="13" a="1"/>
  <c r="T51" i="13"/>
  <c r="T52" i="13" a="1"/>
  <c r="T52" i="13" s="1"/>
  <c r="U52" i="13" s="1"/>
  <c r="T53" i="13" a="1"/>
  <c r="T53" i="13"/>
  <c r="T54" i="13" a="1"/>
  <c r="T54" i="13" s="1"/>
  <c r="T55" i="13" a="1"/>
  <c r="T55" i="13"/>
  <c r="T56" i="13" a="1"/>
  <c r="T56" i="13" s="1"/>
  <c r="U56" i="13" s="1"/>
  <c r="T57" i="13" a="1"/>
  <c r="T57" i="13"/>
  <c r="T58" i="13" a="1"/>
  <c r="T58" i="13" s="1"/>
  <c r="T59" i="13" a="1"/>
  <c r="T59" i="13" s="1"/>
  <c r="T60" i="13" a="1"/>
  <c r="T60" i="13" s="1"/>
  <c r="U60" i="13" s="1"/>
  <c r="T61" i="13" a="1"/>
  <c r="T61" i="13" s="1"/>
  <c r="T62" i="13" a="1"/>
  <c r="T62" i="13"/>
  <c r="T63" i="13" a="1"/>
  <c r="T63" i="13" s="1"/>
  <c r="T64" i="13" a="1"/>
  <c r="T64" i="13"/>
  <c r="T65" i="13" a="1"/>
  <c r="T65" i="13" s="1"/>
  <c r="T66" i="13" a="1"/>
  <c r="T66" i="13" s="1"/>
  <c r="U66" i="13" s="1"/>
  <c r="T67" i="13" a="1"/>
  <c r="T67" i="13" s="1"/>
  <c r="T68" i="13" a="1"/>
  <c r="T68" i="13" s="1"/>
  <c r="T69" i="13" a="1"/>
  <c r="T69" i="13" s="1"/>
  <c r="T70" i="13" a="1"/>
  <c r="T70" i="13"/>
  <c r="T71" i="13" a="1"/>
  <c r="T71" i="13" s="1"/>
  <c r="T72" i="13" a="1"/>
  <c r="T72" i="13"/>
  <c r="T73" i="13" a="1"/>
  <c r="T73" i="13" s="1"/>
  <c r="T74" i="13" a="1"/>
  <c r="T74" i="13" s="1"/>
  <c r="T75" i="13" a="1"/>
  <c r="T75" i="13" s="1"/>
  <c r="T76" i="13" a="1"/>
  <c r="T76" i="13" s="1"/>
  <c r="U76" i="13" s="1"/>
  <c r="T77" i="13" a="1"/>
  <c r="T77" i="13" s="1"/>
  <c r="T78" i="13" a="1"/>
  <c r="T78" i="13" s="1"/>
  <c r="Y78" i="13" s="1"/>
  <c r="T79" i="13" a="1"/>
  <c r="T79" i="13" s="1"/>
  <c r="T80" i="13" a="1"/>
  <c r="T80" i="13" s="1"/>
  <c r="T81" i="13" a="1"/>
  <c r="T81" i="13" s="1"/>
  <c r="T82" i="13" a="1"/>
  <c r="T82" i="13"/>
  <c r="T83" i="13" a="1"/>
  <c r="T83" i="13" s="1"/>
  <c r="T84" i="13" a="1"/>
  <c r="T84" i="13"/>
  <c r="T85" i="13" a="1"/>
  <c r="T85" i="13" s="1"/>
  <c r="T86" i="13" a="1"/>
  <c r="T86" i="13" s="1"/>
  <c r="T87" i="13" a="1"/>
  <c r="T87" i="13" s="1"/>
  <c r="T88" i="13" a="1"/>
  <c r="T88" i="13"/>
  <c r="T89" i="13" a="1"/>
  <c r="T89" i="13" s="1"/>
  <c r="T90" i="13" a="1"/>
  <c r="T90" i="13"/>
  <c r="T91" i="13" a="1"/>
  <c r="T91" i="13" s="1"/>
  <c r="T92" i="13" a="1"/>
  <c r="T92" i="13" s="1"/>
  <c r="U92" i="13" s="1"/>
  <c r="T93" i="13" a="1"/>
  <c r="T93" i="13" s="1"/>
  <c r="T94" i="13" a="1"/>
  <c r="T94" i="13" s="1"/>
  <c r="Y94" i="13" s="1"/>
  <c r="T95" i="13" a="1"/>
  <c r="T95" i="13" s="1"/>
  <c r="I32" i="13" s="1" a="1"/>
  <c r="I32" i="13" s="1"/>
  <c r="T96" i="13" a="1"/>
  <c r="T96" i="13"/>
  <c r="T97" i="13" a="1"/>
  <c r="T97" i="13" s="1"/>
  <c r="T98" i="13" a="1"/>
  <c r="T98" i="13" s="1"/>
  <c r="T99" i="13" a="1"/>
  <c r="T99" i="13" s="1"/>
  <c r="I30" i="13" s="1" a="1"/>
  <c r="I30" i="13" s="1"/>
  <c r="T100" i="13" a="1"/>
  <c r="T100" i="13"/>
  <c r="T101" i="13" a="1"/>
  <c r="T101" i="13" s="1"/>
  <c r="T102" i="13" a="1"/>
  <c r="T102" i="13" s="1"/>
  <c r="I28" i="13" s="1" a="1"/>
  <c r="I28" i="13" s="1"/>
  <c r="T103" i="13" a="1"/>
  <c r="T103" i="13" s="1"/>
  <c r="T104" i="13" a="1"/>
  <c r="T104" i="13" s="1"/>
  <c r="T105" i="13" a="1"/>
  <c r="T105" i="13" s="1"/>
  <c r="T106" i="13" a="1"/>
  <c r="T106" i="13" s="1"/>
  <c r="U106" i="13" s="1"/>
  <c r="T107" i="13" a="1"/>
  <c r="T107" i="13" s="1"/>
  <c r="I43" i="13" s="1" a="1"/>
  <c r="I43" i="13" s="1"/>
  <c r="T108" i="13" a="1"/>
  <c r="T108" i="13" s="1"/>
  <c r="I41" i="13" s="1" a="1"/>
  <c r="I41" i="13" s="1"/>
  <c r="T109" i="13" a="1"/>
  <c r="T109" i="13" s="1"/>
  <c r="T110" i="13" a="1"/>
  <c r="T110" i="13" s="1"/>
  <c r="Y110" i="13" s="1"/>
  <c r="T111" i="13" a="1"/>
  <c r="T111" i="13" s="1"/>
  <c r="I6" i="13" s="1" a="1"/>
  <c r="I6" i="13" s="1"/>
  <c r="T112" i="13" a="1"/>
  <c r="T112" i="13"/>
  <c r="T113" i="13" a="1"/>
  <c r="T113" i="13" s="1"/>
  <c r="T114" i="13" a="1"/>
  <c r="T114" i="13" s="1"/>
  <c r="T115" i="13" a="1"/>
  <c r="T115" i="13" s="1"/>
  <c r="I19" i="13" s="1" a="1"/>
  <c r="I19" i="13" s="1"/>
  <c r="T116" i="13" a="1"/>
  <c r="T116" i="13"/>
  <c r="T117" i="13" a="1"/>
  <c r="T117" i="13" s="1"/>
  <c r="T118" i="13" a="1"/>
  <c r="T118" i="13" s="1"/>
  <c r="T119" i="13" a="1"/>
  <c r="T119" i="13" s="1"/>
  <c r="I45" i="13" s="1" a="1"/>
  <c r="I45" i="13" s="1"/>
  <c r="T120" i="13" a="1"/>
  <c r="T120" i="13" s="1"/>
  <c r="T121" i="13" a="1"/>
  <c r="T121" i="13" s="1"/>
  <c r="T122" i="13" a="1"/>
  <c r="T122" i="13" s="1"/>
  <c r="U122" i="13" s="1"/>
  <c r="T123" i="13" a="1"/>
  <c r="T123" i="13" s="1"/>
  <c r="I17" i="13" s="1" a="1"/>
  <c r="I17" i="13" s="1"/>
  <c r="T124" i="13" a="1"/>
  <c r="T124" i="13" s="1"/>
  <c r="U124" i="13" s="1"/>
  <c r="T125" i="13" a="1"/>
  <c r="T125" i="13" s="1"/>
  <c r="T126" i="13" a="1"/>
  <c r="T126" i="13" s="1"/>
  <c r="T127" i="13" a="1"/>
  <c r="T127" i="13" s="1"/>
  <c r="I16" i="13" s="1" a="1"/>
  <c r="I16" i="13" s="1"/>
  <c r="T128" i="13" a="1"/>
  <c r="T128" i="13"/>
  <c r="I24" i="13" s="1" a="1"/>
  <c r="I24" i="13" s="1"/>
  <c r="T129" i="13" a="1"/>
  <c r="T129" i="13" s="1"/>
  <c r="T130" i="13" a="1"/>
  <c r="T130" i="13" s="1"/>
  <c r="T131" i="13" a="1"/>
  <c r="T131" i="13" s="1"/>
  <c r="T132" i="13" a="1"/>
  <c r="T132" i="13"/>
  <c r="I38" i="13" s="1" a="1"/>
  <c r="I38" i="13" s="1"/>
  <c r="T133" i="13" a="1"/>
  <c r="T133" i="13" s="1"/>
  <c r="T134" i="13" a="1"/>
  <c r="T134" i="13" s="1"/>
  <c r="I46" i="13" s="1" a="1"/>
  <c r="I46" i="13" s="1"/>
  <c r="T135" i="13" a="1"/>
  <c r="T135" i="13" s="1"/>
  <c r="I39" i="13" s="1" a="1"/>
  <c r="I39" i="13" s="1"/>
  <c r="T136" i="13" a="1"/>
  <c r="T136" i="13" s="1"/>
  <c r="U136" i="13" s="1"/>
  <c r="T137" i="13" a="1"/>
  <c r="T137" i="13" s="1"/>
  <c r="T138" i="13" a="1"/>
  <c r="T138" i="13" s="1"/>
  <c r="T139" i="13" a="1"/>
  <c r="T139" i="13" s="1"/>
  <c r="I23" i="13" s="1" a="1"/>
  <c r="I23" i="13" s="1"/>
  <c r="T140" i="13" a="1"/>
  <c r="T140" i="13" s="1"/>
  <c r="T141" i="13" a="1"/>
  <c r="T141" i="13" s="1"/>
  <c r="T142" i="13" a="1"/>
  <c r="T142" i="13" s="1"/>
  <c r="Y142" i="13" s="1"/>
  <c r="T143" i="13" a="1"/>
  <c r="T143" i="13" s="1"/>
  <c r="T144" i="13" a="1"/>
  <c r="T144" i="13"/>
  <c r="T145" i="13" a="1"/>
  <c r="T145" i="13" s="1"/>
  <c r="T146" i="13" a="1"/>
  <c r="T146" i="13" s="1"/>
  <c r="U146" i="13" s="1"/>
  <c r="T147" i="13" a="1"/>
  <c r="T147" i="13" s="1"/>
  <c r="T148" i="13" a="1"/>
  <c r="T148" i="13"/>
  <c r="I9" i="13" s="1" a="1"/>
  <c r="I9" i="13" s="1"/>
  <c r="T149" i="13" a="1"/>
  <c r="T149" i="13" s="1"/>
  <c r="T150" i="13" a="1"/>
  <c r="T150" i="13" s="1"/>
  <c r="T151" i="13" a="1"/>
  <c r="T151" i="13" s="1"/>
  <c r="T152" i="13" a="1"/>
  <c r="T152" i="13" s="1"/>
  <c r="I48" i="13" s="1" a="1"/>
  <c r="I48" i="13" s="1"/>
  <c r="T153" i="13" a="1"/>
  <c r="T153" i="13" s="1"/>
  <c r="T154" i="13" a="1"/>
  <c r="T154" i="13" s="1"/>
  <c r="T155" i="13" a="1"/>
  <c r="T155" i="13" s="1"/>
  <c r="I22" i="13" s="1" a="1"/>
  <c r="I22" i="13" s="1"/>
  <c r="T156" i="13" a="1"/>
  <c r="T156" i="13" s="1"/>
  <c r="T157" i="13" a="1"/>
  <c r="T157" i="13" s="1"/>
  <c r="T158" i="13" a="1"/>
  <c r="T158" i="13" s="1"/>
  <c r="T159" i="13" a="1"/>
  <c r="T159" i="13" s="1"/>
  <c r="I14" i="13" s="1" a="1"/>
  <c r="I14" i="13" s="1"/>
  <c r="T160" i="13" a="1"/>
  <c r="T160" i="13"/>
  <c r="T161" i="13" a="1"/>
  <c r="T161" i="13" s="1"/>
  <c r="T162" i="13" a="1"/>
  <c r="T162" i="13" s="1"/>
  <c r="T163" i="13" a="1"/>
  <c r="T163" i="13" s="1"/>
  <c r="I42" i="13" s="1" a="1"/>
  <c r="I42" i="13" s="1"/>
  <c r="T164" i="13" a="1"/>
  <c r="T164" i="13"/>
  <c r="I37" i="13" s="1" a="1"/>
  <c r="I37" i="13" s="1"/>
  <c r="T165" i="13" a="1"/>
  <c r="T165" i="13" s="1"/>
  <c r="T166" i="13" a="1"/>
  <c r="T166" i="13" s="1"/>
  <c r="T167" i="13" a="1"/>
  <c r="T167" i="13" s="1"/>
  <c r="T168" i="13" a="1"/>
  <c r="T168" i="13" s="1"/>
  <c r="U168" i="13" s="1"/>
  <c r="T169" i="13" a="1"/>
  <c r="T169" i="13" s="1"/>
  <c r="T170" i="13" a="1"/>
  <c r="T170" i="13" s="1"/>
  <c r="U170" i="13" s="1"/>
  <c r="T171" i="13" a="1"/>
  <c r="T171" i="13" s="1"/>
  <c r="T172" i="13" a="1"/>
  <c r="T172" i="13" s="1"/>
  <c r="U172" i="13" s="1"/>
  <c r="T173" i="13" a="1"/>
  <c r="T173" i="13" s="1"/>
  <c r="T174" i="13" a="1"/>
  <c r="T174" i="13" s="1"/>
  <c r="Y174" i="13" s="1"/>
  <c r="T175" i="13" a="1"/>
  <c r="T175" i="13" s="1"/>
  <c r="U175" i="13" s="1"/>
  <c r="T176" i="13" a="1"/>
  <c r="T176" i="13"/>
  <c r="T177" i="13" a="1"/>
  <c r="T177" i="13" s="1"/>
  <c r="T178" i="13" a="1"/>
  <c r="T178" i="13" s="1"/>
  <c r="U178" i="13" s="1"/>
  <c r="T179" i="13" a="1"/>
  <c r="T179" i="13" s="1"/>
  <c r="Y179" i="13" s="1"/>
  <c r="T180" i="13" a="1"/>
  <c r="T180" i="13"/>
  <c r="U180" i="13" s="1"/>
  <c r="T181" i="13" a="1"/>
  <c r="T181" i="13" s="1"/>
  <c r="T182" i="13" a="1"/>
  <c r="T182" i="13" s="1"/>
  <c r="T183" i="13" a="1"/>
  <c r="T183" i="13" s="1"/>
  <c r="U183" i="13" s="1"/>
  <c r="T184" i="13" a="1"/>
  <c r="T184" i="13" s="1"/>
  <c r="Y184" i="13" s="1"/>
  <c r="T185" i="13" a="1"/>
  <c r="T185" i="13" s="1"/>
  <c r="T186" i="13" a="1"/>
  <c r="T186" i="13" s="1"/>
  <c r="U186" i="13" s="1"/>
  <c r="T187" i="13" a="1"/>
  <c r="T187" i="13" s="1"/>
  <c r="T188" i="13" a="1"/>
  <c r="T188" i="13" s="1"/>
  <c r="U188" i="13" s="1"/>
  <c r="T189" i="13" a="1"/>
  <c r="T189" i="13" s="1"/>
  <c r="T190" i="13" a="1"/>
  <c r="T190" i="13" s="1"/>
  <c r="T191" i="13" a="1"/>
  <c r="T191" i="13" s="1"/>
  <c r="U191" i="13" s="1"/>
  <c r="T192" i="13" a="1"/>
  <c r="T192" i="13"/>
  <c r="T193" i="13" a="1"/>
  <c r="T193" i="13" s="1"/>
  <c r="T194" i="13" a="1"/>
  <c r="T194" i="13" s="1"/>
  <c r="U194" i="13" s="1"/>
  <c r="T195" i="13" a="1"/>
  <c r="T195" i="13" s="1"/>
  <c r="Y195" i="13" s="1"/>
  <c r="T196" i="13" a="1"/>
  <c r="T196" i="13"/>
  <c r="U196" i="13" s="1"/>
  <c r="T197" i="13" a="1"/>
  <c r="T197" i="13" s="1"/>
  <c r="T198" i="13" a="1"/>
  <c r="T198" i="13" s="1"/>
  <c r="T199" i="13" a="1"/>
  <c r="T199" i="13" s="1"/>
  <c r="U199" i="13" s="1"/>
  <c r="T200" i="13" a="1"/>
  <c r="T200" i="13" s="1"/>
  <c r="T201" i="13" a="1"/>
  <c r="T201" i="13" s="1"/>
  <c r="T202" i="13" a="1"/>
  <c r="T202" i="13" s="1"/>
  <c r="U202" i="13" s="1"/>
  <c r="T203" i="13" a="1"/>
  <c r="T203" i="13" s="1"/>
  <c r="T204" i="13" a="1"/>
  <c r="T204" i="13" s="1"/>
  <c r="U204" i="13" s="1"/>
  <c r="T205" i="13" a="1"/>
  <c r="T205" i="13" s="1"/>
  <c r="T206" i="13" a="1"/>
  <c r="T206" i="13" s="1"/>
  <c r="Y206" i="13" s="1"/>
  <c r="T207" i="13" a="1"/>
  <c r="T207" i="13" s="1"/>
  <c r="U207" i="13" s="1"/>
  <c r="T208" i="13" a="1"/>
  <c r="T208" i="13"/>
  <c r="T209" i="13" a="1"/>
  <c r="T209" i="13" s="1"/>
  <c r="T210" i="13" a="1"/>
  <c r="T210" i="13" s="1"/>
  <c r="U210" i="13" s="1"/>
  <c r="T211" i="13" a="1"/>
  <c r="T211" i="13" s="1"/>
  <c r="Y211" i="13" s="1"/>
  <c r="T212" i="13" a="1"/>
  <c r="T212" i="13"/>
  <c r="U212" i="13" s="1"/>
  <c r="T213" i="13" a="1"/>
  <c r="T213" i="13" s="1"/>
  <c r="T214" i="13" a="1"/>
  <c r="T214" i="13" s="1"/>
  <c r="T215" i="13" a="1"/>
  <c r="T215" i="13" s="1"/>
  <c r="U215" i="13" s="1"/>
  <c r="T216" i="13" a="1"/>
  <c r="T216" i="13" s="1"/>
  <c r="Y216" i="13" s="1"/>
  <c r="T217" i="13" a="1"/>
  <c r="T217" i="13" s="1"/>
  <c r="T218" i="13" a="1"/>
  <c r="T218" i="13" s="1"/>
  <c r="U218" i="13" s="1"/>
  <c r="T219" i="13" a="1"/>
  <c r="T219" i="13" s="1"/>
  <c r="T220" i="13" a="1"/>
  <c r="T220" i="13" s="1"/>
  <c r="U220" i="13" s="1"/>
  <c r="T221" i="13" a="1"/>
  <c r="T221" i="13" s="1"/>
  <c r="T222" i="13" a="1"/>
  <c r="T222" i="13" s="1"/>
  <c r="T223" i="13" a="1"/>
  <c r="T223" i="13" s="1"/>
  <c r="U223" i="13" s="1"/>
  <c r="T224" i="13" a="1"/>
  <c r="T224" i="13"/>
  <c r="T225" i="13" a="1"/>
  <c r="T225" i="13" s="1"/>
  <c r="T226" i="13" a="1"/>
  <c r="T226" i="13" s="1"/>
  <c r="U226" i="13" s="1"/>
  <c r="T227" i="13" a="1"/>
  <c r="T227" i="13" s="1"/>
  <c r="Y227" i="13" s="1"/>
  <c r="T228" i="13" a="1"/>
  <c r="T228" i="13"/>
  <c r="U228" i="13" s="1"/>
  <c r="T229" i="13" a="1"/>
  <c r="T229" i="13" s="1"/>
  <c r="T230" i="13" a="1"/>
  <c r="T230" i="13" s="1"/>
  <c r="T231" i="13" a="1"/>
  <c r="T231" i="13" s="1"/>
  <c r="U231" i="13" s="1"/>
  <c r="T232" i="13" a="1"/>
  <c r="T232" i="13" s="1"/>
  <c r="T233" i="13" a="1"/>
  <c r="T233" i="13" s="1"/>
  <c r="T234" i="13" a="1"/>
  <c r="T234" i="13" s="1"/>
  <c r="U234" i="13" s="1"/>
  <c r="T235" i="13" a="1"/>
  <c r="T235" i="13" s="1"/>
  <c r="T236" i="13" a="1"/>
  <c r="T236" i="13" s="1"/>
  <c r="U236" i="13" s="1"/>
  <c r="T237" i="13" a="1"/>
  <c r="T237" i="13" s="1"/>
  <c r="T238" i="13" a="1"/>
  <c r="T238" i="13" s="1"/>
  <c r="Y238" i="13" s="1"/>
  <c r="T239" i="13" a="1"/>
  <c r="T239" i="13" s="1"/>
  <c r="U239" i="13" s="1"/>
  <c r="T240" i="13" a="1"/>
  <c r="T240" i="13"/>
  <c r="T241" i="13" a="1"/>
  <c r="T241" i="13" s="1"/>
  <c r="T242" i="13" a="1"/>
  <c r="T242" i="13" s="1"/>
  <c r="U242" i="13" s="1"/>
  <c r="T243" i="13" a="1"/>
  <c r="T243" i="13" s="1"/>
  <c r="Y243" i="13" s="1"/>
  <c r="T244" i="13" a="1"/>
  <c r="T244" i="13"/>
  <c r="U244" i="13" s="1"/>
  <c r="T245" i="13" a="1"/>
  <c r="T245" i="13" s="1"/>
  <c r="T246" i="13" a="1"/>
  <c r="T246" i="13" s="1"/>
  <c r="T247" i="13" a="1"/>
  <c r="T247" i="13" s="1"/>
  <c r="U247" i="13" s="1"/>
  <c r="T248" i="13" a="1"/>
  <c r="T248" i="13" s="1"/>
  <c r="T249" i="13" a="1"/>
  <c r="T249" i="13" s="1"/>
  <c r="T250" i="13" a="1"/>
  <c r="T250" i="13" s="1"/>
  <c r="T251" i="13" a="1"/>
  <c r="T251" i="13" s="1"/>
  <c r="T252" i="13" a="1"/>
  <c r="T252" i="13" s="1"/>
  <c r="T253" i="13" a="1"/>
  <c r="T253" i="13" s="1"/>
  <c r="T254" i="13" a="1"/>
  <c r="T254" i="13" s="1"/>
  <c r="T255" i="13" a="1"/>
  <c r="T255" i="13" s="1"/>
  <c r="T256" i="13" a="1"/>
  <c r="T256" i="13"/>
  <c r="I158" i="13" s="1" a="1"/>
  <c r="I158" i="13" s="1"/>
  <c r="T257" i="13" a="1"/>
  <c r="T257" i="13" s="1"/>
  <c r="T258" i="13" a="1"/>
  <c r="T258" i="13" s="1"/>
  <c r="T259" i="13" a="1"/>
  <c r="T259" i="13" s="1"/>
  <c r="T260" i="13" a="1"/>
  <c r="T260" i="13" s="1"/>
  <c r="T261" i="13" a="1"/>
  <c r="T261" i="13" s="1"/>
  <c r="T262" i="13" a="1"/>
  <c r="T262" i="13" s="1"/>
  <c r="T263" i="13" a="1"/>
  <c r="T263" i="13" s="1"/>
  <c r="T264" i="13" a="1"/>
  <c r="T264" i="13"/>
  <c r="T265" i="13" a="1"/>
  <c r="T265" i="13" s="1"/>
  <c r="T266" i="13" a="1"/>
  <c r="T266" i="13" s="1"/>
  <c r="T267" i="13" a="1"/>
  <c r="T267" i="13" s="1"/>
  <c r="I132" i="13" s="1" a="1"/>
  <c r="I132" i="13" s="1"/>
  <c r="T268" i="13" a="1"/>
  <c r="T268" i="13" s="1"/>
  <c r="T269" i="13" a="1"/>
  <c r="T269" i="13" s="1"/>
  <c r="T270" i="13" a="1"/>
  <c r="T270" i="13" s="1"/>
  <c r="T271" i="13" a="1"/>
  <c r="T271" i="13" s="1"/>
  <c r="T272" i="13" a="1"/>
  <c r="T272" i="13"/>
  <c r="T273" i="13" a="1"/>
  <c r="T273" i="13" s="1"/>
  <c r="T274" i="13" a="1"/>
  <c r="T274" i="13" s="1"/>
  <c r="T275" i="13" a="1"/>
  <c r="T275" i="13" s="1"/>
  <c r="T276" i="13" a="1"/>
  <c r="T276" i="13"/>
  <c r="T277" i="13" a="1"/>
  <c r="T277" i="13" s="1"/>
  <c r="T278" i="13" a="1"/>
  <c r="T278" i="13" s="1"/>
  <c r="T279" i="13" a="1"/>
  <c r="T279" i="13" s="1"/>
  <c r="T280" i="13" a="1"/>
  <c r="T280" i="13" s="1"/>
  <c r="U280" i="13" s="1"/>
  <c r="T281" i="13" a="1"/>
  <c r="T281" i="13" s="1"/>
  <c r="T282" i="13" a="1"/>
  <c r="T282" i="13" s="1"/>
  <c r="T283" i="13" a="1"/>
  <c r="T283" i="13" s="1"/>
  <c r="T284" i="13" a="1"/>
  <c r="T284" i="13" s="1"/>
  <c r="T285" i="13" a="1"/>
  <c r="T285" i="13" s="1"/>
  <c r="T286" i="13" a="1"/>
  <c r="T286" i="13" s="1"/>
  <c r="T287" i="13" a="1"/>
  <c r="T287" i="13" s="1"/>
  <c r="T288" i="13" a="1"/>
  <c r="T288" i="13"/>
  <c r="T289" i="13" a="1"/>
  <c r="T289" i="13" s="1"/>
  <c r="T290" i="13" a="1"/>
  <c r="T290" i="13" s="1"/>
  <c r="T291" i="13" a="1"/>
  <c r="T291" i="13" s="1"/>
  <c r="T292" i="13" a="1"/>
  <c r="T292" i="13" s="1"/>
  <c r="T293" i="13" a="1"/>
  <c r="T293" i="13" s="1"/>
  <c r="T294" i="13" a="1"/>
  <c r="T294" i="13" s="1"/>
  <c r="T295" i="13" a="1"/>
  <c r="T295" i="13" s="1"/>
  <c r="U295" i="13" s="1"/>
  <c r="T296" i="13" a="1"/>
  <c r="T296" i="13"/>
  <c r="T297" i="13" a="1"/>
  <c r="T297" i="13" s="1"/>
  <c r="T298" i="13" a="1"/>
  <c r="T298" i="13" s="1"/>
  <c r="U298" i="13" s="1"/>
  <c r="T299" i="13" a="1"/>
  <c r="T299" i="13" s="1"/>
  <c r="T300" i="13" a="1"/>
  <c r="T300" i="13" s="1"/>
  <c r="T301" i="13" a="1"/>
  <c r="T301" i="13" s="1"/>
  <c r="T302" i="13" a="1"/>
  <c r="T302" i="13" s="1"/>
  <c r="Y302" i="13" s="1"/>
  <c r="T303" i="13" a="1"/>
  <c r="T303" i="13" s="1"/>
  <c r="U303" i="13" s="1"/>
  <c r="T304" i="13" a="1"/>
  <c r="T304" i="13"/>
  <c r="T305" i="13" a="1"/>
  <c r="T305" i="13" s="1"/>
  <c r="T306" i="13" a="1"/>
  <c r="T306" i="13" s="1"/>
  <c r="U306" i="13" s="1"/>
  <c r="T307" i="13" a="1"/>
  <c r="T307" i="13" s="1"/>
  <c r="Y307" i="13" s="1"/>
  <c r="T308" i="13" a="1"/>
  <c r="T308" i="13"/>
  <c r="U308" i="13" s="1"/>
  <c r="T309" i="13" a="1"/>
  <c r="T309" i="13" s="1"/>
  <c r="T310" i="13" a="1"/>
  <c r="T310" i="13" s="1"/>
  <c r="T311" i="13" a="1"/>
  <c r="T311" i="13" s="1"/>
  <c r="U311" i="13" s="1"/>
  <c r="T312" i="13" a="1"/>
  <c r="T312" i="13" s="1"/>
  <c r="T313" i="13" a="1"/>
  <c r="T313" i="13" s="1"/>
  <c r="T314" i="13" a="1"/>
  <c r="T314" i="13" s="1"/>
  <c r="U314" i="13" s="1"/>
  <c r="T315" i="13" a="1"/>
  <c r="T315" i="13" s="1"/>
  <c r="Y315" i="13" s="1"/>
  <c r="T316" i="13" a="1"/>
  <c r="T316" i="13" s="1"/>
  <c r="T317" i="13" a="1"/>
  <c r="T317" i="13" s="1"/>
  <c r="T318" i="13" a="1"/>
  <c r="T318" i="13" s="1"/>
  <c r="Y318" i="13" s="1"/>
  <c r="T319" i="13" a="1"/>
  <c r="T319" i="13" s="1"/>
  <c r="U319" i="13" s="1"/>
  <c r="T320" i="13" a="1"/>
  <c r="T320" i="13"/>
  <c r="T321" i="13" a="1"/>
  <c r="T321" i="13" s="1"/>
  <c r="T322" i="13" a="1"/>
  <c r="T322" i="13" s="1"/>
  <c r="U322" i="13" s="1"/>
  <c r="T323" i="13" a="1"/>
  <c r="T323" i="13" s="1"/>
  <c r="T324" i="13" a="1"/>
  <c r="T324" i="13" s="1"/>
  <c r="T325" i="13" a="1"/>
  <c r="T325" i="13" s="1"/>
  <c r="T326" i="13" a="1"/>
  <c r="T326" i="13" s="1"/>
  <c r="T327" i="13" a="1"/>
  <c r="T327" i="13" s="1"/>
  <c r="U327" i="13" s="1"/>
  <c r="U6" i="13"/>
  <c r="U7" i="13"/>
  <c r="U8" i="13"/>
  <c r="U9" i="13"/>
  <c r="U10" i="13"/>
  <c r="U11" i="13"/>
  <c r="U12" i="13"/>
  <c r="U14" i="13"/>
  <c r="U15" i="13"/>
  <c r="U16" i="13"/>
  <c r="U18" i="13"/>
  <c r="U19" i="13"/>
  <c r="U20" i="13"/>
  <c r="U22" i="13"/>
  <c r="U23" i="13"/>
  <c r="U24" i="13"/>
  <c r="U25" i="13"/>
  <c r="U26" i="13"/>
  <c r="U27" i="13"/>
  <c r="U28" i="13"/>
  <c r="U30" i="13"/>
  <c r="U31" i="13"/>
  <c r="U32" i="13"/>
  <c r="U33" i="13"/>
  <c r="U34" i="13"/>
  <c r="U35" i="13"/>
  <c r="U36" i="13"/>
  <c r="U38" i="13"/>
  <c r="U39" i="13"/>
  <c r="U40" i="13"/>
  <c r="U41" i="13"/>
  <c r="U42" i="13"/>
  <c r="U43" i="13"/>
  <c r="U45" i="13"/>
  <c r="U46" i="13"/>
  <c r="U47" i="13"/>
  <c r="U49" i="13"/>
  <c r="U50" i="13"/>
  <c r="U51" i="13"/>
  <c r="U53" i="13"/>
  <c r="U54" i="13"/>
  <c r="U55" i="13"/>
  <c r="U57" i="13"/>
  <c r="U58" i="13"/>
  <c r="U59" i="13"/>
  <c r="U62" i="13"/>
  <c r="U63" i="13"/>
  <c r="U64" i="13"/>
  <c r="U67" i="13"/>
  <c r="U68" i="13"/>
  <c r="U70" i="13"/>
  <c r="U71" i="13"/>
  <c r="U72" i="13"/>
  <c r="U74" i="13"/>
  <c r="U75" i="13"/>
  <c r="U78" i="13"/>
  <c r="U79" i="13"/>
  <c r="U80" i="13"/>
  <c r="U82" i="13"/>
  <c r="U83" i="13"/>
  <c r="U84" i="13"/>
  <c r="U86" i="13"/>
  <c r="U87" i="13"/>
  <c r="U88" i="13"/>
  <c r="U90" i="13"/>
  <c r="U91" i="13"/>
  <c r="U94" i="13"/>
  <c r="U95" i="13"/>
  <c r="U96" i="13"/>
  <c r="U99" i="13"/>
  <c r="U100" i="13"/>
  <c r="U102" i="13"/>
  <c r="U103" i="13"/>
  <c r="U107" i="13"/>
  <c r="U108" i="13"/>
  <c r="U110" i="13"/>
  <c r="U111" i="13"/>
  <c r="U112" i="13"/>
  <c r="U115" i="13"/>
  <c r="U116" i="13"/>
  <c r="U118" i="13"/>
  <c r="U119" i="13"/>
  <c r="U120" i="13"/>
  <c r="U123" i="13"/>
  <c r="U126" i="13"/>
  <c r="U127" i="13"/>
  <c r="U128" i="13"/>
  <c r="U131" i="13"/>
  <c r="U132" i="13"/>
  <c r="U134" i="13"/>
  <c r="U135" i="13"/>
  <c r="U139" i="13"/>
  <c r="U140" i="13"/>
  <c r="U142" i="13"/>
  <c r="U143" i="13"/>
  <c r="U144" i="13"/>
  <c r="U147" i="13"/>
  <c r="U148" i="13"/>
  <c r="U150" i="13"/>
  <c r="U151" i="13"/>
  <c r="U152" i="13"/>
  <c r="U155" i="13"/>
  <c r="U158" i="13"/>
  <c r="U159" i="13"/>
  <c r="U160" i="13"/>
  <c r="U163" i="13"/>
  <c r="U164" i="13"/>
  <c r="U166" i="13"/>
  <c r="U167" i="13"/>
  <c r="U171" i="13"/>
  <c r="U174" i="13"/>
  <c r="U176" i="13"/>
  <c r="U179" i="13"/>
  <c r="U182" i="13"/>
  <c r="U184" i="13"/>
  <c r="U187" i="13"/>
  <c r="U192" i="13"/>
  <c r="U195" i="13"/>
  <c r="U198" i="13"/>
  <c r="U203" i="13"/>
  <c r="U206" i="13"/>
  <c r="U208" i="13"/>
  <c r="U211" i="13"/>
  <c r="U214" i="13"/>
  <c r="U216" i="13"/>
  <c r="U219" i="13"/>
  <c r="U224" i="13"/>
  <c r="U227" i="13"/>
  <c r="U230" i="13"/>
  <c r="U235" i="13"/>
  <c r="U238" i="13"/>
  <c r="U240" i="13"/>
  <c r="U243" i="13"/>
  <c r="U246" i="13"/>
  <c r="U251" i="13"/>
  <c r="U254" i="13"/>
  <c r="U256" i="13"/>
  <c r="U264" i="13"/>
  <c r="U267" i="13"/>
  <c r="U270" i="13"/>
  <c r="U272" i="13"/>
  <c r="U283" i="13"/>
  <c r="U286" i="13"/>
  <c r="U288" i="13"/>
  <c r="U299" i="13"/>
  <c r="U302" i="13"/>
  <c r="U304" i="13"/>
  <c r="U315" i="13"/>
  <c r="U318" i="13"/>
  <c r="U320" i="13"/>
  <c r="V6" i="13"/>
  <c r="V7" i="13"/>
  <c r="V8" i="13"/>
  <c r="AA8" i="13" s="1"/>
  <c r="V9" i="13"/>
  <c r="AA9" i="13" s="1"/>
  <c r="V10" i="13"/>
  <c r="V11" i="13"/>
  <c r="V12" i="13"/>
  <c r="V13" i="13"/>
  <c r="V14" i="13"/>
  <c r="V15" i="13"/>
  <c r="V16" i="13"/>
  <c r="AA16" i="13" s="1"/>
  <c r="V17" i="13"/>
  <c r="AA17" i="13" s="1"/>
  <c r="V18" i="13"/>
  <c r="AA18" i="13" s="1"/>
  <c r="V19" i="13"/>
  <c r="V20" i="13"/>
  <c r="V21" i="13"/>
  <c r="V22" i="13"/>
  <c r="V23" i="13"/>
  <c r="V24" i="13"/>
  <c r="V25" i="13"/>
  <c r="AA25" i="13" s="1"/>
  <c r="V26" i="13"/>
  <c r="V27" i="13"/>
  <c r="AA27" i="13" s="1"/>
  <c r="V28" i="13"/>
  <c r="V29" i="13"/>
  <c r="AA29" i="13" s="1"/>
  <c r="V30" i="13"/>
  <c r="V31" i="13"/>
  <c r="V32" i="13"/>
  <c r="V33" i="13"/>
  <c r="AA33" i="13" s="1"/>
  <c r="V34" i="13"/>
  <c r="V35" i="13"/>
  <c r="AA35" i="13" s="1"/>
  <c r="V36" i="13"/>
  <c r="Z36" i="13" s="1"/>
  <c r="V37" i="13"/>
  <c r="AA37" i="13" s="1"/>
  <c r="V38" i="13"/>
  <c r="V39" i="13"/>
  <c r="V40" i="13"/>
  <c r="V41" i="13"/>
  <c r="AA41" i="13" s="1"/>
  <c r="V42" i="13"/>
  <c r="V43" i="13"/>
  <c r="AA43" i="13" s="1"/>
  <c r="V44" i="13"/>
  <c r="V45" i="13"/>
  <c r="AA45" i="13" s="1"/>
  <c r="V46" i="13"/>
  <c r="V47" i="13"/>
  <c r="V48" i="13"/>
  <c r="V49" i="13"/>
  <c r="AA49" i="13" s="1"/>
  <c r="V50" i="13"/>
  <c r="AA50" i="13" s="1"/>
  <c r="V51" i="13"/>
  <c r="AA51" i="13" s="1"/>
  <c r="V52" i="13"/>
  <c r="V53" i="13"/>
  <c r="AA53" i="13" s="1"/>
  <c r="V54" i="13"/>
  <c r="V55" i="13"/>
  <c r="V56" i="13"/>
  <c r="V57" i="13"/>
  <c r="AA57" i="13" s="1"/>
  <c r="V58" i="13"/>
  <c r="V59" i="13"/>
  <c r="V60" i="13"/>
  <c r="AA60" i="13" s="1"/>
  <c r="V61" i="13"/>
  <c r="AA61" i="13" s="1"/>
  <c r="V62" i="13"/>
  <c r="V63" i="13"/>
  <c r="V64" i="13"/>
  <c r="V65" i="13"/>
  <c r="AA65" i="13" s="1"/>
  <c r="V66" i="13"/>
  <c r="V67" i="13"/>
  <c r="V68" i="13"/>
  <c r="V69" i="13"/>
  <c r="AA69" i="13" s="1"/>
  <c r="V70" i="13"/>
  <c r="V71" i="13"/>
  <c r="V72" i="13"/>
  <c r="Z72" i="13" s="1"/>
  <c r="V73" i="13"/>
  <c r="AA73" i="13" s="1"/>
  <c r="V74" i="13"/>
  <c r="V75" i="13"/>
  <c r="V76" i="13"/>
  <c r="AA76" i="13" s="1"/>
  <c r="AE76" i="13" s="1"/>
  <c r="AD76" i="13" s="1"/>
  <c r="V77" i="13"/>
  <c r="AA77" i="13" s="1"/>
  <c r="V78" i="13"/>
  <c r="V79" i="13"/>
  <c r="V80" i="13"/>
  <c r="V81" i="13"/>
  <c r="AA81" i="13" s="1"/>
  <c r="V82" i="13"/>
  <c r="AA82" i="13" s="1"/>
  <c r="V83" i="13"/>
  <c r="V84" i="13"/>
  <c r="V85" i="13"/>
  <c r="AA85" i="13" s="1"/>
  <c r="V86" i="13"/>
  <c r="V87" i="13"/>
  <c r="AA87" i="13" s="1"/>
  <c r="V88" i="13"/>
  <c r="V89" i="13"/>
  <c r="AA89" i="13" s="1"/>
  <c r="V90" i="13"/>
  <c r="V91" i="13"/>
  <c r="V92" i="13"/>
  <c r="V93" i="13"/>
  <c r="AA93" i="13" s="1"/>
  <c r="V94" i="13"/>
  <c r="V95" i="13"/>
  <c r="AA95" i="13" s="1"/>
  <c r="V96" i="13"/>
  <c r="V97" i="13"/>
  <c r="AA97" i="13" s="1"/>
  <c r="V98" i="13"/>
  <c r="V99" i="13"/>
  <c r="V100" i="13"/>
  <c r="V101" i="13"/>
  <c r="AA101" i="13" s="1"/>
  <c r="V102" i="13"/>
  <c r="V103" i="13"/>
  <c r="AA103" i="13" s="1"/>
  <c r="V104" i="13"/>
  <c r="V105" i="13"/>
  <c r="AA105" i="13" s="1"/>
  <c r="V106" i="13"/>
  <c r="V107" i="13"/>
  <c r="V108" i="13"/>
  <c r="V109" i="13"/>
  <c r="AA109" i="13" s="1"/>
  <c r="V110" i="13"/>
  <c r="V111" i="13"/>
  <c r="AA111" i="13" s="1"/>
  <c r="V112" i="13"/>
  <c r="V113" i="13"/>
  <c r="AA113" i="13" s="1"/>
  <c r="V114" i="13"/>
  <c r="V115" i="13"/>
  <c r="V116" i="13"/>
  <c r="V117" i="13"/>
  <c r="AA117" i="13" s="1"/>
  <c r="V118" i="13"/>
  <c r="V119" i="13"/>
  <c r="V120" i="13"/>
  <c r="AA120" i="13" s="1"/>
  <c r="V121" i="13"/>
  <c r="AA121" i="13" s="1"/>
  <c r="V122" i="13"/>
  <c r="V123" i="13"/>
  <c r="V124" i="13"/>
  <c r="V125" i="13"/>
  <c r="AA125" i="13" s="1"/>
  <c r="V126" i="13"/>
  <c r="V127" i="13"/>
  <c r="V128" i="13"/>
  <c r="V129" i="13"/>
  <c r="AA129" i="13" s="1"/>
  <c r="V130" i="13"/>
  <c r="V131" i="13"/>
  <c r="V132" i="13"/>
  <c r="V133" i="13"/>
  <c r="AA133" i="13" s="1"/>
  <c r="V134" i="13"/>
  <c r="V135" i="13"/>
  <c r="V136" i="13"/>
  <c r="AA136" i="13" s="1"/>
  <c r="V137" i="13"/>
  <c r="AA137" i="13" s="1"/>
  <c r="V138" i="13"/>
  <c r="V139" i="13"/>
  <c r="V140" i="13"/>
  <c r="V141" i="13"/>
  <c r="AA141" i="13" s="1"/>
  <c r="V142" i="13"/>
  <c r="V143" i="13"/>
  <c r="V144" i="13"/>
  <c r="AA144" i="13" s="1"/>
  <c r="V145" i="13"/>
  <c r="AA145" i="13" s="1"/>
  <c r="V146" i="13"/>
  <c r="AA146" i="13" s="1"/>
  <c r="V147" i="13"/>
  <c r="V148" i="13"/>
  <c r="V149" i="13"/>
  <c r="AA149" i="13" s="1"/>
  <c r="V150" i="13"/>
  <c r="V151" i="13"/>
  <c r="V152" i="13"/>
  <c r="V153" i="13"/>
  <c r="AA153" i="13" s="1"/>
  <c r="V154" i="13"/>
  <c r="V155" i="13"/>
  <c r="AA155" i="13" s="1"/>
  <c r="V156" i="13"/>
  <c r="V157" i="13"/>
  <c r="AA157" i="13" s="1"/>
  <c r="V158" i="13"/>
  <c r="V159" i="13"/>
  <c r="V160" i="13"/>
  <c r="V161" i="13"/>
  <c r="AA161" i="13" s="1"/>
  <c r="V162" i="13"/>
  <c r="V163" i="13"/>
  <c r="AA163" i="13" s="1"/>
  <c r="V164" i="13"/>
  <c r="V165" i="13"/>
  <c r="AA165" i="13" s="1"/>
  <c r="V166" i="13"/>
  <c r="V167" i="13"/>
  <c r="V168" i="13"/>
  <c r="V169" i="13"/>
  <c r="AA169" i="13" s="1"/>
  <c r="V170" i="13"/>
  <c r="V171" i="13"/>
  <c r="AA171" i="13" s="1"/>
  <c r="V172" i="13"/>
  <c r="V173" i="13"/>
  <c r="AA173" i="13" s="1"/>
  <c r="V174" i="13"/>
  <c r="V175" i="13"/>
  <c r="V176" i="13"/>
  <c r="V177" i="13"/>
  <c r="AA177" i="13" s="1"/>
  <c r="V178" i="13"/>
  <c r="V179" i="13"/>
  <c r="AA179" i="13" s="1"/>
  <c r="V180" i="13"/>
  <c r="V181" i="13"/>
  <c r="AA181" i="13" s="1"/>
  <c r="V182" i="13"/>
  <c r="V183" i="13"/>
  <c r="V184" i="13"/>
  <c r="Z184" i="13" s="1"/>
  <c r="V185" i="13"/>
  <c r="AA185" i="13" s="1"/>
  <c r="V186" i="13"/>
  <c r="V187" i="13"/>
  <c r="V188" i="13"/>
  <c r="AA188" i="13" s="1"/>
  <c r="V189" i="13"/>
  <c r="AA189" i="13" s="1"/>
  <c r="V190" i="13"/>
  <c r="V191" i="13"/>
  <c r="V192" i="13"/>
  <c r="V193" i="13"/>
  <c r="AA193" i="13" s="1"/>
  <c r="V194" i="13"/>
  <c r="V195" i="13"/>
  <c r="V196" i="13"/>
  <c r="V197" i="13"/>
  <c r="AA197" i="13" s="1"/>
  <c r="V198" i="13"/>
  <c r="V199" i="13"/>
  <c r="V200" i="13"/>
  <c r="V201" i="13"/>
  <c r="AA201" i="13" s="1"/>
  <c r="V202" i="13"/>
  <c r="V203" i="13"/>
  <c r="V204" i="13"/>
  <c r="V205" i="13"/>
  <c r="AA205" i="13" s="1"/>
  <c r="V206" i="13"/>
  <c r="V207" i="13"/>
  <c r="V208" i="13"/>
  <c r="V209" i="13"/>
  <c r="AA209" i="13" s="1"/>
  <c r="V210" i="13"/>
  <c r="AA210" i="13" s="1"/>
  <c r="V211" i="13"/>
  <c r="V212" i="13"/>
  <c r="V213" i="13"/>
  <c r="AA213" i="13" s="1"/>
  <c r="AE213" i="13" s="1"/>
  <c r="AD213" i="13" s="1"/>
  <c r="V214" i="13"/>
  <c r="V215" i="13"/>
  <c r="AA215" i="13" s="1"/>
  <c r="AE215" i="13" s="1"/>
  <c r="AD215" i="13" s="1"/>
  <c r="V216" i="13"/>
  <c r="V217" i="13"/>
  <c r="AA217" i="13" s="1"/>
  <c r="V218" i="13"/>
  <c r="V219" i="13"/>
  <c r="V220" i="13"/>
  <c r="V221" i="13"/>
  <c r="AA221" i="13" s="1"/>
  <c r="V222" i="13"/>
  <c r="V223" i="13"/>
  <c r="V224" i="13"/>
  <c r="AA224" i="13" s="1"/>
  <c r="V225" i="13"/>
  <c r="AA225" i="13" s="1"/>
  <c r="AE225" i="13" s="1"/>
  <c r="AD225" i="13" s="1"/>
  <c r="V226" i="13"/>
  <c r="V227" i="13"/>
  <c r="AA227" i="13" s="1"/>
  <c r="AE227" i="13" s="1"/>
  <c r="AD227" i="13" s="1"/>
  <c r="V228" i="13"/>
  <c r="V229" i="13"/>
  <c r="V230" i="13"/>
  <c r="V231" i="13"/>
  <c r="V232" i="13"/>
  <c r="AA232" i="13" s="1"/>
  <c r="V233" i="13"/>
  <c r="AA233" i="13" s="1"/>
  <c r="V234" i="13"/>
  <c r="AA234" i="13" s="1"/>
  <c r="V235" i="13"/>
  <c r="V236" i="13"/>
  <c r="V237" i="13"/>
  <c r="AA237" i="13" s="1"/>
  <c r="AE237" i="13" s="1"/>
  <c r="AD237" i="13" s="1"/>
  <c r="V238" i="13"/>
  <c r="V239" i="13"/>
  <c r="V240" i="13"/>
  <c r="AA240" i="13" s="1"/>
  <c r="V241" i="13"/>
  <c r="AA241" i="13" s="1"/>
  <c r="AE241" i="13" s="1"/>
  <c r="AD241" i="13" s="1"/>
  <c r="V242" i="13"/>
  <c r="V243" i="13"/>
  <c r="V244" i="13"/>
  <c r="V245" i="13"/>
  <c r="V246" i="13"/>
  <c r="V247" i="13"/>
  <c r="AA247" i="13" s="1"/>
  <c r="AE247" i="13" s="1"/>
  <c r="AD247" i="13" s="1"/>
  <c r="V248" i="13"/>
  <c r="AA248" i="13" s="1"/>
  <c r="V249" i="13"/>
  <c r="AA249" i="13" s="1"/>
  <c r="V250" i="13"/>
  <c r="V251" i="13"/>
  <c r="V252" i="13"/>
  <c r="X252" i="13" s="1"/>
  <c r="V253" i="13"/>
  <c r="X253" i="13" s="1"/>
  <c r="V254" i="13"/>
  <c r="V255" i="13"/>
  <c r="AA255" i="13" s="1"/>
  <c r="V256" i="13"/>
  <c r="AA256" i="13" s="1"/>
  <c r="V257" i="13"/>
  <c r="X257" i="13" s="1"/>
  <c r="V258" i="13"/>
  <c r="V259" i="13"/>
  <c r="V260" i="13"/>
  <c r="V261" i="13"/>
  <c r="X261" i="13" s="1"/>
  <c r="V262" i="13"/>
  <c r="V263" i="13"/>
  <c r="AA263" i="13" s="1"/>
  <c r="V264" i="13"/>
  <c r="AA264" i="13" s="1"/>
  <c r="V265" i="13"/>
  <c r="X265" i="13" s="1"/>
  <c r="V266" i="13"/>
  <c r="V267" i="13"/>
  <c r="V268" i="13"/>
  <c r="V269" i="13"/>
  <c r="X269" i="13" s="1"/>
  <c r="V270" i="13"/>
  <c r="V271" i="13"/>
  <c r="AA271" i="13" s="1"/>
  <c r="V272" i="13"/>
  <c r="V273" i="13"/>
  <c r="X273" i="13" s="1"/>
  <c r="V274" i="13"/>
  <c r="V275" i="13"/>
  <c r="V276" i="13"/>
  <c r="V277" i="13"/>
  <c r="X277" i="13" s="1"/>
  <c r="V278" i="13"/>
  <c r="V279" i="13"/>
  <c r="AA279" i="13" s="1"/>
  <c r="V280" i="13"/>
  <c r="AA280" i="13" s="1"/>
  <c r="V281" i="13"/>
  <c r="X281" i="13" s="1"/>
  <c r="V282" i="13"/>
  <c r="V283" i="13"/>
  <c r="V284" i="13"/>
  <c r="V285" i="13"/>
  <c r="X285" i="13" s="1"/>
  <c r="V286" i="13"/>
  <c r="V287" i="13"/>
  <c r="V288" i="13"/>
  <c r="V289" i="13"/>
  <c r="AA289" i="13" s="1"/>
  <c r="AE289" i="13" s="1"/>
  <c r="AD289" i="13" s="1"/>
  <c r="V290" i="13"/>
  <c r="V291" i="13"/>
  <c r="V292" i="13"/>
  <c r="V293" i="13"/>
  <c r="X293" i="13" s="1"/>
  <c r="V294" i="13"/>
  <c r="V295" i="13"/>
  <c r="V296" i="13"/>
  <c r="V297" i="13"/>
  <c r="X297" i="13" s="1"/>
  <c r="V298" i="13"/>
  <c r="V299" i="13"/>
  <c r="V300" i="13"/>
  <c r="X300" i="13" s="1"/>
  <c r="V301" i="13"/>
  <c r="X301" i="13" s="1"/>
  <c r="V302" i="13"/>
  <c r="V303" i="13"/>
  <c r="V304" i="13"/>
  <c r="AA304" i="13" s="1"/>
  <c r="V305" i="13"/>
  <c r="AA305" i="13" s="1"/>
  <c r="V306" i="13"/>
  <c r="V307" i="13"/>
  <c r="V308" i="13"/>
  <c r="V309" i="13"/>
  <c r="X309" i="13" s="1"/>
  <c r="V310" i="13"/>
  <c r="V311" i="13"/>
  <c r="V312" i="13"/>
  <c r="AA312" i="13" s="1"/>
  <c r="V313" i="13"/>
  <c r="X313" i="13" s="1"/>
  <c r="V314" i="13"/>
  <c r="V315" i="13"/>
  <c r="AA315" i="13" s="1"/>
  <c r="V316" i="13"/>
  <c r="V317" i="13"/>
  <c r="X317" i="13" s="1"/>
  <c r="V318" i="13"/>
  <c r="V319" i="13"/>
  <c r="V320" i="13"/>
  <c r="V321" i="13"/>
  <c r="X321" i="13" s="1"/>
  <c r="V322" i="13"/>
  <c r="V323" i="13"/>
  <c r="AA323" i="13" s="1"/>
  <c r="AC323" i="13" s="1"/>
  <c r="AB323" i="13" s="1"/>
  <c r="V324" i="13"/>
  <c r="V325" i="13"/>
  <c r="V326" i="13"/>
  <c r="AA326" i="13" s="1"/>
  <c r="V327" i="13"/>
  <c r="W250" i="13"/>
  <c r="W251" i="13"/>
  <c r="X251" i="13" s="1"/>
  <c r="W252" i="13"/>
  <c r="W253" i="13"/>
  <c r="W254" i="13"/>
  <c r="W255" i="13"/>
  <c r="X255" i="13" s="1"/>
  <c r="W256" i="13"/>
  <c r="W257" i="13"/>
  <c r="W258" i="13"/>
  <c r="W259" i="13"/>
  <c r="X259" i="13" s="1"/>
  <c r="W260" i="13"/>
  <c r="W261" i="13"/>
  <c r="W262" i="13"/>
  <c r="W263" i="13"/>
  <c r="X263" i="13" s="1"/>
  <c r="W264" i="13"/>
  <c r="W265" i="13"/>
  <c r="W266" i="13"/>
  <c r="W267" i="13"/>
  <c r="X267" i="13" s="1"/>
  <c r="W268" i="13"/>
  <c r="W269" i="13"/>
  <c r="W270" i="13"/>
  <c r="W271" i="13"/>
  <c r="X271" i="13" s="1"/>
  <c r="W272" i="13"/>
  <c r="W273" i="13"/>
  <c r="W274" i="13"/>
  <c r="W275" i="13"/>
  <c r="X275" i="13" s="1"/>
  <c r="W276" i="13"/>
  <c r="W277" i="13"/>
  <c r="W278" i="13"/>
  <c r="W279" i="13"/>
  <c r="X279" i="13" s="1"/>
  <c r="W280" i="13"/>
  <c r="W281" i="13"/>
  <c r="W282" i="13"/>
  <c r="W283" i="13"/>
  <c r="X283" i="13" s="1"/>
  <c r="W284" i="13"/>
  <c r="W285" i="13"/>
  <c r="W286" i="13"/>
  <c r="W287" i="13"/>
  <c r="X287" i="13" s="1"/>
  <c r="W288" i="13"/>
  <c r="W289" i="13"/>
  <c r="W290" i="13"/>
  <c r="W291" i="13"/>
  <c r="X291" i="13" s="1"/>
  <c r="W292" i="13"/>
  <c r="W293" i="13"/>
  <c r="W294" i="13"/>
  <c r="W295" i="13"/>
  <c r="X295" i="13" s="1"/>
  <c r="W296" i="13"/>
  <c r="W297" i="13"/>
  <c r="W298" i="13"/>
  <c r="W299" i="13"/>
  <c r="X299" i="13" s="1"/>
  <c r="W300" i="13"/>
  <c r="W301" i="13"/>
  <c r="W302" i="13"/>
  <c r="W303" i="13"/>
  <c r="X303" i="13" s="1"/>
  <c r="W304" i="13"/>
  <c r="W305" i="13"/>
  <c r="W306" i="13"/>
  <c r="W307" i="13"/>
  <c r="X307" i="13" s="1"/>
  <c r="W308" i="13"/>
  <c r="W309" i="13"/>
  <c r="W310" i="13"/>
  <c r="W311" i="13"/>
  <c r="X311" i="13" s="1"/>
  <c r="W312" i="13"/>
  <c r="W313" i="13"/>
  <c r="W314" i="13"/>
  <c r="W315" i="13"/>
  <c r="X315" i="13" s="1"/>
  <c r="W316" i="13"/>
  <c r="W317" i="13"/>
  <c r="W318" i="13"/>
  <c r="W319" i="13"/>
  <c r="X319" i="13" s="1"/>
  <c r="W320" i="13"/>
  <c r="W321" i="13"/>
  <c r="W322" i="13"/>
  <c r="W323" i="13"/>
  <c r="X323" i="13" s="1"/>
  <c r="W324" i="13"/>
  <c r="W325" i="13"/>
  <c r="W326" i="13"/>
  <c r="W327" i="13"/>
  <c r="X327" i="13" s="1"/>
  <c r="X256" i="13"/>
  <c r="X268" i="13"/>
  <c r="X280" i="13"/>
  <c r="X284" i="13"/>
  <c r="X294" i="13"/>
  <c r="X304" i="13"/>
  <c r="X312" i="13"/>
  <c r="X316" i="13"/>
  <c r="X325" i="13"/>
  <c r="Y6" i="13"/>
  <c r="Y7" i="13"/>
  <c r="Y8" i="13"/>
  <c r="Y9" i="13"/>
  <c r="Z9" i="13" s="1"/>
  <c r="Y10" i="13"/>
  <c r="Y11" i="13"/>
  <c r="Y12" i="13"/>
  <c r="Y13" i="13"/>
  <c r="Y14" i="13"/>
  <c r="Y15" i="13"/>
  <c r="Y16" i="13"/>
  <c r="Y17" i="13"/>
  <c r="Z17" i="13" s="1"/>
  <c r="Y18" i="13"/>
  <c r="Y19" i="13"/>
  <c r="Y20" i="13"/>
  <c r="Y21" i="13"/>
  <c r="Y22" i="13"/>
  <c r="Y23" i="13"/>
  <c r="Y24" i="13"/>
  <c r="Z24" i="13" s="1"/>
  <c r="Y25" i="13"/>
  <c r="Z25" i="13" s="1"/>
  <c r="Y26" i="13"/>
  <c r="Y27" i="13"/>
  <c r="Y28" i="13"/>
  <c r="Y30" i="13"/>
  <c r="Y31" i="13"/>
  <c r="Z31" i="13" s="1"/>
  <c r="Y32" i="13"/>
  <c r="Y33" i="13"/>
  <c r="Y34" i="13"/>
  <c r="Y35" i="13"/>
  <c r="Z35" i="13" s="1"/>
  <c r="Y36" i="13"/>
  <c r="Y38" i="13"/>
  <c r="Y39" i="13"/>
  <c r="Z39" i="13" s="1"/>
  <c r="Y40" i="13"/>
  <c r="Y41" i="13"/>
  <c r="Y42" i="13"/>
  <c r="Y43" i="13"/>
  <c r="Z43" i="13" s="1"/>
  <c r="Y44" i="13"/>
  <c r="Y45" i="13"/>
  <c r="Y46" i="13"/>
  <c r="Y47" i="13"/>
  <c r="Z47" i="13" s="1"/>
  <c r="Y48" i="13"/>
  <c r="Y49" i="13"/>
  <c r="Y50" i="13"/>
  <c r="Y51" i="13"/>
  <c r="Z51" i="13" s="1"/>
  <c r="Y52" i="13"/>
  <c r="Y53" i="13"/>
  <c r="Y54" i="13"/>
  <c r="Y55" i="13"/>
  <c r="Z55" i="13" s="1"/>
  <c r="Y56" i="13"/>
  <c r="Y57" i="13"/>
  <c r="Y58" i="13"/>
  <c r="Y59" i="13"/>
  <c r="Z59" i="13" s="1"/>
  <c r="Y60" i="13"/>
  <c r="Y62" i="13"/>
  <c r="Y63" i="13"/>
  <c r="Z63" i="13" s="1"/>
  <c r="Y64" i="13"/>
  <c r="Z64" i="13" s="1"/>
  <c r="Y66" i="13"/>
  <c r="Y67" i="13"/>
  <c r="Y68" i="13"/>
  <c r="Y70" i="13"/>
  <c r="Y71" i="13"/>
  <c r="Z71" i="13" s="1"/>
  <c r="Y72" i="13"/>
  <c r="Y74" i="13"/>
  <c r="Y75" i="13"/>
  <c r="Z75" i="13" s="1"/>
  <c r="Y76" i="13"/>
  <c r="Y79" i="13"/>
  <c r="Y80" i="13"/>
  <c r="Y82" i="13"/>
  <c r="Y83" i="13"/>
  <c r="Z83" i="13" s="1"/>
  <c r="Y84" i="13"/>
  <c r="Y86" i="13"/>
  <c r="Y87" i="13"/>
  <c r="Z87" i="13" s="1"/>
  <c r="Y88" i="13"/>
  <c r="Y90" i="13"/>
  <c r="Y91" i="13"/>
  <c r="Z91" i="13" s="1"/>
  <c r="Y92" i="13"/>
  <c r="Y95" i="13"/>
  <c r="Z95" i="13" s="1"/>
  <c r="Y96" i="13"/>
  <c r="Y98" i="13"/>
  <c r="Y99" i="13"/>
  <c r="Z99" i="13" s="1"/>
  <c r="Y100" i="13"/>
  <c r="Y102" i="13"/>
  <c r="Y103" i="13"/>
  <c r="Z103" i="13" s="1"/>
  <c r="Y104" i="13"/>
  <c r="Y106" i="13"/>
  <c r="Y107" i="13"/>
  <c r="Y108" i="13"/>
  <c r="Y111" i="13"/>
  <c r="Z111" i="13" s="1"/>
  <c r="Y112" i="13"/>
  <c r="Y114" i="13"/>
  <c r="Y115" i="13"/>
  <c r="Z115" i="13" s="1"/>
  <c r="Y116" i="13"/>
  <c r="Z116" i="13" s="1"/>
  <c r="Y118" i="13"/>
  <c r="Y119" i="13"/>
  <c r="Y120" i="13"/>
  <c r="Y122" i="13"/>
  <c r="Y123" i="13"/>
  <c r="Z123" i="13" s="1"/>
  <c r="Y124" i="13"/>
  <c r="Y127" i="13"/>
  <c r="Y128" i="13"/>
  <c r="Y130" i="13"/>
  <c r="Y131" i="13"/>
  <c r="Y132" i="13"/>
  <c r="Y134" i="13"/>
  <c r="Y135" i="13"/>
  <c r="Z135" i="13" s="1"/>
  <c r="Y136" i="13"/>
  <c r="Y138" i="13"/>
  <c r="Y139" i="13"/>
  <c r="Z139" i="13" s="1"/>
  <c r="Y140" i="13"/>
  <c r="Y143" i="13"/>
  <c r="Y144" i="13"/>
  <c r="Y146" i="13"/>
  <c r="Y147" i="13"/>
  <c r="Z147" i="13" s="1"/>
  <c r="Y148" i="13"/>
  <c r="Y150" i="13"/>
  <c r="Y151" i="13"/>
  <c r="Z151" i="13" s="1"/>
  <c r="Y152" i="13"/>
  <c r="Y154" i="13"/>
  <c r="Y155" i="13"/>
  <c r="Y156" i="13"/>
  <c r="Y159" i="13"/>
  <c r="Z159" i="13" s="1"/>
  <c r="Y160" i="13"/>
  <c r="Y162" i="13"/>
  <c r="Y163" i="13"/>
  <c r="Z163" i="13" s="1"/>
  <c r="Y164" i="13"/>
  <c r="Y166" i="13"/>
  <c r="Y167" i="13"/>
  <c r="Y168" i="13"/>
  <c r="Z168" i="13" s="1"/>
  <c r="Y170" i="13"/>
  <c r="Y171" i="13"/>
  <c r="Y172" i="13"/>
  <c r="Y175" i="13"/>
  <c r="Z175" i="13" s="1"/>
  <c r="Y176" i="13"/>
  <c r="Y178" i="13"/>
  <c r="Y180" i="13"/>
  <c r="Y182" i="13"/>
  <c r="Y183" i="13"/>
  <c r="Z183" i="13" s="1"/>
  <c r="Y186" i="13"/>
  <c r="Y187" i="13"/>
  <c r="Y188" i="13"/>
  <c r="Y191" i="13"/>
  <c r="Z191" i="13" s="1"/>
  <c r="Y192" i="13"/>
  <c r="Y194" i="13"/>
  <c r="Y196" i="13"/>
  <c r="Y198" i="13"/>
  <c r="Y199" i="13"/>
  <c r="Y202" i="13"/>
  <c r="Y203" i="13"/>
  <c r="Z203" i="13" s="1"/>
  <c r="Y204" i="13"/>
  <c r="Y207" i="13"/>
  <c r="Y208" i="13"/>
  <c r="Y210" i="13"/>
  <c r="Y212" i="13"/>
  <c r="Y214" i="13"/>
  <c r="Y215" i="13"/>
  <c r="Y218" i="13"/>
  <c r="Y219" i="13"/>
  <c r="Z219" i="13" s="1"/>
  <c r="Y220" i="13"/>
  <c r="Y223" i="13"/>
  <c r="Y224" i="13"/>
  <c r="Z224" i="13" s="1"/>
  <c r="Y226" i="13"/>
  <c r="Y228" i="13"/>
  <c r="Y230" i="13"/>
  <c r="Y231" i="13"/>
  <c r="Z231" i="13" s="1"/>
  <c r="Y234" i="13"/>
  <c r="Z234" i="13" s="1"/>
  <c r="Y235" i="13"/>
  <c r="Y236" i="13"/>
  <c r="Y239" i="13"/>
  <c r="Z239" i="13" s="1"/>
  <c r="Y240" i="13"/>
  <c r="Y242" i="13"/>
  <c r="Y244" i="13"/>
  <c r="Y246" i="13"/>
  <c r="Y247" i="13"/>
  <c r="Y250" i="13"/>
  <c r="Y251" i="13"/>
  <c r="Y252" i="13"/>
  <c r="Y255" i="13"/>
  <c r="Y256" i="13"/>
  <c r="Y258" i="13"/>
  <c r="Y260" i="13"/>
  <c r="Z260" i="13" s="1"/>
  <c r="Y263" i="13"/>
  <c r="Y266" i="13"/>
  <c r="Y267" i="13"/>
  <c r="Y271" i="13"/>
  <c r="Z271" i="13" s="1"/>
  <c r="Y272" i="13"/>
  <c r="Y274" i="13"/>
  <c r="Y276" i="13"/>
  <c r="Y278" i="13"/>
  <c r="Y279" i="13"/>
  <c r="Y282" i="13"/>
  <c r="Y283" i="13"/>
  <c r="Y284" i="13"/>
  <c r="Y287" i="13"/>
  <c r="Y288" i="13"/>
  <c r="Y290" i="13"/>
  <c r="Y292" i="13"/>
  <c r="Z292" i="13" s="1"/>
  <c r="Y295" i="13"/>
  <c r="Y298" i="13"/>
  <c r="Y299" i="13"/>
  <c r="Y303" i="13"/>
  <c r="Z303" i="13" s="1"/>
  <c r="Y304" i="13"/>
  <c r="Y306" i="13"/>
  <c r="Y308" i="13"/>
  <c r="Y311" i="13"/>
  <c r="Z311" i="13" s="1"/>
  <c r="Y314" i="13"/>
  <c r="Y319" i="13"/>
  <c r="Z319" i="13" s="1"/>
  <c r="Y320" i="13"/>
  <c r="Z320" i="13" s="1"/>
  <c r="Y322" i="13"/>
  <c r="Y327" i="13"/>
  <c r="Z8" i="13"/>
  <c r="Z16" i="13"/>
  <c r="Z20" i="13"/>
  <c r="Z32" i="13"/>
  <c r="Z33" i="13"/>
  <c r="Z40" i="13"/>
  <c r="Z41" i="13"/>
  <c r="Z45" i="13"/>
  <c r="Z49" i="13"/>
  <c r="Z52" i="13"/>
  <c r="Z53" i="13"/>
  <c r="Z57" i="13"/>
  <c r="Z68" i="13"/>
  <c r="Z80" i="13"/>
  <c r="Z88" i="13"/>
  <c r="Z100" i="13"/>
  <c r="Z112" i="13"/>
  <c r="Z120" i="13"/>
  <c r="Z132" i="13"/>
  <c r="Z136" i="13"/>
  <c r="Z144" i="13"/>
  <c r="Z164" i="13"/>
  <c r="Z180" i="13"/>
  <c r="Z206" i="13"/>
  <c r="Z208" i="13"/>
  <c r="Z228" i="13"/>
  <c r="Z244" i="13"/>
  <c r="Z256" i="13"/>
  <c r="Z288" i="13"/>
  <c r="AA6" i="13"/>
  <c r="AE6" i="13" s="1"/>
  <c r="AD6" i="13" s="1"/>
  <c r="AA7" i="13"/>
  <c r="AA11" i="13"/>
  <c r="AA12" i="13"/>
  <c r="AE12" i="13" s="1"/>
  <c r="AD12" i="13" s="1"/>
  <c r="AA15" i="13"/>
  <c r="AE15" i="13" s="1"/>
  <c r="AD15" i="13" s="1"/>
  <c r="AA19" i="13"/>
  <c r="AA23" i="13"/>
  <c r="AE23" i="13" s="1"/>
  <c r="AD23" i="13" s="1"/>
  <c r="AA24" i="13"/>
  <c r="AA28" i="13"/>
  <c r="AE28" i="13" s="1"/>
  <c r="AD28" i="13" s="1"/>
  <c r="AA31" i="13"/>
  <c r="AA32" i="13"/>
  <c r="AA38" i="13"/>
  <c r="AE38" i="13" s="1"/>
  <c r="AD38" i="13" s="1"/>
  <c r="AA39" i="13"/>
  <c r="AA40" i="13"/>
  <c r="AA44" i="13"/>
  <c r="AE44" i="13" s="1"/>
  <c r="AD44" i="13" s="1"/>
  <c r="AA47" i="13"/>
  <c r="AA48" i="13"/>
  <c r="AE48" i="13" s="1"/>
  <c r="AD48" i="13" s="1"/>
  <c r="AA55" i="13"/>
  <c r="AA56" i="13"/>
  <c r="AA59" i="13"/>
  <c r="AA63" i="13"/>
  <c r="AE63" i="13" s="1"/>
  <c r="AD63" i="13" s="1"/>
  <c r="AA64" i="13"/>
  <c r="AA67" i="13"/>
  <c r="AA70" i="13"/>
  <c r="AE70" i="13" s="1"/>
  <c r="AD70" i="13" s="1"/>
  <c r="AA71" i="13"/>
  <c r="AA72" i="13"/>
  <c r="AA75" i="13"/>
  <c r="AA79" i="13"/>
  <c r="AA80" i="13"/>
  <c r="AA83" i="13"/>
  <c r="AA88" i="13"/>
  <c r="AA91" i="13"/>
  <c r="AA92" i="13"/>
  <c r="AE92" i="13" s="1"/>
  <c r="AD92" i="13" s="1"/>
  <c r="AA96" i="13"/>
  <c r="AA99" i="13"/>
  <c r="AE99" i="13" s="1"/>
  <c r="AD99" i="13" s="1"/>
  <c r="AA102" i="13"/>
  <c r="AE102" i="13" s="1"/>
  <c r="AD102" i="13" s="1"/>
  <c r="AA104" i="13"/>
  <c r="AE104" i="13" s="1"/>
  <c r="AD104" i="13" s="1"/>
  <c r="AA107" i="13"/>
  <c r="AA108" i="13"/>
  <c r="AA112" i="13"/>
  <c r="AA115" i="13"/>
  <c r="AA119" i="13"/>
  <c r="AA123" i="13"/>
  <c r="AA124" i="13"/>
  <c r="AA127" i="13"/>
  <c r="AE127" i="13" s="1"/>
  <c r="AD127" i="13" s="1"/>
  <c r="AA131" i="13"/>
  <c r="AA134" i="13"/>
  <c r="AA135" i="13"/>
  <c r="AA139" i="13"/>
  <c r="AE139" i="13" s="1"/>
  <c r="AD139" i="13" s="1"/>
  <c r="AA140" i="13"/>
  <c r="AE140" i="13" s="1"/>
  <c r="AD140" i="13" s="1"/>
  <c r="AA143" i="13"/>
  <c r="AA147" i="13"/>
  <c r="AA151" i="13"/>
  <c r="AE151" i="13" s="1"/>
  <c r="AD151" i="13" s="1"/>
  <c r="AA152" i="13"/>
  <c r="AA156" i="13"/>
  <c r="AA159" i="13"/>
  <c r="AA160" i="13"/>
  <c r="AE160" i="13" s="1"/>
  <c r="AD160" i="13" s="1"/>
  <c r="AA166" i="13"/>
  <c r="AE166" i="13" s="1"/>
  <c r="AD166" i="13" s="1"/>
  <c r="AA167" i="13"/>
  <c r="AA168" i="13"/>
  <c r="AA172" i="13"/>
  <c r="AE172" i="13" s="1"/>
  <c r="AD172" i="13" s="1"/>
  <c r="AA175" i="13"/>
  <c r="AA176" i="13"/>
  <c r="AA183" i="13"/>
  <c r="AA184" i="13"/>
  <c r="AA187" i="13"/>
  <c r="AA191" i="13"/>
  <c r="AA192" i="13"/>
  <c r="AA195" i="13"/>
  <c r="AE195" i="13" s="1"/>
  <c r="AD195" i="13" s="1"/>
  <c r="AA198" i="13"/>
  <c r="AE198" i="13" s="1"/>
  <c r="AD198" i="13" s="1"/>
  <c r="AA199" i="13"/>
  <c r="AA200" i="13"/>
  <c r="AA203" i="13"/>
  <c r="AE203" i="13" s="1"/>
  <c r="AD203" i="13" s="1"/>
  <c r="AA207" i="13"/>
  <c r="AA211" i="13"/>
  <c r="AA219" i="13"/>
  <c r="AA220" i="13"/>
  <c r="AA223" i="13"/>
  <c r="AA229" i="13"/>
  <c r="AE229" i="13" s="1"/>
  <c r="AD229" i="13" s="1"/>
  <c r="AA231" i="13"/>
  <c r="AA235" i="13"/>
  <c r="AA239" i="13"/>
  <c r="AA243" i="13"/>
  <c r="AA245" i="13"/>
  <c r="AA250" i="13"/>
  <c r="AE250" i="13" s="1"/>
  <c r="AD250" i="13" s="1"/>
  <c r="AA251" i="13"/>
  <c r="AA253" i="13"/>
  <c r="AA257" i="13"/>
  <c r="AE257" i="13" s="1"/>
  <c r="AD257" i="13" s="1"/>
  <c r="AA259" i="13"/>
  <c r="AC259" i="13" s="1"/>
  <c r="AB259" i="13" s="1"/>
  <c r="AA261" i="13"/>
  <c r="AE261" i="13" s="1"/>
  <c r="AD261" i="13" s="1"/>
  <c r="AA265" i="13"/>
  <c r="AC265" i="13" s="1"/>
  <c r="AB265" i="13" s="1"/>
  <c r="AA267" i="13"/>
  <c r="AC267" i="13" s="1"/>
  <c r="AA269" i="13"/>
  <c r="AC269" i="13" s="1"/>
  <c r="AB269" i="13" s="1"/>
  <c r="AA273" i="13"/>
  <c r="AC273" i="13" s="1"/>
  <c r="AB273" i="13" s="1"/>
  <c r="AA275" i="13"/>
  <c r="AA277" i="13"/>
  <c r="AC277" i="13" s="1"/>
  <c r="AB277" i="13" s="1"/>
  <c r="AA281" i="13"/>
  <c r="AA282" i="13"/>
  <c r="AC282" i="13" s="1"/>
  <c r="AB282" i="13" s="1"/>
  <c r="AA283" i="13"/>
  <c r="AC283" i="13" s="1"/>
  <c r="AB283" i="13" s="1"/>
  <c r="AA287" i="13"/>
  <c r="AC287" i="13" s="1"/>
  <c r="AB287" i="13" s="1"/>
  <c r="AA291" i="13"/>
  <c r="AC291" i="13" s="1"/>
  <c r="AB291" i="13" s="1"/>
  <c r="AA295" i="13"/>
  <c r="AC295" i="13" s="1"/>
  <c r="AB295" i="13" s="1"/>
  <c r="AA299" i="13"/>
  <c r="AC299" i="13" s="1"/>
  <c r="AA303" i="13"/>
  <c r="AC303" i="13" s="1"/>
  <c r="AB303" i="13" s="1"/>
  <c r="AA307" i="13"/>
  <c r="AA311" i="13"/>
  <c r="AC311" i="13" s="1"/>
  <c r="AB311" i="13" s="1"/>
  <c r="AA314" i="13"/>
  <c r="AE314" i="13" s="1"/>
  <c r="AD314" i="13" s="1"/>
  <c r="AA317" i="13"/>
  <c r="AC317" i="13" s="1"/>
  <c r="AB317" i="13" s="1"/>
  <c r="AA319" i="13"/>
  <c r="AC319" i="13" s="1"/>
  <c r="AA321" i="13"/>
  <c r="AE321" i="13" s="1"/>
  <c r="AD321" i="13" s="1"/>
  <c r="AA325" i="13"/>
  <c r="AC325" i="13" s="1"/>
  <c r="AB325" i="13" s="1"/>
  <c r="AA327" i="13"/>
  <c r="AC327" i="13" s="1"/>
  <c r="AB327" i="13" s="1"/>
  <c r="AB267" i="13"/>
  <c r="AB280" i="13"/>
  <c r="AB299" i="13"/>
  <c r="AB312" i="13"/>
  <c r="AB319" i="13"/>
  <c r="AC253" i="13"/>
  <c r="AB253" i="13" s="1"/>
  <c r="AC256" i="13"/>
  <c r="AB256" i="13" s="1"/>
  <c r="AC261" i="13"/>
  <c r="AB261" i="13" s="1"/>
  <c r="AC264" i="13"/>
  <c r="AB264" i="13" s="1"/>
  <c r="AC275" i="13"/>
  <c r="AB275" i="13" s="1"/>
  <c r="AC280" i="13"/>
  <c r="AC281" i="13"/>
  <c r="AB281" i="13" s="1"/>
  <c r="AC304" i="13"/>
  <c r="AB304" i="13" s="1"/>
  <c r="AC307" i="13"/>
  <c r="AB307" i="13" s="1"/>
  <c r="AC312" i="13"/>
  <c r="AD8" i="13"/>
  <c r="AD40" i="13"/>
  <c r="AD43" i="13"/>
  <c r="AD47" i="13"/>
  <c r="AD56" i="13"/>
  <c r="AD67" i="13"/>
  <c r="AD75" i="13"/>
  <c r="AD79" i="13"/>
  <c r="AD87" i="13"/>
  <c r="AD107" i="13"/>
  <c r="AD119" i="13"/>
  <c r="AD120" i="13"/>
  <c r="AD136" i="13"/>
  <c r="AD143" i="13"/>
  <c r="AD159" i="13"/>
  <c r="AD168" i="13"/>
  <c r="AD175" i="13"/>
  <c r="AD183" i="13"/>
  <c r="AD223" i="13"/>
  <c r="AD231" i="13"/>
  <c r="AD232" i="13"/>
  <c r="AD248" i="13"/>
  <c r="AE8" i="13"/>
  <c r="AE9" i="13"/>
  <c r="AD9" i="13" s="1"/>
  <c r="AE11" i="13"/>
  <c r="AD11" i="13" s="1"/>
  <c r="AE16" i="13"/>
  <c r="AD16" i="13" s="1"/>
  <c r="AE17" i="13"/>
  <c r="AD17" i="13" s="1"/>
  <c r="AE24" i="13"/>
  <c r="AD24" i="13" s="1"/>
  <c r="AE25" i="13"/>
  <c r="AD25" i="13" s="1"/>
  <c r="AE29" i="13"/>
  <c r="AD29" i="13" s="1"/>
  <c r="AE31" i="13"/>
  <c r="AD31" i="13" s="1"/>
  <c r="AE32" i="13"/>
  <c r="AD32" i="13" s="1"/>
  <c r="AE33" i="13"/>
  <c r="AD33" i="13" s="1"/>
  <c r="AE35" i="13"/>
  <c r="AD35" i="13" s="1"/>
  <c r="AE37" i="13"/>
  <c r="AD37" i="13" s="1"/>
  <c r="AE40" i="13"/>
  <c r="AE41" i="13"/>
  <c r="AD41" i="13" s="1"/>
  <c r="AE43" i="13"/>
  <c r="AE45" i="13"/>
  <c r="AD45" i="13" s="1"/>
  <c r="AE47" i="13"/>
  <c r="AE49" i="13"/>
  <c r="AD49" i="13" s="1"/>
  <c r="AE53" i="13"/>
  <c r="AD53" i="13" s="1"/>
  <c r="AE55" i="13"/>
  <c r="AD55" i="13" s="1"/>
  <c r="AE56" i="13"/>
  <c r="AE57" i="13"/>
  <c r="AD57" i="13" s="1"/>
  <c r="AE60" i="13"/>
  <c r="AD60" i="13" s="1"/>
  <c r="AE61" i="13"/>
  <c r="AD61" i="13" s="1"/>
  <c r="AE64" i="13"/>
  <c r="AD64" i="13" s="1"/>
  <c r="AE65" i="13"/>
  <c r="AD65" i="13" s="1"/>
  <c r="AE67" i="13"/>
  <c r="AE69" i="13"/>
  <c r="AD69" i="13" s="1"/>
  <c r="AE72" i="13"/>
  <c r="AD72" i="13" s="1"/>
  <c r="AE73" i="13"/>
  <c r="AD73" i="13" s="1"/>
  <c r="AE75" i="13"/>
  <c r="AE77" i="13"/>
  <c r="AD77" i="13" s="1"/>
  <c r="AE79" i="13"/>
  <c r="AE80" i="13"/>
  <c r="AD80" i="13" s="1"/>
  <c r="AE81" i="13"/>
  <c r="AD81" i="13" s="1"/>
  <c r="AE85" i="13"/>
  <c r="AD85" i="13" s="1"/>
  <c r="AE87" i="13"/>
  <c r="AE88" i="13"/>
  <c r="AD88" i="13" s="1"/>
  <c r="AE89" i="13"/>
  <c r="AD89" i="13" s="1"/>
  <c r="AE93" i="13"/>
  <c r="AD93" i="13" s="1"/>
  <c r="AE95" i="13"/>
  <c r="AD95" i="13" s="1"/>
  <c r="AE96" i="13"/>
  <c r="AD96" i="13" s="1"/>
  <c r="AE97" i="13"/>
  <c r="AD97" i="13" s="1"/>
  <c r="AE101" i="13"/>
  <c r="AD101" i="13" s="1"/>
  <c r="AE105" i="13"/>
  <c r="AD105" i="13" s="1"/>
  <c r="AE107" i="13"/>
  <c r="AE108" i="13"/>
  <c r="AD108" i="13" s="1"/>
  <c r="AE109" i="13"/>
  <c r="AD109" i="13" s="1"/>
  <c r="AE111" i="13"/>
  <c r="AD111" i="13" s="1"/>
  <c r="AE112" i="13"/>
  <c r="AD112" i="13" s="1"/>
  <c r="AE113" i="13"/>
  <c r="AD113" i="13" s="1"/>
  <c r="AE117" i="13"/>
  <c r="AD117" i="13" s="1"/>
  <c r="AE119" i="13"/>
  <c r="AE120" i="13"/>
  <c r="AE121" i="13"/>
  <c r="AD121" i="13" s="1"/>
  <c r="AE124" i="13"/>
  <c r="AD124" i="13" s="1"/>
  <c r="AE125" i="13"/>
  <c r="AD125" i="13" s="1"/>
  <c r="AE129" i="13"/>
  <c r="AD129" i="13" s="1"/>
  <c r="AE131" i="13"/>
  <c r="AD131" i="13" s="1"/>
  <c r="AE133" i="13"/>
  <c r="AD133" i="13" s="1"/>
  <c r="AE134" i="13"/>
  <c r="AD134" i="13" s="1"/>
  <c r="AE136" i="13"/>
  <c r="AE137" i="13"/>
  <c r="AD137" i="13" s="1"/>
  <c r="AE141" i="13"/>
  <c r="AD141" i="13" s="1"/>
  <c r="AE143" i="13"/>
  <c r="AE144" i="13"/>
  <c r="AD144" i="13" s="1"/>
  <c r="AE145" i="13"/>
  <c r="AD145" i="13" s="1"/>
  <c r="AE149" i="13"/>
  <c r="AD149" i="13" s="1"/>
  <c r="AE152" i="13"/>
  <c r="AD152" i="13" s="1"/>
  <c r="AE153" i="13"/>
  <c r="AD153" i="13" s="1"/>
  <c r="AE156" i="13"/>
  <c r="AD156" i="13" s="1"/>
  <c r="AE157" i="13"/>
  <c r="AD157" i="13" s="1"/>
  <c r="AE159" i="13"/>
  <c r="AE161" i="13"/>
  <c r="AD161" i="13" s="1"/>
  <c r="AE163" i="13"/>
  <c r="AD163" i="13" s="1"/>
  <c r="AE165" i="13"/>
  <c r="AD165" i="13" s="1"/>
  <c r="AE168" i="13"/>
  <c r="AE169" i="13"/>
  <c r="AD169" i="13" s="1"/>
  <c r="AE171" i="13"/>
  <c r="AD171" i="13" s="1"/>
  <c r="AE173" i="13"/>
  <c r="AD173" i="13" s="1"/>
  <c r="AE175" i="13"/>
  <c r="AE176" i="13"/>
  <c r="AD176" i="13" s="1"/>
  <c r="AE177" i="13"/>
  <c r="AD177" i="13" s="1"/>
  <c r="AE181" i="13"/>
  <c r="AD181" i="13" s="1"/>
  <c r="AE183" i="13"/>
  <c r="AE184" i="13"/>
  <c r="AD184" i="13" s="1"/>
  <c r="AE185" i="13"/>
  <c r="AD185" i="13" s="1"/>
  <c r="AE188" i="13"/>
  <c r="AD188" i="13" s="1"/>
  <c r="AE189" i="13"/>
  <c r="AD189" i="13" s="1"/>
  <c r="AE191" i="13"/>
  <c r="AD191" i="13" s="1"/>
  <c r="AE192" i="13"/>
  <c r="AD192" i="13" s="1"/>
  <c r="AE193" i="13"/>
  <c r="AD193" i="13" s="1"/>
  <c r="AE197" i="13"/>
  <c r="AD197" i="13" s="1"/>
  <c r="AE200" i="13"/>
  <c r="AD200" i="13" s="1"/>
  <c r="AE201" i="13"/>
  <c r="AD201" i="13" s="1"/>
  <c r="AE205" i="13"/>
  <c r="AD205" i="13" s="1"/>
  <c r="AE207" i="13"/>
  <c r="AD207" i="13" s="1"/>
  <c r="AE209" i="13"/>
  <c r="AD209" i="13" s="1"/>
  <c r="AE217" i="13"/>
  <c r="AD217" i="13" s="1"/>
  <c r="AE220" i="13"/>
  <c r="AD220" i="13" s="1"/>
  <c r="AE221" i="13"/>
  <c r="AD221" i="13" s="1"/>
  <c r="AE223" i="13"/>
  <c r="AE224" i="13"/>
  <c r="AD224" i="13" s="1"/>
  <c r="AE231" i="13"/>
  <c r="AE232" i="13"/>
  <c r="AE233" i="13"/>
  <c r="AD233" i="13" s="1"/>
  <c r="AE240" i="13"/>
  <c r="AD240" i="13" s="1"/>
  <c r="AE243" i="13"/>
  <c r="AD243" i="13" s="1"/>
  <c r="AE245" i="13"/>
  <c r="AD245" i="13" s="1"/>
  <c r="AE248" i="13"/>
  <c r="AE249" i="13"/>
  <c r="AD249" i="13" s="1"/>
  <c r="AE253" i="13"/>
  <c r="AD253" i="13" s="1"/>
  <c r="AE256" i="13"/>
  <c r="AD256" i="13" s="1"/>
  <c r="AE264" i="13"/>
  <c r="AD264" i="13" s="1"/>
  <c r="AE265" i="13"/>
  <c r="AD265" i="13" s="1"/>
  <c r="AE267" i="13"/>
  <c r="AD267" i="13" s="1"/>
  <c r="AE269" i="13"/>
  <c r="AD269" i="13" s="1"/>
  <c r="AE280" i="13"/>
  <c r="AD280" i="13" s="1"/>
  <c r="AE281" i="13"/>
  <c r="AD281" i="13" s="1"/>
  <c r="AE295" i="13"/>
  <c r="AD295" i="13" s="1"/>
  <c r="AE304" i="13"/>
  <c r="AD304" i="13" s="1"/>
  <c r="AE311" i="13"/>
  <c r="AD311" i="13" s="1"/>
  <c r="AE312" i="13"/>
  <c r="AD312" i="13" s="1"/>
  <c r="AE317" i="13"/>
  <c r="AD317" i="13" s="1"/>
  <c r="AE319" i="13"/>
  <c r="AD319" i="13" s="1"/>
  <c r="AE327" i="13"/>
  <c r="AD327" i="13" s="1"/>
  <c r="AC305" i="13" l="1"/>
  <c r="AB305" i="13" s="1"/>
  <c r="AE305" i="13"/>
  <c r="AD305" i="13" s="1"/>
  <c r="AC315" i="13"/>
  <c r="AB315" i="13" s="1"/>
  <c r="AE315" i="13"/>
  <c r="AD315" i="13" s="1"/>
  <c r="AC279" i="13"/>
  <c r="AB279" i="13" s="1"/>
  <c r="AE279" i="13"/>
  <c r="AD279" i="13" s="1"/>
  <c r="AC271" i="13"/>
  <c r="AB271" i="13" s="1"/>
  <c r="AE271" i="13"/>
  <c r="AD271" i="13" s="1"/>
  <c r="AC263" i="13"/>
  <c r="AB263" i="13" s="1"/>
  <c r="AE263" i="13"/>
  <c r="AD263" i="13" s="1"/>
  <c r="AE325" i="13"/>
  <c r="AD325" i="13" s="1"/>
  <c r="AE299" i="13"/>
  <c r="AD299" i="13" s="1"/>
  <c r="AE283" i="13"/>
  <c r="AD283" i="13" s="1"/>
  <c r="AE273" i="13"/>
  <c r="AD273" i="13" s="1"/>
  <c r="AC321" i="13"/>
  <c r="AB321" i="13" s="1"/>
  <c r="AA309" i="13"/>
  <c r="AE309" i="13" s="1"/>
  <c r="AD309" i="13" s="1"/>
  <c r="AA301" i="13"/>
  <c r="AA293" i="13"/>
  <c r="AA285" i="13"/>
  <c r="Z299" i="13"/>
  <c r="Z283" i="13"/>
  <c r="Z267" i="13"/>
  <c r="Z251" i="13"/>
  <c r="Z223" i="13"/>
  <c r="Z215" i="13"/>
  <c r="Z187" i="13"/>
  <c r="Z167" i="13"/>
  <c r="Z155" i="13"/>
  <c r="Z127" i="13"/>
  <c r="X305" i="13"/>
  <c r="AA320" i="13"/>
  <c r="X320" i="13"/>
  <c r="Z308" i="13"/>
  <c r="AA296" i="13"/>
  <c r="X296" i="13"/>
  <c r="AA288" i="13"/>
  <c r="X288" i="13"/>
  <c r="Z276" i="13"/>
  <c r="AA272" i="13"/>
  <c r="Z272" i="13"/>
  <c r="Z216" i="13"/>
  <c r="AA216" i="13"/>
  <c r="AE216" i="13" s="1"/>
  <c r="AD216" i="13" s="1"/>
  <c r="Z212" i="13"/>
  <c r="Z204" i="13"/>
  <c r="AA204" i="13"/>
  <c r="AE204" i="13" s="1"/>
  <c r="AD204" i="13" s="1"/>
  <c r="Z196" i="13"/>
  <c r="Z176" i="13"/>
  <c r="Z152" i="13"/>
  <c r="Z140" i="13"/>
  <c r="Z128" i="13"/>
  <c r="AA128" i="13"/>
  <c r="AE128" i="13" s="1"/>
  <c r="AD128" i="13" s="1"/>
  <c r="Z104" i="13"/>
  <c r="Z56" i="13"/>
  <c r="Z48" i="13"/>
  <c r="U324" i="13"/>
  <c r="Y324" i="13"/>
  <c r="Z324" i="13" s="1"/>
  <c r="AC257" i="13"/>
  <c r="AB257" i="13" s="1"/>
  <c r="X289" i="13"/>
  <c r="Y312" i="13"/>
  <c r="U312" i="13"/>
  <c r="Y248" i="13"/>
  <c r="U248" i="13"/>
  <c r="AE303" i="13"/>
  <c r="AD303" i="13" s="1"/>
  <c r="AE287" i="13"/>
  <c r="AD287" i="13" s="1"/>
  <c r="AA313" i="13"/>
  <c r="AA297" i="13"/>
  <c r="Z327" i="13"/>
  <c r="Z295" i="13"/>
  <c r="Z287" i="13"/>
  <c r="Z279" i="13"/>
  <c r="Z263" i="13"/>
  <c r="Z255" i="13"/>
  <c r="Z247" i="13"/>
  <c r="Z315" i="13"/>
  <c r="AA21" i="13"/>
  <c r="AE21" i="13" s="1"/>
  <c r="AD21" i="13" s="1"/>
  <c r="Z21" i="13"/>
  <c r="AA13" i="13"/>
  <c r="AE13" i="13" s="1"/>
  <c r="AD13" i="13" s="1"/>
  <c r="Z13" i="13"/>
  <c r="Y296" i="13"/>
  <c r="Z296" i="13" s="1"/>
  <c r="U296" i="13"/>
  <c r="Z235" i="13"/>
  <c r="Z207" i="13"/>
  <c r="Z199" i="13"/>
  <c r="Z192" i="13"/>
  <c r="Z171" i="13"/>
  <c r="Z160" i="13"/>
  <c r="Z148" i="13"/>
  <c r="Z143" i="13"/>
  <c r="Z131" i="13"/>
  <c r="Z119" i="13"/>
  <c r="Z107" i="13"/>
  <c r="Z96" i="13"/>
  <c r="Z84" i="13"/>
  <c r="Z79" i="13"/>
  <c r="Z67" i="13"/>
  <c r="Z27" i="13"/>
  <c r="Z23" i="13"/>
  <c r="Z19" i="13"/>
  <c r="Z15" i="13"/>
  <c r="Z11" i="13"/>
  <c r="Z7" i="13"/>
  <c r="Z306" i="13"/>
  <c r="X298" i="13"/>
  <c r="Z266" i="13"/>
  <c r="X258" i="13"/>
  <c r="Z166" i="13"/>
  <c r="Z102" i="13"/>
  <c r="Z38" i="13"/>
  <c r="G153" i="13" a="1"/>
  <c r="G153" i="13" s="1"/>
  <c r="S276" i="13"/>
  <c r="I18" i="13" a="1"/>
  <c r="I18" i="13" s="1"/>
  <c r="U156" i="13"/>
  <c r="H274" i="13"/>
  <c r="J274" i="13"/>
  <c r="H266" i="13"/>
  <c r="J266" i="13"/>
  <c r="G158" i="13" a="1"/>
  <c r="G158" i="13" s="1"/>
  <c r="S256" i="13"/>
  <c r="Y232" i="13"/>
  <c r="Z232" i="13" s="1"/>
  <c r="U232" i="13"/>
  <c r="Y222" i="13"/>
  <c r="U222" i="13"/>
  <c r="Y200" i="13"/>
  <c r="Z200" i="13" s="1"/>
  <c r="U200" i="13"/>
  <c r="Y190" i="13"/>
  <c r="Z190" i="13" s="1"/>
  <c r="U190" i="13"/>
  <c r="I27" i="13" a="1"/>
  <c r="I27" i="13" s="1"/>
  <c r="U104" i="13"/>
  <c r="H306" i="13"/>
  <c r="J306" i="13"/>
  <c r="H298" i="13"/>
  <c r="J298" i="13"/>
  <c r="J319" i="13"/>
  <c r="J315" i="13"/>
  <c r="Z307" i="13"/>
  <c r="AE291" i="13"/>
  <c r="AD291" i="13" s="1"/>
  <c r="AE275" i="13"/>
  <c r="AD275" i="13" s="1"/>
  <c r="Z243" i="13"/>
  <c r="Z227" i="13"/>
  <c r="Z211" i="13"/>
  <c r="Z195" i="13"/>
  <c r="Z179" i="13"/>
  <c r="J314" i="13"/>
  <c r="J307" i="13"/>
  <c r="J301" i="13"/>
  <c r="AC326" i="13"/>
  <c r="AB326" i="13" s="1"/>
  <c r="AE326" i="13"/>
  <c r="AD326" i="13" s="1"/>
  <c r="AE234" i="13"/>
  <c r="AD234" i="13" s="1"/>
  <c r="AE210" i="13"/>
  <c r="AD210" i="13" s="1"/>
  <c r="AE146" i="13"/>
  <c r="AD146" i="13" s="1"/>
  <c r="AE82" i="13"/>
  <c r="AD82" i="13" s="1"/>
  <c r="AE50" i="13"/>
  <c r="AD50" i="13" s="1"/>
  <c r="AE18" i="13"/>
  <c r="AD18" i="13" s="1"/>
  <c r="Z322" i="13"/>
  <c r="AA322" i="13"/>
  <c r="X310" i="13"/>
  <c r="X282" i="13"/>
  <c r="Z282" i="13"/>
  <c r="X270" i="13"/>
  <c r="AA270" i="13"/>
  <c r="X262" i="13"/>
  <c r="Z250" i="13"/>
  <c r="X250" i="13"/>
  <c r="Z238" i="13"/>
  <c r="AA238" i="13"/>
  <c r="Z230" i="13"/>
  <c r="AA230" i="13"/>
  <c r="AA218" i="13"/>
  <c r="Z218" i="13"/>
  <c r="AA206" i="13"/>
  <c r="AA190" i="13"/>
  <c r="AA154" i="13"/>
  <c r="Z154" i="13"/>
  <c r="AA142" i="13"/>
  <c r="Z130" i="13"/>
  <c r="AA130" i="13"/>
  <c r="AA106" i="13"/>
  <c r="AA98" i="13"/>
  <c r="Z98" i="13"/>
  <c r="Z86" i="13"/>
  <c r="AA86" i="13"/>
  <c r="AA78" i="13"/>
  <c r="Z70" i="13"/>
  <c r="Z62" i="13"/>
  <c r="AA62" i="13"/>
  <c r="Z54" i="13"/>
  <c r="AA54" i="13"/>
  <c r="AA42" i="13"/>
  <c r="Z42" i="13"/>
  <c r="Z34" i="13"/>
  <c r="AA34" i="13"/>
  <c r="Z30" i="13"/>
  <c r="AA30" i="13"/>
  <c r="Z22" i="13"/>
  <c r="AA22" i="13"/>
  <c r="Z14" i="13"/>
  <c r="AA14" i="13"/>
  <c r="Z6" i="13"/>
  <c r="Y323" i="13"/>
  <c r="Z323" i="13" s="1"/>
  <c r="U323" i="13"/>
  <c r="U316" i="13"/>
  <c r="Y316" i="13"/>
  <c r="Y294" i="13"/>
  <c r="Z294" i="13" s="1"/>
  <c r="U294" i="13"/>
  <c r="I157" i="13" a="1"/>
  <c r="I157" i="13" s="1"/>
  <c r="U262" i="13"/>
  <c r="Y262" i="13"/>
  <c r="Z262" i="13" s="1"/>
  <c r="AE323" i="13"/>
  <c r="AD323" i="13" s="1"/>
  <c r="AE307" i="13"/>
  <c r="AD307" i="13" s="1"/>
  <c r="AC314" i="13"/>
  <c r="AB314" i="13" s="1"/>
  <c r="AC309" i="13"/>
  <c r="AB309" i="13" s="1"/>
  <c r="AC250" i="13"/>
  <c r="AB250" i="13" s="1"/>
  <c r="AA294" i="13"/>
  <c r="AA262" i="13"/>
  <c r="AC255" i="13"/>
  <c r="AB255" i="13" s="1"/>
  <c r="AE255" i="13"/>
  <c r="AD255" i="13" s="1"/>
  <c r="AE235" i="13"/>
  <c r="AD235" i="13" s="1"/>
  <c r="AA178" i="13"/>
  <c r="AA114" i="13"/>
  <c r="Z114" i="13"/>
  <c r="X322" i="13"/>
  <c r="U307" i="13"/>
  <c r="X326" i="13"/>
  <c r="Z314" i="13"/>
  <c r="X314" i="13"/>
  <c r="X302" i="13"/>
  <c r="Z302" i="13"/>
  <c r="AA302" i="13"/>
  <c r="X290" i="13"/>
  <c r="AA290" i="13"/>
  <c r="Z290" i="13"/>
  <c r="Z278" i="13"/>
  <c r="X278" i="13"/>
  <c r="X254" i="13"/>
  <c r="AA254" i="13"/>
  <c r="AA242" i="13"/>
  <c r="AA226" i="13"/>
  <c r="Z226" i="13"/>
  <c r="Z214" i="13"/>
  <c r="AA214" i="13"/>
  <c r="AA202" i="13"/>
  <c r="Z202" i="13"/>
  <c r="Z194" i="13"/>
  <c r="AA194" i="13"/>
  <c r="Z182" i="13"/>
  <c r="AA182" i="13"/>
  <c r="AA170" i="13"/>
  <c r="AA158" i="13"/>
  <c r="Z146" i="13"/>
  <c r="Z134" i="13"/>
  <c r="AA122" i="13"/>
  <c r="Z122" i="13"/>
  <c r="AA110" i="13"/>
  <c r="Z110" i="13"/>
  <c r="Z94" i="13"/>
  <c r="AA94" i="13"/>
  <c r="U310" i="13"/>
  <c r="Y310" i="13"/>
  <c r="Z310" i="13" s="1"/>
  <c r="I120" i="13" a="1"/>
  <c r="I120" i="13" s="1"/>
  <c r="I119" i="13" a="1"/>
  <c r="I119" i="13" s="1"/>
  <c r="Y291" i="13"/>
  <c r="Z291" i="13" s="1"/>
  <c r="U291" i="13"/>
  <c r="I141" i="13" a="1"/>
  <c r="I141" i="13" s="1"/>
  <c r="I142" i="13" a="1"/>
  <c r="I142" i="13" s="1"/>
  <c r="U284" i="13"/>
  <c r="I101" i="13" a="1"/>
  <c r="I101" i="13" s="1"/>
  <c r="I112" i="13" a="1"/>
  <c r="I112" i="13" s="1"/>
  <c r="Y275" i="13"/>
  <c r="Z275" i="13" s="1"/>
  <c r="I165" i="13" a="1"/>
  <c r="I165" i="13" s="1"/>
  <c r="Y259" i="13"/>
  <c r="Z259" i="13" s="1"/>
  <c r="U259" i="13"/>
  <c r="AE259" i="13"/>
  <c r="AD259" i="13" s="1"/>
  <c r="AE282" i="13"/>
  <c r="AD282" i="13" s="1"/>
  <c r="AC289" i="13"/>
  <c r="AB289" i="13" s="1"/>
  <c r="AA298" i="13"/>
  <c r="AA266" i="13"/>
  <c r="Z298" i="13"/>
  <c r="Z178" i="13"/>
  <c r="Z142" i="13"/>
  <c r="Z78" i="13"/>
  <c r="Z50" i="13"/>
  <c r="U275" i="13"/>
  <c r="X318" i="13"/>
  <c r="Z318" i="13"/>
  <c r="AA318" i="13"/>
  <c r="AA306" i="13"/>
  <c r="X306" i="13"/>
  <c r="X286" i="13"/>
  <c r="AA286" i="13"/>
  <c r="X274" i="13"/>
  <c r="Z274" i="13"/>
  <c r="AA274" i="13"/>
  <c r="Z258" i="13"/>
  <c r="AA258" i="13"/>
  <c r="Z246" i="13"/>
  <c r="Z222" i="13"/>
  <c r="AA222" i="13"/>
  <c r="Z210" i="13"/>
  <c r="Z198" i="13"/>
  <c r="AA186" i="13"/>
  <c r="Z186" i="13"/>
  <c r="AA174" i="13"/>
  <c r="Z174" i="13"/>
  <c r="AA162" i="13"/>
  <c r="Z162" i="13"/>
  <c r="Z150" i="13"/>
  <c r="AA150" i="13"/>
  <c r="AA138" i="13"/>
  <c r="Z138" i="13"/>
  <c r="AA126" i="13"/>
  <c r="Z118" i="13"/>
  <c r="AA118" i="13"/>
  <c r="AA90" i="13"/>
  <c r="Z90" i="13"/>
  <c r="Z82" i="13"/>
  <c r="AA74" i="13"/>
  <c r="Z74" i="13"/>
  <c r="Z66" i="13"/>
  <c r="AA66" i="13"/>
  <c r="AA58" i="13"/>
  <c r="Z58" i="13"/>
  <c r="Z46" i="13"/>
  <c r="AA46" i="13"/>
  <c r="AA26" i="13"/>
  <c r="Z26" i="13"/>
  <c r="AA10" i="13"/>
  <c r="Z10" i="13"/>
  <c r="U326" i="13"/>
  <c r="Y326" i="13"/>
  <c r="Z326" i="13" s="1"/>
  <c r="U300" i="13"/>
  <c r="Y300" i="13"/>
  <c r="I123" i="13" a="1"/>
  <c r="I123" i="13" s="1"/>
  <c r="I129" i="13" a="1"/>
  <c r="I129" i="13" s="1"/>
  <c r="U278" i="13"/>
  <c r="I162" i="13" a="1"/>
  <c r="I162" i="13" s="1"/>
  <c r="I167" i="13" a="1"/>
  <c r="I167" i="13" s="1"/>
  <c r="U268" i="13"/>
  <c r="Y268" i="13"/>
  <c r="AE277" i="13"/>
  <c r="AD277" i="13" s="1"/>
  <c r="AA310" i="13"/>
  <c r="AA278" i="13"/>
  <c r="AC251" i="13"/>
  <c r="AB251" i="13" s="1"/>
  <c r="AE251" i="13"/>
  <c r="AD251" i="13" s="1"/>
  <c r="AA246" i="13"/>
  <c r="AE239" i="13"/>
  <c r="AD239" i="13" s="1"/>
  <c r="Z242" i="13"/>
  <c r="Z170" i="13"/>
  <c r="Z106" i="13"/>
  <c r="Z18" i="13"/>
  <c r="X266" i="13"/>
  <c r="AE219" i="13"/>
  <c r="AD219" i="13" s="1"/>
  <c r="AE211" i="13"/>
  <c r="AD211" i="13" s="1"/>
  <c r="AE199" i="13"/>
  <c r="AD199" i="13" s="1"/>
  <c r="AE187" i="13"/>
  <c r="AD187" i="13" s="1"/>
  <c r="AE179" i="13"/>
  <c r="AD179" i="13" s="1"/>
  <c r="AE167" i="13"/>
  <c r="AD167" i="13" s="1"/>
  <c r="AE155" i="13"/>
  <c r="AD155" i="13" s="1"/>
  <c r="AE147" i="13"/>
  <c r="AD147" i="13" s="1"/>
  <c r="AE135" i="13"/>
  <c r="AD135" i="13" s="1"/>
  <c r="AE123" i="13"/>
  <c r="AD123" i="13" s="1"/>
  <c r="AE115" i="13"/>
  <c r="AD115" i="13" s="1"/>
  <c r="AE103" i="13"/>
  <c r="AD103" i="13" s="1"/>
  <c r="AE91" i="13"/>
  <c r="AD91" i="13" s="1"/>
  <c r="AE83" i="13"/>
  <c r="AD83" i="13" s="1"/>
  <c r="AE71" i="13"/>
  <c r="AD71" i="13" s="1"/>
  <c r="AE59" i="13"/>
  <c r="AD59" i="13" s="1"/>
  <c r="AE51" i="13"/>
  <c r="AD51" i="13" s="1"/>
  <c r="AE39" i="13"/>
  <c r="AD39" i="13" s="1"/>
  <c r="AE27" i="13"/>
  <c r="AD27" i="13" s="1"/>
  <c r="AE19" i="13"/>
  <c r="AD19" i="13" s="1"/>
  <c r="AE7" i="13"/>
  <c r="AD7" i="13" s="1"/>
  <c r="AA208" i="13"/>
  <c r="Z312" i="13"/>
  <c r="Z304" i="13"/>
  <c r="Z248" i="13"/>
  <c r="Z240" i="13"/>
  <c r="X272" i="13"/>
  <c r="X264" i="13"/>
  <c r="I136" i="13" a="1"/>
  <c r="I136" i="13" s="1"/>
  <c r="I134" i="13" a="1"/>
  <c r="I134" i="13" s="1"/>
  <c r="U290" i="13"/>
  <c r="I156" i="13" a="1"/>
  <c r="I156" i="13" s="1"/>
  <c r="U287" i="13"/>
  <c r="I159" i="13" a="1"/>
  <c r="I159" i="13" s="1"/>
  <c r="I168" i="13" a="1"/>
  <c r="I168" i="13" s="1"/>
  <c r="Y280" i="13"/>
  <c r="Z280" i="13" s="1"/>
  <c r="I113" i="13" a="1"/>
  <c r="I113" i="13" s="1"/>
  <c r="I108" i="13" a="1"/>
  <c r="I108" i="13" s="1"/>
  <c r="U274" i="13"/>
  <c r="I114" i="13" a="1"/>
  <c r="I114" i="13" s="1"/>
  <c r="I117" i="13" a="1"/>
  <c r="I117" i="13" s="1"/>
  <c r="U271" i="13"/>
  <c r="I122" i="13" a="1"/>
  <c r="I122" i="13" s="1"/>
  <c r="I121" i="13" a="1"/>
  <c r="I121" i="13" s="1"/>
  <c r="Y264" i="13"/>
  <c r="Z264" i="13" s="1"/>
  <c r="I163" i="13" a="1"/>
  <c r="I163" i="13" s="1"/>
  <c r="U258" i="13"/>
  <c r="I97" i="13" a="1"/>
  <c r="I97" i="13" s="1"/>
  <c r="I161" i="13" a="1"/>
  <c r="I161" i="13" s="1"/>
  <c r="U255" i="13"/>
  <c r="I21" i="13" a="1"/>
  <c r="I21" i="13" s="1"/>
  <c r="U162" i="13"/>
  <c r="I11" i="13" a="1"/>
  <c r="I11" i="13" s="1"/>
  <c r="U130" i="13"/>
  <c r="I47" i="13" a="1"/>
  <c r="I47" i="13" s="1"/>
  <c r="U114" i="13"/>
  <c r="I31" i="13" a="1"/>
  <c r="I31" i="13" s="1"/>
  <c r="U98" i="13"/>
  <c r="X324" i="13"/>
  <c r="AA324" i="13"/>
  <c r="Z316" i="13"/>
  <c r="AA316" i="13"/>
  <c r="X308" i="13"/>
  <c r="AA308" i="13"/>
  <c r="Z300" i="13"/>
  <c r="AA300" i="13"/>
  <c r="X292" i="13"/>
  <c r="AA292" i="13"/>
  <c r="Z284" i="13"/>
  <c r="AA284" i="13"/>
  <c r="X276" i="13"/>
  <c r="AA276" i="13"/>
  <c r="Z268" i="13"/>
  <c r="AA268" i="13"/>
  <c r="X260" i="13"/>
  <c r="AA260" i="13"/>
  <c r="Z252" i="13"/>
  <c r="AA252" i="13"/>
  <c r="AA244" i="13"/>
  <c r="Z236" i="13"/>
  <c r="AA236" i="13"/>
  <c r="AA228" i="13"/>
  <c r="Z220" i="13"/>
  <c r="AA212" i="13"/>
  <c r="AA196" i="13"/>
  <c r="Z188" i="13"/>
  <c r="AA180" i="13"/>
  <c r="Z172" i="13"/>
  <c r="AA164" i="13"/>
  <c r="Z156" i="13"/>
  <c r="AA148" i="13"/>
  <c r="AA132" i="13"/>
  <c r="Z124" i="13"/>
  <c r="AA116" i="13"/>
  <c r="Z108" i="13"/>
  <c r="AA100" i="13"/>
  <c r="Z92" i="13"/>
  <c r="AA84" i="13"/>
  <c r="Z76" i="13"/>
  <c r="AA68" i="13"/>
  <c r="Z60" i="13"/>
  <c r="AA52" i="13"/>
  <c r="Z44" i="13"/>
  <c r="AA36" i="13"/>
  <c r="Z28" i="13"/>
  <c r="AA20" i="13"/>
  <c r="Z12" i="13"/>
  <c r="I107" i="13" a="1"/>
  <c r="I107" i="13" s="1"/>
  <c r="I124" i="13" a="1"/>
  <c r="I124" i="13" s="1"/>
  <c r="U292" i="13"/>
  <c r="I155" i="13" a="1"/>
  <c r="I155" i="13" s="1"/>
  <c r="Y286" i="13"/>
  <c r="Z286" i="13" s="1"/>
  <c r="I125" i="13" a="1"/>
  <c r="I125" i="13" s="1"/>
  <c r="I144" i="13" a="1"/>
  <c r="I144" i="13" s="1"/>
  <c r="I153" i="13" a="1"/>
  <c r="I153" i="13" s="1"/>
  <c r="U276" i="13"/>
  <c r="I130" i="13" a="1"/>
  <c r="I130" i="13" s="1"/>
  <c r="I131" i="13" a="1"/>
  <c r="I131" i="13" s="1"/>
  <c r="Y270" i="13"/>
  <c r="Z270" i="13" s="1"/>
  <c r="H132" i="13"/>
  <c r="R132" i="13" s="1" a="1"/>
  <c r="R132" i="13" s="1"/>
  <c r="J132" i="13"/>
  <c r="I96" i="13" a="1"/>
  <c r="I96" i="13" s="1"/>
  <c r="I95" i="13" a="1"/>
  <c r="I95" i="13" s="1"/>
  <c r="U260" i="13"/>
  <c r="I166" i="13" a="1"/>
  <c r="I166" i="13" s="1"/>
  <c r="I164" i="13" a="1"/>
  <c r="I164" i="13" s="1"/>
  <c r="Y254" i="13"/>
  <c r="Z254" i="13" s="1"/>
  <c r="I98" i="13" a="1"/>
  <c r="I98" i="13" s="1"/>
  <c r="I106" i="13" a="1"/>
  <c r="I106" i="13" s="1"/>
  <c r="I36" i="13" a="1"/>
  <c r="I36" i="13" s="1"/>
  <c r="Y158" i="13"/>
  <c r="Z158" i="13" s="1"/>
  <c r="I15" i="13" a="1"/>
  <c r="I15" i="13" s="1"/>
  <c r="Y126" i="13"/>
  <c r="Z126" i="13" s="1"/>
  <c r="I139" i="13" a="1"/>
  <c r="I139" i="13" s="1"/>
  <c r="I140" i="13" a="1"/>
  <c r="I140" i="13" s="1"/>
  <c r="I138" i="13" a="1"/>
  <c r="I138" i="13" s="1"/>
  <c r="I143" i="13" a="1"/>
  <c r="I143" i="13" s="1"/>
  <c r="U282" i="13"/>
  <c r="I126" i="13" a="1"/>
  <c r="I126" i="13" s="1"/>
  <c r="I151" i="13" a="1"/>
  <c r="I151" i="13" s="1"/>
  <c r="U279" i="13"/>
  <c r="I111" i="13" a="1"/>
  <c r="I111" i="13" s="1"/>
  <c r="I116" i="13" a="1"/>
  <c r="I116" i="13" s="1"/>
  <c r="I127" i="13" a="1"/>
  <c r="I127" i="13" s="1"/>
  <c r="U266" i="13"/>
  <c r="I149" i="13" a="1"/>
  <c r="I149" i="13" s="1"/>
  <c r="I150" i="13" a="1"/>
  <c r="I150" i="13" s="1"/>
  <c r="U263" i="13"/>
  <c r="H158" i="13"/>
  <c r="R158" i="13" s="1" a="1"/>
  <c r="R158" i="13" s="1"/>
  <c r="J158" i="13"/>
  <c r="I99" i="13" a="1"/>
  <c r="I99" i="13" s="1"/>
  <c r="I100" i="13" a="1"/>
  <c r="I100" i="13" s="1"/>
  <c r="U250" i="13"/>
  <c r="I13" i="13" a="1"/>
  <c r="I13" i="13" s="1"/>
  <c r="U154" i="13"/>
  <c r="I10" i="13" a="1"/>
  <c r="I10" i="13" s="1"/>
  <c r="U138" i="13"/>
  <c r="I146" i="13" a="1"/>
  <c r="I146" i="13" s="1"/>
  <c r="I135" i="13" a="1"/>
  <c r="I135" i="13" s="1"/>
  <c r="U252" i="13"/>
  <c r="J46" i="13"/>
  <c r="J28" i="13"/>
  <c r="J37" i="13"/>
  <c r="J14" i="13"/>
  <c r="J18" i="13"/>
  <c r="J9" i="13"/>
  <c r="J39" i="13"/>
  <c r="J38" i="13"/>
  <c r="J16" i="13"/>
  <c r="J45" i="13"/>
  <c r="J6" i="13"/>
  <c r="J41" i="13"/>
  <c r="J32" i="13"/>
  <c r="G245" i="13" a="1"/>
  <c r="G245" i="13" s="1"/>
  <c r="G243" i="13" a="1"/>
  <c r="G243" i="13" s="1"/>
  <c r="I245" i="13" a="1"/>
  <c r="I245" i="13" s="1"/>
  <c r="I243" i="13" a="1"/>
  <c r="I243" i="13" s="1"/>
  <c r="S314" i="13"/>
  <c r="G223" i="13" a="1"/>
  <c r="G223" i="13" s="1"/>
  <c r="G231" i="13" a="1"/>
  <c r="G231" i="13" s="1"/>
  <c r="G226" i="13" a="1"/>
  <c r="G226" i="13" s="1"/>
  <c r="G224" i="13" a="1"/>
  <c r="G224" i="13" s="1"/>
  <c r="I226" i="13" a="1"/>
  <c r="I226" i="13" s="1"/>
  <c r="I231" i="13" a="1"/>
  <c r="I231" i="13" s="1"/>
  <c r="I223" i="13" a="1"/>
  <c r="I223" i="13" s="1"/>
  <c r="I224" i="13" a="1"/>
  <c r="I224" i="13" s="1"/>
  <c r="S298" i="13"/>
  <c r="G138" i="13" a="1"/>
  <c r="G138" i="13" s="1"/>
  <c r="G143" i="13" a="1"/>
  <c r="G143" i="13" s="1"/>
  <c r="S282" i="13"/>
  <c r="G127" i="13" a="1"/>
  <c r="G127" i="13" s="1"/>
  <c r="S266" i="13"/>
  <c r="G100" i="13" a="1"/>
  <c r="G100" i="13" s="1"/>
  <c r="G99" i="13" a="1"/>
  <c r="G99" i="13" s="1"/>
  <c r="S250" i="13"/>
  <c r="U321" i="13"/>
  <c r="Y321" i="13"/>
  <c r="Z321" i="13" s="1"/>
  <c r="U313" i="13"/>
  <c r="Y313" i="13"/>
  <c r="Z313" i="13" s="1"/>
  <c r="U305" i="13"/>
  <c r="Y305" i="13"/>
  <c r="Z305" i="13" s="1"/>
  <c r="U297" i="13"/>
  <c r="Y297" i="13"/>
  <c r="Z297" i="13" s="1"/>
  <c r="I137" i="13" a="1"/>
  <c r="I137" i="13" s="1"/>
  <c r="I145" i="13" a="1"/>
  <c r="I145" i="13" s="1"/>
  <c r="U289" i="13"/>
  <c r="Y289" i="13"/>
  <c r="Z289" i="13" s="1"/>
  <c r="I128" i="13" a="1"/>
  <c r="I128" i="13" s="1"/>
  <c r="I147" i="13" a="1"/>
  <c r="I147" i="13" s="1"/>
  <c r="U281" i="13"/>
  <c r="Y281" i="13"/>
  <c r="Z281" i="13" s="1"/>
  <c r="I152" i="13" a="1"/>
  <c r="I152" i="13" s="1"/>
  <c r="U273" i="13"/>
  <c r="Y273" i="13"/>
  <c r="Z273" i="13" s="1"/>
  <c r="I133" i="13" a="1"/>
  <c r="I133" i="13" s="1"/>
  <c r="U265" i="13"/>
  <c r="Y265" i="13"/>
  <c r="Z265" i="13" s="1"/>
  <c r="I104" i="13" a="1"/>
  <c r="I104" i="13" s="1"/>
  <c r="I105" i="13" a="1"/>
  <c r="I105" i="13" s="1"/>
  <c r="U257" i="13"/>
  <c r="Y257" i="13"/>
  <c r="Z257" i="13" s="1"/>
  <c r="U249" i="13"/>
  <c r="Y249" i="13"/>
  <c r="Z249" i="13" s="1"/>
  <c r="U241" i="13"/>
  <c r="Y241" i="13"/>
  <c r="Z241" i="13" s="1"/>
  <c r="U233" i="13"/>
  <c r="Y233" i="13"/>
  <c r="Z233" i="13" s="1"/>
  <c r="U225" i="13"/>
  <c r="Y225" i="13"/>
  <c r="U217" i="13"/>
  <c r="Y217" i="13"/>
  <c r="Z217" i="13" s="1"/>
  <c r="U209" i="13"/>
  <c r="Y209" i="13"/>
  <c r="U201" i="13"/>
  <c r="Y201" i="13"/>
  <c r="Z201" i="13" s="1"/>
  <c r="U193" i="13"/>
  <c r="Y193" i="13"/>
  <c r="Z193" i="13" s="1"/>
  <c r="U185" i="13"/>
  <c r="Y185" i="13"/>
  <c r="Z185" i="13" s="1"/>
  <c r="U177" i="13"/>
  <c r="Y177" i="13"/>
  <c r="Z177" i="13" s="1"/>
  <c r="I49" i="13" a="1"/>
  <c r="I49" i="13" s="1"/>
  <c r="U169" i="13"/>
  <c r="Y169" i="13"/>
  <c r="Z169" i="13" s="1"/>
  <c r="U161" i="13"/>
  <c r="Y161" i="13"/>
  <c r="Z161" i="13" s="1"/>
  <c r="I20" i="13" a="1"/>
  <c r="I20" i="13" s="1"/>
  <c r="U153" i="13"/>
  <c r="Y153" i="13"/>
  <c r="Z153" i="13" s="1"/>
  <c r="U145" i="13"/>
  <c r="Y145" i="13"/>
  <c r="Z145" i="13" s="1"/>
  <c r="I44" i="13" a="1"/>
  <c r="I44" i="13" s="1"/>
  <c r="U137" i="13"/>
  <c r="Y137" i="13"/>
  <c r="Z137" i="13" s="1"/>
  <c r="U129" i="13"/>
  <c r="Y129" i="13"/>
  <c r="Z129" i="13" s="1"/>
  <c r="I33" i="13" a="1"/>
  <c r="I33" i="13" s="1"/>
  <c r="U121" i="13"/>
  <c r="Y121" i="13"/>
  <c r="Z121" i="13" s="1"/>
  <c r="U113" i="13"/>
  <c r="Y113" i="13"/>
  <c r="Z113" i="13" s="1"/>
  <c r="U105" i="13"/>
  <c r="Y105" i="13"/>
  <c r="Z105" i="13" s="1"/>
  <c r="I26" i="13" a="1"/>
  <c r="I26" i="13" s="1"/>
  <c r="U97" i="13"/>
  <c r="Y97" i="13"/>
  <c r="Z97" i="13" s="1"/>
  <c r="U89" i="13"/>
  <c r="Y89" i="13"/>
  <c r="Z89" i="13" s="1"/>
  <c r="U81" i="13"/>
  <c r="Y81" i="13"/>
  <c r="Z81" i="13" s="1"/>
  <c r="U73" i="13"/>
  <c r="Y73" i="13"/>
  <c r="Z73" i="13" s="1"/>
  <c r="U65" i="13"/>
  <c r="Y65" i="13"/>
  <c r="Z65" i="13" s="1"/>
  <c r="G248" i="13" a="1"/>
  <c r="G248" i="13" s="1"/>
  <c r="I248" i="13" a="1"/>
  <c r="I248" i="13" s="1"/>
  <c r="S326" i="13"/>
  <c r="G206" i="13" a="1"/>
  <c r="G206" i="13" s="1"/>
  <c r="G207" i="13" a="1"/>
  <c r="G207" i="13" s="1"/>
  <c r="I206" i="13" a="1"/>
  <c r="I206" i="13" s="1"/>
  <c r="I207" i="13" a="1"/>
  <c r="I207" i="13" s="1"/>
  <c r="S310" i="13"/>
  <c r="G217" i="13" a="1"/>
  <c r="G217" i="13" s="1"/>
  <c r="G181" i="13" a="1"/>
  <c r="G181" i="13" s="1"/>
  <c r="G218" i="13" a="1"/>
  <c r="G218" i="13" s="1"/>
  <c r="G216" i="13" a="1"/>
  <c r="G216" i="13" s="1"/>
  <c r="I181" i="13" a="1"/>
  <c r="I181" i="13" s="1"/>
  <c r="I218" i="13" a="1"/>
  <c r="I218" i="13" s="1"/>
  <c r="I217" i="13" a="1"/>
  <c r="I217" i="13" s="1"/>
  <c r="I216" i="13" a="1"/>
  <c r="I216" i="13" s="1"/>
  <c r="S294" i="13"/>
  <c r="G129" i="13" a="1"/>
  <c r="G129" i="13" s="1"/>
  <c r="G123" i="13" a="1"/>
  <c r="G123" i="13" s="1"/>
  <c r="S278" i="13"/>
  <c r="G157" i="13" a="1"/>
  <c r="G157" i="13" s="1"/>
  <c r="S262" i="13"/>
  <c r="J42" i="13"/>
  <c r="J22" i="13"/>
  <c r="J48" i="13"/>
  <c r="J23" i="13"/>
  <c r="J24" i="13"/>
  <c r="J17" i="13"/>
  <c r="J19" i="13"/>
  <c r="J43" i="13"/>
  <c r="J27" i="13"/>
  <c r="J30" i="13"/>
  <c r="U37" i="13"/>
  <c r="Y37" i="13"/>
  <c r="Z37" i="13" s="1"/>
  <c r="G212" i="13" a="1"/>
  <c r="G212" i="13" s="1"/>
  <c r="G197" i="13" a="1"/>
  <c r="G197" i="13" s="1"/>
  <c r="I197" i="13" a="1"/>
  <c r="I197" i="13" s="1"/>
  <c r="I212" i="13" a="1"/>
  <c r="I212" i="13" s="1"/>
  <c r="S322" i="13"/>
  <c r="G179" i="13" a="1"/>
  <c r="G179" i="13" s="1"/>
  <c r="I179" i="13" a="1"/>
  <c r="I179" i="13" s="1"/>
  <c r="S306" i="13"/>
  <c r="G136" i="13" a="1"/>
  <c r="G136" i="13" s="1"/>
  <c r="G134" i="13" a="1"/>
  <c r="G134" i="13" s="1"/>
  <c r="S290" i="13"/>
  <c r="G108" i="13" a="1"/>
  <c r="G108" i="13" s="1"/>
  <c r="G113" i="13" a="1"/>
  <c r="G113" i="13" s="1"/>
  <c r="S274" i="13"/>
  <c r="G163" i="13" a="1"/>
  <c r="G163" i="13" s="1"/>
  <c r="S258" i="13"/>
  <c r="Z225" i="13"/>
  <c r="Z209" i="13"/>
  <c r="U325" i="13"/>
  <c r="Y325" i="13"/>
  <c r="Z325" i="13" s="1"/>
  <c r="U317" i="13"/>
  <c r="Y317" i="13"/>
  <c r="Z317" i="13" s="1"/>
  <c r="U309" i="13"/>
  <c r="Y309" i="13"/>
  <c r="Z309" i="13" s="1"/>
  <c r="U301" i="13"/>
  <c r="Y301" i="13"/>
  <c r="Z301" i="13" s="1"/>
  <c r="I170" i="13" a="1"/>
  <c r="I170" i="13" s="1"/>
  <c r="I169" i="13" a="1"/>
  <c r="I169" i="13" s="1"/>
  <c r="U293" i="13"/>
  <c r="Y293" i="13"/>
  <c r="Z293" i="13" s="1"/>
  <c r="I154" i="13" a="1"/>
  <c r="I154" i="13" s="1"/>
  <c r="U285" i="13"/>
  <c r="Y285" i="13"/>
  <c r="Z285" i="13" s="1"/>
  <c r="I115" i="13" a="1"/>
  <c r="I115" i="13" s="1"/>
  <c r="I118" i="13" a="1"/>
  <c r="I118" i="13" s="1"/>
  <c r="U277" i="13"/>
  <c r="Y277" i="13"/>
  <c r="Z277" i="13" s="1"/>
  <c r="I109" i="13" a="1"/>
  <c r="I109" i="13" s="1"/>
  <c r="I110" i="13" a="1"/>
  <c r="I110" i="13" s="1"/>
  <c r="U269" i="13"/>
  <c r="Y269" i="13"/>
  <c r="Z269" i="13" s="1"/>
  <c r="I102" i="13" a="1"/>
  <c r="I102" i="13" s="1"/>
  <c r="I103" i="13" a="1"/>
  <c r="I103" i="13" s="1"/>
  <c r="U261" i="13"/>
  <c r="Y261" i="13"/>
  <c r="Z261" i="13" s="1"/>
  <c r="I148" i="13" a="1"/>
  <c r="I148" i="13" s="1"/>
  <c r="I160" i="13" a="1"/>
  <c r="I160" i="13" s="1"/>
  <c r="U253" i="13"/>
  <c r="Y253" i="13"/>
  <c r="Z253" i="13" s="1"/>
  <c r="U245" i="13"/>
  <c r="Y245" i="13"/>
  <c r="Z245" i="13" s="1"/>
  <c r="U237" i="13"/>
  <c r="Y237" i="13"/>
  <c r="Z237" i="13" s="1"/>
  <c r="U229" i="13"/>
  <c r="Y229" i="13"/>
  <c r="Z229" i="13" s="1"/>
  <c r="U221" i="13"/>
  <c r="Y221" i="13"/>
  <c r="Z221" i="13" s="1"/>
  <c r="U213" i="13"/>
  <c r="Y213" i="13"/>
  <c r="Z213" i="13" s="1"/>
  <c r="U205" i="13"/>
  <c r="Y205" i="13"/>
  <c r="Z205" i="13" s="1"/>
  <c r="U197" i="13"/>
  <c r="Y197" i="13"/>
  <c r="Z197" i="13" s="1"/>
  <c r="U189" i="13"/>
  <c r="Y189" i="13"/>
  <c r="Z189" i="13" s="1"/>
  <c r="U181" i="13"/>
  <c r="Y181" i="13"/>
  <c r="Z181" i="13" s="1"/>
  <c r="U173" i="13"/>
  <c r="Y173" i="13"/>
  <c r="Z173" i="13" s="1"/>
  <c r="I35" i="13" a="1"/>
  <c r="I35" i="13" s="1"/>
  <c r="U165" i="13"/>
  <c r="Y165" i="13"/>
  <c r="Z165" i="13" s="1"/>
  <c r="I12" i="13" a="1"/>
  <c r="I12" i="13" s="1"/>
  <c r="U157" i="13"/>
  <c r="Y157" i="13"/>
  <c r="Z157" i="13" s="1"/>
  <c r="I34" i="13" a="1"/>
  <c r="I34" i="13" s="1"/>
  <c r="U149" i="13"/>
  <c r="Y149" i="13"/>
  <c r="Z149" i="13" s="1"/>
  <c r="I7" i="13" a="1"/>
  <c r="I7" i="13" s="1"/>
  <c r="U141" i="13"/>
  <c r="Y141" i="13"/>
  <c r="Z141" i="13" s="1"/>
  <c r="I29" i="13" a="1"/>
  <c r="I29" i="13" s="1"/>
  <c r="U133" i="13"/>
  <c r="Y133" i="13"/>
  <c r="Z133" i="13" s="1"/>
  <c r="I8" i="13" a="1"/>
  <c r="I8" i="13" s="1"/>
  <c r="U125" i="13"/>
  <c r="Y125" i="13"/>
  <c r="Z125" i="13" s="1"/>
  <c r="U117" i="13"/>
  <c r="Y117" i="13"/>
  <c r="Z117" i="13" s="1"/>
  <c r="I25" i="13" a="1"/>
  <c r="I25" i="13" s="1"/>
  <c r="U109" i="13"/>
  <c r="Y109" i="13"/>
  <c r="Z109" i="13" s="1"/>
  <c r="I40" i="13" a="1"/>
  <c r="I40" i="13" s="1"/>
  <c r="U101" i="13"/>
  <c r="Y101" i="13"/>
  <c r="Z101" i="13" s="1"/>
  <c r="U93" i="13"/>
  <c r="Y93" i="13"/>
  <c r="Z93" i="13" s="1"/>
  <c r="U85" i="13"/>
  <c r="Y85" i="13"/>
  <c r="Z85" i="13" s="1"/>
  <c r="U77" i="13"/>
  <c r="Y77" i="13"/>
  <c r="Z77" i="13" s="1"/>
  <c r="U69" i="13"/>
  <c r="Y69" i="13"/>
  <c r="Z69" i="13" s="1"/>
  <c r="U61" i="13"/>
  <c r="Y61" i="13"/>
  <c r="Z61" i="13" s="1"/>
  <c r="G202" i="13" a="1"/>
  <c r="G202" i="13" s="1"/>
  <c r="G203" i="13" a="1"/>
  <c r="G203" i="13" s="1"/>
  <c r="I202" i="13" a="1"/>
  <c r="I202" i="13" s="1"/>
  <c r="I203" i="13" a="1"/>
  <c r="I203" i="13" s="1"/>
  <c r="S318" i="13"/>
  <c r="G241" i="13" a="1"/>
  <c r="G241" i="13" s="1"/>
  <c r="G239" i="13" a="1"/>
  <c r="G239" i="13" s="1"/>
  <c r="G232" i="13" a="1"/>
  <c r="G232" i="13" s="1"/>
  <c r="G240" i="13" a="1"/>
  <c r="G240" i="13" s="1"/>
  <c r="I239" i="13" a="1"/>
  <c r="I239" i="13" s="1"/>
  <c r="I232" i="13" a="1"/>
  <c r="I232" i="13" s="1"/>
  <c r="I240" i="13" a="1"/>
  <c r="I240" i="13" s="1"/>
  <c r="I241" i="13" a="1"/>
  <c r="I241" i="13" s="1"/>
  <c r="S302" i="13"/>
  <c r="G155" i="13" a="1"/>
  <c r="G155" i="13" s="1"/>
  <c r="S286" i="13"/>
  <c r="G130" i="13" a="1"/>
  <c r="G130" i="13" s="1"/>
  <c r="G131" i="13" a="1"/>
  <c r="G131" i="13" s="1"/>
  <c r="S270" i="13"/>
  <c r="G166" i="13" a="1"/>
  <c r="G166" i="13" s="1"/>
  <c r="G164" i="13" a="1"/>
  <c r="G164" i="13" s="1"/>
  <c r="S254" i="13"/>
  <c r="Y29" i="13"/>
  <c r="Z29" i="13" s="1"/>
  <c r="G249" i="13" a="1"/>
  <c r="G249" i="13" s="1"/>
  <c r="G247" i="13" a="1"/>
  <c r="G247" i="13" s="1"/>
  <c r="I247" i="13" a="1"/>
  <c r="I247" i="13" s="1"/>
  <c r="I249" i="13" a="1"/>
  <c r="I249" i="13" s="1"/>
  <c r="G190" i="13" a="1"/>
  <c r="G190" i="13" s="1"/>
  <c r="G193" i="13" a="1"/>
  <c r="G193" i="13" s="1"/>
  <c r="G191" i="13" a="1"/>
  <c r="G191" i="13" s="1"/>
  <c r="G192" i="13" a="1"/>
  <c r="G192" i="13" s="1"/>
  <c r="I190" i="13" a="1"/>
  <c r="I190" i="13" s="1"/>
  <c r="I193" i="13" a="1"/>
  <c r="I193" i="13" s="1"/>
  <c r="I191" i="13" a="1"/>
  <c r="I191" i="13" s="1"/>
  <c r="I192" i="13" a="1"/>
  <c r="I192" i="13" s="1"/>
  <c r="G204" i="13" a="1"/>
  <c r="G204" i="13" s="1"/>
  <c r="I204" i="13" a="1"/>
  <c r="I204" i="13" s="1"/>
  <c r="G209" i="13" a="1"/>
  <c r="G209" i="13" s="1"/>
  <c r="G210" i="13" a="1"/>
  <c r="G210" i="13" s="1"/>
  <c r="G242" i="13" a="1"/>
  <c r="G242" i="13" s="1"/>
  <c r="G208" i="13" a="1"/>
  <c r="G208" i="13" s="1"/>
  <c r="I210" i="13" a="1"/>
  <c r="I210" i="13" s="1"/>
  <c r="I209" i="13" a="1"/>
  <c r="I209" i="13" s="1"/>
  <c r="I242" i="13" a="1"/>
  <c r="I242" i="13" s="1"/>
  <c r="I208" i="13" a="1"/>
  <c r="I208" i="13" s="1"/>
  <c r="G174" i="13" a="1"/>
  <c r="G174" i="13" s="1"/>
  <c r="G171" i="13" a="1"/>
  <c r="G171" i="13" s="1"/>
  <c r="I174" i="13" a="1"/>
  <c r="I174" i="13" s="1"/>
  <c r="I171" i="13" a="1"/>
  <c r="I171" i="13" s="1"/>
  <c r="G185" i="13" a="1"/>
  <c r="G185" i="13" s="1"/>
  <c r="G188" i="13" a="1"/>
  <c r="G188" i="13" s="1"/>
  <c r="G186" i="13" a="1"/>
  <c r="G186" i="13" s="1"/>
  <c r="G187" i="13" a="1"/>
  <c r="G187" i="13" s="1"/>
  <c r="I186" i="13" a="1"/>
  <c r="I186" i="13" s="1"/>
  <c r="I185" i="13" a="1"/>
  <c r="I185" i="13" s="1"/>
  <c r="I188" i="13" a="1"/>
  <c r="I188" i="13" s="1"/>
  <c r="I187" i="13" a="1"/>
  <c r="I187" i="13" s="1"/>
  <c r="G236" i="13" a="1"/>
  <c r="G236" i="13" s="1"/>
  <c r="G234" i="13" a="1"/>
  <c r="G234" i="13" s="1"/>
  <c r="G237" i="13" a="1"/>
  <c r="G237" i="13" s="1"/>
  <c r="G235" i="13" a="1"/>
  <c r="G235" i="13" s="1"/>
  <c r="I234" i="13" a="1"/>
  <c r="I234" i="13" s="1"/>
  <c r="I237" i="13" a="1"/>
  <c r="I237" i="13" s="1"/>
  <c r="I235" i="13" a="1"/>
  <c r="I235" i="13" s="1"/>
  <c r="I236" i="13" a="1"/>
  <c r="I236" i="13" s="1"/>
  <c r="G230" i="13" a="1"/>
  <c r="G230" i="13" s="1"/>
  <c r="G228" i="13" a="1"/>
  <c r="G228" i="13" s="1"/>
  <c r="G229" i="13" a="1"/>
  <c r="G229" i="13" s="1"/>
  <c r="G227" i="13" a="1"/>
  <c r="G227" i="13" s="1"/>
  <c r="I229" i="13" a="1"/>
  <c r="I229" i="13" s="1"/>
  <c r="I230" i="13" a="1"/>
  <c r="I230" i="13" s="1"/>
  <c r="I227" i="13" a="1"/>
  <c r="I227" i="13" s="1"/>
  <c r="I228" i="13" a="1"/>
  <c r="I228" i="13" s="1"/>
  <c r="G220" i="13" a="1"/>
  <c r="G220" i="13" s="1"/>
  <c r="G219" i="13" a="1"/>
  <c r="G219" i="13" s="1"/>
  <c r="I220" i="13" a="1"/>
  <c r="I220" i="13" s="1"/>
  <c r="I219" i="13" a="1"/>
  <c r="I219" i="13" s="1"/>
  <c r="G124" i="13" a="1"/>
  <c r="G124" i="13" s="1"/>
  <c r="G107" i="13" a="1"/>
  <c r="G107" i="13" s="1"/>
  <c r="G141" i="13" a="1"/>
  <c r="G141" i="13" s="1"/>
  <c r="G142" i="13" a="1"/>
  <c r="G142" i="13" s="1"/>
  <c r="G151" i="13" a="1"/>
  <c r="G151" i="13" s="1"/>
  <c r="G126" i="13" a="1"/>
  <c r="G126" i="13" s="1"/>
  <c r="G114" i="13" a="1"/>
  <c r="G114" i="13" s="1"/>
  <c r="G117" i="13" a="1"/>
  <c r="G117" i="13" s="1"/>
  <c r="G167" i="13" a="1"/>
  <c r="G167" i="13" s="1"/>
  <c r="G162" i="13" a="1"/>
  <c r="G162" i="13" s="1"/>
  <c r="G149" i="13" a="1"/>
  <c r="G149" i="13" s="1"/>
  <c r="G150" i="13" a="1"/>
  <c r="G150" i="13" s="1"/>
  <c r="G95" i="13" a="1"/>
  <c r="G95" i="13" s="1"/>
  <c r="G96" i="13" a="1"/>
  <c r="G96" i="13" s="1"/>
  <c r="G97" i="13" a="1"/>
  <c r="G97" i="13" s="1"/>
  <c r="G161" i="13" a="1"/>
  <c r="G161" i="13" s="1"/>
  <c r="G135" i="13" a="1"/>
  <c r="G135" i="13" s="1"/>
  <c r="G146" i="13" a="1"/>
  <c r="G146" i="13" s="1"/>
  <c r="H320" i="13"/>
  <c r="J320" i="13"/>
  <c r="H316" i="13"/>
  <c r="J316" i="13"/>
  <c r="H302" i="13"/>
  <c r="J302" i="13"/>
  <c r="H288" i="13"/>
  <c r="J288" i="13"/>
  <c r="H284" i="13"/>
  <c r="J284" i="13"/>
  <c r="H270" i="13"/>
  <c r="J270" i="13"/>
  <c r="H256" i="13"/>
  <c r="J256" i="13"/>
  <c r="H252" i="13"/>
  <c r="J252" i="13"/>
  <c r="S259" i="13"/>
  <c r="G198" i="13" a="1"/>
  <c r="G198" i="13" s="1"/>
  <c r="G201" i="13" a="1"/>
  <c r="G201" i="13" s="1"/>
  <c r="G199" i="13" a="1"/>
  <c r="G199" i="13" s="1"/>
  <c r="G200" i="13" a="1"/>
  <c r="G200" i="13" s="1"/>
  <c r="I198" i="13" a="1"/>
  <c r="I198" i="13" s="1"/>
  <c r="I201" i="13" a="1"/>
  <c r="I201" i="13" s="1"/>
  <c r="I199" i="13" a="1"/>
  <c r="I199" i="13" s="1"/>
  <c r="I200" i="13" a="1"/>
  <c r="I200" i="13" s="1"/>
  <c r="S321" i="13"/>
  <c r="G238" i="13" a="1"/>
  <c r="G238" i="13" s="1"/>
  <c r="I238" i="13" a="1"/>
  <c r="I238" i="13" s="1"/>
  <c r="S313" i="13"/>
  <c r="G176" i="13" a="1"/>
  <c r="G176" i="13" s="1"/>
  <c r="I176" i="13" a="1"/>
  <c r="I176" i="13" s="1"/>
  <c r="S305" i="13"/>
  <c r="G178" i="13" a="1"/>
  <c r="G178" i="13" s="1"/>
  <c r="I178" i="13" a="1"/>
  <c r="I178" i="13" s="1"/>
  <c r="S297" i="13"/>
  <c r="G137" i="13" a="1"/>
  <c r="G137" i="13" s="1"/>
  <c r="G145" i="13" a="1"/>
  <c r="G145" i="13" s="1"/>
  <c r="S289" i="13"/>
  <c r="G128" i="13" a="1"/>
  <c r="G128" i="13" s="1"/>
  <c r="G147" i="13" a="1"/>
  <c r="G147" i="13" s="1"/>
  <c r="S281" i="13"/>
  <c r="G152" i="13" a="1"/>
  <c r="G152" i="13" s="1"/>
  <c r="S273" i="13"/>
  <c r="G133" i="13" a="1"/>
  <c r="G133" i="13" s="1"/>
  <c r="S265" i="13"/>
  <c r="G105" i="13" a="1"/>
  <c r="G105" i="13" s="1"/>
  <c r="G104" i="13" a="1"/>
  <c r="G104" i="13" s="1"/>
  <c r="S257" i="13"/>
  <c r="J325" i="13"/>
  <c r="H326" i="13"/>
  <c r="J326" i="13"/>
  <c r="H322" i="13"/>
  <c r="J322" i="13"/>
  <c r="H312" i="13"/>
  <c r="J312" i="13"/>
  <c r="H308" i="13"/>
  <c r="J308" i="13"/>
  <c r="H294" i="13"/>
  <c r="J294" i="13"/>
  <c r="H280" i="13"/>
  <c r="J280" i="13"/>
  <c r="H276" i="13"/>
  <c r="J276" i="13"/>
  <c r="H262" i="13"/>
  <c r="J262" i="13"/>
  <c r="G194" i="13" a="1"/>
  <c r="G194" i="13" s="1"/>
  <c r="G195" i="13" a="1"/>
  <c r="G195" i="13" s="1"/>
  <c r="I194" i="13" a="1"/>
  <c r="I194" i="13" s="1"/>
  <c r="I195" i="13" a="1"/>
  <c r="I195" i="13" s="1"/>
  <c r="G173" i="13" a="1"/>
  <c r="G173" i="13" s="1"/>
  <c r="I173" i="13" a="1"/>
  <c r="I173" i="13" s="1"/>
  <c r="G205" i="13" a="1"/>
  <c r="G205" i="13" s="1"/>
  <c r="I205" i="13" a="1"/>
  <c r="I205" i="13" s="1"/>
  <c r="G211" i="13" a="1"/>
  <c r="G211" i="13" s="1"/>
  <c r="I211" i="13" a="1"/>
  <c r="I211" i="13" s="1"/>
  <c r="G182" i="13" a="1"/>
  <c r="G182" i="13" s="1"/>
  <c r="G183" i="13" a="1"/>
  <c r="G183" i="13" s="1"/>
  <c r="G196" i="13" a="1"/>
  <c r="G196" i="13" s="1"/>
  <c r="G184" i="13" a="1"/>
  <c r="G184" i="13" s="1"/>
  <c r="I182" i="13" a="1"/>
  <c r="I182" i="13" s="1"/>
  <c r="I183" i="13" a="1"/>
  <c r="I183" i="13" s="1"/>
  <c r="I196" i="13" a="1"/>
  <c r="I196" i="13" s="1"/>
  <c r="I184" i="13" a="1"/>
  <c r="I184" i="13" s="1"/>
  <c r="G225" i="13" a="1"/>
  <c r="G225" i="13" s="1"/>
  <c r="G233" i="13" a="1"/>
  <c r="G233" i="13" s="1"/>
  <c r="G215" i="13" a="1"/>
  <c r="G215" i="13" s="1"/>
  <c r="G213" i="13" a="1"/>
  <c r="G213" i="13" s="1"/>
  <c r="I213" i="13" a="1"/>
  <c r="I213" i="13" s="1"/>
  <c r="I225" i="13" a="1"/>
  <c r="I225" i="13" s="1"/>
  <c r="I215" i="13" a="1"/>
  <c r="I215" i="13" s="1"/>
  <c r="I233" i="13" a="1"/>
  <c r="I233" i="13" s="1"/>
  <c r="G172" i="13" a="1"/>
  <c r="G172" i="13" s="1"/>
  <c r="I172" i="13" a="1"/>
  <c r="I172" i="13" s="1"/>
  <c r="G222" i="13" a="1"/>
  <c r="G222" i="13" s="1"/>
  <c r="G221" i="13" a="1"/>
  <c r="G221" i="13" s="1"/>
  <c r="I221" i="13" a="1"/>
  <c r="I221" i="13" s="1"/>
  <c r="I222" i="13" a="1"/>
  <c r="I222" i="13" s="1"/>
  <c r="G119" i="13" a="1"/>
  <c r="G119" i="13" s="1"/>
  <c r="G120" i="13" a="1"/>
  <c r="G120" i="13" s="1"/>
  <c r="G140" i="13" a="1"/>
  <c r="G140" i="13" s="1"/>
  <c r="G139" i="13" a="1"/>
  <c r="G139" i="13" s="1"/>
  <c r="G125" i="13" a="1"/>
  <c r="G125" i="13" s="1"/>
  <c r="G144" i="13" a="1"/>
  <c r="G144" i="13" s="1"/>
  <c r="G159" i="13" a="1"/>
  <c r="G159" i="13" s="1"/>
  <c r="G168" i="13" a="1"/>
  <c r="G168" i="13" s="1"/>
  <c r="G101" i="13" a="1"/>
  <c r="G101" i="13" s="1"/>
  <c r="G112" i="13" a="1"/>
  <c r="G112" i="13" s="1"/>
  <c r="G116" i="13" a="1"/>
  <c r="G116" i="13" s="1"/>
  <c r="G111" i="13" a="1"/>
  <c r="G111" i="13" s="1"/>
  <c r="G121" i="13" a="1"/>
  <c r="G121" i="13" s="1"/>
  <c r="G122" i="13" a="1"/>
  <c r="G122" i="13" s="1"/>
  <c r="G98" i="13" a="1"/>
  <c r="G98" i="13" s="1"/>
  <c r="G106" i="13" a="1"/>
  <c r="G106" i="13" s="1"/>
  <c r="H318" i="13"/>
  <c r="J318" i="13"/>
  <c r="H304" i="13"/>
  <c r="J304" i="13"/>
  <c r="H300" i="13"/>
  <c r="J300" i="13"/>
  <c r="H286" i="13"/>
  <c r="J286" i="13"/>
  <c r="H272" i="13"/>
  <c r="J272" i="13"/>
  <c r="H268" i="13"/>
  <c r="J268" i="13"/>
  <c r="H254" i="13"/>
  <c r="J254" i="13"/>
  <c r="S320" i="13"/>
  <c r="S315" i="13"/>
  <c r="S304" i="13"/>
  <c r="S299" i="13"/>
  <c r="I20" i="17" s="1"/>
  <c r="S288" i="13"/>
  <c r="S283" i="13"/>
  <c r="S272" i="13"/>
  <c r="S267" i="13"/>
  <c r="G175" i="13" a="1"/>
  <c r="G175" i="13" s="1"/>
  <c r="I175" i="13" a="1"/>
  <c r="I175" i="13" s="1"/>
  <c r="S325" i="13"/>
  <c r="G214" i="13" a="1"/>
  <c r="G214" i="13" s="1"/>
  <c r="G189" i="13" a="1"/>
  <c r="G189" i="13" s="1"/>
  <c r="I189" i="13" a="1"/>
  <c r="I189" i="13" s="1"/>
  <c r="I214" i="13" a="1"/>
  <c r="I214" i="13" s="1"/>
  <c r="S317" i="13"/>
  <c r="G177" i="13" a="1"/>
  <c r="G177" i="13" s="1"/>
  <c r="G180" i="13" a="1"/>
  <c r="G180" i="13" s="1"/>
  <c r="I177" i="13" a="1"/>
  <c r="I177" i="13" s="1"/>
  <c r="I180" i="13" a="1"/>
  <c r="I180" i="13" s="1"/>
  <c r="S309" i="13"/>
  <c r="G246" i="13" a="1"/>
  <c r="G246" i="13" s="1"/>
  <c r="G244" i="13" a="1"/>
  <c r="G244" i="13" s="1"/>
  <c r="I246" i="13" a="1"/>
  <c r="I246" i="13" s="1"/>
  <c r="I244" i="13" a="1"/>
  <c r="I244" i="13" s="1"/>
  <c r="S301" i="13"/>
  <c r="G169" i="13" a="1"/>
  <c r="G169" i="13" s="1"/>
  <c r="G170" i="13" a="1"/>
  <c r="G170" i="13" s="1"/>
  <c r="S293" i="13"/>
  <c r="G154" i="13" a="1"/>
  <c r="G154" i="13" s="1"/>
  <c r="S285" i="13"/>
  <c r="G115" i="13" a="1"/>
  <c r="G115" i="13" s="1"/>
  <c r="G118" i="13" a="1"/>
  <c r="G118" i="13" s="1"/>
  <c r="S277" i="13"/>
  <c r="G109" i="13" a="1"/>
  <c r="G109" i="13" s="1"/>
  <c r="G110" i="13" a="1"/>
  <c r="G110" i="13" s="1"/>
  <c r="S269" i="13"/>
  <c r="G103" i="13" a="1"/>
  <c r="G103" i="13" s="1"/>
  <c r="G102" i="13" a="1"/>
  <c r="G102" i="13" s="1"/>
  <c r="S261" i="13"/>
  <c r="G148" i="13" a="1"/>
  <c r="G148" i="13" s="1"/>
  <c r="G160" i="13" a="1"/>
  <c r="G160" i="13" s="1"/>
  <c r="S253" i="13"/>
  <c r="H324" i="13"/>
  <c r="J324" i="13"/>
  <c r="H310" i="13"/>
  <c r="J310" i="13"/>
  <c r="H296" i="13"/>
  <c r="J296" i="13"/>
  <c r="H292" i="13"/>
  <c r="J292" i="13"/>
  <c r="H278" i="13"/>
  <c r="J278" i="13"/>
  <c r="H264" i="13"/>
  <c r="J264" i="13"/>
  <c r="H260" i="13"/>
  <c r="J260" i="13"/>
  <c r="J44" i="17"/>
  <c r="J38" i="17"/>
  <c r="J19" i="17"/>
  <c r="J7" i="17"/>
  <c r="J6" i="17"/>
  <c r="J10" i="17" s="1"/>
  <c r="J13" i="17" s="1"/>
  <c r="AE288" i="13" l="1"/>
  <c r="AD288" i="13" s="1"/>
  <c r="AC288" i="13"/>
  <c r="AB288" i="13" s="1"/>
  <c r="AE272" i="13"/>
  <c r="AD272" i="13" s="1"/>
  <c r="AC272" i="13"/>
  <c r="AB272" i="13" s="1"/>
  <c r="AC320" i="13"/>
  <c r="AB320" i="13" s="1"/>
  <c r="AE320" i="13"/>
  <c r="AD320" i="13" s="1"/>
  <c r="AC285" i="13"/>
  <c r="AB285" i="13" s="1"/>
  <c r="AE285" i="13"/>
  <c r="AD285" i="13" s="1"/>
  <c r="AE297" i="13"/>
  <c r="AD297" i="13" s="1"/>
  <c r="AC297" i="13"/>
  <c r="AB297" i="13" s="1"/>
  <c r="AC296" i="13"/>
  <c r="AB296" i="13" s="1"/>
  <c r="AE296" i="13"/>
  <c r="AD296" i="13" s="1"/>
  <c r="AC293" i="13"/>
  <c r="AB293" i="13" s="1"/>
  <c r="AE293" i="13"/>
  <c r="AD293" i="13" s="1"/>
  <c r="AE313" i="13"/>
  <c r="AD313" i="13" s="1"/>
  <c r="AC313" i="13"/>
  <c r="AB313" i="13" s="1"/>
  <c r="AE301" i="13"/>
  <c r="AD301" i="13" s="1"/>
  <c r="AC301" i="13"/>
  <c r="AB301" i="13" s="1"/>
  <c r="H246" i="13"/>
  <c r="R246" i="13" s="1" a="1"/>
  <c r="R246" i="13" s="1"/>
  <c r="J246" i="13"/>
  <c r="H180" i="13"/>
  <c r="R180" i="13" s="1" a="1"/>
  <c r="R180" i="13" s="1"/>
  <c r="J180" i="13"/>
  <c r="H233" i="13"/>
  <c r="R233" i="13" s="1" a="1"/>
  <c r="R233" i="13" s="1"/>
  <c r="J233" i="13"/>
  <c r="H184" i="13"/>
  <c r="R184" i="13" s="1" a="1"/>
  <c r="R184" i="13" s="1"/>
  <c r="J184" i="13"/>
  <c r="H211" i="13"/>
  <c r="R211" i="13" s="1" a="1"/>
  <c r="R211" i="13" s="1"/>
  <c r="J211" i="13"/>
  <c r="H173" i="13"/>
  <c r="R173" i="13" s="1" a="1"/>
  <c r="R173" i="13" s="1"/>
  <c r="J173" i="13"/>
  <c r="H176" i="13"/>
  <c r="R176" i="13" s="1" a="1"/>
  <c r="R176" i="13" s="1"/>
  <c r="J176" i="13"/>
  <c r="H201" i="13"/>
  <c r="R201" i="13" s="1" a="1"/>
  <c r="R201" i="13" s="1"/>
  <c r="J201" i="13"/>
  <c r="H229" i="13"/>
  <c r="R229" i="13" s="1" a="1"/>
  <c r="R229" i="13" s="1"/>
  <c r="J229" i="13"/>
  <c r="H234" i="13"/>
  <c r="R234" i="13" s="1" a="1"/>
  <c r="R234" i="13" s="1"/>
  <c r="J234" i="13"/>
  <c r="H186" i="13"/>
  <c r="R186" i="13" s="1" a="1"/>
  <c r="R186" i="13" s="1"/>
  <c r="J186" i="13"/>
  <c r="H210" i="13"/>
  <c r="R210" i="13" s="1" a="1"/>
  <c r="R210" i="13" s="1"/>
  <c r="J210" i="13"/>
  <c r="H191" i="13"/>
  <c r="R191" i="13" s="1" a="1"/>
  <c r="R191" i="13" s="1"/>
  <c r="J191" i="13"/>
  <c r="H247" i="13"/>
  <c r="R247" i="13" s="1" a="1"/>
  <c r="R247" i="13" s="1"/>
  <c r="J247" i="13"/>
  <c r="H239" i="13"/>
  <c r="R239" i="13" s="1" a="1"/>
  <c r="R239" i="13" s="1"/>
  <c r="J239" i="13"/>
  <c r="J7" i="13"/>
  <c r="H160" i="13"/>
  <c r="R160" i="13" s="1" a="1"/>
  <c r="R160" i="13" s="1"/>
  <c r="J160" i="13"/>
  <c r="H103" i="13"/>
  <c r="R103" i="13" s="1" a="1"/>
  <c r="R103" i="13" s="1"/>
  <c r="J103" i="13"/>
  <c r="H110" i="13"/>
  <c r="R110" i="13" s="1" a="1"/>
  <c r="R110" i="13" s="1"/>
  <c r="J110" i="13"/>
  <c r="H118" i="13"/>
  <c r="R118" i="13" s="1" a="1"/>
  <c r="R118" i="13" s="1"/>
  <c r="J118" i="13"/>
  <c r="H154" i="13"/>
  <c r="R154" i="13" s="1" a="1"/>
  <c r="R154" i="13" s="1"/>
  <c r="J154" i="13"/>
  <c r="H170" i="13"/>
  <c r="R170" i="13" s="1" a="1"/>
  <c r="R170" i="13" s="1"/>
  <c r="J170" i="13"/>
  <c r="H218" i="13"/>
  <c r="R218" i="13" s="1" a="1"/>
  <c r="R218" i="13" s="1"/>
  <c r="J218" i="13"/>
  <c r="H206" i="13"/>
  <c r="R206" i="13" s="1" a="1"/>
  <c r="R206" i="13" s="1"/>
  <c r="J206" i="13"/>
  <c r="H248" i="13"/>
  <c r="R248" i="13" s="1" a="1"/>
  <c r="R248" i="13" s="1"/>
  <c r="J248" i="13"/>
  <c r="J26" i="13"/>
  <c r="J44" i="13"/>
  <c r="H152" i="13"/>
  <c r="R152" i="13" s="1" a="1"/>
  <c r="R152" i="13" s="1"/>
  <c r="J152" i="13"/>
  <c r="H128" i="13"/>
  <c r="R128" i="13" s="1" a="1"/>
  <c r="R128" i="13" s="1"/>
  <c r="J128" i="13"/>
  <c r="H137" i="13"/>
  <c r="R137" i="13" s="1" a="1"/>
  <c r="R137" i="13" s="1"/>
  <c r="J137" i="13"/>
  <c r="H231" i="13"/>
  <c r="R231" i="13" s="1" a="1"/>
  <c r="R231" i="13" s="1"/>
  <c r="J231" i="13"/>
  <c r="H245" i="13"/>
  <c r="R245" i="13" s="1" a="1"/>
  <c r="R245" i="13" s="1"/>
  <c r="J245" i="13"/>
  <c r="G36" i="13" a="1"/>
  <c r="G36" i="13" s="1"/>
  <c r="S158" i="13"/>
  <c r="W158" i="13"/>
  <c r="X158" i="13" s="1"/>
  <c r="H143" i="13"/>
  <c r="R143" i="13" s="1" a="1"/>
  <c r="R143" i="13" s="1"/>
  <c r="J143" i="13"/>
  <c r="H106" i="13"/>
  <c r="R106" i="13" s="1" a="1"/>
  <c r="R106" i="13" s="1"/>
  <c r="J106" i="13"/>
  <c r="H166" i="13"/>
  <c r="R166" i="13" s="1" a="1"/>
  <c r="R166" i="13" s="1"/>
  <c r="J166" i="13"/>
  <c r="H130" i="13"/>
  <c r="R130" i="13" s="1" a="1"/>
  <c r="R130" i="13" s="1"/>
  <c r="J130" i="13"/>
  <c r="H125" i="13"/>
  <c r="R125" i="13" s="1" a="1"/>
  <c r="R125" i="13" s="1"/>
  <c r="J125" i="13"/>
  <c r="H124" i="13"/>
  <c r="R124" i="13" s="1" a="1"/>
  <c r="R124" i="13" s="1"/>
  <c r="J124" i="13"/>
  <c r="AE68" i="13"/>
  <c r="AD68" i="13" s="1"/>
  <c r="AC132" i="13"/>
  <c r="AB132" i="13" s="1"/>
  <c r="AE132" i="13"/>
  <c r="AD132" i="13" s="1"/>
  <c r="AE180" i="13"/>
  <c r="AD180" i="13" s="1"/>
  <c r="AC180" i="13"/>
  <c r="AB180" i="13" s="1"/>
  <c r="AE228" i="13"/>
  <c r="AD228" i="13" s="1"/>
  <c r="AE244" i="13"/>
  <c r="AD244" i="13" s="1"/>
  <c r="AE260" i="13"/>
  <c r="AD260" i="13" s="1"/>
  <c r="AC260" i="13"/>
  <c r="AB260" i="13" s="1"/>
  <c r="AC276" i="13"/>
  <c r="AB276" i="13" s="1"/>
  <c r="AE276" i="13"/>
  <c r="AD276" i="13" s="1"/>
  <c r="AC292" i="13"/>
  <c r="AB292" i="13" s="1"/>
  <c r="AE292" i="13"/>
  <c r="AD292" i="13" s="1"/>
  <c r="AC308" i="13"/>
  <c r="AB308" i="13" s="1"/>
  <c r="AE308" i="13"/>
  <c r="AD308" i="13" s="1"/>
  <c r="AE324" i="13"/>
  <c r="AD324" i="13" s="1"/>
  <c r="AC324" i="13"/>
  <c r="AB324" i="13" s="1"/>
  <c r="H97" i="13"/>
  <c r="R97" i="13" s="1" a="1"/>
  <c r="R97" i="13" s="1"/>
  <c r="J97" i="13"/>
  <c r="H121" i="13"/>
  <c r="R121" i="13" s="1" a="1"/>
  <c r="R121" i="13" s="1"/>
  <c r="J121" i="13"/>
  <c r="H114" i="13"/>
  <c r="R114" i="13" s="1" a="1"/>
  <c r="R114" i="13" s="1"/>
  <c r="AC114" i="13" s="1"/>
  <c r="AB114" i="13" s="1"/>
  <c r="J114" i="13"/>
  <c r="H156" i="13"/>
  <c r="R156" i="13" s="1" a="1"/>
  <c r="R156" i="13" s="1"/>
  <c r="J156" i="13"/>
  <c r="AE278" i="13"/>
  <c r="AD278" i="13" s="1"/>
  <c r="AC278" i="13"/>
  <c r="AB278" i="13" s="1"/>
  <c r="H129" i="13"/>
  <c r="R129" i="13" s="1" a="1"/>
  <c r="R129" i="13" s="1"/>
  <c r="J129" i="13"/>
  <c r="AE46" i="13"/>
  <c r="AD46" i="13" s="1"/>
  <c r="AE150" i="13"/>
  <c r="AD150" i="13" s="1"/>
  <c r="H101" i="13"/>
  <c r="R101" i="13" s="1" a="1"/>
  <c r="R101" i="13" s="1"/>
  <c r="J101" i="13"/>
  <c r="AE158" i="13"/>
  <c r="AD158" i="13" s="1"/>
  <c r="AC158" i="13"/>
  <c r="AB158" i="13" s="1"/>
  <c r="AE170" i="13"/>
  <c r="AD170" i="13" s="1"/>
  <c r="AC170" i="13"/>
  <c r="AB170" i="13" s="1"/>
  <c r="AE194" i="13"/>
  <c r="AD194" i="13" s="1"/>
  <c r="AE226" i="13"/>
  <c r="AD226" i="13" s="1"/>
  <c r="AC254" i="13"/>
  <c r="AB254" i="13" s="1"/>
  <c r="AE254" i="13"/>
  <c r="AD254" i="13" s="1"/>
  <c r="AC302" i="13"/>
  <c r="AB302" i="13" s="1"/>
  <c r="AE302" i="13"/>
  <c r="AD302" i="13" s="1"/>
  <c r="AE114" i="13"/>
  <c r="AD114" i="13" s="1"/>
  <c r="AE14" i="13"/>
  <c r="AD14" i="13" s="1"/>
  <c r="AE22" i="13"/>
  <c r="AD22" i="13" s="1"/>
  <c r="AE106" i="13"/>
  <c r="AD106" i="13" s="1"/>
  <c r="AC106" i="13"/>
  <c r="AB106" i="13" s="1"/>
  <c r="AE142" i="13"/>
  <c r="AD142" i="13" s="1"/>
  <c r="AE154" i="13"/>
  <c r="AD154" i="13" s="1"/>
  <c r="AC154" i="13"/>
  <c r="AB154" i="13" s="1"/>
  <c r="AE238" i="13"/>
  <c r="AD238" i="13" s="1"/>
  <c r="H177" i="13"/>
  <c r="R177" i="13" s="1" a="1"/>
  <c r="R177" i="13" s="1"/>
  <c r="J177" i="13"/>
  <c r="H214" i="13"/>
  <c r="R214" i="13" s="1" a="1"/>
  <c r="R214" i="13" s="1"/>
  <c r="J214" i="13"/>
  <c r="H215" i="13"/>
  <c r="R215" i="13" s="1" a="1"/>
  <c r="R215" i="13" s="1"/>
  <c r="J215" i="13"/>
  <c r="H196" i="13"/>
  <c r="R196" i="13" s="1" a="1"/>
  <c r="R196" i="13" s="1"/>
  <c r="J196" i="13"/>
  <c r="H178" i="13"/>
  <c r="R178" i="13" s="1" a="1"/>
  <c r="R178" i="13" s="1"/>
  <c r="AC178" i="13" s="1"/>
  <c r="AB178" i="13" s="1"/>
  <c r="J178" i="13"/>
  <c r="H198" i="13"/>
  <c r="R198" i="13" s="1" a="1"/>
  <c r="R198" i="13" s="1"/>
  <c r="J198" i="13"/>
  <c r="H219" i="13"/>
  <c r="R219" i="13" s="1" a="1"/>
  <c r="R219" i="13" s="1"/>
  <c r="J219" i="13"/>
  <c r="H228" i="13"/>
  <c r="R228" i="13" s="1" a="1"/>
  <c r="R228" i="13" s="1"/>
  <c r="AC228" i="13" s="1"/>
  <c r="AB228" i="13" s="1"/>
  <c r="J228" i="13"/>
  <c r="H236" i="13"/>
  <c r="R236" i="13" s="1" a="1"/>
  <c r="R236" i="13" s="1"/>
  <c r="AC236" i="13" s="1"/>
  <c r="AB236" i="13" s="1"/>
  <c r="J236" i="13"/>
  <c r="H187" i="13"/>
  <c r="R187" i="13" s="1" a="1"/>
  <c r="R187" i="13" s="1"/>
  <c r="J187" i="13"/>
  <c r="H171" i="13"/>
  <c r="R171" i="13" s="1" a="1"/>
  <c r="R171" i="13" s="1"/>
  <c r="J171" i="13"/>
  <c r="H208" i="13"/>
  <c r="R208" i="13" s="1" a="1"/>
  <c r="R208" i="13" s="1"/>
  <c r="J208" i="13"/>
  <c r="H204" i="13"/>
  <c r="R204" i="13" s="1" a="1"/>
  <c r="R204" i="13" s="1"/>
  <c r="J204" i="13"/>
  <c r="H193" i="13"/>
  <c r="R193" i="13" s="1" a="1"/>
  <c r="R193" i="13" s="1"/>
  <c r="J193" i="13"/>
  <c r="H241" i="13"/>
  <c r="R241" i="13" s="1" a="1"/>
  <c r="R241" i="13" s="1"/>
  <c r="J241" i="13"/>
  <c r="J25" i="13"/>
  <c r="J29" i="13"/>
  <c r="J35" i="13"/>
  <c r="H148" i="13"/>
  <c r="R148" i="13" s="1" a="1"/>
  <c r="R148" i="13" s="1"/>
  <c r="J148" i="13"/>
  <c r="H102" i="13"/>
  <c r="R102" i="13" s="1" a="1"/>
  <c r="R102" i="13" s="1"/>
  <c r="J102" i="13"/>
  <c r="H109" i="13"/>
  <c r="R109" i="13" s="1" a="1"/>
  <c r="R109" i="13" s="1"/>
  <c r="J109" i="13"/>
  <c r="H115" i="13"/>
  <c r="R115" i="13" s="1" a="1"/>
  <c r="R115" i="13" s="1"/>
  <c r="J115" i="13"/>
  <c r="H181" i="13"/>
  <c r="R181" i="13" s="1" a="1"/>
  <c r="R181" i="13" s="1"/>
  <c r="J181" i="13"/>
  <c r="J20" i="13"/>
  <c r="H105" i="13"/>
  <c r="R105" i="13" s="1" a="1"/>
  <c r="R105" i="13" s="1"/>
  <c r="J105" i="13"/>
  <c r="H133" i="13"/>
  <c r="R133" i="13" s="1" a="1"/>
  <c r="R133" i="13" s="1"/>
  <c r="J133" i="13"/>
  <c r="H226" i="13"/>
  <c r="R226" i="13" s="1" a="1"/>
  <c r="R226" i="13" s="1"/>
  <c r="J226" i="13"/>
  <c r="J10" i="13"/>
  <c r="H100" i="13"/>
  <c r="R100" i="13" s="1" a="1"/>
  <c r="R100" i="13" s="1"/>
  <c r="J100" i="13"/>
  <c r="H127" i="13"/>
  <c r="R127" i="13" s="1" a="1"/>
  <c r="R127" i="13" s="1"/>
  <c r="J127" i="13"/>
  <c r="H151" i="13"/>
  <c r="R151" i="13" s="1" a="1"/>
  <c r="R151" i="13" s="1"/>
  <c r="J151" i="13"/>
  <c r="H138" i="13"/>
  <c r="R138" i="13" s="1" a="1"/>
  <c r="R138" i="13" s="1"/>
  <c r="J138" i="13"/>
  <c r="J15" i="13"/>
  <c r="H98" i="13"/>
  <c r="R98" i="13" s="1" a="1"/>
  <c r="R98" i="13" s="1"/>
  <c r="AC98" i="13" s="1"/>
  <c r="AB98" i="13" s="1"/>
  <c r="J98" i="13"/>
  <c r="G38" i="13" a="1"/>
  <c r="G38" i="13" s="1"/>
  <c r="H38" i="13" s="1"/>
  <c r="R38" i="13" s="1" a="1"/>
  <c r="R38" i="13" s="1"/>
  <c r="S132" i="13"/>
  <c r="W132" i="13"/>
  <c r="X132" i="13" s="1"/>
  <c r="H107" i="13"/>
  <c r="R107" i="13" s="1" a="1"/>
  <c r="R107" i="13" s="1"/>
  <c r="J107" i="13"/>
  <c r="AE52" i="13"/>
  <c r="AD52" i="13" s="1"/>
  <c r="AE116" i="13"/>
  <c r="AD116" i="13" s="1"/>
  <c r="AE164" i="13"/>
  <c r="AD164" i="13" s="1"/>
  <c r="AE212" i="13"/>
  <c r="AD212" i="13" s="1"/>
  <c r="J47" i="13"/>
  <c r="J21" i="13"/>
  <c r="H122" i="13"/>
  <c r="R122" i="13" s="1" a="1"/>
  <c r="R122" i="13" s="1"/>
  <c r="AC122" i="13" s="1"/>
  <c r="AB122" i="13" s="1"/>
  <c r="J122" i="13"/>
  <c r="H168" i="13"/>
  <c r="R168" i="13" s="1" a="1"/>
  <c r="R168" i="13" s="1"/>
  <c r="J168" i="13"/>
  <c r="AE246" i="13"/>
  <c r="AD246" i="13" s="1"/>
  <c r="AC246" i="13"/>
  <c r="AB246" i="13" s="1"/>
  <c r="AE310" i="13"/>
  <c r="AD310" i="13" s="1"/>
  <c r="AC310" i="13"/>
  <c r="AB310" i="13" s="1"/>
  <c r="H167" i="13"/>
  <c r="R167" i="13" s="1" a="1"/>
  <c r="R167" i="13" s="1"/>
  <c r="J167" i="13"/>
  <c r="H123" i="13"/>
  <c r="R123" i="13" s="1" a="1"/>
  <c r="R123" i="13" s="1"/>
  <c r="J123" i="13"/>
  <c r="AE58" i="13"/>
  <c r="AD58" i="13" s="1"/>
  <c r="AE74" i="13"/>
  <c r="AD74" i="13" s="1"/>
  <c r="AC258" i="13"/>
  <c r="AB258" i="13" s="1"/>
  <c r="AE258" i="13"/>
  <c r="AD258" i="13" s="1"/>
  <c r="H165" i="13"/>
  <c r="R165" i="13" s="1" a="1"/>
  <c r="R165" i="13" s="1"/>
  <c r="J165" i="13"/>
  <c r="AE182" i="13"/>
  <c r="AD182" i="13" s="1"/>
  <c r="AC214" i="13"/>
  <c r="AB214" i="13" s="1"/>
  <c r="AE214" i="13"/>
  <c r="AD214" i="13" s="1"/>
  <c r="AE34" i="13"/>
  <c r="AD34" i="13" s="1"/>
  <c r="AE98" i="13"/>
  <c r="AD98" i="13" s="1"/>
  <c r="AE206" i="13"/>
  <c r="AD206" i="13" s="1"/>
  <c r="AC206" i="13"/>
  <c r="AB206" i="13" s="1"/>
  <c r="AC218" i="13"/>
  <c r="AB218" i="13" s="1"/>
  <c r="AE218" i="13"/>
  <c r="AD218" i="13" s="1"/>
  <c r="H175" i="13"/>
  <c r="R175" i="13" s="1" a="1"/>
  <c r="R175" i="13" s="1"/>
  <c r="J175" i="13"/>
  <c r="H222" i="13"/>
  <c r="R222" i="13" s="1" a="1"/>
  <c r="R222" i="13" s="1"/>
  <c r="J222" i="13"/>
  <c r="H172" i="13"/>
  <c r="R172" i="13" s="1" a="1"/>
  <c r="R172" i="13" s="1"/>
  <c r="J172" i="13"/>
  <c r="H225" i="13"/>
  <c r="R225" i="13" s="1" a="1"/>
  <c r="R225" i="13" s="1"/>
  <c r="J225" i="13"/>
  <c r="H183" i="13"/>
  <c r="R183" i="13" s="1" a="1"/>
  <c r="R183" i="13" s="1"/>
  <c r="J183" i="13"/>
  <c r="H205" i="13"/>
  <c r="R205" i="13" s="1" a="1"/>
  <c r="R205" i="13" s="1"/>
  <c r="J205" i="13"/>
  <c r="H195" i="13"/>
  <c r="R195" i="13" s="1" a="1"/>
  <c r="R195" i="13" s="1"/>
  <c r="J195" i="13"/>
  <c r="H200" i="13"/>
  <c r="R200" i="13" s="1" a="1"/>
  <c r="R200" i="13" s="1"/>
  <c r="J200" i="13"/>
  <c r="H220" i="13"/>
  <c r="R220" i="13" s="1" a="1"/>
  <c r="R220" i="13" s="1"/>
  <c r="J220" i="13"/>
  <c r="H227" i="13"/>
  <c r="R227" i="13" s="1" a="1"/>
  <c r="R227" i="13" s="1"/>
  <c r="J227" i="13"/>
  <c r="H235" i="13"/>
  <c r="R235" i="13" s="1" a="1"/>
  <c r="R235" i="13" s="1"/>
  <c r="J235" i="13"/>
  <c r="H188" i="13"/>
  <c r="R188" i="13" s="1" a="1"/>
  <c r="R188" i="13" s="1"/>
  <c r="J188" i="13"/>
  <c r="H174" i="13"/>
  <c r="R174" i="13" s="1" a="1"/>
  <c r="R174" i="13" s="1"/>
  <c r="AC174" i="13" s="1"/>
  <c r="AB174" i="13" s="1"/>
  <c r="J174" i="13"/>
  <c r="H242" i="13"/>
  <c r="R242" i="13" s="1" a="1"/>
  <c r="R242" i="13" s="1"/>
  <c r="J242" i="13"/>
  <c r="H190" i="13"/>
  <c r="R190" i="13" s="1" a="1"/>
  <c r="R190" i="13" s="1"/>
  <c r="AC190" i="13" s="1"/>
  <c r="AB190" i="13" s="1"/>
  <c r="J190" i="13"/>
  <c r="H240" i="13"/>
  <c r="R240" i="13" s="1" a="1"/>
  <c r="R240" i="13" s="1"/>
  <c r="J240" i="13"/>
  <c r="H203" i="13"/>
  <c r="R203" i="13" s="1" a="1"/>
  <c r="R203" i="13" s="1"/>
  <c r="J203" i="13"/>
  <c r="J40" i="13"/>
  <c r="J8" i="13"/>
  <c r="J12" i="13"/>
  <c r="H212" i="13"/>
  <c r="R212" i="13" s="1" a="1"/>
  <c r="R212" i="13" s="1"/>
  <c r="AC212" i="13" s="1"/>
  <c r="AB212" i="13" s="1"/>
  <c r="J212" i="13"/>
  <c r="H216" i="13"/>
  <c r="R216" i="13" s="1" a="1"/>
  <c r="R216" i="13" s="1"/>
  <c r="J216" i="13"/>
  <c r="J49" i="13"/>
  <c r="H104" i="13"/>
  <c r="R104" i="13" s="1" a="1"/>
  <c r="R104" i="13" s="1"/>
  <c r="J104" i="13"/>
  <c r="H224" i="13"/>
  <c r="R224" i="13" s="1" a="1"/>
  <c r="R224" i="13" s="1"/>
  <c r="J224" i="13"/>
  <c r="H135" i="13"/>
  <c r="R135" i="13" s="1" a="1"/>
  <c r="R135" i="13" s="1"/>
  <c r="J135" i="13"/>
  <c r="H99" i="13"/>
  <c r="R99" i="13" s="1" a="1"/>
  <c r="R99" i="13" s="1"/>
  <c r="J99" i="13"/>
  <c r="H150" i="13"/>
  <c r="R150" i="13" s="1" a="1"/>
  <c r="R150" i="13" s="1"/>
  <c r="J150" i="13"/>
  <c r="H116" i="13"/>
  <c r="R116" i="13" s="1" a="1"/>
  <c r="R116" i="13" s="1"/>
  <c r="AC116" i="13" s="1"/>
  <c r="AB116" i="13" s="1"/>
  <c r="J116" i="13"/>
  <c r="H126" i="13"/>
  <c r="R126" i="13" s="1" a="1"/>
  <c r="R126" i="13" s="1"/>
  <c r="J126" i="13"/>
  <c r="H140" i="13"/>
  <c r="R140" i="13" s="1" a="1"/>
  <c r="R140" i="13" s="1"/>
  <c r="J140" i="13"/>
  <c r="H95" i="13"/>
  <c r="R95" i="13" s="1" a="1"/>
  <c r="R95" i="13" s="1"/>
  <c r="J95" i="13"/>
  <c r="H153" i="13"/>
  <c r="R153" i="13" s="1" a="1"/>
  <c r="R153" i="13" s="1"/>
  <c r="J153" i="13"/>
  <c r="H155" i="13"/>
  <c r="R155" i="13" s="1" a="1"/>
  <c r="R155" i="13" s="1"/>
  <c r="J155" i="13"/>
  <c r="AE36" i="13"/>
  <c r="AD36" i="13" s="1"/>
  <c r="AE100" i="13"/>
  <c r="AD100" i="13" s="1"/>
  <c r="AC100" i="13"/>
  <c r="AB100" i="13" s="1"/>
  <c r="AC148" i="13"/>
  <c r="AB148" i="13" s="1"/>
  <c r="AE148" i="13"/>
  <c r="AD148" i="13" s="1"/>
  <c r="AE236" i="13"/>
  <c r="AD236" i="13" s="1"/>
  <c r="AE252" i="13"/>
  <c r="AD252" i="13" s="1"/>
  <c r="AC252" i="13"/>
  <c r="AB252" i="13" s="1"/>
  <c r="AC268" i="13"/>
  <c r="AB268" i="13" s="1"/>
  <c r="AE268" i="13"/>
  <c r="AD268" i="13" s="1"/>
  <c r="AC284" i="13"/>
  <c r="AB284" i="13" s="1"/>
  <c r="AE284" i="13"/>
  <c r="AD284" i="13" s="1"/>
  <c r="AE300" i="13"/>
  <c r="AD300" i="13" s="1"/>
  <c r="AC300" i="13"/>
  <c r="AB300" i="13" s="1"/>
  <c r="AE316" i="13"/>
  <c r="AD316" i="13" s="1"/>
  <c r="AC316" i="13"/>
  <c r="AB316" i="13" s="1"/>
  <c r="H163" i="13"/>
  <c r="R163" i="13" s="1" a="1"/>
  <c r="R163" i="13" s="1"/>
  <c r="J163" i="13"/>
  <c r="H108" i="13"/>
  <c r="R108" i="13" s="1" a="1"/>
  <c r="R108" i="13" s="1"/>
  <c r="J108" i="13"/>
  <c r="H159" i="13"/>
  <c r="R159" i="13" s="1" a="1"/>
  <c r="R159" i="13" s="1"/>
  <c r="J159" i="13"/>
  <c r="H134" i="13"/>
  <c r="R134" i="13" s="1" a="1"/>
  <c r="R134" i="13" s="1"/>
  <c r="J134" i="13"/>
  <c r="AC208" i="13"/>
  <c r="AB208" i="13" s="1"/>
  <c r="AE208" i="13"/>
  <c r="AD208" i="13" s="1"/>
  <c r="H162" i="13"/>
  <c r="R162" i="13" s="1" a="1"/>
  <c r="R162" i="13" s="1"/>
  <c r="AC162" i="13" s="1"/>
  <c r="AB162" i="13" s="1"/>
  <c r="J162" i="13"/>
  <c r="AE66" i="13"/>
  <c r="AD66" i="13" s="1"/>
  <c r="AE90" i="13"/>
  <c r="AD90" i="13" s="1"/>
  <c r="AE126" i="13"/>
  <c r="AD126" i="13" s="1"/>
  <c r="AC126" i="13"/>
  <c r="AB126" i="13" s="1"/>
  <c r="AC138" i="13"/>
  <c r="AB138" i="13" s="1"/>
  <c r="AE138" i="13"/>
  <c r="AD138" i="13" s="1"/>
  <c r="AE174" i="13"/>
  <c r="AD174" i="13" s="1"/>
  <c r="AC186" i="13"/>
  <c r="AB186" i="13" s="1"/>
  <c r="AE186" i="13"/>
  <c r="AD186" i="13" s="1"/>
  <c r="AE286" i="13"/>
  <c r="AD286" i="13" s="1"/>
  <c r="AC286" i="13"/>
  <c r="AB286" i="13" s="1"/>
  <c r="AE306" i="13"/>
  <c r="AD306" i="13" s="1"/>
  <c r="AC306" i="13"/>
  <c r="AB306" i="13" s="1"/>
  <c r="AE266" i="13"/>
  <c r="AD266" i="13" s="1"/>
  <c r="AC266" i="13"/>
  <c r="AB266" i="13" s="1"/>
  <c r="H142" i="13"/>
  <c r="R142" i="13" s="1" a="1"/>
  <c r="R142" i="13" s="1"/>
  <c r="AC142" i="13" s="1"/>
  <c r="AB142" i="13" s="1"/>
  <c r="J142" i="13"/>
  <c r="H119" i="13"/>
  <c r="R119" i="13" s="1" a="1"/>
  <c r="R119" i="13" s="1"/>
  <c r="J119" i="13"/>
  <c r="AE290" i="13"/>
  <c r="AD290" i="13" s="1"/>
  <c r="AC290" i="13"/>
  <c r="AB290" i="13" s="1"/>
  <c r="AC262" i="13"/>
  <c r="AB262" i="13" s="1"/>
  <c r="AE262" i="13"/>
  <c r="AD262" i="13" s="1"/>
  <c r="AE30" i="13"/>
  <c r="AD30" i="13" s="1"/>
  <c r="AE42" i="13"/>
  <c r="AD42" i="13" s="1"/>
  <c r="AE62" i="13"/>
  <c r="AD62" i="13" s="1"/>
  <c r="AE86" i="13"/>
  <c r="AD86" i="13" s="1"/>
  <c r="AC130" i="13"/>
  <c r="AB130" i="13" s="1"/>
  <c r="AE130" i="13"/>
  <c r="AD130" i="13" s="1"/>
  <c r="AE190" i="13"/>
  <c r="AD190" i="13" s="1"/>
  <c r="AE230" i="13"/>
  <c r="AD230" i="13" s="1"/>
  <c r="AC322" i="13"/>
  <c r="AB322" i="13" s="1"/>
  <c r="AE322" i="13"/>
  <c r="AD322" i="13" s="1"/>
  <c r="H189" i="13"/>
  <c r="R189" i="13" s="1" a="1"/>
  <c r="R189" i="13" s="1"/>
  <c r="J189" i="13"/>
  <c r="H244" i="13"/>
  <c r="R244" i="13" s="1" a="1"/>
  <c r="R244" i="13" s="1"/>
  <c r="AC244" i="13" s="1"/>
  <c r="AB244" i="13" s="1"/>
  <c r="J244" i="13"/>
  <c r="H221" i="13"/>
  <c r="R221" i="13" s="1" a="1"/>
  <c r="R221" i="13" s="1"/>
  <c r="J221" i="13"/>
  <c r="H213" i="13"/>
  <c r="R213" i="13" s="1" a="1"/>
  <c r="R213" i="13" s="1"/>
  <c r="J213" i="13"/>
  <c r="H182" i="13"/>
  <c r="R182" i="13" s="1" a="1"/>
  <c r="R182" i="13" s="1"/>
  <c r="AC182" i="13" s="1"/>
  <c r="AB182" i="13" s="1"/>
  <c r="J182" i="13"/>
  <c r="H194" i="13"/>
  <c r="R194" i="13" s="1" a="1"/>
  <c r="R194" i="13" s="1"/>
  <c r="J194" i="13"/>
  <c r="H238" i="13"/>
  <c r="R238" i="13" s="1" a="1"/>
  <c r="R238" i="13" s="1"/>
  <c r="AC238" i="13" s="1"/>
  <c r="AB238" i="13" s="1"/>
  <c r="J238" i="13"/>
  <c r="H199" i="13"/>
  <c r="R199" i="13" s="1" a="1"/>
  <c r="R199" i="13" s="1"/>
  <c r="J199" i="13"/>
  <c r="H230" i="13"/>
  <c r="R230" i="13" s="1" a="1"/>
  <c r="R230" i="13" s="1"/>
  <c r="J230" i="13"/>
  <c r="H237" i="13"/>
  <c r="R237" i="13" s="1" a="1"/>
  <c r="R237" i="13" s="1"/>
  <c r="J237" i="13"/>
  <c r="H185" i="13"/>
  <c r="R185" i="13" s="1" a="1"/>
  <c r="R185" i="13" s="1"/>
  <c r="J185" i="13"/>
  <c r="H209" i="13"/>
  <c r="R209" i="13" s="1" a="1"/>
  <c r="R209" i="13" s="1"/>
  <c r="J209" i="13"/>
  <c r="H192" i="13"/>
  <c r="R192" i="13" s="1" a="1"/>
  <c r="R192" i="13" s="1"/>
  <c r="J192" i="13"/>
  <c r="H249" i="13"/>
  <c r="R249" i="13" s="1" a="1"/>
  <c r="R249" i="13" s="1"/>
  <c r="J249" i="13"/>
  <c r="H232" i="13"/>
  <c r="R232" i="13" s="1" a="1"/>
  <c r="R232" i="13" s="1"/>
  <c r="J232" i="13"/>
  <c r="H202" i="13"/>
  <c r="R202" i="13" s="1" a="1"/>
  <c r="R202" i="13" s="1"/>
  <c r="J202" i="13"/>
  <c r="J34" i="13"/>
  <c r="H169" i="13"/>
  <c r="R169" i="13" s="1" a="1"/>
  <c r="R169" i="13" s="1"/>
  <c r="J169" i="13"/>
  <c r="H179" i="13"/>
  <c r="R179" i="13" s="1" a="1"/>
  <c r="R179" i="13" s="1"/>
  <c r="J179" i="13"/>
  <c r="H197" i="13"/>
  <c r="R197" i="13" s="1" a="1"/>
  <c r="R197" i="13" s="1"/>
  <c r="J197" i="13"/>
  <c r="H217" i="13"/>
  <c r="R217" i="13" s="1" a="1"/>
  <c r="R217" i="13" s="1"/>
  <c r="J217" i="13"/>
  <c r="H207" i="13"/>
  <c r="R207" i="13" s="1" a="1"/>
  <c r="R207" i="13" s="1"/>
  <c r="J207" i="13"/>
  <c r="J33" i="13"/>
  <c r="H147" i="13"/>
  <c r="R147" i="13" s="1" a="1"/>
  <c r="R147" i="13" s="1"/>
  <c r="J147" i="13"/>
  <c r="H145" i="13"/>
  <c r="R145" i="13" s="1" a="1"/>
  <c r="R145" i="13" s="1"/>
  <c r="J145" i="13"/>
  <c r="H223" i="13"/>
  <c r="R223" i="13" s="1" a="1"/>
  <c r="R223" i="13" s="1"/>
  <c r="J223" i="13"/>
  <c r="H243" i="13"/>
  <c r="R243" i="13" s="1" a="1"/>
  <c r="R243" i="13" s="1"/>
  <c r="J243" i="13"/>
  <c r="H146" i="13"/>
  <c r="R146" i="13" s="1" a="1"/>
  <c r="R146" i="13" s="1"/>
  <c r="J146" i="13"/>
  <c r="J13" i="13"/>
  <c r="H149" i="13"/>
  <c r="R149" i="13" s="1" a="1"/>
  <c r="R149" i="13" s="1"/>
  <c r="J149" i="13"/>
  <c r="H111" i="13"/>
  <c r="R111" i="13" s="1" a="1"/>
  <c r="R111" i="13" s="1"/>
  <c r="J111" i="13"/>
  <c r="H139" i="13"/>
  <c r="R139" i="13" s="1" a="1"/>
  <c r="R139" i="13" s="1"/>
  <c r="J139" i="13"/>
  <c r="H36" i="13"/>
  <c r="R36" i="13" s="1" a="1"/>
  <c r="R36" i="13" s="1"/>
  <c r="J36" i="13"/>
  <c r="H164" i="13"/>
  <c r="R164" i="13" s="1" a="1"/>
  <c r="R164" i="13" s="1"/>
  <c r="AC164" i="13" s="1"/>
  <c r="AB164" i="13" s="1"/>
  <c r="J164" i="13"/>
  <c r="H96" i="13"/>
  <c r="R96" i="13" s="1" a="1"/>
  <c r="R96" i="13" s="1"/>
  <c r="J96" i="13"/>
  <c r="H131" i="13"/>
  <c r="R131" i="13" s="1" a="1"/>
  <c r="R131" i="13" s="1"/>
  <c r="J131" i="13"/>
  <c r="H144" i="13"/>
  <c r="R144" i="13" s="1" a="1"/>
  <c r="R144" i="13" s="1"/>
  <c r="J144" i="13"/>
  <c r="AE20" i="13"/>
  <c r="AD20" i="13" s="1"/>
  <c r="AE84" i="13"/>
  <c r="AD84" i="13" s="1"/>
  <c r="AE196" i="13"/>
  <c r="AD196" i="13" s="1"/>
  <c r="AC196" i="13"/>
  <c r="AB196" i="13" s="1"/>
  <c r="J31" i="13"/>
  <c r="J11" i="13"/>
  <c r="H161" i="13"/>
  <c r="R161" i="13" s="1" a="1"/>
  <c r="R161" i="13" s="1"/>
  <c r="J161" i="13"/>
  <c r="H117" i="13"/>
  <c r="R117" i="13" s="1" a="1"/>
  <c r="R117" i="13" s="1"/>
  <c r="J117" i="13"/>
  <c r="H113" i="13"/>
  <c r="R113" i="13" s="1" a="1"/>
  <c r="R113" i="13" s="1"/>
  <c r="J113" i="13"/>
  <c r="H136" i="13"/>
  <c r="R136" i="13" s="1" a="1"/>
  <c r="R136" i="13" s="1"/>
  <c r="J136" i="13"/>
  <c r="AE10" i="13"/>
  <c r="AD10" i="13" s="1"/>
  <c r="AE26" i="13"/>
  <c r="AD26" i="13" s="1"/>
  <c r="AE118" i="13"/>
  <c r="AD118" i="13" s="1"/>
  <c r="AC118" i="13"/>
  <c r="AB118" i="13" s="1"/>
  <c r="AE162" i="13"/>
  <c r="AD162" i="13" s="1"/>
  <c r="AC222" i="13"/>
  <c r="AB222" i="13" s="1"/>
  <c r="AE222" i="13"/>
  <c r="AD222" i="13" s="1"/>
  <c r="AC274" i="13"/>
  <c r="AB274" i="13" s="1"/>
  <c r="AE274" i="13"/>
  <c r="AD274" i="13" s="1"/>
  <c r="AE318" i="13"/>
  <c r="AD318" i="13" s="1"/>
  <c r="AC318" i="13"/>
  <c r="AB318" i="13" s="1"/>
  <c r="AE298" i="13"/>
  <c r="AD298" i="13" s="1"/>
  <c r="AC298" i="13"/>
  <c r="AB298" i="13" s="1"/>
  <c r="H112" i="13"/>
  <c r="R112" i="13" s="1" a="1"/>
  <c r="R112" i="13" s="1"/>
  <c r="J112" i="13"/>
  <c r="H141" i="13"/>
  <c r="R141" i="13" s="1" a="1"/>
  <c r="R141" i="13" s="1"/>
  <c r="J141" i="13"/>
  <c r="H120" i="13"/>
  <c r="R120" i="13" s="1" a="1"/>
  <c r="R120" i="13" s="1"/>
  <c r="J120" i="13"/>
  <c r="AE94" i="13"/>
  <c r="AD94" i="13" s="1"/>
  <c r="AC110" i="13"/>
  <c r="AB110" i="13" s="1"/>
  <c r="AE110" i="13"/>
  <c r="AD110" i="13" s="1"/>
  <c r="AE122" i="13"/>
  <c r="AD122" i="13" s="1"/>
  <c r="AE202" i="13"/>
  <c r="AD202" i="13" s="1"/>
  <c r="AC242" i="13"/>
  <c r="AB242" i="13" s="1"/>
  <c r="AE242" i="13"/>
  <c r="AD242" i="13" s="1"/>
  <c r="AE178" i="13"/>
  <c r="AD178" i="13" s="1"/>
  <c r="AE294" i="13"/>
  <c r="AD294" i="13" s="1"/>
  <c r="AC294" i="13"/>
  <c r="AB294" i="13" s="1"/>
  <c r="H157" i="13"/>
  <c r="R157" i="13" s="1" a="1"/>
  <c r="R157" i="13" s="1"/>
  <c r="J157" i="13"/>
  <c r="AE54" i="13"/>
  <c r="AD54" i="13" s="1"/>
  <c r="AE78" i="13"/>
  <c r="AD78" i="13" s="1"/>
  <c r="AE270" i="13"/>
  <c r="AD270" i="13" s="1"/>
  <c r="AC270" i="13"/>
  <c r="AB270" i="13" s="1"/>
  <c r="I14" i="17"/>
  <c r="J8" i="17"/>
  <c r="J14" i="17"/>
  <c r="I8" i="17"/>
  <c r="J20" i="17"/>
  <c r="K44" i="17"/>
  <c r="K38" i="17"/>
  <c r="K19" i="17"/>
  <c r="K7" i="17"/>
  <c r="K6" i="17"/>
  <c r="S120" i="13" l="1"/>
  <c r="W120" i="13"/>
  <c r="X120" i="13" s="1"/>
  <c r="AC120" i="13"/>
  <c r="AB120" i="13" s="1"/>
  <c r="S113" i="13"/>
  <c r="W113" i="13"/>
  <c r="X113" i="13" s="1"/>
  <c r="AC113" i="13"/>
  <c r="AB113" i="13" s="1"/>
  <c r="S144" i="13"/>
  <c r="AC144" i="13"/>
  <c r="AB144" i="13" s="1"/>
  <c r="W144" i="13"/>
  <c r="X144" i="13" s="1"/>
  <c r="G6" i="13" a="1"/>
  <c r="G6" i="13" s="1"/>
  <c r="H6" i="13" s="1"/>
  <c r="R6" i="13" s="1" a="1"/>
  <c r="R6" i="13" s="1"/>
  <c r="S111" i="13"/>
  <c r="W111" i="13"/>
  <c r="X111" i="13" s="1"/>
  <c r="AC111" i="13"/>
  <c r="AB111" i="13" s="1"/>
  <c r="S38" i="13"/>
  <c r="W38" i="13"/>
  <c r="X38" i="13" s="1"/>
  <c r="AC38" i="13"/>
  <c r="AB38" i="13" s="1"/>
  <c r="S151" i="13"/>
  <c r="AC151" i="13"/>
  <c r="AB151" i="13" s="1"/>
  <c r="W151" i="13"/>
  <c r="X151" i="13" s="1"/>
  <c r="S100" i="13"/>
  <c r="W100" i="13"/>
  <c r="X100" i="13" s="1"/>
  <c r="S226" i="13"/>
  <c r="W226" i="13"/>
  <c r="X226" i="13" s="1"/>
  <c r="S105" i="13"/>
  <c r="W105" i="13"/>
  <c r="X105" i="13" s="1"/>
  <c r="AC105" i="13"/>
  <c r="AB105" i="13" s="1"/>
  <c r="G50" i="13" a="1"/>
  <c r="G50" i="13" s="1"/>
  <c r="G80" i="13" a="1"/>
  <c r="G80" i="13" s="1"/>
  <c r="I50" i="13" a="1"/>
  <c r="I50" i="13" s="1"/>
  <c r="I80" i="13" a="1"/>
  <c r="I80" i="13" s="1"/>
  <c r="S181" i="13"/>
  <c r="W181" i="13"/>
  <c r="X181" i="13" s="1"/>
  <c r="AC181" i="13"/>
  <c r="AB181" i="13" s="1"/>
  <c r="G25" i="13" a="1"/>
  <c r="G25" i="13" s="1"/>
  <c r="H25" i="13" s="1"/>
  <c r="R25" i="13" s="1" a="1"/>
  <c r="R25" i="13" s="1"/>
  <c r="S109" i="13"/>
  <c r="W109" i="13"/>
  <c r="X109" i="13" s="1"/>
  <c r="AC109" i="13"/>
  <c r="AB109" i="13" s="1"/>
  <c r="G9" i="13" a="1"/>
  <c r="G9" i="13" s="1"/>
  <c r="H9" i="13" s="1"/>
  <c r="R9" i="13" s="1" a="1"/>
  <c r="R9" i="13" s="1"/>
  <c r="S148" i="13"/>
  <c r="W148" i="13"/>
  <c r="X148" i="13" s="1"/>
  <c r="S241" i="13"/>
  <c r="W241" i="13"/>
  <c r="X241" i="13" s="1"/>
  <c r="AC241" i="13"/>
  <c r="AB241" i="13" s="1"/>
  <c r="G90" i="13" a="1"/>
  <c r="G90" i="13" s="1"/>
  <c r="I90" i="13" a="1"/>
  <c r="I90" i="13" s="1"/>
  <c r="S204" i="13"/>
  <c r="W204" i="13"/>
  <c r="X204" i="13" s="1"/>
  <c r="AC204" i="13"/>
  <c r="AB204" i="13" s="1"/>
  <c r="G59" i="13" a="1"/>
  <c r="G59" i="13" s="1"/>
  <c r="I59" i="13" a="1"/>
  <c r="I59" i="13" s="1"/>
  <c r="S171" i="13"/>
  <c r="W171" i="13"/>
  <c r="X171" i="13" s="1"/>
  <c r="AC171" i="13"/>
  <c r="AB171" i="13" s="1"/>
  <c r="S236" i="13"/>
  <c r="W236" i="13"/>
  <c r="X236" i="13" s="1"/>
  <c r="G86" i="13" a="1"/>
  <c r="G86" i="13" s="1"/>
  <c r="I86" i="13" a="1"/>
  <c r="I86" i="13" s="1"/>
  <c r="S219" i="13"/>
  <c r="W219" i="13"/>
  <c r="X219" i="13" s="1"/>
  <c r="AC219" i="13"/>
  <c r="AB219" i="13" s="1"/>
  <c r="G74" i="13" a="1"/>
  <c r="G74" i="13" s="1"/>
  <c r="I74" i="13" a="1"/>
  <c r="I74" i="13" s="1"/>
  <c r="S178" i="13"/>
  <c r="W178" i="13"/>
  <c r="X178" i="13" s="1"/>
  <c r="S215" i="13"/>
  <c r="AC215" i="13"/>
  <c r="AB215" i="13" s="1"/>
  <c r="W215" i="13"/>
  <c r="X215" i="13" s="1"/>
  <c r="G76" i="13" a="1"/>
  <c r="G76" i="13" s="1"/>
  <c r="I76" i="13" a="1"/>
  <c r="I76" i="13" s="1"/>
  <c r="S177" i="13"/>
  <c r="W177" i="13"/>
  <c r="X177" i="13" s="1"/>
  <c r="AC177" i="13"/>
  <c r="AB177" i="13" s="1"/>
  <c r="AC226" i="13"/>
  <c r="AB226" i="13" s="1"/>
  <c r="G40" i="13" a="1"/>
  <c r="G40" i="13" s="1"/>
  <c r="H40" i="13" s="1"/>
  <c r="R40" i="13" s="1" a="1"/>
  <c r="R40" i="13" s="1"/>
  <c r="S101" i="13"/>
  <c r="W101" i="13"/>
  <c r="X101" i="13" s="1"/>
  <c r="AC101" i="13"/>
  <c r="AB101" i="13" s="1"/>
  <c r="G47" i="13" a="1"/>
  <c r="G47" i="13" s="1"/>
  <c r="H47" i="13" s="1"/>
  <c r="R47" i="13" s="1" a="1"/>
  <c r="R47" i="13" s="1"/>
  <c r="S114" i="13"/>
  <c r="W114" i="13"/>
  <c r="X114" i="13" s="1"/>
  <c r="G26" i="13" a="1"/>
  <c r="G26" i="13" s="1"/>
  <c r="H26" i="13" s="1"/>
  <c r="R26" i="13" s="1" a="1"/>
  <c r="R26" i="13" s="1"/>
  <c r="S97" i="13"/>
  <c r="W97" i="13"/>
  <c r="X97" i="13" s="1"/>
  <c r="AC97" i="13"/>
  <c r="AB97" i="13" s="1"/>
  <c r="G8" i="13" a="1"/>
  <c r="G8" i="13" s="1"/>
  <c r="H8" i="13" s="1"/>
  <c r="R8" i="13" s="1" a="1"/>
  <c r="R8" i="13" s="1"/>
  <c r="S125" i="13"/>
  <c r="W125" i="13"/>
  <c r="X125" i="13" s="1"/>
  <c r="AC125" i="13"/>
  <c r="AB125" i="13" s="1"/>
  <c r="S166" i="13"/>
  <c r="W166" i="13"/>
  <c r="X166" i="13" s="1"/>
  <c r="AC166" i="13"/>
  <c r="AB166" i="13" s="1"/>
  <c r="S143" i="13"/>
  <c r="W143" i="13"/>
  <c r="X143" i="13" s="1"/>
  <c r="AC143" i="13"/>
  <c r="AB143" i="13" s="1"/>
  <c r="G7" i="13" a="1"/>
  <c r="G7" i="13" s="1"/>
  <c r="H7" i="13" s="1"/>
  <c r="R7" i="13" s="1" a="1"/>
  <c r="R7" i="13" s="1"/>
  <c r="S141" i="13"/>
  <c r="W141" i="13"/>
  <c r="X141" i="13" s="1"/>
  <c r="AC141" i="13"/>
  <c r="AB141" i="13" s="1"/>
  <c r="S136" i="13"/>
  <c r="AC136" i="13"/>
  <c r="AB136" i="13" s="1"/>
  <c r="W136" i="13"/>
  <c r="X136" i="13" s="1"/>
  <c r="S117" i="13"/>
  <c r="W117" i="13"/>
  <c r="X117" i="13" s="1"/>
  <c r="AC117" i="13"/>
  <c r="AB117" i="13" s="1"/>
  <c r="S131" i="13"/>
  <c r="W131" i="13"/>
  <c r="X131" i="13" s="1"/>
  <c r="AC131" i="13"/>
  <c r="AB131" i="13" s="1"/>
  <c r="G37" i="13" a="1"/>
  <c r="G37" i="13" s="1"/>
  <c r="H37" i="13" s="1"/>
  <c r="R37" i="13" s="1" a="1"/>
  <c r="R37" i="13" s="1"/>
  <c r="S164" i="13"/>
  <c r="W164" i="13"/>
  <c r="X164" i="13" s="1"/>
  <c r="G23" i="13" a="1"/>
  <c r="G23" i="13" s="1"/>
  <c r="H23" i="13" s="1"/>
  <c r="R23" i="13" s="1" a="1"/>
  <c r="R23" i="13" s="1"/>
  <c r="S139" i="13"/>
  <c r="W139" i="13"/>
  <c r="X139" i="13" s="1"/>
  <c r="AC139" i="13"/>
  <c r="AB139" i="13" s="1"/>
  <c r="G34" i="13" a="1"/>
  <c r="G34" i="13" s="1"/>
  <c r="H34" i="13" s="1"/>
  <c r="R34" i="13" s="1" a="1"/>
  <c r="R34" i="13" s="1"/>
  <c r="S149" i="13"/>
  <c r="W149" i="13"/>
  <c r="X149" i="13" s="1"/>
  <c r="AC149" i="13"/>
  <c r="AB149" i="13" s="1"/>
  <c r="S146" i="13"/>
  <c r="W146" i="13"/>
  <c r="X146" i="13" s="1"/>
  <c r="AC146" i="13"/>
  <c r="AB146" i="13" s="1"/>
  <c r="G77" i="13" a="1"/>
  <c r="G77" i="13" s="1"/>
  <c r="G78" i="13" a="1"/>
  <c r="G78" i="13" s="1"/>
  <c r="I77" i="13" a="1"/>
  <c r="I77" i="13" s="1"/>
  <c r="I78" i="13" a="1"/>
  <c r="I78" i="13" s="1"/>
  <c r="S223" i="13"/>
  <c r="W223" i="13"/>
  <c r="X223" i="13" s="1"/>
  <c r="AC223" i="13"/>
  <c r="AB223" i="13" s="1"/>
  <c r="S147" i="13"/>
  <c r="W147" i="13"/>
  <c r="X147" i="13" s="1"/>
  <c r="AC147" i="13"/>
  <c r="AB147" i="13" s="1"/>
  <c r="S207" i="13"/>
  <c r="W207" i="13"/>
  <c r="X207" i="13" s="1"/>
  <c r="AC207" i="13"/>
  <c r="AB207" i="13" s="1"/>
  <c r="G83" i="13" a="1"/>
  <c r="G83" i="13" s="1"/>
  <c r="I83" i="13" a="1"/>
  <c r="I83" i="13" s="1"/>
  <c r="S197" i="13"/>
  <c r="W197" i="13"/>
  <c r="X197" i="13" s="1"/>
  <c r="AC197" i="13"/>
  <c r="AB197" i="13" s="1"/>
  <c r="G49" i="13" a="1"/>
  <c r="G49" i="13" s="1"/>
  <c r="H49" i="13" s="1"/>
  <c r="R49" i="13" s="1" a="1"/>
  <c r="R49" i="13" s="1"/>
  <c r="S169" i="13"/>
  <c r="W169" i="13"/>
  <c r="X169" i="13" s="1"/>
  <c r="AC169" i="13"/>
  <c r="AB169" i="13" s="1"/>
  <c r="G92" i="13" a="1"/>
  <c r="G92" i="13" s="1"/>
  <c r="I92" i="13" a="1"/>
  <c r="I92" i="13" s="1"/>
  <c r="S202" i="13"/>
  <c r="W202" i="13"/>
  <c r="X202" i="13" s="1"/>
  <c r="S249" i="13"/>
  <c r="W249" i="13"/>
  <c r="X249" i="13" s="1"/>
  <c r="AC249" i="13"/>
  <c r="AB249" i="13" s="1"/>
  <c r="S209" i="13"/>
  <c r="W209" i="13"/>
  <c r="X209" i="13" s="1"/>
  <c r="AC209" i="13"/>
  <c r="AB209" i="13" s="1"/>
  <c r="S237" i="13"/>
  <c r="W237" i="13"/>
  <c r="X237" i="13" s="1"/>
  <c r="AC237" i="13"/>
  <c r="AB237" i="13" s="1"/>
  <c r="S199" i="13"/>
  <c r="W199" i="13"/>
  <c r="X199" i="13" s="1"/>
  <c r="AC199" i="13"/>
  <c r="AB199" i="13" s="1"/>
  <c r="G91" i="13" a="1"/>
  <c r="G91" i="13" s="1"/>
  <c r="I91" i="13" a="1"/>
  <c r="I91" i="13" s="1"/>
  <c r="S194" i="13"/>
  <c r="W194" i="13"/>
  <c r="X194" i="13" s="1"/>
  <c r="G57" i="13" a="1"/>
  <c r="G57" i="13" s="1"/>
  <c r="G58" i="13" a="1"/>
  <c r="G58" i="13" s="1"/>
  <c r="I58" i="13" a="1"/>
  <c r="I58" i="13" s="1"/>
  <c r="I57" i="13" a="1"/>
  <c r="I57" i="13" s="1"/>
  <c r="S213" i="13"/>
  <c r="W213" i="13"/>
  <c r="X213" i="13" s="1"/>
  <c r="AC213" i="13"/>
  <c r="AB213" i="13" s="1"/>
  <c r="G62" i="13" a="1"/>
  <c r="G62" i="13" s="1"/>
  <c r="I62" i="13" a="1"/>
  <c r="I62" i="13" s="1"/>
  <c r="S244" i="13"/>
  <c r="W244" i="13"/>
  <c r="X244" i="13" s="1"/>
  <c r="G45" i="13" a="1"/>
  <c r="G45" i="13" s="1"/>
  <c r="H45" i="13" s="1"/>
  <c r="R45" i="13" s="1" a="1"/>
  <c r="R45" i="13" s="1"/>
  <c r="S119" i="13"/>
  <c r="W119" i="13"/>
  <c r="X119" i="13" s="1"/>
  <c r="AC119" i="13"/>
  <c r="AB119" i="13" s="1"/>
  <c r="G14" i="13" a="1"/>
  <c r="G14" i="13" s="1"/>
  <c r="H14" i="13" s="1"/>
  <c r="R14" i="13" s="1" a="1"/>
  <c r="R14" i="13" s="1"/>
  <c r="S159" i="13"/>
  <c r="W159" i="13"/>
  <c r="X159" i="13" s="1"/>
  <c r="AC159" i="13"/>
  <c r="AB159" i="13" s="1"/>
  <c r="G42" i="13" a="1"/>
  <c r="G42" i="13" s="1"/>
  <c r="H42" i="13" s="1"/>
  <c r="R42" i="13" s="1" a="1"/>
  <c r="R42" i="13" s="1"/>
  <c r="S163" i="13"/>
  <c r="W163" i="13"/>
  <c r="X163" i="13" s="1"/>
  <c r="AC163" i="13"/>
  <c r="AB163" i="13" s="1"/>
  <c r="G22" i="13" a="1"/>
  <c r="G22" i="13" s="1"/>
  <c r="H22" i="13" s="1"/>
  <c r="R22" i="13" s="1" a="1"/>
  <c r="R22" i="13" s="1"/>
  <c r="S155" i="13"/>
  <c r="W155" i="13"/>
  <c r="X155" i="13" s="1"/>
  <c r="AC155" i="13"/>
  <c r="AB155" i="13" s="1"/>
  <c r="G32" i="13" a="1"/>
  <c r="G32" i="13" s="1"/>
  <c r="H32" i="13" s="1"/>
  <c r="R32" i="13" s="1" a="1"/>
  <c r="R32" i="13" s="1"/>
  <c r="S95" i="13"/>
  <c r="W95" i="13"/>
  <c r="X95" i="13" s="1"/>
  <c r="AC95" i="13"/>
  <c r="AB95" i="13" s="1"/>
  <c r="G15" i="13" a="1"/>
  <c r="G15" i="13" s="1"/>
  <c r="H15" i="13" s="1"/>
  <c r="R15" i="13" s="1" a="1"/>
  <c r="R15" i="13" s="1"/>
  <c r="S126" i="13"/>
  <c r="W126" i="13"/>
  <c r="X126" i="13" s="1"/>
  <c r="S150" i="13"/>
  <c r="W150" i="13"/>
  <c r="X150" i="13" s="1"/>
  <c r="G39" i="13" a="1"/>
  <c r="G39" i="13" s="1"/>
  <c r="H39" i="13" s="1"/>
  <c r="R39" i="13" s="1" a="1"/>
  <c r="R39" i="13" s="1"/>
  <c r="S135" i="13"/>
  <c r="W135" i="13"/>
  <c r="X135" i="13" s="1"/>
  <c r="AC135" i="13"/>
  <c r="AB135" i="13" s="1"/>
  <c r="G27" i="13" a="1"/>
  <c r="G27" i="13" s="1"/>
  <c r="H27" i="13" s="1"/>
  <c r="R27" i="13" s="1" a="1"/>
  <c r="R27" i="13" s="1"/>
  <c r="S104" i="13"/>
  <c r="W104" i="13"/>
  <c r="X104" i="13" s="1"/>
  <c r="AC104" i="13"/>
  <c r="AB104" i="13" s="1"/>
  <c r="S216" i="13"/>
  <c r="W216" i="13"/>
  <c r="X216" i="13" s="1"/>
  <c r="AC216" i="13"/>
  <c r="AB216" i="13" s="1"/>
  <c r="S240" i="13"/>
  <c r="W240" i="13"/>
  <c r="X240" i="13" s="1"/>
  <c r="AC240" i="13"/>
  <c r="AB240" i="13" s="1"/>
  <c r="S242" i="13"/>
  <c r="W242" i="13"/>
  <c r="X242" i="13" s="1"/>
  <c r="S188" i="13"/>
  <c r="W188" i="13"/>
  <c r="X188" i="13" s="1"/>
  <c r="AC188" i="13"/>
  <c r="AB188" i="13" s="1"/>
  <c r="G65" i="13" a="1"/>
  <c r="G65" i="13" s="1"/>
  <c r="G79" i="13" a="1"/>
  <c r="G79" i="13" s="1"/>
  <c r="I65" i="13" a="1"/>
  <c r="I65" i="13" s="1"/>
  <c r="I79" i="13" a="1"/>
  <c r="I79" i="13" s="1"/>
  <c r="S227" i="13"/>
  <c r="W227" i="13"/>
  <c r="X227" i="13" s="1"/>
  <c r="AC227" i="13"/>
  <c r="AB227" i="13" s="1"/>
  <c r="S200" i="13"/>
  <c r="AC200" i="13"/>
  <c r="AB200" i="13" s="1"/>
  <c r="W200" i="13"/>
  <c r="X200" i="13" s="1"/>
  <c r="G60" i="13" a="1"/>
  <c r="G60" i="13" s="1"/>
  <c r="I60" i="13" a="1"/>
  <c r="I60" i="13" s="1"/>
  <c r="S205" i="13"/>
  <c r="W205" i="13"/>
  <c r="X205" i="13" s="1"/>
  <c r="AC205" i="13"/>
  <c r="AB205" i="13" s="1"/>
  <c r="S225" i="13"/>
  <c r="W225" i="13"/>
  <c r="X225" i="13" s="1"/>
  <c r="AC225" i="13"/>
  <c r="AB225" i="13" s="1"/>
  <c r="S222" i="13"/>
  <c r="W222" i="13"/>
  <c r="X222" i="13" s="1"/>
  <c r="G35" i="13" a="1"/>
  <c r="G35" i="13" s="1"/>
  <c r="H35" i="13" s="1"/>
  <c r="R35" i="13" s="1" a="1"/>
  <c r="R35" i="13" s="1"/>
  <c r="S165" i="13"/>
  <c r="W165" i="13"/>
  <c r="X165" i="13" s="1"/>
  <c r="AC165" i="13"/>
  <c r="AB165" i="13" s="1"/>
  <c r="G17" i="13" a="1"/>
  <c r="G17" i="13" s="1"/>
  <c r="H17" i="13" s="1"/>
  <c r="R17" i="13" s="1" a="1"/>
  <c r="R17" i="13" s="1"/>
  <c r="S123" i="13"/>
  <c r="W123" i="13"/>
  <c r="X123" i="13" s="1"/>
  <c r="AC123" i="13"/>
  <c r="AB123" i="13" s="1"/>
  <c r="S168" i="13"/>
  <c r="W168" i="13"/>
  <c r="X168" i="13" s="1"/>
  <c r="AC168" i="13"/>
  <c r="AB168" i="13" s="1"/>
  <c r="G43" i="13" a="1"/>
  <c r="G43" i="13" s="1"/>
  <c r="H43" i="13" s="1"/>
  <c r="R43" i="13" s="1" a="1"/>
  <c r="R43" i="13" s="1"/>
  <c r="S107" i="13"/>
  <c r="AC107" i="13"/>
  <c r="AB107" i="13" s="1"/>
  <c r="W107" i="13"/>
  <c r="X107" i="13" s="1"/>
  <c r="AC150" i="13"/>
  <c r="AB150" i="13" s="1"/>
  <c r="S245" i="13"/>
  <c r="W245" i="13"/>
  <c r="X245" i="13" s="1"/>
  <c r="AC245" i="13"/>
  <c r="AB245" i="13" s="1"/>
  <c r="G44" i="13" a="1"/>
  <c r="G44" i="13" s="1"/>
  <c r="H44" i="13" s="1"/>
  <c r="R44" i="13" s="1" a="1"/>
  <c r="R44" i="13" s="1"/>
  <c r="S137" i="13"/>
  <c r="W137" i="13"/>
  <c r="X137" i="13" s="1"/>
  <c r="AC137" i="13"/>
  <c r="AB137" i="13" s="1"/>
  <c r="G48" i="13" a="1"/>
  <c r="G48" i="13" s="1"/>
  <c r="H48" i="13" s="1"/>
  <c r="R48" i="13" s="1" a="1"/>
  <c r="R48" i="13" s="1"/>
  <c r="S152" i="13"/>
  <c r="W152" i="13"/>
  <c r="X152" i="13" s="1"/>
  <c r="AC152" i="13"/>
  <c r="AB152" i="13" s="1"/>
  <c r="G89" i="13" a="1"/>
  <c r="G89" i="13" s="1"/>
  <c r="I89" i="13" a="1"/>
  <c r="I89" i="13" s="1"/>
  <c r="S206" i="13"/>
  <c r="W206" i="13"/>
  <c r="X206" i="13" s="1"/>
  <c r="S170" i="13"/>
  <c r="W170" i="13"/>
  <c r="X170" i="13" s="1"/>
  <c r="S118" i="13"/>
  <c r="W118" i="13"/>
  <c r="X118" i="13" s="1"/>
  <c r="S103" i="13"/>
  <c r="W103" i="13"/>
  <c r="X103" i="13" s="1"/>
  <c r="AC103" i="13"/>
  <c r="AB103" i="13" s="1"/>
  <c r="G93" i="13" a="1"/>
  <c r="G93" i="13" s="1"/>
  <c r="I93" i="13" a="1"/>
  <c r="I93" i="13" s="1"/>
  <c r="S247" i="13"/>
  <c r="W247" i="13"/>
  <c r="X247" i="13" s="1"/>
  <c r="AC247" i="13"/>
  <c r="AB247" i="13" s="1"/>
  <c r="S210" i="13"/>
  <c r="W210" i="13"/>
  <c r="X210" i="13" s="1"/>
  <c r="AC210" i="13"/>
  <c r="AB210" i="13" s="1"/>
  <c r="G52" i="13" a="1"/>
  <c r="G52" i="13" s="1"/>
  <c r="G51" i="13" a="1"/>
  <c r="G51" i="13" s="1"/>
  <c r="I51" i="13" a="1"/>
  <c r="I51" i="13" s="1"/>
  <c r="I52" i="13" a="1"/>
  <c r="I52" i="13" s="1"/>
  <c r="S234" i="13"/>
  <c r="W234" i="13"/>
  <c r="X234" i="13" s="1"/>
  <c r="AC234" i="13"/>
  <c r="AB234" i="13" s="1"/>
  <c r="S201" i="13"/>
  <c r="W201" i="13"/>
  <c r="X201" i="13" s="1"/>
  <c r="AC201" i="13"/>
  <c r="AB201" i="13" s="1"/>
  <c r="G67" i="13" a="1"/>
  <c r="G67" i="13" s="1"/>
  <c r="I67" i="13" a="1"/>
  <c r="I67" i="13" s="1"/>
  <c r="S173" i="13"/>
  <c r="W173" i="13"/>
  <c r="X173" i="13" s="1"/>
  <c r="AC173" i="13"/>
  <c r="AB173" i="13" s="1"/>
  <c r="S184" i="13"/>
  <c r="W184" i="13"/>
  <c r="X184" i="13" s="1"/>
  <c r="AC184" i="13"/>
  <c r="AB184" i="13" s="1"/>
  <c r="S180" i="13"/>
  <c r="W180" i="13"/>
  <c r="X180" i="13" s="1"/>
  <c r="AC202" i="13"/>
  <c r="AB202" i="13" s="1"/>
  <c r="G31" i="13" a="1"/>
  <c r="G31" i="13" s="1"/>
  <c r="H31" i="13" s="1"/>
  <c r="R31" i="13" s="1" a="1"/>
  <c r="R31" i="13" s="1"/>
  <c r="S98" i="13"/>
  <c r="W98" i="13"/>
  <c r="X98" i="13" s="1"/>
  <c r="G10" i="13" a="1"/>
  <c r="G10" i="13" s="1"/>
  <c r="H10" i="13" s="1"/>
  <c r="R10" i="13" s="1" a="1"/>
  <c r="R10" i="13" s="1"/>
  <c r="S138" i="13"/>
  <c r="W138" i="13"/>
  <c r="X138" i="13" s="1"/>
  <c r="G16" i="13" a="1"/>
  <c r="G16" i="13" s="1"/>
  <c r="H16" i="13" s="1"/>
  <c r="R16" i="13" s="1" a="1"/>
  <c r="R16" i="13" s="1"/>
  <c r="S127" i="13"/>
  <c r="W127" i="13"/>
  <c r="X127" i="13" s="1"/>
  <c r="AC127" i="13"/>
  <c r="AB127" i="13" s="1"/>
  <c r="G29" i="13" a="1"/>
  <c r="G29" i="13" s="1"/>
  <c r="H29" i="13" s="1"/>
  <c r="R29" i="13" s="1" a="1"/>
  <c r="R29" i="13" s="1"/>
  <c r="S133" i="13"/>
  <c r="W133" i="13"/>
  <c r="X133" i="13" s="1"/>
  <c r="AC133" i="13"/>
  <c r="AB133" i="13" s="1"/>
  <c r="G19" i="13" a="1"/>
  <c r="G19" i="13" s="1"/>
  <c r="H19" i="13" s="1"/>
  <c r="R19" i="13" s="1" a="1"/>
  <c r="R19" i="13" s="1"/>
  <c r="S115" i="13"/>
  <c r="W115" i="13"/>
  <c r="X115" i="13" s="1"/>
  <c r="AC115" i="13"/>
  <c r="AB115" i="13" s="1"/>
  <c r="G28" i="13" a="1"/>
  <c r="G28" i="13" s="1"/>
  <c r="H28" i="13" s="1"/>
  <c r="R28" i="13" s="1" a="1"/>
  <c r="R28" i="13" s="1"/>
  <c r="S102" i="13"/>
  <c r="W102" i="13"/>
  <c r="X102" i="13" s="1"/>
  <c r="AC102" i="13"/>
  <c r="AB102" i="13" s="1"/>
  <c r="S193" i="13"/>
  <c r="W193" i="13"/>
  <c r="X193" i="13" s="1"/>
  <c r="AC193" i="13"/>
  <c r="AB193" i="13" s="1"/>
  <c r="G55" i="13" a="1"/>
  <c r="G55" i="13" s="1"/>
  <c r="G61" i="13" a="1"/>
  <c r="G61" i="13" s="1"/>
  <c r="I61" i="13" a="1"/>
  <c r="I61" i="13" s="1"/>
  <c r="I55" i="13" a="1"/>
  <c r="I55" i="13" s="1"/>
  <c r="S208" i="13"/>
  <c r="W208" i="13"/>
  <c r="X208" i="13" s="1"/>
  <c r="S187" i="13"/>
  <c r="W187" i="13"/>
  <c r="X187" i="13" s="1"/>
  <c r="AC187" i="13"/>
  <c r="AB187" i="13" s="1"/>
  <c r="S228" i="13"/>
  <c r="W228" i="13"/>
  <c r="X228" i="13" s="1"/>
  <c r="G81" i="13" a="1"/>
  <c r="G81" i="13" s="1"/>
  <c r="G82" i="13" a="1"/>
  <c r="G82" i="13" s="1"/>
  <c r="I82" i="13" a="1"/>
  <c r="I82" i="13" s="1"/>
  <c r="I81" i="13" a="1"/>
  <c r="I81" i="13" s="1"/>
  <c r="S198" i="13"/>
  <c r="W198" i="13"/>
  <c r="X198" i="13" s="1"/>
  <c r="AC198" i="13"/>
  <c r="AB198" i="13" s="1"/>
  <c r="S196" i="13"/>
  <c r="W196" i="13"/>
  <c r="X196" i="13" s="1"/>
  <c r="S214" i="13"/>
  <c r="W214" i="13"/>
  <c r="X214" i="13" s="1"/>
  <c r="AC194" i="13"/>
  <c r="AB194" i="13" s="1"/>
  <c r="S129" i="13"/>
  <c r="W129" i="13"/>
  <c r="X129" i="13" s="1"/>
  <c r="AC129" i="13"/>
  <c r="AB129" i="13" s="1"/>
  <c r="G18" i="13" a="1"/>
  <c r="G18" i="13" s="1"/>
  <c r="H18" i="13" s="1"/>
  <c r="R18" i="13" s="1" a="1"/>
  <c r="R18" i="13" s="1"/>
  <c r="S156" i="13"/>
  <c r="W156" i="13"/>
  <c r="X156" i="13" s="1"/>
  <c r="AC156" i="13"/>
  <c r="AB156" i="13" s="1"/>
  <c r="G33" i="13" a="1"/>
  <c r="G33" i="13" s="1"/>
  <c r="H33" i="13" s="1"/>
  <c r="R33" i="13" s="1" a="1"/>
  <c r="R33" i="13" s="1"/>
  <c r="S121" i="13"/>
  <c r="W121" i="13"/>
  <c r="X121" i="13" s="1"/>
  <c r="AC121" i="13"/>
  <c r="AB121" i="13" s="1"/>
  <c r="S124" i="13"/>
  <c r="W124" i="13"/>
  <c r="X124" i="13" s="1"/>
  <c r="AC124" i="13"/>
  <c r="AB124" i="13" s="1"/>
  <c r="G11" i="13" a="1"/>
  <c r="G11" i="13" s="1"/>
  <c r="H11" i="13" s="1"/>
  <c r="R11" i="13" s="1" a="1"/>
  <c r="R11" i="13" s="1"/>
  <c r="S130" i="13"/>
  <c r="W130" i="13"/>
  <c r="X130" i="13" s="1"/>
  <c r="S106" i="13"/>
  <c r="W106" i="13"/>
  <c r="X106" i="13" s="1"/>
  <c r="G12" i="13" a="1"/>
  <c r="G12" i="13" s="1"/>
  <c r="H12" i="13" s="1"/>
  <c r="R12" i="13" s="1" a="1"/>
  <c r="R12" i="13" s="1"/>
  <c r="S157" i="13"/>
  <c r="W157" i="13"/>
  <c r="X157" i="13" s="1"/>
  <c r="AC157" i="13"/>
  <c r="AB157" i="13" s="1"/>
  <c r="S112" i="13"/>
  <c r="W112" i="13"/>
  <c r="X112" i="13" s="1"/>
  <c r="AC112" i="13"/>
  <c r="AB112" i="13" s="1"/>
  <c r="S161" i="13"/>
  <c r="W161" i="13"/>
  <c r="X161" i="13" s="1"/>
  <c r="AC161" i="13"/>
  <c r="AB161" i="13" s="1"/>
  <c r="S96" i="13"/>
  <c r="W96" i="13"/>
  <c r="X96" i="13" s="1"/>
  <c r="AC96" i="13"/>
  <c r="AB96" i="13" s="1"/>
  <c r="S36" i="13"/>
  <c r="W36" i="13"/>
  <c r="X36" i="13" s="1"/>
  <c r="G56" i="13" a="1"/>
  <c r="G56" i="13" s="1"/>
  <c r="I56" i="13" a="1"/>
  <c r="I56" i="13" s="1"/>
  <c r="S243" i="13"/>
  <c r="AC243" i="13"/>
  <c r="AB243" i="13" s="1"/>
  <c r="W243" i="13"/>
  <c r="X243" i="13" s="1"/>
  <c r="S145" i="13"/>
  <c r="W145" i="13"/>
  <c r="X145" i="13" s="1"/>
  <c r="AC145" i="13"/>
  <c r="AB145" i="13" s="1"/>
  <c r="S217" i="13"/>
  <c r="W217" i="13"/>
  <c r="X217" i="13" s="1"/>
  <c r="AC217" i="13"/>
  <c r="AB217" i="13" s="1"/>
  <c r="G64" i="13" a="1"/>
  <c r="G64" i="13" s="1"/>
  <c r="I64" i="13" a="1"/>
  <c r="I64" i="13" s="1"/>
  <c r="S179" i="13"/>
  <c r="W179" i="13"/>
  <c r="X179" i="13" s="1"/>
  <c r="AC179" i="13"/>
  <c r="AB179" i="13" s="1"/>
  <c r="G73" i="13" a="1"/>
  <c r="G73" i="13" s="1"/>
  <c r="G72" i="13" a="1"/>
  <c r="G72" i="13" s="1"/>
  <c r="I72" i="13" a="1"/>
  <c r="I72" i="13" s="1"/>
  <c r="I73" i="13" a="1"/>
  <c r="I73" i="13" s="1"/>
  <c r="S232" i="13"/>
  <c r="W232" i="13"/>
  <c r="X232" i="13" s="1"/>
  <c r="AC232" i="13"/>
  <c r="AB232" i="13" s="1"/>
  <c r="S192" i="13"/>
  <c r="W192" i="13"/>
  <c r="X192" i="13" s="1"/>
  <c r="AC192" i="13"/>
  <c r="AB192" i="13" s="1"/>
  <c r="G87" i="13" a="1"/>
  <c r="G87" i="13" s="1"/>
  <c r="G88" i="13" a="1"/>
  <c r="G88" i="13" s="1"/>
  <c r="I88" i="13" a="1"/>
  <c r="I88" i="13" s="1"/>
  <c r="I87" i="13" a="1"/>
  <c r="I87" i="13" s="1"/>
  <c r="S185" i="13"/>
  <c r="W185" i="13"/>
  <c r="X185" i="13" s="1"/>
  <c r="AC185" i="13"/>
  <c r="AB185" i="13" s="1"/>
  <c r="S230" i="13"/>
  <c r="W230" i="13"/>
  <c r="X230" i="13" s="1"/>
  <c r="G53" i="13" a="1"/>
  <c r="G53" i="13" s="1"/>
  <c r="I53" i="13" a="1"/>
  <c r="I53" i="13" s="1"/>
  <c r="S238" i="13"/>
  <c r="W238" i="13"/>
  <c r="X238" i="13" s="1"/>
  <c r="G71" i="13" a="1"/>
  <c r="G71" i="13" s="1"/>
  <c r="G70" i="13" a="1"/>
  <c r="G70" i="13" s="1"/>
  <c r="I70" i="13" a="1"/>
  <c r="I70" i="13" s="1"/>
  <c r="I71" i="13" a="1"/>
  <c r="I71" i="13" s="1"/>
  <c r="S182" i="13"/>
  <c r="W182" i="13"/>
  <c r="X182" i="13" s="1"/>
  <c r="G63" i="13" a="1"/>
  <c r="G63" i="13" s="1"/>
  <c r="I63" i="13" a="1"/>
  <c r="I63" i="13" s="1"/>
  <c r="S221" i="13"/>
  <c r="W221" i="13"/>
  <c r="X221" i="13" s="1"/>
  <c r="AC221" i="13"/>
  <c r="AB221" i="13" s="1"/>
  <c r="G84" i="13" a="1"/>
  <c r="G84" i="13" s="1"/>
  <c r="I84" i="13" a="1"/>
  <c r="I84" i="13" s="1"/>
  <c r="S189" i="13"/>
  <c r="W189" i="13"/>
  <c r="X189" i="13" s="1"/>
  <c r="AC189" i="13"/>
  <c r="AB189" i="13" s="1"/>
  <c r="AC230" i="13"/>
  <c r="AB230" i="13" s="1"/>
  <c r="S142" i="13"/>
  <c r="W142" i="13"/>
  <c r="X142" i="13" s="1"/>
  <c r="G21" i="13" a="1"/>
  <c r="G21" i="13" s="1"/>
  <c r="H21" i="13" s="1"/>
  <c r="R21" i="13" s="1" a="1"/>
  <c r="R21" i="13" s="1"/>
  <c r="S162" i="13"/>
  <c r="W162" i="13"/>
  <c r="X162" i="13" s="1"/>
  <c r="G46" i="13" a="1"/>
  <c r="G46" i="13" s="1"/>
  <c r="H46" i="13" s="1"/>
  <c r="R46" i="13" s="1" a="1"/>
  <c r="R46" i="13" s="1"/>
  <c r="S134" i="13"/>
  <c r="W134" i="13"/>
  <c r="X134" i="13" s="1"/>
  <c r="AC134" i="13"/>
  <c r="AB134" i="13" s="1"/>
  <c r="G41" i="13" a="1"/>
  <c r="G41" i="13" s="1"/>
  <c r="H41" i="13" s="1"/>
  <c r="R41" i="13" s="1" a="1"/>
  <c r="R41" i="13" s="1"/>
  <c r="S108" i="13"/>
  <c r="W108" i="13"/>
  <c r="X108" i="13" s="1"/>
  <c r="AC108" i="13"/>
  <c r="AB108" i="13" s="1"/>
  <c r="AC36" i="13"/>
  <c r="AB36" i="13" s="1"/>
  <c r="G20" i="13" a="1"/>
  <c r="G20" i="13" s="1"/>
  <c r="H20" i="13" s="1"/>
  <c r="R20" i="13" s="1" a="1"/>
  <c r="R20" i="13" s="1"/>
  <c r="S153" i="13"/>
  <c r="W153" i="13"/>
  <c r="X153" i="13" s="1"/>
  <c r="AC153" i="13"/>
  <c r="AB153" i="13" s="1"/>
  <c r="S140" i="13"/>
  <c r="W140" i="13"/>
  <c r="X140" i="13" s="1"/>
  <c r="AC140" i="13"/>
  <c r="AB140" i="13" s="1"/>
  <c r="S116" i="13"/>
  <c r="W116" i="13"/>
  <c r="X116" i="13" s="1"/>
  <c r="G30" i="13" a="1"/>
  <c r="G30" i="13" s="1"/>
  <c r="H30" i="13" s="1"/>
  <c r="R30" i="13" s="1" a="1"/>
  <c r="R30" i="13" s="1"/>
  <c r="S99" i="13"/>
  <c r="W99" i="13"/>
  <c r="X99" i="13" s="1"/>
  <c r="AC99" i="13"/>
  <c r="AB99" i="13" s="1"/>
  <c r="S224" i="13"/>
  <c r="W224" i="13"/>
  <c r="X224" i="13" s="1"/>
  <c r="AC224" i="13"/>
  <c r="AB224" i="13" s="1"/>
  <c r="S212" i="13"/>
  <c r="W212" i="13"/>
  <c r="X212" i="13" s="1"/>
  <c r="S203" i="13"/>
  <c r="W203" i="13"/>
  <c r="X203" i="13" s="1"/>
  <c r="AC203" i="13"/>
  <c r="AB203" i="13" s="1"/>
  <c r="G68" i="13" a="1"/>
  <c r="G68" i="13" s="1"/>
  <c r="G69" i="13" a="1"/>
  <c r="G69" i="13" s="1"/>
  <c r="I69" i="13" a="1"/>
  <c r="I69" i="13" s="1"/>
  <c r="I68" i="13" a="1"/>
  <c r="I68" i="13" s="1"/>
  <c r="S190" i="13"/>
  <c r="W190" i="13"/>
  <c r="X190" i="13" s="1"/>
  <c r="S174" i="13"/>
  <c r="W174" i="13"/>
  <c r="X174" i="13" s="1"/>
  <c r="S235" i="13"/>
  <c r="W235" i="13"/>
  <c r="X235" i="13" s="1"/>
  <c r="AC235" i="13"/>
  <c r="AB235" i="13" s="1"/>
  <c r="S220" i="13"/>
  <c r="W220" i="13"/>
  <c r="X220" i="13" s="1"/>
  <c r="AC220" i="13"/>
  <c r="AB220" i="13" s="1"/>
  <c r="S195" i="13"/>
  <c r="W195" i="13"/>
  <c r="X195" i="13" s="1"/>
  <c r="AC195" i="13"/>
  <c r="AB195" i="13" s="1"/>
  <c r="S183" i="13"/>
  <c r="W183" i="13"/>
  <c r="X183" i="13" s="1"/>
  <c r="AC183" i="13"/>
  <c r="AB183" i="13" s="1"/>
  <c r="G54" i="13" a="1"/>
  <c r="G54" i="13" s="1"/>
  <c r="I54" i="13" a="1"/>
  <c r="I54" i="13" s="1"/>
  <c r="S172" i="13"/>
  <c r="W172" i="13"/>
  <c r="X172" i="13" s="1"/>
  <c r="AC172" i="13"/>
  <c r="AB172" i="13" s="1"/>
  <c r="G66" i="13" a="1"/>
  <c r="G66" i="13" s="1"/>
  <c r="I66" i="13" a="1"/>
  <c r="I66" i="13" s="1"/>
  <c r="S175" i="13"/>
  <c r="W175" i="13"/>
  <c r="X175" i="13" s="1"/>
  <c r="AC175" i="13"/>
  <c r="AB175" i="13" s="1"/>
  <c r="S167" i="13"/>
  <c r="W167" i="13"/>
  <c r="X167" i="13" s="1"/>
  <c r="AC167" i="13"/>
  <c r="AB167" i="13" s="1"/>
  <c r="S122" i="13"/>
  <c r="W122" i="13"/>
  <c r="X122" i="13" s="1"/>
  <c r="S231" i="13"/>
  <c r="W231" i="13"/>
  <c r="X231" i="13" s="1"/>
  <c r="AC231" i="13"/>
  <c r="AB231" i="13" s="1"/>
  <c r="G24" i="13" a="1"/>
  <c r="G24" i="13" s="1"/>
  <c r="H24" i="13" s="1"/>
  <c r="R24" i="13" s="1" a="1"/>
  <c r="R24" i="13" s="1"/>
  <c r="S128" i="13"/>
  <c r="W128" i="13"/>
  <c r="X128" i="13" s="1"/>
  <c r="AC128" i="13"/>
  <c r="AB128" i="13" s="1"/>
  <c r="G94" i="13" a="1"/>
  <c r="G94" i="13" s="1"/>
  <c r="I94" i="13" a="1"/>
  <c r="I94" i="13" s="1"/>
  <c r="S248" i="13"/>
  <c r="W248" i="13"/>
  <c r="X248" i="13" s="1"/>
  <c r="AC248" i="13"/>
  <c r="AB248" i="13" s="1"/>
  <c r="S218" i="13"/>
  <c r="W218" i="13"/>
  <c r="X218" i="13" s="1"/>
  <c r="G13" i="13" a="1"/>
  <c r="G13" i="13" s="1"/>
  <c r="H13" i="13" s="1"/>
  <c r="R13" i="13" s="1" a="1"/>
  <c r="R13" i="13" s="1"/>
  <c r="S154" i="13"/>
  <c r="W154" i="13"/>
  <c r="X154" i="13" s="1"/>
  <c r="S110" i="13"/>
  <c r="W110" i="13"/>
  <c r="X110" i="13" s="1"/>
  <c r="S160" i="13"/>
  <c r="W160" i="13"/>
  <c r="X160" i="13" s="1"/>
  <c r="AC160" i="13"/>
  <c r="AB160" i="13" s="1"/>
  <c r="S239" i="13"/>
  <c r="W239" i="13"/>
  <c r="X239" i="13" s="1"/>
  <c r="AC239" i="13"/>
  <c r="AB239" i="13" s="1"/>
  <c r="S191" i="13"/>
  <c r="W191" i="13"/>
  <c r="X191" i="13" s="1"/>
  <c r="AC191" i="13"/>
  <c r="AB191" i="13" s="1"/>
  <c r="S186" i="13"/>
  <c r="W186" i="13"/>
  <c r="X186" i="13" s="1"/>
  <c r="S229" i="13"/>
  <c r="W229" i="13"/>
  <c r="X229" i="13" s="1"/>
  <c r="AC229" i="13"/>
  <c r="AB229" i="13" s="1"/>
  <c r="G85" i="13" a="1"/>
  <c r="G85" i="13" s="1"/>
  <c r="I85" i="13" a="1"/>
  <c r="I85" i="13" s="1"/>
  <c r="S176" i="13"/>
  <c r="W176" i="13"/>
  <c r="X176" i="13" s="1"/>
  <c r="AC176" i="13"/>
  <c r="AB176" i="13" s="1"/>
  <c r="G75" i="13" a="1"/>
  <c r="G75" i="13" s="1"/>
  <c r="I75" i="13" a="1"/>
  <c r="I75" i="13" s="1"/>
  <c r="S211" i="13"/>
  <c r="W211" i="13"/>
  <c r="X211" i="13" s="1"/>
  <c r="AC211" i="13"/>
  <c r="AB211" i="13" s="1"/>
  <c r="S233" i="13"/>
  <c r="W233" i="13"/>
  <c r="X233" i="13" s="1"/>
  <c r="AC233" i="13"/>
  <c r="AB233" i="13" s="1"/>
  <c r="S246" i="13"/>
  <c r="W246" i="13"/>
  <c r="X246" i="13" s="1"/>
  <c r="K10" i="17"/>
  <c r="K13" i="17" s="1"/>
  <c r="L6" i="17"/>
  <c r="L44" i="17"/>
  <c r="L38" i="17"/>
  <c r="L19" i="17"/>
  <c r="L7" i="17"/>
  <c r="I19" i="17"/>
  <c r="H53" i="13" l="1"/>
  <c r="R53" i="13" s="1" a="1"/>
  <c r="R53" i="13" s="1"/>
  <c r="J53" i="13"/>
  <c r="H64" i="13"/>
  <c r="R64" i="13" s="1" a="1"/>
  <c r="R64" i="13" s="1"/>
  <c r="J64" i="13"/>
  <c r="S11" i="13"/>
  <c r="AC11" i="13"/>
  <c r="AB11" i="13" s="1"/>
  <c r="W11" i="13"/>
  <c r="X11" i="13" s="1"/>
  <c r="H82" i="13"/>
  <c r="R82" i="13" s="1" a="1"/>
  <c r="R82" i="13" s="1"/>
  <c r="J82" i="13"/>
  <c r="S28" i="13"/>
  <c r="W28" i="13"/>
  <c r="X28" i="13" s="1"/>
  <c r="AC28" i="13"/>
  <c r="AB28" i="13" s="1"/>
  <c r="S19" i="13"/>
  <c r="W19" i="13"/>
  <c r="X19" i="13" s="1"/>
  <c r="AC19" i="13"/>
  <c r="AB19" i="13" s="1"/>
  <c r="S29" i="13"/>
  <c r="W29" i="13"/>
  <c r="X29" i="13" s="1"/>
  <c r="AC29" i="13"/>
  <c r="AB29" i="13" s="1"/>
  <c r="S16" i="13"/>
  <c r="W16" i="13"/>
  <c r="X16" i="13" s="1"/>
  <c r="AC16" i="13"/>
  <c r="AB16" i="13" s="1"/>
  <c r="H67" i="13"/>
  <c r="R67" i="13" s="1" a="1"/>
  <c r="R67" i="13" s="1"/>
  <c r="J67" i="13"/>
  <c r="H52" i="13"/>
  <c r="R52" i="13" s="1" a="1"/>
  <c r="R52" i="13" s="1"/>
  <c r="J52" i="13"/>
  <c r="S27" i="13"/>
  <c r="W27" i="13"/>
  <c r="X27" i="13" s="1"/>
  <c r="AC27" i="13"/>
  <c r="AB27" i="13" s="1"/>
  <c r="S39" i="13"/>
  <c r="W39" i="13"/>
  <c r="X39" i="13" s="1"/>
  <c r="AC39" i="13"/>
  <c r="AB39" i="13" s="1"/>
  <c r="H62" i="13"/>
  <c r="R62" i="13" s="1" a="1"/>
  <c r="R62" i="13" s="1"/>
  <c r="J62" i="13"/>
  <c r="S49" i="13"/>
  <c r="W49" i="13"/>
  <c r="X49" i="13" s="1"/>
  <c r="AC49" i="13"/>
  <c r="AB49" i="13" s="1"/>
  <c r="H83" i="13"/>
  <c r="R83" i="13" s="1" a="1"/>
  <c r="R83" i="13" s="1"/>
  <c r="J83" i="13"/>
  <c r="H77" i="13"/>
  <c r="R77" i="13" s="1" a="1"/>
  <c r="R77" i="13" s="1"/>
  <c r="J77" i="13"/>
  <c r="S37" i="13"/>
  <c r="W37" i="13"/>
  <c r="X37" i="13" s="1"/>
  <c r="AC37" i="13"/>
  <c r="AB37" i="13" s="1"/>
  <c r="H54" i="13"/>
  <c r="R54" i="13" s="1" a="1"/>
  <c r="R54" i="13" s="1"/>
  <c r="J54" i="13"/>
  <c r="H88" i="13"/>
  <c r="R88" i="13" s="1" a="1"/>
  <c r="R88" i="13" s="1"/>
  <c r="J88" i="13"/>
  <c r="S30" i="13"/>
  <c r="W30" i="13"/>
  <c r="X30" i="13" s="1"/>
  <c r="AC30" i="13"/>
  <c r="AB30" i="13" s="1"/>
  <c r="H84" i="13"/>
  <c r="R84" i="13" s="1" a="1"/>
  <c r="R84" i="13" s="1"/>
  <c r="J84" i="13"/>
  <c r="H73" i="13"/>
  <c r="R73" i="13" s="1" a="1"/>
  <c r="R73" i="13" s="1"/>
  <c r="J73" i="13"/>
  <c r="H51" i="13"/>
  <c r="R51" i="13" s="1" a="1"/>
  <c r="R51" i="13" s="1"/>
  <c r="J51" i="13"/>
  <c r="J89" i="13"/>
  <c r="H89" i="13"/>
  <c r="R89" i="13" s="1" a="1"/>
  <c r="R89" i="13" s="1"/>
  <c r="S17" i="13"/>
  <c r="W17" i="13"/>
  <c r="X17" i="13" s="1"/>
  <c r="AC17" i="13"/>
  <c r="AB17" i="13" s="1"/>
  <c r="S35" i="13"/>
  <c r="W35" i="13"/>
  <c r="X35" i="13" s="1"/>
  <c r="AC35" i="13"/>
  <c r="AB35" i="13" s="1"/>
  <c r="S15" i="13"/>
  <c r="W15" i="13"/>
  <c r="X15" i="13" s="1"/>
  <c r="AC15" i="13"/>
  <c r="AB15" i="13" s="1"/>
  <c r="S32" i="13"/>
  <c r="W32" i="13"/>
  <c r="X32" i="13" s="1"/>
  <c r="AC32" i="13"/>
  <c r="AB32" i="13" s="1"/>
  <c r="S22" i="13"/>
  <c r="W22" i="13"/>
  <c r="X22" i="13" s="1"/>
  <c r="AC22" i="13"/>
  <c r="AB22" i="13" s="1"/>
  <c r="S42" i="13"/>
  <c r="W42" i="13"/>
  <c r="X42" i="13" s="1"/>
  <c r="AC42" i="13"/>
  <c r="AB42" i="13" s="1"/>
  <c r="S14" i="13"/>
  <c r="W14" i="13"/>
  <c r="X14" i="13" s="1"/>
  <c r="AC14" i="13"/>
  <c r="AB14" i="13" s="1"/>
  <c r="S45" i="13"/>
  <c r="W45" i="13"/>
  <c r="X45" i="13" s="1"/>
  <c r="AC45" i="13"/>
  <c r="AB45" i="13" s="1"/>
  <c r="H57" i="13"/>
  <c r="R57" i="13" s="1" a="1"/>
  <c r="R57" i="13" s="1"/>
  <c r="J57" i="13"/>
  <c r="S34" i="13"/>
  <c r="W34" i="13"/>
  <c r="X34" i="13" s="1"/>
  <c r="AC34" i="13"/>
  <c r="AB34" i="13" s="1"/>
  <c r="S23" i="13"/>
  <c r="W23" i="13"/>
  <c r="X23" i="13" s="1"/>
  <c r="AC23" i="13"/>
  <c r="AB23" i="13" s="1"/>
  <c r="S7" i="13"/>
  <c r="W7" i="13"/>
  <c r="X7" i="13" s="1"/>
  <c r="AC7" i="13"/>
  <c r="AB7" i="13" s="1"/>
  <c r="S13" i="13"/>
  <c r="W13" i="13"/>
  <c r="X13" i="13" s="1"/>
  <c r="AC13" i="13"/>
  <c r="AB13" i="13" s="1"/>
  <c r="H94" i="13"/>
  <c r="R94" i="13" s="1" a="1"/>
  <c r="R94" i="13" s="1"/>
  <c r="J94" i="13"/>
  <c r="H68" i="13"/>
  <c r="R68" i="13" s="1" a="1"/>
  <c r="R68" i="13" s="1"/>
  <c r="J68" i="13"/>
  <c r="S20" i="13"/>
  <c r="W20" i="13"/>
  <c r="X20" i="13" s="1"/>
  <c r="AC20" i="13"/>
  <c r="AB20" i="13" s="1"/>
  <c r="S21" i="13"/>
  <c r="W21" i="13"/>
  <c r="X21" i="13" s="1"/>
  <c r="AC21" i="13"/>
  <c r="AB21" i="13" s="1"/>
  <c r="H63" i="13"/>
  <c r="R63" i="13" s="1" a="1"/>
  <c r="R63" i="13" s="1"/>
  <c r="J63" i="13"/>
  <c r="H71" i="13"/>
  <c r="R71" i="13" s="1" a="1"/>
  <c r="R71" i="13" s="1"/>
  <c r="J71" i="13"/>
  <c r="H72" i="13"/>
  <c r="R72" i="13" s="1" a="1"/>
  <c r="R72" i="13" s="1"/>
  <c r="J72" i="13"/>
  <c r="H55" i="13"/>
  <c r="R55" i="13" s="1" a="1"/>
  <c r="R55" i="13" s="1"/>
  <c r="J55" i="13"/>
  <c r="S31" i="13"/>
  <c r="W31" i="13"/>
  <c r="X31" i="13" s="1"/>
  <c r="AC31" i="13"/>
  <c r="AB31" i="13" s="1"/>
  <c r="H93" i="13"/>
  <c r="R93" i="13" s="1" a="1"/>
  <c r="R93" i="13" s="1"/>
  <c r="J93" i="13"/>
  <c r="S48" i="13"/>
  <c r="W48" i="13"/>
  <c r="X48" i="13" s="1"/>
  <c r="AC48" i="13"/>
  <c r="AB48" i="13" s="1"/>
  <c r="S44" i="13"/>
  <c r="W44" i="13"/>
  <c r="X44" i="13" s="1"/>
  <c r="AC44" i="13"/>
  <c r="AB44" i="13" s="1"/>
  <c r="S43" i="13"/>
  <c r="AC43" i="13"/>
  <c r="AB43" i="13" s="1"/>
  <c r="W43" i="13"/>
  <c r="X43" i="13" s="1"/>
  <c r="H60" i="13"/>
  <c r="R60" i="13" s="1" a="1"/>
  <c r="R60" i="13" s="1"/>
  <c r="J60" i="13"/>
  <c r="H79" i="13"/>
  <c r="R79" i="13" s="1" a="1"/>
  <c r="R79" i="13" s="1"/>
  <c r="J79" i="13"/>
  <c r="H58" i="13"/>
  <c r="R58" i="13" s="1" a="1"/>
  <c r="R58" i="13" s="1"/>
  <c r="J58" i="13"/>
  <c r="S47" i="13"/>
  <c r="W47" i="13"/>
  <c r="X47" i="13" s="1"/>
  <c r="AC47" i="13"/>
  <c r="AB47" i="13" s="1"/>
  <c r="S40" i="13"/>
  <c r="W40" i="13"/>
  <c r="X40" i="13" s="1"/>
  <c r="AC40" i="13"/>
  <c r="AB40" i="13" s="1"/>
  <c r="H74" i="13"/>
  <c r="R74" i="13" s="1" a="1"/>
  <c r="R74" i="13" s="1"/>
  <c r="J74" i="13"/>
  <c r="H59" i="13"/>
  <c r="R59" i="13" s="1" a="1"/>
  <c r="R59" i="13" s="1"/>
  <c r="J59" i="13"/>
  <c r="S9" i="13"/>
  <c r="W9" i="13"/>
  <c r="X9" i="13" s="1"/>
  <c r="AC9" i="13"/>
  <c r="AB9" i="13" s="1"/>
  <c r="S25" i="13"/>
  <c r="W25" i="13"/>
  <c r="X25" i="13" s="1"/>
  <c r="AC25" i="13"/>
  <c r="AB25" i="13" s="1"/>
  <c r="H80" i="13"/>
  <c r="R80" i="13" s="1" a="1"/>
  <c r="R80" i="13" s="1"/>
  <c r="J80" i="13"/>
  <c r="S6" i="13"/>
  <c r="W6" i="13"/>
  <c r="X6" i="13" s="1"/>
  <c r="AC6" i="13"/>
  <c r="AB6" i="13" s="1"/>
  <c r="H85" i="13"/>
  <c r="R85" i="13" s="1" a="1"/>
  <c r="R85" i="13" s="1"/>
  <c r="J85" i="13"/>
  <c r="H75" i="13"/>
  <c r="R75" i="13" s="1" a="1"/>
  <c r="R75" i="13" s="1"/>
  <c r="J75" i="13"/>
  <c r="S24" i="13"/>
  <c r="W24" i="13"/>
  <c r="X24" i="13" s="1"/>
  <c r="AC24" i="13"/>
  <c r="AB24" i="13" s="1"/>
  <c r="H66" i="13"/>
  <c r="R66" i="13" s="1" a="1"/>
  <c r="R66" i="13" s="1"/>
  <c r="J66" i="13"/>
  <c r="H69" i="13"/>
  <c r="R69" i="13" s="1" a="1"/>
  <c r="R69" i="13" s="1"/>
  <c r="J69" i="13"/>
  <c r="S41" i="13"/>
  <c r="W41" i="13"/>
  <c r="X41" i="13" s="1"/>
  <c r="AC41" i="13"/>
  <c r="AB41" i="13" s="1"/>
  <c r="S46" i="13"/>
  <c r="W46" i="13"/>
  <c r="X46" i="13" s="1"/>
  <c r="AC46" i="13"/>
  <c r="AB46" i="13" s="1"/>
  <c r="H70" i="13"/>
  <c r="R70" i="13" s="1" a="1"/>
  <c r="R70" i="13" s="1"/>
  <c r="J70" i="13"/>
  <c r="H87" i="13"/>
  <c r="R87" i="13" s="1" a="1"/>
  <c r="R87" i="13" s="1"/>
  <c r="J87" i="13"/>
  <c r="H56" i="13"/>
  <c r="R56" i="13" s="1" a="1"/>
  <c r="R56" i="13" s="1"/>
  <c r="J56" i="13"/>
  <c r="S12" i="13"/>
  <c r="W12" i="13"/>
  <c r="X12" i="13" s="1"/>
  <c r="AC12" i="13"/>
  <c r="AB12" i="13" s="1"/>
  <c r="S33" i="13"/>
  <c r="W33" i="13"/>
  <c r="X33" i="13" s="1"/>
  <c r="AC33" i="13"/>
  <c r="AB33" i="13" s="1"/>
  <c r="S18" i="13"/>
  <c r="W18" i="13"/>
  <c r="X18" i="13" s="1"/>
  <c r="AC18" i="13"/>
  <c r="AB18" i="13" s="1"/>
  <c r="H81" i="13"/>
  <c r="R81" i="13" s="1" a="1"/>
  <c r="R81" i="13" s="1"/>
  <c r="J81" i="13"/>
  <c r="H61" i="13"/>
  <c r="R61" i="13" s="1" a="1"/>
  <c r="R61" i="13" s="1"/>
  <c r="J61" i="13"/>
  <c r="S10" i="13"/>
  <c r="W10" i="13"/>
  <c r="X10" i="13" s="1"/>
  <c r="AC10" i="13"/>
  <c r="AB10" i="13" s="1"/>
  <c r="H65" i="13"/>
  <c r="R65" i="13" s="1" a="1"/>
  <c r="R65" i="13" s="1"/>
  <c r="J65" i="13"/>
  <c r="H91" i="13"/>
  <c r="R91" i="13" s="1" a="1"/>
  <c r="R91" i="13" s="1"/>
  <c r="J91" i="13"/>
  <c r="H92" i="13"/>
  <c r="R92" i="13" s="1" a="1"/>
  <c r="R92" i="13" s="1"/>
  <c r="J92" i="13"/>
  <c r="H78" i="13"/>
  <c r="R78" i="13" s="1" a="1"/>
  <c r="R78" i="13" s="1"/>
  <c r="J78" i="13"/>
  <c r="S8" i="13"/>
  <c r="W8" i="13"/>
  <c r="X8" i="13" s="1"/>
  <c r="AC8" i="13"/>
  <c r="AB8" i="13" s="1"/>
  <c r="S26" i="13"/>
  <c r="W26" i="13"/>
  <c r="X26" i="13" s="1"/>
  <c r="AC26" i="13"/>
  <c r="AB26" i="13" s="1"/>
  <c r="H76" i="13"/>
  <c r="R76" i="13" s="1" a="1"/>
  <c r="R76" i="13" s="1"/>
  <c r="J76" i="13"/>
  <c r="H86" i="13"/>
  <c r="R86" i="13" s="1" a="1"/>
  <c r="R86" i="13" s="1"/>
  <c r="J86" i="13"/>
  <c r="H90" i="13"/>
  <c r="R90" i="13" s="1" a="1"/>
  <c r="R90" i="13" s="1"/>
  <c r="J90" i="13"/>
  <c r="H50" i="13"/>
  <c r="R50" i="13" s="1" a="1"/>
  <c r="R50" i="13" s="1"/>
  <c r="J50" i="13"/>
  <c r="K20" i="17"/>
  <c r="K14" i="17"/>
  <c r="K8" i="17"/>
  <c r="L8" i="17"/>
  <c r="L20" i="17"/>
  <c r="L14" i="17"/>
  <c r="L10" i="17"/>
  <c r="L13" i="17" s="1"/>
  <c r="I7" i="17"/>
  <c r="I6" i="17"/>
  <c r="I10" i="17" s="1"/>
  <c r="I44" i="17"/>
  <c r="I38" i="17"/>
  <c r="S81" i="13" l="1"/>
  <c r="W81" i="13"/>
  <c r="X81" i="13" s="1"/>
  <c r="AC81" i="13"/>
  <c r="AB81" i="13" s="1"/>
  <c r="S85" i="13"/>
  <c r="W85" i="13"/>
  <c r="X85" i="13" s="1"/>
  <c r="AC85" i="13"/>
  <c r="AB85" i="13" s="1"/>
  <c r="S54" i="13"/>
  <c r="W54" i="13"/>
  <c r="X54" i="13" s="1"/>
  <c r="AC54" i="13"/>
  <c r="AB54" i="13" s="1"/>
  <c r="S62" i="13"/>
  <c r="W62" i="13"/>
  <c r="X62" i="13" s="1"/>
  <c r="AC62" i="13"/>
  <c r="AB62" i="13" s="1"/>
  <c r="S52" i="13"/>
  <c r="W52" i="13"/>
  <c r="X52" i="13" s="1"/>
  <c r="AC52" i="13"/>
  <c r="AB52" i="13" s="1"/>
  <c r="S82" i="13"/>
  <c r="W82" i="13"/>
  <c r="X82" i="13" s="1"/>
  <c r="AC82" i="13"/>
  <c r="AB82" i="13" s="1"/>
  <c r="S50" i="13"/>
  <c r="W50" i="13"/>
  <c r="X50" i="13" s="1"/>
  <c r="AC50" i="13"/>
  <c r="AB50" i="13" s="1"/>
  <c r="S86" i="13"/>
  <c r="W86" i="13"/>
  <c r="X86" i="13" s="1"/>
  <c r="AC86" i="13"/>
  <c r="AB86" i="13" s="1"/>
  <c r="S92" i="13"/>
  <c r="W92" i="13"/>
  <c r="X92" i="13" s="1"/>
  <c r="AC92" i="13"/>
  <c r="AB92" i="13" s="1"/>
  <c r="S65" i="13"/>
  <c r="W65" i="13"/>
  <c r="X65" i="13" s="1"/>
  <c r="AC65" i="13"/>
  <c r="AB65" i="13" s="1"/>
  <c r="S87" i="13"/>
  <c r="W87" i="13"/>
  <c r="X87" i="13" s="1"/>
  <c r="AC87" i="13"/>
  <c r="AB87" i="13" s="1"/>
  <c r="S66" i="13"/>
  <c r="W66" i="13"/>
  <c r="X66" i="13" s="1"/>
  <c r="AC66" i="13"/>
  <c r="AB66" i="13" s="1"/>
  <c r="S80" i="13"/>
  <c r="W80" i="13"/>
  <c r="X80" i="13" s="1"/>
  <c r="AC80" i="13"/>
  <c r="AB80" i="13" s="1"/>
  <c r="S59" i="13"/>
  <c r="W59" i="13"/>
  <c r="X59" i="13" s="1"/>
  <c r="AC59" i="13"/>
  <c r="AB59" i="13" s="1"/>
  <c r="S79" i="13"/>
  <c r="W79" i="13"/>
  <c r="X79" i="13" s="1"/>
  <c r="AC79" i="13"/>
  <c r="AB79" i="13" s="1"/>
  <c r="S72" i="13"/>
  <c r="W72" i="13"/>
  <c r="X72" i="13" s="1"/>
  <c r="AC72" i="13"/>
  <c r="AB72" i="13" s="1"/>
  <c r="S63" i="13"/>
  <c r="W63" i="13"/>
  <c r="X63" i="13" s="1"/>
  <c r="AC63" i="13"/>
  <c r="AB63" i="13" s="1"/>
  <c r="S68" i="13"/>
  <c r="W68" i="13"/>
  <c r="X68" i="13" s="1"/>
  <c r="AC68" i="13"/>
  <c r="AB68" i="13" s="1"/>
  <c r="S57" i="13"/>
  <c r="W57" i="13"/>
  <c r="X57" i="13" s="1"/>
  <c r="AC57" i="13"/>
  <c r="AB57" i="13" s="1"/>
  <c r="S51" i="13"/>
  <c r="W51" i="13"/>
  <c r="X51" i="13" s="1"/>
  <c r="AC51" i="13"/>
  <c r="AB51" i="13" s="1"/>
  <c r="S84" i="13"/>
  <c r="W84" i="13"/>
  <c r="X84" i="13" s="1"/>
  <c r="AC84" i="13"/>
  <c r="AB84" i="13" s="1"/>
  <c r="S77" i="13"/>
  <c r="W77" i="13"/>
  <c r="X77" i="13" s="1"/>
  <c r="AC77" i="13"/>
  <c r="AB77" i="13" s="1"/>
  <c r="S64" i="13"/>
  <c r="W64" i="13"/>
  <c r="X64" i="13" s="1"/>
  <c r="AC64" i="13"/>
  <c r="AB64" i="13" s="1"/>
  <c r="S61" i="13"/>
  <c r="W61" i="13"/>
  <c r="X61" i="13" s="1"/>
  <c r="AC61" i="13"/>
  <c r="AB61" i="13" s="1"/>
  <c r="S75" i="13"/>
  <c r="AC75" i="13"/>
  <c r="AB75" i="13" s="1"/>
  <c r="W75" i="13"/>
  <c r="X75" i="13" s="1"/>
  <c r="S93" i="13"/>
  <c r="W93" i="13"/>
  <c r="X93" i="13" s="1"/>
  <c r="AC93" i="13"/>
  <c r="AB93" i="13" s="1"/>
  <c r="S89" i="13"/>
  <c r="W89" i="13"/>
  <c r="X89" i="13" s="1"/>
  <c r="AC89" i="13"/>
  <c r="AB89" i="13" s="1"/>
  <c r="S88" i="13"/>
  <c r="W88" i="13"/>
  <c r="X88" i="13" s="1"/>
  <c r="AC88" i="13"/>
  <c r="AB88" i="13" s="1"/>
  <c r="S67" i="13"/>
  <c r="W67" i="13"/>
  <c r="X67" i="13" s="1"/>
  <c r="AC67" i="13"/>
  <c r="AB67" i="13" s="1"/>
  <c r="S90" i="13"/>
  <c r="W90" i="13"/>
  <c r="X90" i="13" s="1"/>
  <c r="AC90" i="13"/>
  <c r="AB90" i="13" s="1"/>
  <c r="S76" i="13"/>
  <c r="W76" i="13"/>
  <c r="X76" i="13" s="1"/>
  <c r="AC76" i="13"/>
  <c r="AB76" i="13" s="1"/>
  <c r="S78" i="13"/>
  <c r="W78" i="13"/>
  <c r="X78" i="13" s="1"/>
  <c r="AC78" i="13"/>
  <c r="AB78" i="13" s="1"/>
  <c r="S91" i="13"/>
  <c r="W91" i="13"/>
  <c r="X91" i="13" s="1"/>
  <c r="AC91" i="13"/>
  <c r="AB91" i="13" s="1"/>
  <c r="S56" i="13"/>
  <c r="W56" i="13"/>
  <c r="X56" i="13" s="1"/>
  <c r="AC56" i="13"/>
  <c r="AB56" i="13" s="1"/>
  <c r="S70" i="13"/>
  <c r="W70" i="13"/>
  <c r="X70" i="13" s="1"/>
  <c r="AC70" i="13"/>
  <c r="AB70" i="13" s="1"/>
  <c r="S69" i="13"/>
  <c r="W69" i="13"/>
  <c r="X69" i="13" s="1"/>
  <c r="AC69" i="13"/>
  <c r="AB69" i="13" s="1"/>
  <c r="S74" i="13"/>
  <c r="W74" i="13"/>
  <c r="X74" i="13" s="1"/>
  <c r="AC74" i="13"/>
  <c r="AB74" i="13" s="1"/>
  <c r="S58" i="13"/>
  <c r="W58" i="13"/>
  <c r="X58" i="13" s="1"/>
  <c r="AC58" i="13"/>
  <c r="AB58" i="13" s="1"/>
  <c r="S60" i="13"/>
  <c r="W60" i="13"/>
  <c r="X60" i="13" s="1"/>
  <c r="AC60" i="13"/>
  <c r="AB60" i="13" s="1"/>
  <c r="S55" i="13"/>
  <c r="W55" i="13"/>
  <c r="X55" i="13" s="1"/>
  <c r="AC55" i="13"/>
  <c r="AB55" i="13" s="1"/>
  <c r="S71" i="13"/>
  <c r="W71" i="13"/>
  <c r="X71" i="13" s="1"/>
  <c r="AC71" i="13"/>
  <c r="AB71" i="13" s="1"/>
  <c r="S94" i="13"/>
  <c r="W94" i="13"/>
  <c r="X94" i="13" s="1"/>
  <c r="AC94" i="13"/>
  <c r="AB94" i="13" s="1"/>
  <c r="S73" i="13"/>
  <c r="W73" i="13"/>
  <c r="X73" i="13" s="1"/>
  <c r="AC73" i="13"/>
  <c r="AB73" i="13" s="1"/>
  <c r="S83" i="13"/>
  <c r="W83" i="13"/>
  <c r="X83" i="13" s="1"/>
  <c r="AC83" i="13"/>
  <c r="AB83" i="13" s="1"/>
  <c r="S53" i="13"/>
  <c r="W53" i="13"/>
  <c r="X53" i="13" s="1"/>
  <c r="AC53" i="13"/>
  <c r="AB53" i="13" s="1"/>
  <c r="K27" i="17"/>
  <c r="I13" i="17"/>
  <c r="K9" i="17" l="1"/>
  <c r="B7" i="16"/>
  <c r="B4" i="16"/>
  <c r="J9" i="17" l="1"/>
  <c r="L9" i="17"/>
  <c r="G81" i="2"/>
  <c r="G78" i="2"/>
  <c r="K29" i="17" l="1"/>
  <c r="K32" i="17" s="1"/>
  <c r="K39" i="17" s="1"/>
  <c r="K47" i="17" s="1"/>
  <c r="A2" i="15"/>
  <c r="R1" i="15" a="1"/>
  <c r="R1" i="15" s="1"/>
  <c r="I9" i="17" l="1"/>
  <c r="R31" i="2"/>
  <c r="R28" i="2"/>
  <c r="R23" i="2"/>
  <c r="R50" i="2"/>
  <c r="R27" i="2"/>
  <c r="R48" i="2"/>
  <c r="R55" i="2"/>
  <c r="R47" i="2"/>
  <c r="R42" i="2"/>
  <c r="R40" i="2"/>
  <c r="R56" i="2"/>
  <c r="R45" i="2"/>
  <c r="R41" i="2"/>
  <c r="R36" i="2"/>
  <c r="R37" i="2"/>
  <c r="R34" i="2"/>
  <c r="R53" i="2"/>
  <c r="R35" i="2"/>
  <c r="R30" i="2"/>
  <c r="R26" i="2"/>
  <c r="R32" i="2"/>
  <c r="R33" i="2"/>
  <c r="R46" i="2"/>
  <c r="R22" i="2"/>
  <c r="R29" i="2"/>
  <c r="R49" i="2"/>
  <c r="R52" i="2"/>
  <c r="R44" i="2"/>
  <c r="R21" i="2"/>
  <c r="R43" i="2"/>
  <c r="R25" i="2"/>
  <c r="R38" i="2"/>
  <c r="R54" i="2"/>
  <c r="R51" i="2"/>
  <c r="R24" i="2"/>
  <c r="R39" i="2"/>
  <c r="J27" i="17" l="1"/>
  <c r="J29" i="17" s="1"/>
  <c r="J32" i="17" s="1"/>
  <c r="J39" i="17" s="1"/>
  <c r="J47" i="17" s="1"/>
  <c r="L27" i="17"/>
  <c r="L29" i="17" s="1"/>
  <c r="L32" i="17" s="1"/>
  <c r="L39" i="17" s="1"/>
  <c r="I27" i="17"/>
  <c r="I29" i="17" s="1"/>
  <c r="I32" i="17" s="1"/>
  <c r="I39" i="17" s="1"/>
  <c r="I47" i="17" s="1"/>
  <c r="L47" i="17" l="1"/>
  <c r="L49" i="17" s="1"/>
  <c r="B5" i="16"/>
  <c r="B3" i="16"/>
  <c r="B6" i="16" l="1"/>
  <c r="C7" i="1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BCF528-986A-4EDC-A1F1-00DFD95FE6A5}" keepAlive="1" name="Query - ACHAT" description="Connection to the 'ACHAT' query in the workbook." type="5" refreshedVersion="8" background="1" saveData="1">
    <dbPr connection="Provider=Microsoft.Mashup.OleDb.1;Data Source=$Workbook$;Location=ACHAT;Extended Properties=&quot;&quot;" command="SELECT * FROM [ACHAT]"/>
  </connection>
  <connection id="2" xr16:uid="{E75C2B69-FEC0-4D26-AF1C-6C1371EA4B04}" keepAlive="1" name="Query - COUT INGREDIENT" description="Connection to the 'COUT INGREDIENT' query in the workbook." type="5" refreshedVersion="8" background="1" saveData="1">
    <dbPr connection="Provider=Microsoft.Mashup.OleDb.1;Data Source=$Workbook$;Location=&quot;COUT INGREDIENT&quot;;Extended Properties=&quot;&quot;" command="SELECT * FROM [COUT INGREDIENT]"/>
  </connection>
  <connection id="3" xr16:uid="{B68C85EE-65B6-4416-A668-350840E2996A}" keepAlive="1" name="Query - COUT INGREDIENT INVENTAIRE" description="Connection to the 'COUT INGREDIENT INVENTAIRE' query in the workbook." type="5" refreshedVersion="8" background="1" saveData="1">
    <dbPr connection="Provider=Microsoft.Mashup.OleDb.1;Data Source=$Workbook$;Location=&quot;COUT INGREDIENT INVENTAIRE&quot;;Extended Properties=&quot;&quot;" command="SELECT * FROM [COUT INGREDIENT INVENTAIRE]"/>
  </connection>
  <connection id="4" xr16:uid="{3AC8595B-3502-4F88-800A-78BCF1715C42}" keepAlive="1" name="Query - COUT_CORE" description="Connection to the 'COUT_CORE' query in the workbook." type="5" refreshedVersion="8" background="1" saveData="1">
    <dbPr connection="Provider=Microsoft.Mashup.OleDb.1;Data Source=$Workbook$;Location=COUT_CORE;Extended Properties=&quot;&quot;" command="SELECT * FROM [COUT_CORE]"/>
  </connection>
  <connection id="5" xr16:uid="{44473FB4-73D6-4AB7-B58C-B76ABF7A30CE}" keepAlive="1" name="Query - ECART" description="Connection to the 'ECART' query in the workbook." type="5" refreshedVersion="8" background="1" saveData="1">
    <dbPr connection="Provider=Microsoft.Mashup.OleDb.1;Data Source=$Workbook$;Location=ECART;Extended Properties=&quot;&quot;" command="SELECT * FROM [ECART]"/>
  </connection>
  <connection id="6" xr16:uid="{E77D537E-65FB-407D-9F35-B304A2914CB5}" keepAlive="1" name="Query - Equivalence Core" description="Connection to the 'Equivalence Core' query in the workbook." type="5" refreshedVersion="0" background="1">
    <dbPr connection="Provider=Microsoft.Mashup.OleDb.1;Data Source=$Workbook$;Location=&quot;Equivalence Core&quot;;Extended Properties=&quot;&quot;" command="SELECT * FROM [Equivalence Core]"/>
  </connection>
  <connection id="7" xr16:uid="{640AA8CB-AE2D-46CC-A0B0-410B6DE40F5C}" keepAlive="1" name="Query - INGREDIENT MATRIX" description="Connection to the 'INGREDIENT MATRIX' query in the workbook." type="5" refreshedVersion="0" background="1">
    <dbPr connection="Provider=Microsoft.Mashup.OleDb.1;Data Source=$Workbook$;Location=&quot;INGREDIENT MATRIX&quot;;Extended Properties=&quot;&quot;" command="SELECT * FROM [INGREDIENT MATRIX]"/>
  </connection>
  <connection id="8" xr16:uid="{176FCED0-CB3C-41C9-B1D9-B504DBE2F3DB}" keepAlive="1" name="Query - INVENTAIRE" description="Connection to the 'INVENTAIRE' query in the workbook." type="5" refreshedVersion="8" background="1" saveData="1">
    <dbPr connection="Provider=Microsoft.Mashup.OleDb.1;Data Source=$Workbook$;Location=INVENTAIRE;Extended Properties=&quot;&quot;" command="SELECT * FROM [INVENTAIRE]"/>
  </connection>
  <connection id="9" xr16:uid="{81C2EEDB-7B60-44ED-B7E6-636B54F63A1C}" keepAlive="1" name="Query - MENU_INGREDIENT" description="Connection to the 'MENU_INGREDIENT' query in the workbook." type="5" refreshedVersion="0" background="1">
    <dbPr connection="Provider=Microsoft.Mashup.OleDb.1;Data Source=$Workbook$;Location=MENU_INGREDIENT;Extended Properties=&quot;&quot;" command="SELECT * FROM [MENU_INGREDIENT]"/>
  </connection>
  <connection id="10" xr16:uid="{0B6A8A4A-A0A6-45B6-8302-B31D8FDAB921}" keepAlive="1" name="Query - Merge1(1)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11" xr16:uid="{501A10C2-C7AA-466B-9D2B-BFA9411ADAE5}" keepAlive="1" name="Query - PERIODE" description="Connection to the 'PERIODE' query in the workbook." type="5" refreshedVersion="0" background="1">
    <dbPr connection="Provider=Microsoft.Mashup.OleDb.1;Data Source=$Workbook$;Location=PERIODE;Extended Properties=&quot;&quot;" command="SELECT * FROM [PERIODE]"/>
  </connection>
  <connection id="12" xr16:uid="{0C272EBC-93E2-499A-AB75-6F8D1129E977}" keepAlive="1" name="Query - PRIX_ACHAT_INGREDIENT" description="Connection to the 'PRIX_ACHAT_INGREDIENT' query in the workbook." type="5" refreshedVersion="0" background="1">
    <dbPr connection="Provider=Microsoft.Mashup.OleDb.1;Data Source=$Workbook$;Location=PRIX_ACHAT_INGREDIENT;Extended Properties=&quot;&quot;" command="SELECT * FROM [PRIX_ACHAT_INGREDIENT]"/>
  </connection>
  <connection id="13" xr16:uid="{3BF37217-095C-4237-872A-5384D43E282C}" keepAlive="1" name="Query - RAPPORT FINAL" description="Connection to the 'RAPPORT FINAL' query in the workbook." type="5" refreshedVersion="8" background="1" saveData="1">
    <dbPr connection="Provider=Microsoft.Mashup.OleDb.1;Data Source=$Workbook$;Location=&quot;RAPPORT FINAL&quot;;Extended Properties=&quot;&quot;" command="SELECT * FROM [RAPPORT FINAL]"/>
  </connection>
  <connection id="14" xr16:uid="{02D7D987-6CCA-4D58-91FA-66E1EAF03ED3}" keepAlive="1" name="Query - ROOT" description="Connection to the 'ROOT' query in the workbook." type="5" refreshedVersion="0" background="1">
    <dbPr connection="Provider=Microsoft.Mashup.OleDb.1;Data Source=$Workbook$;Location=ROOT;Extended Properties=&quot;&quot;" command="SELECT * FROM [ROOT]"/>
  </connection>
  <connection id="15" xr16:uid="{D3E74787-9F17-474B-A0E2-28BB041E1D93}" keepAlive="1" name="Query - TOTAL VENTE" description="Connection to the 'TOTAL VENTE' query in the workbook." type="5" refreshedVersion="8" background="1" saveData="1">
    <dbPr connection="Provider=Microsoft.Mashup.OleDb.1;Data Source=$Workbook$;Location=&quot;TOTAL VENTE&quot;;Extended Properties=&quot;&quot;" command="SELECT * FROM [TOTAL VENTE]"/>
  </connection>
  <connection id="16" xr16:uid="{EFCE0855-C0CF-4E1C-9883-2E63E661661D}" keepAlive="1" name="Query - VENTE" description="Connection to the 'VENTE' query in the workbook." type="5" refreshedVersion="8" background="1" saveData="1">
    <dbPr connection="Provider=Microsoft.Mashup.OleDb.1;Data Source=$Workbook$;Location=VENTE;Extended Properties=&quot;&quot;" command="SELECT * FROM [VENT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<sst xmlns="http://schemas.openxmlformats.org/spreadsheetml/2006/main" count="4593" uniqueCount="314">
  <si>
    <t>QUANTITE</t>
  </si>
  <si>
    <t>VENTE</t>
  </si>
  <si>
    <t>PERIODE</t>
  </si>
  <si>
    <t>Categorie</t>
  </si>
  <si>
    <t>Periode</t>
  </si>
  <si>
    <t>Designation</t>
  </si>
  <si>
    <t>Quantite</t>
  </si>
  <si>
    <t>Total</t>
  </si>
  <si>
    <t>Tomate</t>
  </si>
  <si>
    <t xml:space="preserve">Aromate </t>
  </si>
  <si>
    <t>Sel</t>
  </si>
  <si>
    <t>Poivre Blanc</t>
  </si>
  <si>
    <t>Ognion</t>
  </si>
  <si>
    <t xml:space="preserve">Poivron </t>
  </si>
  <si>
    <t>Condiment Vert</t>
  </si>
  <si>
    <t>Foie</t>
  </si>
  <si>
    <t>Trippe</t>
  </si>
  <si>
    <t>Poulet</t>
  </si>
  <si>
    <t>Arachide</t>
  </si>
  <si>
    <t>Ecrevise</t>
  </si>
  <si>
    <t>Ndole</t>
  </si>
  <si>
    <t>Morue</t>
  </si>
  <si>
    <t>Huile</t>
  </si>
  <si>
    <t>Plantain</t>
  </si>
  <si>
    <t>Pomme</t>
  </si>
  <si>
    <t>Riz</t>
  </si>
  <si>
    <t>Spaghetti</t>
  </si>
  <si>
    <t>Porc</t>
  </si>
  <si>
    <t>Queue de Boeuf</t>
  </si>
  <si>
    <t>Poisson</t>
  </si>
  <si>
    <t>24P11</t>
  </si>
  <si>
    <t>Plat Vendu</t>
  </si>
  <si>
    <t>BIERRE CHILL BTL  50CL</t>
  </si>
  <si>
    <t>BIERRE 33 EXPORT BTL  65CL</t>
  </si>
  <si>
    <t>BIERRE CASTEL BTL 50CL</t>
  </si>
  <si>
    <t>BIERRE MUTZIQ BTL  0.65L</t>
  </si>
  <si>
    <t>BIERRE ISEMBECK BTL  0.65L</t>
  </si>
  <si>
    <t>BIERRE BEAUFORT BTL  50CL</t>
  </si>
  <si>
    <t>BIERRE GUINNESS PM BTL  33CL</t>
  </si>
  <si>
    <t>BIERRE GUINNESS GM BTL  65CL</t>
  </si>
  <si>
    <t>BIERRE GUINNESS SMOOTH BTL  50CL</t>
  </si>
  <si>
    <t>BIERRE ORIGIN BTL  60CL</t>
  </si>
  <si>
    <t>BIERRE KADJI BEER BTL  60CL</t>
  </si>
  <si>
    <t>BIERRE BOOSTER COLA  BTL  0.50L</t>
  </si>
  <si>
    <t>BIERRE BOOSTER TONIC BTL  0.65L</t>
  </si>
  <si>
    <t>BIERRE ICE BLACK BTL  0.33L</t>
  </si>
  <si>
    <t>BIERRE HEINEKEN BTL  0.33L</t>
  </si>
  <si>
    <t>BIERRE RACINE BTL 50CL</t>
  </si>
  <si>
    <t>JUS TOP ORANGE  BTL 0.50L</t>
  </si>
  <si>
    <t>JUS TOP ANNANAS BTL 0.50L</t>
  </si>
  <si>
    <t>JUS TOP GRENADINE BTL 0.50L</t>
  </si>
  <si>
    <t>JUS DJINO COCKTAILE BTL 60CL</t>
  </si>
  <si>
    <t xml:space="preserve">JUS VIMTO BTL </t>
  </si>
  <si>
    <t>JUS EXORTICA BTL 30CL</t>
  </si>
  <si>
    <t xml:space="preserve">JUS ORANGINA BTL </t>
  </si>
  <si>
    <t>JUS COCA WORLD BTL 50CL</t>
  </si>
  <si>
    <t>WHISKEY JACK DANIEL  35CL</t>
  </si>
  <si>
    <t>WHISKEY JACK DANIEL  75CL</t>
  </si>
  <si>
    <t>WHISKEY GRANTS  35CL</t>
  </si>
  <si>
    <t>EAU SUPERMONT  1L</t>
  </si>
  <si>
    <t>EAU SUPERMONT  1.5L</t>
  </si>
  <si>
    <t>EAU SUPER MONT  0.50L</t>
  </si>
  <si>
    <t>ROIGNON SAUTE</t>
  </si>
  <si>
    <t>FOIE DE BOEUF SAUTE</t>
  </si>
  <si>
    <t>TRIPPE SAUTE</t>
  </si>
  <si>
    <t>POULET ROTIS</t>
  </si>
  <si>
    <t xml:space="preserve">BOUILLON DE QUEUE DE BOEUF </t>
  </si>
  <si>
    <t>POISSON SAUCE PROVINCIALE</t>
  </si>
  <si>
    <t>NDOLE SENTIMENTALE</t>
  </si>
  <si>
    <t>PORC ROTIS</t>
  </si>
  <si>
    <t>PLANTAIN</t>
  </si>
  <si>
    <t>Ingredient</t>
  </si>
  <si>
    <t>POMME</t>
  </si>
  <si>
    <t>RIZ</t>
  </si>
  <si>
    <t>SPAGHETTI</t>
  </si>
  <si>
    <t>Accompagnement</t>
  </si>
  <si>
    <t>Bar</t>
  </si>
  <si>
    <t>MENU</t>
  </si>
  <si>
    <t xml:space="preserve">COUT DE VENTE </t>
  </si>
  <si>
    <t>INVENTAIRE</t>
  </si>
  <si>
    <t>BAILEYS 1L</t>
  </si>
  <si>
    <t>JP CHENET 20CL</t>
  </si>
  <si>
    <t>PERLANT DEMI 50CL</t>
  </si>
  <si>
    <t>RICARDO 70CL</t>
  </si>
  <si>
    <t>VIN BLANC 75CL</t>
  </si>
  <si>
    <t>VIN ROUGE 75CL</t>
  </si>
  <si>
    <t>ACHAT.Quantite</t>
  </si>
  <si>
    <t>ACHAT.Prix Unitaire</t>
  </si>
  <si>
    <t>ACHAT.Total</t>
  </si>
  <si>
    <t>INVENTAIRE.Quantite</t>
  </si>
  <si>
    <t>default</t>
  </si>
  <si>
    <t>Quantite Vendu</t>
  </si>
  <si>
    <t>quart</t>
  </si>
  <si>
    <t>boule</t>
  </si>
  <si>
    <t>UDM</t>
  </si>
  <si>
    <t>plat</t>
  </si>
  <si>
    <t>portion</t>
  </si>
  <si>
    <t>btl</t>
  </si>
  <si>
    <t>ACHAT</t>
  </si>
  <si>
    <t>ml</t>
  </si>
  <si>
    <t>VENTE.Prix</t>
  </si>
  <si>
    <t>VENTE.Total</t>
  </si>
  <si>
    <t>Plat Chaud</t>
  </si>
  <si>
    <t>ECART</t>
  </si>
  <si>
    <t>ECART.Quantite</t>
  </si>
  <si>
    <t>STOCK PHYSIQUE</t>
  </si>
  <si>
    <t>STOCK THEORIQUE</t>
  </si>
  <si>
    <t>STOCK DEBUT / PRECENDENT</t>
  </si>
  <si>
    <t>gram</t>
  </si>
  <si>
    <t>Viande Boeuf</t>
  </si>
  <si>
    <t>doigt</t>
  </si>
  <si>
    <t>Core</t>
  </si>
  <si>
    <t>Rognion</t>
  </si>
  <si>
    <t>ROOT</t>
  </si>
  <si>
    <t>MENU INGREDIENT</t>
  </si>
  <si>
    <t>INVENTAIRE_THEORIQUE</t>
  </si>
  <si>
    <t>Quantite par Plat</t>
  </si>
  <si>
    <t>Quantite Total Ingredient</t>
  </si>
  <si>
    <t>Cout Unitaire</t>
  </si>
  <si>
    <t>Cout Total</t>
  </si>
  <si>
    <t>INVENTAIRE_PREC.Quantite</t>
  </si>
  <si>
    <t>Pain</t>
  </si>
  <si>
    <t>baguette</t>
  </si>
  <si>
    <t>Mayonnaise</t>
  </si>
  <si>
    <t>Motarde</t>
  </si>
  <si>
    <t>Piment</t>
  </si>
  <si>
    <t>tas</t>
  </si>
  <si>
    <t xml:space="preserve">APPERO MARTINI </t>
  </si>
  <si>
    <t>WHISKY BLACK &amp; WHITE</t>
  </si>
  <si>
    <t>CHIPS</t>
  </si>
  <si>
    <t>paquet</t>
  </si>
  <si>
    <t>ROOM SERVICE</t>
  </si>
  <si>
    <t>Service</t>
  </si>
  <si>
    <t>service</t>
  </si>
  <si>
    <t>conso</t>
  </si>
  <si>
    <t>Oeuf</t>
  </si>
  <si>
    <t>PETIT DEJEUNER CONTINENTALE</t>
  </si>
  <si>
    <t>Matinal</t>
  </si>
  <si>
    <t>Nido</t>
  </si>
  <si>
    <t>Nescafe</t>
  </si>
  <si>
    <t>THE</t>
  </si>
  <si>
    <t>CAFE MOULU</t>
  </si>
  <si>
    <t>Petit Dej</t>
  </si>
  <si>
    <t>sachet</t>
  </si>
  <si>
    <t>tasse</t>
  </si>
  <si>
    <t>oeuf</t>
  </si>
  <si>
    <t>WHISKEY JOHNNY RED LABEL 75CL</t>
  </si>
  <si>
    <t>OEUF</t>
  </si>
  <si>
    <t>GAMELLE</t>
  </si>
  <si>
    <t>Emballage</t>
  </si>
  <si>
    <t>gamelle</t>
  </si>
  <si>
    <t>PRIX</t>
  </si>
  <si>
    <t>INGREDIENT</t>
  </si>
  <si>
    <t>Prix Achat</t>
  </si>
  <si>
    <t>Prix Vente</t>
  </si>
  <si>
    <t>JUS TOP PAMPLEMOUSSE BTL 0.50L</t>
  </si>
  <si>
    <t>JUS MALTA GUINNESS BTL 0.33CL</t>
  </si>
  <si>
    <t>Source Path</t>
  </si>
  <si>
    <t>Options</t>
  </si>
  <si>
    <t>Selection</t>
  </si>
  <si>
    <t>I:\Doc Socsuba\Annida\BILANS MENSUEL</t>
  </si>
  <si>
    <t>Prix Unitaire</t>
  </si>
  <si>
    <t>VENTE.Quantite</t>
  </si>
  <si>
    <t>24P10</t>
  </si>
  <si>
    <t>RAPPORT INVENTAIRE</t>
  </si>
  <si>
    <t>TOTAL QANTITE</t>
  </si>
  <si>
    <t xml:space="preserve">SOURCE </t>
  </si>
  <si>
    <t>LET(
   prix_achat, [ACHAT.Prix Unitaire],
   prix_vente, [VENTE.Prix],
   myxlookup,
      LAMBDA(prix,
         XLOOKUP(
            TEXTJOIN("P", TRUE, LEFT([@Periode], 2) - (RIGHT([@Periode], 2) = 1), MOD(RIGHT([@Periode], 2) - 2, 12) + 1) &amp; "-" &amp; [@Designation],
            [Periode] &amp; "-" &amp; [Designation],
            prix,
            "",
            0
         )
      ),
   is_ingredient, IF(myxlookup(prix_achat) = 0, "", myxlookup(prix_achat)),
   is_not_ingredient, IF(myxlookup(prix_vente) = 0, "", myxlookup(prix_vente)),
   IF([@Categorie] = "Ingredient", is_ingredient, is_not_ingredient)
)</t>
  </si>
  <si>
    <t>unite</t>
  </si>
  <si>
    <t>Column1</t>
  </si>
  <si>
    <t>Column2</t>
  </si>
  <si>
    <t>STOCK INVENTATIRE DEBUT</t>
  </si>
  <si>
    <t>STOCK INVENTATIRE FIN</t>
  </si>
  <si>
    <t>Values</t>
  </si>
  <si>
    <t>VALEUR THEORIQUE</t>
  </si>
  <si>
    <t>REF</t>
  </si>
  <si>
    <t>Colonne1</t>
  </si>
  <si>
    <t>LIBELLES</t>
  </si>
  <si>
    <t>Colonne2</t>
  </si>
  <si>
    <t>Colonne3</t>
  </si>
  <si>
    <t>Colonne4</t>
  </si>
  <si>
    <t>Note</t>
  </si>
  <si>
    <t>Colonne5</t>
  </si>
  <si>
    <t>TA</t>
  </si>
  <si>
    <t>Ventes de marchandises</t>
  </si>
  <si>
    <t>A</t>
  </si>
  <si>
    <t>+</t>
  </si>
  <si>
    <t>RA</t>
  </si>
  <si>
    <t>Achats de marchandises</t>
  </si>
  <si>
    <t>-</t>
  </si>
  <si>
    <t>RB</t>
  </si>
  <si>
    <t>Variation de stocks de marchandises</t>
  </si>
  <si>
    <t>-/+</t>
  </si>
  <si>
    <t>XA</t>
  </si>
  <si>
    <t>MARGE COMMERCIALE (Somme TA &amp; RB)</t>
  </si>
  <si>
    <t>TB</t>
  </si>
  <si>
    <t>Ventes des produits fabriqués</t>
  </si>
  <si>
    <t>B</t>
  </si>
  <si>
    <t>TC</t>
  </si>
  <si>
    <t>Travaux, services vendus</t>
  </si>
  <si>
    <t>C</t>
  </si>
  <si>
    <t>TD</t>
  </si>
  <si>
    <t>Produits accessoires</t>
  </si>
  <si>
    <t>D</t>
  </si>
  <si>
    <t>XB</t>
  </si>
  <si>
    <t>CHIFFRE D'AFFAIRES (A + B + C + D)</t>
  </si>
  <si>
    <t>TE</t>
  </si>
  <si>
    <t>Production stockée (ou déstockage)</t>
  </si>
  <si>
    <t>TF</t>
  </si>
  <si>
    <t>Produits immobilisées</t>
  </si>
  <si>
    <t>TG</t>
  </si>
  <si>
    <t>Subventions d'exploitation</t>
  </si>
  <si>
    <t>TH</t>
  </si>
  <si>
    <t>Autres produits</t>
  </si>
  <si>
    <t>TI</t>
  </si>
  <si>
    <t>Transferts de charges d'exploitation</t>
  </si>
  <si>
    <t>RC</t>
  </si>
  <si>
    <t>Achats de matières premières et fournitures liées</t>
  </si>
  <si>
    <t>RD</t>
  </si>
  <si>
    <t>Variation de stocks de matières premières et fournitures liées</t>
  </si>
  <si>
    <t>RE</t>
  </si>
  <si>
    <t>Autres achats</t>
  </si>
  <si>
    <t>RF</t>
  </si>
  <si>
    <t>Variation de stocks d'autres approvisionnements</t>
  </si>
  <si>
    <t>RG</t>
  </si>
  <si>
    <t>Transports</t>
  </si>
  <si>
    <t>RH</t>
  </si>
  <si>
    <t>Services extérieurs</t>
  </si>
  <si>
    <t>RI</t>
  </si>
  <si>
    <t>Impôts et taxes</t>
  </si>
  <si>
    <t>RJ</t>
  </si>
  <si>
    <t>Autres charges</t>
  </si>
  <si>
    <t>XC</t>
  </si>
  <si>
    <t>VALEUR AJOUTEE (XB + RA + RB) + (Somme TE à RJ)</t>
  </si>
  <si>
    <t>RK</t>
  </si>
  <si>
    <t>Charge de personnel</t>
  </si>
  <si>
    <t>XD</t>
  </si>
  <si>
    <t>EXCEDENT BRUT D'EXPLOITATION (XC + RK)</t>
  </si>
  <si>
    <t>TJ</t>
  </si>
  <si>
    <t>Reprises d'amortissements, provisions et dépréciations</t>
  </si>
  <si>
    <t>RL</t>
  </si>
  <si>
    <t>Dotations aux amortissements, aux provisions et dépréciations</t>
  </si>
  <si>
    <t>3C &amp; 28</t>
  </si>
  <si>
    <t>XE</t>
  </si>
  <si>
    <t>RESULTAT D'EXPLOITATION (XD + TJ + RL)</t>
  </si>
  <si>
    <t>TK</t>
  </si>
  <si>
    <t>Revenus financiers et assimilés</t>
  </si>
  <si>
    <t>TL</t>
  </si>
  <si>
    <t>Reprises de provisions et dépréciations financières</t>
  </si>
  <si>
    <t>TM</t>
  </si>
  <si>
    <t>Transferts de charges financières</t>
  </si>
  <si>
    <t>RM</t>
  </si>
  <si>
    <t>Frais financiers et charges assimilées</t>
  </si>
  <si>
    <t>RN</t>
  </si>
  <si>
    <t>Dotations aux provisions et aux dépréciations financières</t>
  </si>
  <si>
    <t>XF</t>
  </si>
  <si>
    <t>RESULTAT FINANCIER (somme TK à RN)</t>
  </si>
  <si>
    <t>XG</t>
  </si>
  <si>
    <t>RESULTAT DES ACTIVITES ORDINAIRES (XE + XF)</t>
  </si>
  <si>
    <t>TN</t>
  </si>
  <si>
    <t>Produits de cessions d'immobilisations</t>
  </si>
  <si>
    <t>3D</t>
  </si>
  <si>
    <t>TO</t>
  </si>
  <si>
    <t>Autres produits HAO</t>
  </si>
  <si>
    <t>RO</t>
  </si>
  <si>
    <t>Valeurs comptables des cessions d'immobilisations</t>
  </si>
  <si>
    <t>RP</t>
  </si>
  <si>
    <t>Autres charges HAO</t>
  </si>
  <si>
    <t>XH</t>
  </si>
  <si>
    <t>RESULTAT HORS ACTIVITES ORDINAIRES (Somme TN à RP)</t>
  </si>
  <si>
    <t>RQ</t>
  </si>
  <si>
    <t>Participation des travailleurs</t>
  </si>
  <si>
    <t>RS</t>
  </si>
  <si>
    <t>Impôts sur résultat</t>
  </si>
  <si>
    <t>XI</t>
  </si>
  <si>
    <t>RESULTAT NET (XG + XH + RQ + RS)</t>
  </si>
  <si>
    <t/>
  </si>
  <si>
    <t>INVENTAIRE.Prix_vente</t>
  </si>
  <si>
    <t>INVENTAIRE.Total_prix_vente</t>
  </si>
  <si>
    <t>Cout Unite defaut</t>
  </si>
  <si>
    <t>Cout Unite ajuste</t>
  </si>
  <si>
    <t>Column3</t>
  </si>
  <si>
    <t>Categorie2</t>
  </si>
  <si>
    <t>F</t>
  </si>
  <si>
    <t>MP</t>
  </si>
  <si>
    <t>SF</t>
  </si>
  <si>
    <t>EXERCICE 2 REEL</t>
  </si>
  <si>
    <t>EXERCICE 1 THEORIQUE</t>
  </si>
  <si>
    <t>EXERCICE 1 REEL</t>
  </si>
  <si>
    <t>ECART.Total_cout</t>
  </si>
  <si>
    <t>ECART.Unite_vente</t>
  </si>
  <si>
    <t>ECART.Total_vente</t>
  </si>
  <si>
    <t>ECART.Unite_cout</t>
  </si>
  <si>
    <t>INVENTAIRE_PREC.Prix_cout</t>
  </si>
  <si>
    <t>INVENTAIRE_PREC.Total_cout</t>
  </si>
  <si>
    <t>INVENTAIRE_PREC.Prix_vente</t>
  </si>
  <si>
    <t>INVENTAIRE_PREC.Total_vente</t>
  </si>
  <si>
    <t>INVENTAIRE_THEORIQUE.Prix_vente</t>
  </si>
  <si>
    <t>INVENTAIRE_THEORIQUE.Total_vente</t>
  </si>
  <si>
    <t>INVENTAIRE_THEORIQUE.Prix_cout</t>
  </si>
  <si>
    <t>INVENTAIRE_THEORIQUE.Total_cout</t>
  </si>
  <si>
    <t>INVENTAIRE.Prix_cout</t>
  </si>
  <si>
    <t>INVENTAIRE.Total_cout</t>
  </si>
  <si>
    <t>WHISKEY GRANTS  75CL</t>
  </si>
  <si>
    <t xml:space="preserve"> </t>
  </si>
  <si>
    <t>EXERCICE 2 THEORIQUE</t>
  </si>
  <si>
    <t>STOCK DEBUT</t>
  </si>
  <si>
    <t>STOCK</t>
  </si>
  <si>
    <t>24P12</t>
  </si>
  <si>
    <t>bar</t>
  </si>
  <si>
    <t>BIERRE HARP 60CL</t>
  </si>
  <si>
    <t>F = FINI</t>
  </si>
  <si>
    <t>MP = Matiere Premiere</t>
  </si>
  <si>
    <t>SF = Semi 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</si>
</sst>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BFBFB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theme="9"/>
      </patternFill>
    </fill>
    <fill>
      <patternFill patternType="solid">
        <fgColor theme="6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97">
    <xf numFmtId="0" fontId="0" fillId="0" borderId="0" xfId="0"/>
    <xf numFmtId="0" fontId="3" fillId="0" borderId="0" xfId="0" applyFont="1"/>
    <xf numFmtId="0" fontId="4" fillId="3" borderId="0" xfId="0" applyFont="1" applyFill="1" applyAlignment="1">
      <alignment horizontal="centerContinuous"/>
    </xf>
    <xf numFmtId="0" fontId="0" fillId="0" borderId="1" xfId="0" applyBorder="1"/>
    <xf numFmtId="0" fontId="0" fillId="4" borderId="1" xfId="0" applyFill="1" applyBorder="1"/>
    <xf numFmtId="0" fontId="7" fillId="0" borderId="0" xfId="0" applyFont="1"/>
    <xf numFmtId="0" fontId="6" fillId="3" borderId="4" xfId="0" applyFont="1" applyFill="1" applyBorder="1" applyAlignment="1">
      <alignment horizontal="centerContinuous"/>
    </xf>
    <xf numFmtId="0" fontId="7" fillId="3" borderId="5" xfId="0" applyFont="1" applyFill="1" applyBorder="1" applyAlignment="1">
      <alignment horizontal="centerContinuous"/>
    </xf>
    <xf numFmtId="0" fontId="0" fillId="0" borderId="6" xfId="0" applyBorder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2" fillId="3" borderId="0" xfId="0" applyFont="1" applyFill="1" applyAlignment="1">
      <alignment horizontal="centerContinuous"/>
    </xf>
    <xf numFmtId="2" fontId="0" fillId="0" borderId="0" xfId="0" applyNumberFormat="1"/>
    <xf numFmtId="0" fontId="0" fillId="3" borderId="0" xfId="0" applyFill="1" applyAlignment="1">
      <alignment horizontal="centerContinuous"/>
    </xf>
    <xf numFmtId="0" fontId="9" fillId="3" borderId="0" xfId="0" applyFont="1" applyFill="1" applyAlignment="1">
      <alignment horizontal="centerContinuous"/>
    </xf>
    <xf numFmtId="0" fontId="3" fillId="3" borderId="0" xfId="0" applyFont="1" applyFill="1"/>
    <xf numFmtId="0" fontId="10" fillId="3" borderId="0" xfId="0" applyFont="1" applyFill="1" applyAlignment="1">
      <alignment horizontal="centerContinuous"/>
    </xf>
    <xf numFmtId="0" fontId="10" fillId="2" borderId="0" xfId="0" applyFont="1" applyFill="1" applyAlignment="1">
      <alignment horizontal="centerContinuous"/>
    </xf>
    <xf numFmtId="0" fontId="12" fillId="2" borderId="0" xfId="0" applyFont="1" applyFill="1" applyAlignment="1">
      <alignment horizontal="centerContinuous"/>
    </xf>
    <xf numFmtId="0" fontId="13" fillId="2" borderId="0" xfId="0" applyFont="1" applyFill="1" applyAlignment="1">
      <alignment horizontal="centerContinuous"/>
    </xf>
    <xf numFmtId="0" fontId="13" fillId="0" borderId="0" xfId="0" applyFont="1"/>
    <xf numFmtId="0" fontId="14" fillId="0" borderId="0" xfId="0" applyFont="1"/>
    <xf numFmtId="0" fontId="2" fillId="5" borderId="0" xfId="0" applyFont="1" applyFill="1" applyAlignment="1">
      <alignment horizontal="centerContinuous"/>
    </xf>
    <xf numFmtId="0" fontId="0" fillId="0" borderId="10" xfId="0" applyBorder="1"/>
    <xf numFmtId="0" fontId="0" fillId="0" borderId="11" xfId="0" applyBorder="1"/>
    <xf numFmtId="0" fontId="5" fillId="0" borderId="12" xfId="0" applyFont="1" applyBorder="1" applyAlignment="1">
      <alignment horizontal="centerContinuous"/>
    </xf>
    <xf numFmtId="0" fontId="5" fillId="0" borderId="13" xfId="0" applyFont="1" applyBorder="1" applyAlignment="1">
      <alignment horizontal="centerContinuous"/>
    </xf>
    <xf numFmtId="0" fontId="5" fillId="0" borderId="14" xfId="0" applyFont="1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0" fillId="0" borderId="16" xfId="0" applyBorder="1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9" xfId="0" applyBorder="1"/>
    <xf numFmtId="0" fontId="0" fillId="0" borderId="21" xfId="0" applyBorder="1"/>
    <xf numFmtId="0" fontId="16" fillId="0" borderId="7" xfId="0" applyFont="1" applyBorder="1"/>
    <xf numFmtId="0" fontId="16" fillId="0" borderId="8" xfId="0" applyFont="1" applyBorder="1"/>
    <xf numFmtId="0" fontId="16" fillId="0" borderId="9" xfId="0" applyFont="1" applyBorder="1"/>
    <xf numFmtId="0" fontId="16" fillId="2" borderId="15" xfId="0" applyFont="1" applyFill="1" applyBorder="1"/>
    <xf numFmtId="0" fontId="16" fillId="2" borderId="2" xfId="0" applyFont="1" applyFill="1" applyBorder="1"/>
    <xf numFmtId="0" fontId="16" fillId="2" borderId="16" xfId="0" applyFont="1" applyFill="1" applyBorder="1"/>
    <xf numFmtId="0" fontId="16" fillId="0" borderId="15" xfId="0" applyFont="1" applyBorder="1"/>
    <xf numFmtId="0" fontId="16" fillId="0" borderId="1" xfId="0" applyFont="1" applyBorder="1"/>
    <xf numFmtId="0" fontId="16" fillId="0" borderId="16" xfId="0" applyFont="1" applyBorder="1"/>
    <xf numFmtId="0" fontId="16" fillId="2" borderId="1" xfId="0" applyFont="1" applyFill="1" applyBorder="1"/>
    <xf numFmtId="0" fontId="16" fillId="2" borderId="17" xfId="0" applyFont="1" applyFill="1" applyBorder="1"/>
    <xf numFmtId="0" fontId="10" fillId="7" borderId="1" xfId="0" applyFont="1" applyFill="1" applyBorder="1" applyAlignment="1">
      <alignment horizontal="centerContinuous"/>
    </xf>
    <xf numFmtId="0" fontId="11" fillId="0" borderId="7" xfId="0" applyFont="1" applyBorder="1" applyAlignment="1">
      <alignment horizontal="centerContinuous"/>
    </xf>
    <xf numFmtId="0" fontId="16" fillId="2" borderId="22" xfId="0" applyFont="1" applyFill="1" applyBorder="1"/>
    <xf numFmtId="0" fontId="0" fillId="0" borderId="25" xfId="0" applyBorder="1" applyAlignment="1">
      <alignment horizontal="centerContinuous"/>
    </xf>
    <xf numFmtId="0" fontId="18" fillId="0" borderId="0" xfId="1" applyFont="1" applyAlignment="1">
      <alignment horizontal="center" vertical="center"/>
    </xf>
    <xf numFmtId="0" fontId="18" fillId="0" borderId="0" xfId="1" applyFont="1"/>
    <xf numFmtId="0" fontId="19" fillId="0" borderId="0" xfId="1" applyFont="1" applyAlignment="1">
      <alignment horizontal="center"/>
    </xf>
    <xf numFmtId="0" fontId="19" fillId="0" borderId="0" xfId="1" applyFont="1"/>
    <xf numFmtId="49" fontId="19" fillId="0" borderId="0" xfId="1" applyNumberFormat="1" applyFont="1" applyAlignment="1">
      <alignment horizontal="center"/>
    </xf>
    <xf numFmtId="3" fontId="19" fillId="0" borderId="0" xfId="1" applyNumberFormat="1" applyFont="1"/>
    <xf numFmtId="0" fontId="18" fillId="0" borderId="0" xfId="1" applyFont="1" applyAlignment="1">
      <alignment horizontal="center"/>
    </xf>
    <xf numFmtId="49" fontId="18" fillId="0" borderId="0" xfId="1" applyNumberFormat="1" applyFont="1" applyAlignment="1">
      <alignment horizontal="center"/>
    </xf>
    <xf numFmtId="3" fontId="18" fillId="0" borderId="0" xfId="1" applyNumberFormat="1" applyFont="1"/>
    <xf numFmtId="0" fontId="18" fillId="0" borderId="5" xfId="1" applyFont="1" applyBorder="1" applyAlignment="1">
      <alignment horizontal="center"/>
    </xf>
    <xf numFmtId="0" fontId="18" fillId="0" borderId="5" xfId="1" applyFont="1" applyBorder="1"/>
    <xf numFmtId="49" fontId="18" fillId="0" borderId="5" xfId="1" applyNumberFormat="1" applyFont="1" applyBorder="1" applyAlignment="1">
      <alignment horizontal="center"/>
    </xf>
    <xf numFmtId="3" fontId="18" fillId="0" borderId="5" xfId="1" applyNumberFormat="1" applyFont="1" applyBorder="1"/>
    <xf numFmtId="0" fontId="18" fillId="0" borderId="23" xfId="1" applyFont="1" applyBorder="1" applyAlignment="1">
      <alignment horizontal="center"/>
    </xf>
    <xf numFmtId="0" fontId="18" fillId="0" borderId="23" xfId="1" applyFont="1" applyBorder="1"/>
    <xf numFmtId="49" fontId="18" fillId="0" borderId="23" xfId="1" applyNumberFormat="1" applyFont="1" applyBorder="1"/>
    <xf numFmtId="3" fontId="18" fillId="0" borderId="23" xfId="1" applyNumberFormat="1" applyFont="1" applyBorder="1"/>
    <xf numFmtId="0" fontId="0" fillId="0" borderId="26" xfId="0" applyBorder="1" applyAlignment="1">
      <alignment horizontal="centerContinuous"/>
    </xf>
    <xf numFmtId="0" fontId="11" fillId="0" borderId="25" xfId="0" applyFont="1" applyBorder="1" applyAlignment="1">
      <alignment horizontal="centerContinuous"/>
    </xf>
    <xf numFmtId="0" fontId="0" fillId="4" borderId="2" xfId="0" applyFill="1" applyBorder="1"/>
    <xf numFmtId="0" fontId="11" fillId="0" borderId="27" xfId="0" applyFont="1" applyBorder="1" applyAlignment="1">
      <alignment horizontal="centerContinuous"/>
    </xf>
    <xf numFmtId="0" fontId="5" fillId="0" borderId="28" xfId="0" applyFont="1" applyBorder="1" applyAlignment="1">
      <alignment horizontal="centerContinuous"/>
    </xf>
    <xf numFmtId="0" fontId="0" fillId="0" borderId="27" xfId="0" applyBorder="1" applyAlignment="1">
      <alignment horizontal="centerContinuous"/>
    </xf>
    <xf numFmtId="0" fontId="0" fillId="0" borderId="30" xfId="0" applyBorder="1" applyAlignment="1">
      <alignment horizontal="centerContinuous"/>
    </xf>
    <xf numFmtId="3" fontId="0" fillId="0" borderId="0" xfId="0" applyNumberFormat="1"/>
    <xf numFmtId="0" fontId="16" fillId="2" borderId="32" xfId="0" applyFont="1" applyFill="1" applyBorder="1"/>
    <xf numFmtId="0" fontId="15" fillId="6" borderId="3" xfId="0" applyFont="1" applyFill="1" applyBorder="1"/>
    <xf numFmtId="2" fontId="15" fillId="6" borderId="34" xfId="0" applyNumberFormat="1" applyFont="1" applyFill="1" applyBorder="1"/>
    <xf numFmtId="49" fontId="3" fillId="0" borderId="0" xfId="0" quotePrefix="1" applyNumberFormat="1" applyFont="1" applyAlignment="1">
      <alignment horizontal="center" wrapText="1"/>
    </xf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19" xfId="0" applyNumberFormat="1" applyBorder="1"/>
    <xf numFmtId="0" fontId="0" fillId="0" borderId="10" xfId="0" applyNumberFormat="1" applyBorder="1"/>
    <xf numFmtId="0" fontId="0" fillId="0" borderId="23" xfId="0" applyNumberFormat="1" applyBorder="1"/>
    <xf numFmtId="0" fontId="0" fillId="0" borderId="24" xfId="0" applyNumberFormat="1" applyBorder="1"/>
    <xf numFmtId="0" fontId="0" fillId="0" borderId="11" xfId="0" applyNumberFormat="1" applyBorder="1"/>
    <xf numFmtId="0" fontId="0" fillId="0" borderId="18" xfId="0" applyNumberFormat="1" applyBorder="1"/>
    <xf numFmtId="0" fontId="0" fillId="0" borderId="31" xfId="0" applyNumberFormat="1" applyBorder="1"/>
    <xf numFmtId="0" fontId="0" fillId="0" borderId="29" xfId="0" applyNumberFormat="1" applyBorder="1"/>
    <xf numFmtId="0" fontId="0" fillId="0" borderId="20" xfId="0" applyNumberFormat="1" applyBorder="1"/>
    <xf numFmtId="0" fontId="0" fillId="0" borderId="33" xfId="0" applyNumberFormat="1" applyBorder="1"/>
    <xf numFmtId="0" fontId="0" fillId="0" borderId="35" xfId="0" applyNumberFormat="1" applyBorder="1"/>
    <xf numFmtId="2" fontId="0" fillId="0" borderId="1" xfId="0" applyNumberFormat="1" applyBorder="1"/>
    <xf numFmtId="2" fontId="0" fillId="0" borderId="19" xfId="0" applyNumberFormat="1" applyBorder="1"/>
  </cellXfs>
  <cellStyles count="2">
    <cellStyle name="Normal" xfId="0" builtinId="0"/>
    <cellStyle name="Normal 12" xfId="1" xr:uid="{2AE28B7A-16C9-4A18-A35F-DEAA93DD9499}"/>
  </cellStyles>
  <dxfs count="101">
    <dxf>
      <numFmt numFmtId="0" formatCode="General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FF0000"/>
      </font>
      <fill>
        <patternFill>
          <bgColor rgb="FFFFC5C5"/>
        </patternFill>
      </fill>
    </dxf>
    <dxf>
      <fill>
        <patternFill>
          <bgColor rgb="FFFF1919"/>
        </patternFill>
      </fill>
    </dxf>
    <dxf>
      <fill>
        <patternFill>
          <bgColor rgb="FFC00000"/>
        </patternFill>
      </fill>
    </dxf>
    <dxf>
      <fill>
        <patternFill>
          <bgColor rgb="FFFFB7B7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border outline="0">
        <top style="thin">
          <color indexed="64"/>
        </top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9"/>
          <bgColor theme="6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rgb="FFFBFBFB"/>
        <name val="Calibri"/>
        <family val="2"/>
        <scheme val="minor"/>
      </font>
    </dxf>
  </dxfs>
  <tableStyles count="0" defaultTableStyle="TableStyleMedium2" defaultPivotStyle="PivotStyleLight16"/>
  <colors>
    <mruColors>
      <color rgb="FFFFB7B7"/>
      <color rgb="FFFFBDBD"/>
      <color rgb="FFFFC9C9"/>
      <color rgb="FF920000"/>
      <color rgb="FFFF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C6221C5-D985-4C05-A246-F1001DDA5B4B}" autoFormatId="16" applyNumberFormats="0" applyBorderFormats="0" applyFontFormats="0" applyPatternFormats="0" applyAlignmentFormats="0" applyWidthHeightFormats="0">
  <queryTableRefresh nextId="10">
    <queryTableFields count="5">
      <queryTableField id="1" name="PERIODE" tableColumnId="1"/>
      <queryTableField id="2" name="MENU" tableColumnId="2"/>
      <queryTableField id="4" name="ROOT" tableColumnId="4"/>
      <queryTableField id="6" name="Core" tableColumnId="5"/>
      <queryTableField id="3" name="Tota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A42E4F-E935-4069-BD58-C431C0B69852}" autoFormatId="16" applyNumberFormats="0" applyBorderFormats="0" applyFontFormats="0" applyPatternFormats="0" applyAlignmentFormats="0" applyWidthHeightFormats="0">
  <queryTableRefresh nextId="12">
    <queryTableFields count="8">
      <queryTableField id="1" name="Periode" tableColumnId="1"/>
      <queryTableField id="2" name="Categorie" tableColumnId="2"/>
      <queryTableField id="10" name="Categorie2" tableColumnId="8"/>
      <queryTableField id="3" name="Designation" tableColumnId="3"/>
      <queryTableField id="4" name="UDM" tableColumnId="4"/>
      <queryTableField id="5" name="Quantite" tableColumnId="5"/>
      <queryTableField id="6" name="Prix Unitaire" tableColumnId="6"/>
      <queryTableField id="7" name="Total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BEAE283-B273-45DA-8509-6C1DE4AB3B08}" autoFormatId="16" applyNumberFormats="0" applyBorderFormats="0" applyFontFormats="0" applyPatternFormats="0" applyAlignmentFormats="0" applyWidthHeightFormats="0">
  <queryTableRefresh nextId="10">
    <queryTableFields count="8">
      <queryTableField id="1" name="Periode" tableColumnId="1"/>
      <queryTableField id="2" name="Categorie" tableColumnId="2"/>
      <queryTableField id="8" name="Categorie2" tableColumnId="8"/>
      <queryTableField id="3" name="Designation" tableColumnId="3"/>
      <queryTableField id="4" name="UDM" tableColumnId="4"/>
      <queryTableField id="5" name="Quantite Vendu" tableColumnId="5"/>
      <queryTableField id="6" name="Prix Vente" tableColumnId="6"/>
      <queryTableField id="7" name="Total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73E1594E-AB28-4ED1-8908-C779C4DD2BA3}" autoFormatId="16" applyNumberFormats="0" applyBorderFormats="0" applyFontFormats="0" applyPatternFormats="0" applyAlignmentFormats="0" applyWidthHeightFormats="0">
  <queryTableRefresh nextId="25">
    <queryTableFields count="9">
      <queryTableField id="1" name="Periode" tableColumnId="1"/>
      <queryTableField id="6" name="Categorie" tableColumnId="6"/>
      <queryTableField id="2" name="Ingredient" tableColumnId="2"/>
      <queryTableField id="8" name="UDM" tableColumnId="7"/>
      <queryTableField id="12" name="Quantite par Plat" tableColumnId="9"/>
      <queryTableField id="3" name="Plat Vendu" tableColumnId="3"/>
      <queryTableField id="13" name="Quantite Total Ingredient" tableColumnId="10"/>
      <queryTableField id="14" name="Cout Unitaire" tableColumnId="11"/>
      <queryTableField id="15" name="Cout Total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0CB5306F-497A-46B1-B24B-4778022F283E}" autoFormatId="16" applyNumberFormats="0" applyBorderFormats="0" applyFontFormats="0" applyPatternFormats="0" applyAlignmentFormats="0" applyWidthHeightFormats="0">
  <queryTableRefresh nextId="15">
    <queryTableFields count="6">
      <queryTableField id="1" name="Periode" tableColumnId="1"/>
      <queryTableField id="9" name="Designation" tableColumnId="2"/>
      <queryTableField id="4" name="Categorie" tableColumnId="4"/>
      <queryTableField id="12" name="Categorie2" tableColumnId="3"/>
      <queryTableField id="5" name="UDM" tableColumnId="5"/>
      <queryTableField id="6" name="Quantit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0221FD1D-AD3C-4048-A3D1-BE6049BC2B85}" autoFormatId="16" applyNumberFormats="0" applyBorderFormats="0" applyFontFormats="0" applyPatternFormats="0" applyAlignmentFormats="0" applyWidthHeightFormats="0">
  <queryTableRefresh nextId="59" unboundColumnsRight="14">
    <queryTableFields count="31">
      <queryTableField id="1" name="Periode" tableColumnId="1"/>
      <queryTableField id="15" name="Categorie" tableColumnId="15"/>
      <queryTableField id="41" name="Categorie2" tableColumnId="26"/>
      <queryTableField id="2" name="Designation" tableColumnId="2"/>
      <queryTableField id="17" name="UDM" tableColumnId="16"/>
      <queryTableField id="33" dataBound="0" tableColumnId="12"/>
      <queryTableField id="52" dataBound="0" tableColumnId="32"/>
      <queryTableField id="51" dataBound="0" tableColumnId="31"/>
      <queryTableField id="32" dataBound="0" tableColumnId="11"/>
      <queryTableField id="31" dataBound="0" tableColumnId="10"/>
      <queryTableField id="3" name="ACHAT.Quantite" tableColumnId="3"/>
      <queryTableField id="4" name="ACHAT.Prix Unitaire" tableColumnId="4"/>
      <queryTableField id="5" name="ACHAT.Total" tableColumnId="5"/>
      <queryTableField id="34" name="VENTE.Quantite" tableColumnId="6"/>
      <queryTableField id="7" name="VENTE.Prix" tableColumnId="7"/>
      <queryTableField id="8" name="VENTE.Total" tableColumnId="8"/>
      <queryTableField id="9" name="INVENTAIRE.Quantite" tableColumnId="9"/>
      <queryTableField id="38" dataBound="0" tableColumnId="17"/>
      <queryTableField id="39" dataBound="0" tableColumnId="18"/>
      <queryTableField id="23" dataBound="0" tableColumnId="21"/>
      <queryTableField id="22" dataBound="0" tableColumnId="20"/>
      <queryTableField id="24" dataBound="0" tableColumnId="22"/>
      <queryTableField id="56" dataBound="0" tableColumnId="35"/>
      <queryTableField id="55" dataBound="0" tableColumnId="36"/>
      <queryTableField id="37" dataBound="0" tableColumnId="14"/>
      <queryTableField id="36" dataBound="0" tableColumnId="13"/>
      <queryTableField id="25" dataBound="0" tableColumnId="23"/>
      <queryTableField id="49" dataBound="0" tableColumnId="37"/>
      <queryTableField id="50" dataBound="0" tableColumnId="38"/>
      <queryTableField id="26" dataBound="0" tableColumnId="24"/>
      <queryTableField id="27" dataBound="0" tableColumnId="2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72AC0BE-7526-4B6E-89FB-A82CCDCB3306}" autoFormatId="16" applyNumberFormats="0" applyBorderFormats="0" applyFontFormats="0" applyPatternFormats="0" applyAlignmentFormats="0" applyWidthHeightFormats="0">
  <queryTableRefresh nextId="28">
    <queryTableFields count="13">
      <queryTableField id="1" name="Periode" tableColumnId="1"/>
      <queryTableField id="2" name="Categorie" tableColumnId="2"/>
      <queryTableField id="3" name="Categorie2" tableColumnId="3"/>
      <queryTableField id="4" name="Designation" tableColumnId="4"/>
      <queryTableField id="5" name="UDM" tableColumnId="5"/>
      <queryTableField id="14" name="STOCK DEBUT" tableColumnId="6"/>
      <queryTableField id="15" name="ACHAT" tableColumnId="7"/>
      <queryTableField id="16" name="VENTE" tableColumnId="8"/>
      <queryTableField id="18" name="STOCK" tableColumnId="10"/>
      <queryTableField id="17" name="STOCK THEORIQUE" tableColumnId="9"/>
      <queryTableField id="19" name="ECART" tableColumnId="11"/>
      <queryTableField id="12" name="ECART.Total_cout" tableColumnId="12"/>
      <queryTableField id="13" name="ECART.Total_vente" tableColumnId="13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6F940B-35FC-4BAF-837B-ED25B6C8E001}" name="INGREDIENT" displayName="INGREDIENT" ref="L4:AT18" totalsRowShown="0" headerRowDxfId="100">
  <autoFilter ref="L4:AT18" xr:uid="{7C6F940B-35FC-4BAF-837B-ED25B6C8E001}"/>
  <tableColumns count="35">
    <tableColumn id="28" xr3:uid="{5A9ED2BA-EBEE-4783-A947-43A36C835ED8}" name="PERIODE"/>
    <tableColumn id="1" xr3:uid="{EFE5D3B3-06AD-4B25-B7B0-A1F28202D475}" name="MENU"/>
    <tableColumn id="15" xr3:uid="{77228F9A-1D1C-44EF-8BBB-8725140C5BA4}" name="Core"/>
    <tableColumn id="2" xr3:uid="{ACD9DA7D-C10C-402F-A018-760387B25EB4}" name="Tomate"/>
    <tableColumn id="3" xr3:uid="{31C865E3-67E9-4C97-9E1B-6EEEFD2D10E4}" name="Ognion"/>
    <tableColumn id="4" xr3:uid="{3EC05270-A83A-4D27-BC5D-63B0783F99F3}" name="Poivron "/>
    <tableColumn id="5" xr3:uid="{98E81CA7-1A5D-42F8-AC23-79D5EF82AF76}" name="Condiment Vert"/>
    <tableColumn id="6" xr3:uid="{B0773DEE-8AC1-4754-B305-6678FC6028A0}" name="Aromate "/>
    <tableColumn id="7" xr3:uid="{899566F0-9EA8-4F73-91D8-E89A8B667D46}" name="Poivre Blanc"/>
    <tableColumn id="8" xr3:uid="{294FD10A-7506-4BEE-81B8-67C0EAA074C4}" name="Sel"/>
    <tableColumn id="9" xr3:uid="{73BB5D8C-28BA-4CF9-AA50-A108B5B4C39B}" name="Huile"/>
    <tableColumn id="33" xr3:uid="{E3C4F3E5-194F-421F-90A2-859C8B126C43}" name="Column1"/>
    <tableColumn id="34" xr3:uid="{12B1FE03-8527-4C2E-B0D8-BC1B69BFCB35}" name="Column2"/>
    <tableColumn id="36" xr3:uid="{71B37F09-374D-490F-9AFE-3BAE269DBC04}" name="Column3"/>
    <tableColumn id="10" xr3:uid="{292A5B32-2135-46B9-B7A4-236B45D67A6B}" name="Arachide"/>
    <tableColumn id="11" xr3:uid="{23EA4397-A63D-4239-B0B2-64A58C906D87}" name="Ecrevise"/>
    <tableColumn id="12" xr3:uid="{6CD8BF3B-1274-4AD2-BA4A-3276B2A8E32B}" name="Ndole"/>
    <tableColumn id="13" xr3:uid="{04776EAC-DA7E-41DA-B596-9F89ECA2145C}" name="Viande Boeuf"/>
    <tableColumn id="14" xr3:uid="{15CD9E02-2DF2-4768-A51A-F697A4EE0F5F}" name="Morue"/>
    <tableColumn id="17" xr3:uid="{306FDDA9-7746-49A5-94C0-82FF90619ADF}" name="Plantain"/>
    <tableColumn id="18" xr3:uid="{80DB5861-5C08-4E12-AE18-4518AE6B55DD}" name="Pomme"/>
    <tableColumn id="19" xr3:uid="{3642A0F2-5C07-46E1-B094-F48F863BA5E1}" name="Riz"/>
    <tableColumn id="20" xr3:uid="{BD360C15-A8D3-497C-9E13-FF8D3F2697E5}" name="Spaghetti"/>
    <tableColumn id="21" xr3:uid="{E04BC198-2A8C-4188-826A-42BB081313DC}" name="Porc"/>
    <tableColumn id="22" xr3:uid="{07AE4B06-4E35-4028-AF0D-8496A8C154DD}" name="Rognion"/>
    <tableColumn id="23" xr3:uid="{43114593-1B5C-4483-BDD2-A05F1DD8EA65}" name="Foie"/>
    <tableColumn id="24" xr3:uid="{B6FA4313-2ACA-4CD1-B0D3-9EB18BA0EA4D}" name="Trippe"/>
    <tableColumn id="25" xr3:uid="{9BF4C31E-AD70-45B1-B9A4-9BAF37D5FD26}" name="Poulet"/>
    <tableColumn id="26" xr3:uid="{26CA2E5D-5716-4BBF-AB4D-CF44F133AAB5}" name="Queue de Boeuf"/>
    <tableColumn id="27" xr3:uid="{C6BDBF79-4A2B-49DB-8E11-0004E646ED16}" name="Poisson"/>
    <tableColumn id="16" xr3:uid="{C0FE1719-E94A-48A4-B1FE-616034FC9FAD}" name="Oeuf"/>
    <tableColumn id="29" xr3:uid="{810D5053-A5AF-44F8-88E6-1C4E245FA9BE}" name="Pain"/>
    <tableColumn id="30" xr3:uid="{F31F010F-7214-4534-8FB3-9324651016FA}" name="Matinal"/>
    <tableColumn id="31" xr3:uid="{EACAA67F-EAC2-4064-9229-F2BCD8F0A71C}" name="Nido"/>
    <tableColumn id="32" xr3:uid="{7E19E8B3-D76D-405D-96F2-7E94AD6594C0}" name="Nescaf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F87245-D7C8-4574-89AA-79631AEFE019}" name="ROOT" displayName="ROOT" ref="A4:G97" totalsRowShown="0" headerRowBorderDxfId="99" tableBorderDxfId="98">
  <autoFilter ref="A4:G97" xr:uid="{0AF87245-D7C8-4574-89AA-79631AEFE019}"/>
  <tableColumns count="7">
    <tableColumn id="6" xr3:uid="{CF941CB6-1C54-4DD0-9410-2002F4BA23C2}" name="Periode"/>
    <tableColumn id="9" xr3:uid="{C8D0BA6C-DFF2-408E-816E-BD6A2EC3D521}" name="Categorie" dataDxfId="97"/>
    <tableColumn id="2" xr3:uid="{009509AE-66F3-4B12-8CEA-47E8E597C6B3}" name="Categorie2"/>
    <tableColumn id="1" xr3:uid="{28926D46-FFCC-4D77-8C66-9FC990D47358}" name="Designation" dataDxfId="96"/>
    <tableColumn id="3" xr3:uid="{63091182-8D35-4E28-BB29-CDC2A1689862}" name="UDM"/>
    <tableColumn id="4" xr3:uid="{5F1562CF-8854-4F68-A6B8-E97256F7332D}" name="Prix Achat" dataDxfId="95"/>
    <tableColumn id="5" xr3:uid="{97E9D2D1-70AC-42B0-91DD-D551B160827E}" name="Prix Ven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0724A-E2DB-4A31-8E6B-C7CBC46DCC41}" name="PRIX_ACHAT_INGREDIENT" displayName="PRIX_ACHAT_INGREDIENT" ref="L20:S56" totalsRowShown="0">
  <autoFilter ref="L20:S56" xr:uid="{A2B0724A-E2DB-4A31-8E6B-C7CBC46DCC41}"/>
  <sortState xmlns:xlrd2="http://schemas.microsoft.com/office/spreadsheetml/2017/richdata2" ref="L21:R56">
    <sortCondition ref="M20:M56"/>
  </sortState>
  <tableColumns count="8">
    <tableColumn id="7" xr3:uid="{0A756BC6-EAEF-448E-92BB-721EE6ABCC0E}" name="PERIODE" dataDxfId="94"/>
    <tableColumn id="1" xr3:uid="{6EB84129-281D-4E73-A173-E258A14756DB}" name="INGREDIENT" dataDxfId="93"/>
    <tableColumn id="2" xr3:uid="{B9A41223-0DD9-4A3F-96B9-50949FF46211}" name="UDM" dataDxfId="92"/>
    <tableColumn id="6" xr3:uid="{707EA729-93EA-493D-AD05-41EA2F5123BD}" name="QUANTITE" dataDxfId="91"/>
    <tableColumn id="3" xr3:uid="{E0B28384-07B5-4D3B-9B69-02EEE661E152}" name="PRIX" dataDxfId="90"/>
    <tableColumn id="4" xr3:uid="{220DB8FD-D010-4BAC-91B1-07750953C5F0}" name="TOTAL QANTITE" dataDxfId="89"/>
    <tableColumn id="5" xr3:uid="{66700B4F-9FE6-4A3B-B026-679909981FB7}" name="Cout Unite defaut" dataDxfId="88">
      <calculatedColumnFormula>IFERROR(PRIX_ACHAT_INGREDIENT[[#This Row],[PRIX]]/PRIX_ACHAT_INGREDIENT[[#This Row],[TOTAL QANTITE]],0)</calculatedColumnFormula>
    </tableColumn>
    <tableColumn id="8" xr3:uid="{973FFEAB-0848-4D87-B4CD-0090652615DB}" name="Cout Unite ajuste" dataDxfId="8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96F43D6-69B8-4450-8C38-703DDED1DCD3}" name="Source_Achat" displayName="Source_Achat" ref="I4:J5" totalsRowShown="0">
  <autoFilter ref="I4:J5" xr:uid="{796F43D6-69B8-4450-8C38-703DDED1DCD3}"/>
  <tableColumns count="2">
    <tableColumn id="1" xr3:uid="{C46CC09D-DC98-4E60-A159-BF47EDB9CECF}" name="Options"/>
    <tableColumn id="2" xr3:uid="{CE014145-FDDB-462A-9F06-B3B59D1365C7}" name="Selec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A39EAF-12A2-4528-9F45-860EAA08FF08}" name="COUT_CORE" displayName="COUT_CORE" ref="U20:Y34" tableType="queryTable" totalsRowShown="0">
  <autoFilter ref="U20:Y34" xr:uid="{11A39EAF-12A2-4528-9F45-860EAA08FF08}"/>
  <tableColumns count="5">
    <tableColumn id="1" xr3:uid="{8225E6C4-DCFE-4B74-B246-5D384C96DA7E}" uniqueName="1" name="PERIODE" queryTableFieldId="1" dataDxfId="86"/>
    <tableColumn id="2" xr3:uid="{BC62717E-D339-449E-9B1A-19F9D4227A68}" uniqueName="2" name="MENU" queryTableFieldId="2" dataDxfId="85"/>
    <tableColumn id="4" xr3:uid="{58DFDD9A-C418-444C-8564-C697111E4C8D}" uniqueName="4" name="ROOT" queryTableFieldId="4" dataDxfId="84"/>
    <tableColumn id="5" xr3:uid="{77CAD1A7-AB72-4E32-ABF5-0CAF59C21EA6}" uniqueName="5" name="Core" queryTableFieldId="6" dataDxfId="83"/>
    <tableColumn id="3" xr3:uid="{C9F15F94-3688-4E25-8411-9359599E6E37}" uniqueName="3" name="Total" queryTableFieldId="3" dataDxfId="3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49A8A56-01D3-4245-82A9-B80FDF7FD117}" name="ACHAT" displayName="ACHAT" ref="A4:H48" tableType="queryTable" totalsRowShown="0" headerRowDxfId="82">
  <autoFilter ref="A4:H48" xr:uid="{549A8A56-01D3-4245-82A9-B80FDF7FD117}"/>
  <sortState xmlns:xlrd2="http://schemas.microsoft.com/office/spreadsheetml/2017/richdata2" ref="A5:H48">
    <sortCondition descending="1" ref="A4:A48"/>
  </sortState>
  <tableColumns count="8">
    <tableColumn id="1" xr3:uid="{53A30842-8B37-4D1E-A4C4-58ABD20F5799}" uniqueName="1" name="Periode" queryTableFieldId="1" dataDxfId="57"/>
    <tableColumn id="2" xr3:uid="{D3D33603-9AA7-404A-A44D-E63712754587}" uniqueName="2" name="Categorie" queryTableFieldId="2" dataDxfId="56"/>
    <tableColumn id="8" xr3:uid="{920C2D45-9B83-4AF9-9B21-AF63EC3D31EF}" uniqueName="8" name="Categorie2" queryTableFieldId="10"/>
    <tableColumn id="3" xr3:uid="{61772AF7-81A8-4358-B5F7-41C91DE80B82}" uniqueName="3" name="Designation" queryTableFieldId="3" dataDxfId="55"/>
    <tableColumn id="4" xr3:uid="{EF5D25DE-7665-483B-A43C-9CE74DD11BC7}" uniqueName="4" name="UDM" queryTableFieldId="4" dataDxfId="54"/>
    <tableColumn id="5" xr3:uid="{B9A9F824-A0DA-4773-9565-AEB9AC0A1EDA}" uniqueName="5" name="Quantite" queryTableFieldId="5"/>
    <tableColumn id="6" xr3:uid="{AF1E534C-EF85-4E31-91A7-7666887F138F}" uniqueName="6" name="Prix Unitaire" queryTableFieldId="6"/>
    <tableColumn id="7" xr3:uid="{B1277772-D56A-482C-85B7-3D3C945E838F}" uniqueName="7" name="Total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1FFD8B1-0214-444D-9B8A-BC33631E6D16}" name="VENTE" displayName="VENTE" ref="A4:H84" tableType="queryTable" totalsRowShown="0" headerRowDxfId="81">
  <autoFilter ref="A4:H84" xr:uid="{11FFD8B1-0214-444D-9B8A-BC33631E6D16}"/>
  <sortState xmlns:xlrd2="http://schemas.microsoft.com/office/spreadsheetml/2017/richdata2" ref="A5:H84">
    <sortCondition ref="A4:A84"/>
  </sortState>
  <tableColumns count="8">
    <tableColumn id="1" xr3:uid="{3AAB1152-F903-48EA-AED0-376141FB6C09}" uniqueName="1" name="Periode" queryTableFieldId="1" dataDxfId="48"/>
    <tableColumn id="2" xr3:uid="{08E06A03-297A-447A-927C-E1A51E2C9699}" uniqueName="2" name="Categorie" queryTableFieldId="2" dataDxfId="47"/>
    <tableColumn id="8" xr3:uid="{654E1B5E-224F-41AD-B636-0F5FB4FA1F72}" uniqueName="8" name="Categorie2" queryTableFieldId="8"/>
    <tableColumn id="3" xr3:uid="{ADB87FE7-6C4D-41C6-8DEC-C945214C70C1}" uniqueName="3" name="Designation" queryTableFieldId="3" dataDxfId="46"/>
    <tableColumn id="4" xr3:uid="{9003EAFC-AB49-4B71-B055-5686470E141B}" uniqueName="4" name="UDM" queryTableFieldId="4" dataDxfId="45"/>
    <tableColumn id="5" xr3:uid="{529B0B12-41C6-481E-AFE0-8CFB2DA2DB17}" uniqueName="5" name="Quantite Vendu" queryTableFieldId="5"/>
    <tableColumn id="6" xr3:uid="{E03D0F87-E3D6-49CD-9F63-5950AE8DF296}" uniqueName="6" name="Prix Vente" queryTableFieldId="6"/>
    <tableColumn id="7" xr3:uid="{53857963-C123-49C8-A8B4-E5D312317806}" uniqueName="7" name="Total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92E6AF4-2307-442A-A3C4-B23E543802DE}" name="COUT_INGREDIENT" displayName="COUT_INGREDIENT" ref="A4:I59" tableType="queryTable" totalsRowShown="0">
  <autoFilter ref="A4:I59" xr:uid="{992E6AF4-2307-442A-A3C4-B23E543802DE}"/>
  <tableColumns count="9">
    <tableColumn id="1" xr3:uid="{B2E86296-BA76-4DA1-8A26-D94EA58A7F58}" uniqueName="1" name="Periode" queryTableFieldId="1" dataDxfId="36"/>
    <tableColumn id="6" xr3:uid="{6CECA88A-D199-492B-9B33-ADEBB9851F37}" uniqueName="6" name="Categorie" queryTableFieldId="6" dataDxfId="35"/>
    <tableColumn id="2" xr3:uid="{70AC48D4-3FEA-4627-BC95-34F751928577}" uniqueName="2" name="Ingredient" queryTableFieldId="2" dataDxfId="34"/>
    <tableColumn id="7" xr3:uid="{72B7433D-0555-4D42-B07B-83454F73234B}" uniqueName="7" name="UDM" queryTableFieldId="8" dataDxfId="33"/>
    <tableColumn id="9" xr3:uid="{FF7B20CC-BA49-4317-9415-A6E0331A771B}" uniqueName="9" name="Quantite par Plat" queryTableFieldId="12"/>
    <tableColumn id="3" xr3:uid="{4DAF6C2E-89F2-4474-8B67-8C603A9307A1}" uniqueName="3" name="Plat Vendu" queryTableFieldId="3"/>
    <tableColumn id="10" xr3:uid="{4A33D80F-CD94-48CD-B31B-3B45DA58B6D1}" uniqueName="10" name="Quantite Total Ingredient" queryTableFieldId="13"/>
    <tableColumn id="11" xr3:uid="{9411A9EC-72AA-4ABC-AB13-2BF7BFF1DF16}" uniqueName="11" name="Cout Unitaire" queryTableFieldId="14" dataDxfId="32"/>
    <tableColumn id="12" xr3:uid="{64D4C5C9-D0F8-4733-96A0-6420E1F89016}" uniqueName="12" name="Cout Total" queryTableFieldId="15" dataDxfId="31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BEBAAC-7531-4462-B154-95E6B7BC798B}" name="INVENTAIRE" displayName="INVENTAIRE" ref="A4:F228" tableType="queryTable" totalsRowShown="0" headerRowDxfId="80">
  <autoFilter ref="A4:F228" xr:uid="{08BEBAAC-7531-4462-B154-95E6B7BC798B}"/>
  <sortState xmlns:xlrd2="http://schemas.microsoft.com/office/spreadsheetml/2017/richdata2" ref="A5:F228">
    <sortCondition ref="A4:A228"/>
  </sortState>
  <tableColumns count="6">
    <tableColumn id="1" xr3:uid="{96809D01-6D98-401E-809C-C1B74407B6BF}" uniqueName="1" name="Periode" queryTableFieldId="1" dataDxfId="53"/>
    <tableColumn id="2" xr3:uid="{BA475C77-AA35-474A-949C-64BACE1CE4C3}" uniqueName="2" name="Designation" queryTableFieldId="9" dataDxfId="52"/>
    <tableColumn id="4" xr3:uid="{FB64B5DE-E2CE-4F38-90E6-2B17FD0F23C4}" uniqueName="4" name="Categorie" queryTableFieldId="4" dataDxfId="51"/>
    <tableColumn id="3" xr3:uid="{A2B9585D-DA48-4E0B-A31A-0575E66575AA}" uniqueName="3" name="Categorie2" queryTableFieldId="12"/>
    <tableColumn id="5" xr3:uid="{5FF65ED7-E533-4E15-92E8-1BB9CE3EC956}" uniqueName="5" name="UDM" queryTableFieldId="5" dataDxfId="50"/>
    <tableColumn id="6" xr3:uid="{22A9AA31-1EB7-4E42-91B1-A0E8952D0C1E}" uniqueName="6" name="Quantite" queryTableFieldId="6" dataDxfId="4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4247F44-8379-45E8-80AA-03B3E8433AAB}" name="RAPPORT_FINAL" displayName="RAPPORT_FINAL" ref="A5:AE327" tableType="queryTable" totalsRowShown="0" headerRowDxfId="79">
  <autoFilter ref="A5:AE327" xr:uid="{84247F44-8379-45E8-80AA-03B3E8433AAB}">
    <filterColumn colId="20">
      <filters>
        <filter val="0"/>
      </filters>
    </filterColumn>
  </autoFilter>
  <tableColumns count="31">
    <tableColumn id="1" xr3:uid="{D5016502-0DD7-4051-8AC4-8970F561CA1F}" uniqueName="1" name="Periode" queryTableFieldId="1" dataDxfId="30"/>
    <tableColumn id="15" xr3:uid="{169CCA4B-F42B-4773-9571-E665CC77CBFF}" uniqueName="15" name="Categorie" queryTableFieldId="15" dataDxfId="29"/>
    <tableColumn id="26" xr3:uid="{62953176-78C2-4981-B78E-8592FEF84008}" uniqueName="26" name="Categorie2" queryTableFieldId="41" dataDxfId="28"/>
    <tableColumn id="2" xr3:uid="{E17E169F-2330-403E-928E-ED3820528FAE}" uniqueName="2" name="Designation" queryTableFieldId="2" dataDxfId="27"/>
    <tableColumn id="16" xr3:uid="{1BA4D408-E31D-4188-90EC-A0444849D225}" uniqueName="16" name="UDM" queryTableFieldId="17" dataDxfId="26"/>
    <tableColumn id="12" xr3:uid="{7F7E6A71-8F94-4CD9-B2F4-B276CADAF172}" uniqueName="12" name="INVENTAIRE_PREC.Quantite" queryTableFieldId="33" dataDxfId="25">
      <calculatedColumnFormula array="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calculatedColumnFormula>
    </tableColumn>
    <tableColumn id="32" xr3:uid="{9BBD5EF1-462F-4A5F-B393-EBF434893E9F}" uniqueName="32" name="INVENTAIRE_PREC.Prix_cout" queryTableFieldId="52" dataDxfId="24">
      <calculatedColumnFormula array="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calculatedColumnFormula>
    </tableColumn>
    <tableColumn id="31" xr3:uid="{41C48974-5D3D-4729-9174-5646361A6A6C}" uniqueName="31" name="INVENTAIRE_PREC.Total_cout" queryTableFieldId="51" dataDxfId="23">
      <calculatedColumnFormula>IF(RAPPORT_FINAL[[#This Row],[INVENTAIRE_PREC.Prix_vente]]="","",RAPPORT_FINAL[[#This Row],[INVENTAIRE_PREC.Quantite]]*RAPPORT_FINAL[[#This Row],[INVENTAIRE_PREC.Prix_cout]])</calculatedColumnFormula>
    </tableColumn>
    <tableColumn id="11" xr3:uid="{F8751EC3-3B2E-4A8C-B00F-55D2807EFBB7}" uniqueName="11" name="INVENTAIRE_PREC.Prix_vente" queryTableFieldId="32" dataDxfId="22">
      <calculatedColumnFormula array="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calculatedColumnFormula>
    </tableColumn>
    <tableColumn id="10" xr3:uid="{378723C5-7D4B-4677-A4F5-B0A2CEB9BDC0}" uniqueName="10" name="INVENTAIRE_PREC.Total_vente" queryTableFieldId="31" dataDxfId="21">
      <calculatedColumnFormula>IF(RAPPORT_FINAL[[#This Row],[INVENTAIRE_PREC.Prix_vente]]="","",RAPPORT_FINAL[[#This Row],[INVENTAIRE_PREC.Quantite]]*RAPPORT_FINAL[[#This Row],[INVENTAIRE_PREC.Prix_vente]])</calculatedColumnFormula>
    </tableColumn>
    <tableColumn id="3" xr3:uid="{2660AAE7-E904-4A6A-8679-53A646C11A81}" uniqueName="3" name="ACHAT.Quantite" queryTableFieldId="3" dataDxfId="20"/>
    <tableColumn id="4" xr3:uid="{71F36A6C-56F6-4445-9F6A-03178E1FEAE7}" uniqueName="4" name="ACHAT.Prix Unitaire" queryTableFieldId="4" dataDxfId="19"/>
    <tableColumn id="5" xr3:uid="{ABC6119B-8423-42A1-8D3B-1A1EDFB89602}" uniqueName="5" name="ACHAT.Total" queryTableFieldId="5" dataDxfId="18"/>
    <tableColumn id="6" xr3:uid="{151E44E0-1773-4695-B435-E7CD02DD185E}" uniqueName="6" name="VENTE.Quantite" queryTableFieldId="34" dataDxfId="17"/>
    <tableColumn id="7" xr3:uid="{C97E20FA-D407-406B-B4AF-DBEBE6279EDD}" uniqueName="7" name="VENTE.Prix" queryTableFieldId="7" dataDxfId="16"/>
    <tableColumn id="8" xr3:uid="{805CF311-E6FE-4F49-9494-76137EAEA4E7}" uniqueName="8" name="VENTE.Total" queryTableFieldId="8" dataDxfId="15"/>
    <tableColumn id="9" xr3:uid="{2CCE9C67-1081-4949-BF65-BEA52A85513D}" uniqueName="9" name="INVENTAIRE.Quantite" queryTableFieldId="9" dataDxfId="14"/>
    <tableColumn id="17" xr3:uid="{BD02F9F8-5CC8-42B2-B041-3769987F044E}" uniqueName="17" name="INVENTAIRE.Prix_cout" queryTableFieldId="38" dataDxfId="13">
      <calculatedColumnFormula array="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calculatedColumnFormula>
    </tableColumn>
    <tableColumn id="18" xr3:uid="{F5723DE9-DCF3-48B2-BCD0-D9F99AAF6DD9}" uniqueName="18" name="INVENTAIRE.Total_cout" queryTableFieldId="39" dataDxfId="12">
      <calculatedColumnFormula>RAPPORT_FINAL[[#This Row],[INVENTAIRE.Quantite]]*RAPPORT_FINAL[[#This Row],[INVENTAIRE.Prix_cout]]</calculatedColumnFormula>
    </tableColumn>
    <tableColumn id="21" xr3:uid="{33A17252-8FEE-4A38-A178-0B94C5D9BFC6}" uniqueName="21" name="INVENTAIRE.Prix_vente" queryTableFieldId="23" dataDxfId="11">
      <calculatedColumnFormula array="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calculatedColumnFormula>
    </tableColumn>
    <tableColumn id="20" xr3:uid="{B5C11BD1-C139-47FD-91F7-761FB0D05237}" uniqueName="20" name="INVENTAIRE.Total_prix_vente" queryTableFieldId="22" dataDxfId="10">
      <calculatedColumnFormula>IF(OR(RAPPORT_FINAL[[#This Row],[INVENTAIRE.Quantite]]="",RAPPORT_FINAL[[#This Row],[INVENTAIRE.Prix_vente]]=""),"",RAPPORT_FINAL[[#This Row],[INVENTAIRE.Quantite]]*RAPPORT_FINAL[[#This Row],[INVENTAIRE.Prix_vente]])</calculatedColumnFormula>
    </tableColumn>
    <tableColumn id="22" xr3:uid="{0896C75E-EB3C-47D2-B5FF-08EC1998E76C}" uniqueName="22" name="INVENTAIRE_THEORIQUE" queryTableFieldId="24" dataDxfId="9">
      <calculatedColumnFormula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calculatedColumnFormula>
    </tableColumn>
    <tableColumn id="35" xr3:uid="{AA8CCD8B-F471-4257-BB06-7DBDDDBAE78A}" uniqueName="35" name="INVENTAIRE_THEORIQUE.Prix_cout" queryTableFieldId="56" dataDxfId="8">
      <calculatedColumnFormula>RAPPORT_FINAL[[#This Row],[INVENTAIRE.Prix_cout]]</calculatedColumnFormula>
    </tableColumn>
    <tableColumn id="36" xr3:uid="{79A6EB2D-A5A0-45C5-9826-7E65B4273095}" uniqueName="36" name="INVENTAIRE_THEORIQUE.Total_cout" queryTableFieldId="55" dataDxfId="7">
      <calculatedColumnFormula>RAPPORT_FINAL[[#This Row],[INVENTAIRE_THEORIQUE]]*RAPPORT_FINAL[[#This Row],[INVENTAIRE_THEORIQUE.Prix_cout]]</calculatedColumnFormula>
    </tableColumn>
    <tableColumn id="14" xr3:uid="{5AAF8A2F-4392-4217-A93B-20B251A5CDCE}" uniqueName="14" name="INVENTAIRE_THEORIQUE.Prix_vente" queryTableFieldId="37" dataDxfId="6">
      <calculatedColumnFormula>RAPPORT_FINAL[[#This Row],[INVENTAIRE.Prix_vente]]</calculatedColumnFormula>
    </tableColumn>
    <tableColumn id="13" xr3:uid="{03F58EFE-F662-4A19-A46F-2D79BA9C01A4}" uniqueName="13" name="INVENTAIRE_THEORIQUE.Total_vente" queryTableFieldId="36" dataDxfId="5">
      <calculatedColumnFormula>RAPPORT_FINAL[[#This Row],[INVENTAIRE_THEORIQUE]]*RAPPORT_FINAL[[#This Row],[INVENTAIRE_THEORIQUE.Prix_vente]]</calculatedColumnFormula>
    </tableColumn>
    <tableColumn id="23" xr3:uid="{A2165E24-AFD6-4964-BB18-7878AECAFE4B}" uniqueName="23" name="ECART.Quantite" queryTableFieldId="25" dataDxfId="4">
      <calculatedColumnFormula>RAPPORT_FINAL[[#This Row],[INVENTAIRE.Quantite]]-RAPPORT_FINAL[[#This Row],[INVENTAIRE_THEORIQUE]]</calculatedColumnFormula>
    </tableColumn>
    <tableColumn id="37" xr3:uid="{28E35F42-E29C-4B6D-8C38-397E62143A2C}" uniqueName="37" name="ECART.Unite_cout" queryTableFieldId="49" dataDxfId="3">
      <calculatedColumnFormula>IFERROR(RAPPORT_FINAL[[#This Row],[ECART.Total_cout]]/RAPPORT_FINAL[[#This Row],[ECART.Quantite]],0)</calculatedColumnFormula>
    </tableColumn>
    <tableColumn id="38" xr3:uid="{8DCCC0BA-9D92-47E6-AB25-CA2EF5A9430C}" uniqueName="38" name="ECART.Total_cout" queryTableFieldId="50" dataDxfId="2">
      <calculatedColumnFormula>IFERROR(RAPPORT_FINAL[[#This Row],[ECART.Quantite]]*RAPPORT_FINAL[[#This Row],[INVENTAIRE.Prix_cout]],"")</calculatedColumnFormula>
    </tableColumn>
    <tableColumn id="24" xr3:uid="{5E75DA11-9AD6-4F72-8EFD-D2E077254BC3}" uniqueName="24" name="ECART.Unite_vente" queryTableFieldId="26" dataDxfId="1">
      <calculatedColumnFormula>IFERROR(RAPPORT_FINAL[[#This Row],[ECART.Total_vente]]/RAPPORT_FINAL[[#This Row],[ECART.Quantite]],0)</calculatedColumnFormula>
    </tableColumn>
    <tableColumn id="25" xr3:uid="{655EFB54-93CA-4515-8BB8-C655A02AA518}" uniqueName="25" name="ECART.Total_vente" queryTableFieldId="27" dataDxfId="0">
      <calculatedColumnFormula>IFERROR(RAPPORT_FINAL[[#This Row],[ECART.Quantite]]*RAPPORT_FINAL[[#This Row],[INVENTAIRE.Prix_vente]],"")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019B84-4052-4E53-B75B-01F81F966646}" name="PERIODE" displayName="PERIODE" ref="O1:O2" totalsRowShown="0">
  <autoFilter ref="O1:O2" xr:uid="{F0019B84-4052-4E53-B75B-01F81F966646}"/>
  <tableColumns count="1">
    <tableColumn id="1" xr3:uid="{E075B157-1C23-4475-8150-78F7F9EA358A}" name="PERIO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75C896-BE02-4580-BD7E-176919947B24}" name="ECART" displayName="ECART" ref="A4:M47" tableType="queryTable" totalsRowShown="0" headerRowDxfId="78" tableBorderDxfId="77">
  <autoFilter ref="A4:M47" xr:uid="{1875C896-BE02-4580-BD7E-176919947B24}"/>
  <sortState xmlns:xlrd2="http://schemas.microsoft.com/office/spreadsheetml/2017/richdata2" ref="A5:M47">
    <sortCondition ref="L4:L35"/>
  </sortState>
  <tableColumns count="13">
    <tableColumn id="1" xr3:uid="{69D9BDD7-7AE6-4818-9BB5-3A7A0A6B0885}" uniqueName="1" name="Periode" queryTableFieldId="1" dataDxfId="44"/>
    <tableColumn id="2" xr3:uid="{E4898524-80B1-4C91-A13B-B31354833FE0}" uniqueName="2" name="Categorie" queryTableFieldId="2" dataDxfId="43"/>
    <tableColumn id="3" xr3:uid="{C00CAB55-DC61-4C7A-8387-3872658B50C9}" uniqueName="3" name="Categorie2" queryTableFieldId="3" dataDxfId="42"/>
    <tableColumn id="4" xr3:uid="{F08B8AAA-4278-4626-903B-E48E0BA9DAE9}" uniqueName="4" name="Designation" queryTableFieldId="4" dataDxfId="41"/>
    <tableColumn id="5" xr3:uid="{405AB5F5-992C-40BC-B4D1-B2C6881B55C5}" uniqueName="5" name="UDM" queryTableFieldId="5" dataDxfId="40"/>
    <tableColumn id="6" xr3:uid="{F4003426-2FA3-422F-9053-9555550C7332}" uniqueName="6" name="STOCK DEBUT" queryTableFieldId="14"/>
    <tableColumn id="7" xr3:uid="{BDA8A78D-1752-4CD6-B30E-7FC8FDCFBF08}" uniqueName="7" name="ACHAT" queryTableFieldId="15"/>
    <tableColumn id="8" xr3:uid="{1937CFEE-2D50-4E4F-A42B-A7D7C57AD153}" uniqueName="8" name="VENTE" queryTableFieldId="16"/>
    <tableColumn id="10" xr3:uid="{5446121F-FC34-406B-BB60-D8DCED7383BC}" uniqueName="10" name="STOCK" queryTableFieldId="18"/>
    <tableColumn id="9" xr3:uid="{7A2AD582-3EE1-427B-92B2-CF138156A73D}" uniqueName="9" name="STOCK THEORIQUE" queryTableFieldId="17"/>
    <tableColumn id="11" xr3:uid="{CA0A1C6A-58FE-4D94-BC05-F81A9D47C58B}" uniqueName="11" name="ECART" queryTableFieldId="19"/>
    <tableColumn id="12" xr3:uid="{AB524AC7-509A-4B11-B98D-BE576D70C3A2}" uniqueName="12" name="ECART.Total_cout" queryTableFieldId="12" dataDxfId="39"/>
    <tableColumn id="13" xr3:uid="{682E4F3D-30A1-44DA-9F94-01401716AA7B}" uniqueName="13" name="ECART.Total_vente" queryTableFieldId="13" dataDxfId="3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4F2C7B-5079-4E7D-B7D5-D7FEA222C192}" name="Tableau10" displayName="Tableau10" ref="A4:L47" totalsRowShown="0" headerRowDxfId="76" tableBorderDxfId="75" headerRowCellStyle="Normal 12">
  <autoFilter ref="A4:L47" xr:uid="{3D4F2C7B-5079-4E7D-B7D5-D7FEA222C192}"/>
  <tableColumns count="12">
    <tableColumn id="1" xr3:uid="{313F6CCD-7048-468D-A108-C2A7D6BD497A}" name="REF" dataDxfId="74" dataCellStyle="Normal 12"/>
    <tableColumn id="2" xr3:uid="{DBC58F53-D81D-4D99-9F7E-B8CE62149EE2}" name="Colonne1" dataDxfId="73" dataCellStyle="Normal 12"/>
    <tableColumn id="3" xr3:uid="{49EE30AB-2BDA-4770-95B4-040580A264A8}" name="LIBELLES" dataDxfId="72" dataCellStyle="Normal 12"/>
    <tableColumn id="4" xr3:uid="{7C0BB3E2-EE78-46C5-99B4-0DF5679D4182}" name="Colonne2" dataDxfId="71" dataCellStyle="Normal 12"/>
    <tableColumn id="5" xr3:uid="{B6553A38-B6A4-46C0-82F8-6E8BE058909B}" name="Colonne3" dataDxfId="70" dataCellStyle="Normal 12"/>
    <tableColumn id="6" xr3:uid="{3D0637EC-5EA9-405B-BF54-FD25E7F79BAD}" name="Colonne4" dataDxfId="69" dataCellStyle="Normal 12"/>
    <tableColumn id="7" xr3:uid="{9827EA9F-1D73-4AD4-9878-867491808987}" name="Note" dataDxfId="68" dataCellStyle="Normal 12"/>
    <tableColumn id="8" xr3:uid="{E4F09296-6788-4A89-9DED-C4136A535741}" name="Colonne5" dataDxfId="67" dataCellStyle="Normal 12"/>
    <tableColumn id="9" xr3:uid="{D714AFE6-4218-41AC-A593-8FAE634914F7}" name="EXERCICE 1 REEL" dataDxfId="66" dataCellStyle="Normal 12"/>
    <tableColumn id="12" xr3:uid="{2A46D889-8B09-430C-8C89-811BF34A8D24}" name="EXERCICE 1 THEORIQUE" dataDxfId="65" dataCellStyle="Normal 12"/>
    <tableColumn id="11" xr3:uid="{4E02C8B9-5589-48AC-84DD-2425D55F342D}" name="EXERCICE 2 REEL" dataDxfId="64" dataCellStyle="Normal 12"/>
    <tableColumn id="10" xr3:uid="{EE1603F4-9653-45D8-B4B2-21D551F219D9}" name="EXERCICE 2 THEORIQUE" dataDxfId="63" dataCellStyle="Normal 12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B7D237-73CD-462F-A1A8-CEE8539A8E5C}" name="Table4" displayName="Table4" ref="A1:C7" totalsRowShown="0">
  <autoFilter ref="A1:C7" xr:uid="{74B7D237-73CD-462F-A1A8-CEE8539A8E5C}"/>
  <tableColumns count="3">
    <tableColumn id="1" xr3:uid="{C06522D0-A68E-492F-839B-68E80FF272E8}" name="Column1"/>
    <tableColumn id="2" xr3:uid="{5C65DA89-2F24-4BFB-9F82-D12F8FB027E3}" name="Values"/>
    <tableColumn id="3" xr3:uid="{A8B9230A-070E-4A0E-B8A8-1970275C2FEA}" name="Column2" dataDxfId="62">
      <calculatedColumnFormula>Table4[[#This Row],[Values]]/B1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79F8-A151-4C5D-AE93-10EB176367F0}">
  <dimension ref="A2:AT100"/>
  <sheetViews>
    <sheetView zoomScale="85" zoomScaleNormal="85" workbookViewId="0">
      <selection activeCell="I11" sqref="I11"/>
    </sheetView>
  </sheetViews>
  <sheetFormatPr defaultRowHeight="15" x14ac:dyDescent="0.25"/>
  <cols>
    <col min="1" max="1" width="13.85546875" bestFit="1" customWidth="1"/>
    <col min="2" max="2" width="19.140625" bestFit="1" customWidth="1"/>
    <col min="3" max="3" width="17.42578125" bestFit="1" customWidth="1"/>
    <col min="4" max="4" width="40" bestFit="1" customWidth="1"/>
    <col min="5" max="5" width="10.140625" bestFit="1" customWidth="1"/>
    <col min="6" max="7" width="16.7109375" bestFit="1" customWidth="1"/>
    <col min="8" max="8" width="12.5703125" customWidth="1"/>
    <col min="9" max="9" width="13.85546875" bestFit="1" customWidth="1"/>
    <col min="10" max="10" width="42.42578125" bestFit="1" customWidth="1"/>
    <col min="11" max="12" width="15.28515625" bestFit="1" customWidth="1"/>
    <col min="13" max="13" width="34.28515625" bestFit="1" customWidth="1"/>
    <col min="14" max="14" width="17.140625" bestFit="1" customWidth="1"/>
    <col min="15" max="15" width="16.7109375" bestFit="1" customWidth="1"/>
    <col min="16" max="16" width="13.140625" bestFit="1" customWidth="1"/>
    <col min="17" max="17" width="23.5703125" bestFit="1" customWidth="1"/>
    <col min="18" max="18" width="25.28515625" bestFit="1" customWidth="1"/>
    <col min="19" max="19" width="24.85546875" bestFit="1" customWidth="1"/>
    <col min="20" max="20" width="19.28515625" bestFit="1" customWidth="1"/>
    <col min="21" max="21" width="11.28515625" bestFit="1" customWidth="1"/>
    <col min="22" max="22" width="30" bestFit="1" customWidth="1"/>
    <col min="23" max="23" width="8.7109375" bestFit="1" customWidth="1"/>
    <col min="24" max="24" width="16.28515625" bestFit="1" customWidth="1"/>
    <col min="25" max="25" width="8" bestFit="1" customWidth="1"/>
    <col min="26" max="26" width="15.28515625" bestFit="1" customWidth="1"/>
    <col min="27" max="27" width="14.5703125" bestFit="1" customWidth="1"/>
    <col min="28" max="28" width="11.5703125" bestFit="1" customWidth="1"/>
    <col min="29" max="29" width="20.5703125" bestFit="1" customWidth="1"/>
    <col min="30" max="30" width="12" bestFit="1" customWidth="1"/>
    <col min="31" max="31" width="14.42578125" bestFit="1" customWidth="1"/>
    <col min="32" max="32" width="13.140625" bestFit="1" customWidth="1"/>
    <col min="33" max="33" width="8.5703125" bestFit="1" customWidth="1"/>
    <col min="34" max="34" width="16" bestFit="1" customWidth="1"/>
    <col min="35" max="35" width="10.28515625" bestFit="1" customWidth="1"/>
    <col min="36" max="36" width="14.42578125" bestFit="1" customWidth="1"/>
    <col min="37" max="37" width="10" bestFit="1" customWidth="1"/>
    <col min="38" max="38" width="12.140625" bestFit="1" customWidth="1"/>
    <col min="39" max="39" width="12.42578125" bestFit="1" customWidth="1"/>
    <col min="40" max="40" width="23.5703125" bestFit="1" customWidth="1"/>
    <col min="41" max="41" width="14" bestFit="1" customWidth="1"/>
    <col min="42" max="42" width="10.5703125" bestFit="1" customWidth="1"/>
    <col min="43" max="43" width="10.140625" bestFit="1" customWidth="1"/>
    <col min="44" max="44" width="13.140625" bestFit="1" customWidth="1"/>
    <col min="45" max="45" width="10.140625" bestFit="1" customWidth="1"/>
    <col min="46" max="46" width="14.42578125" bestFit="1" customWidth="1"/>
    <col min="47" max="47" width="10.42578125" bestFit="1" customWidth="1"/>
    <col min="48" max="48" width="10.140625" bestFit="1" customWidth="1"/>
    <col min="49" max="49" width="14.42578125" bestFit="1" customWidth="1"/>
  </cols>
  <sheetData>
    <row r="2" spans="1:46" s="21" customFormat="1" ht="23.25" x14ac:dyDescent="0.35">
      <c r="A2" s="18" t="s">
        <v>113</v>
      </c>
      <c r="B2" s="18"/>
      <c r="C2" s="19"/>
      <c r="D2" s="20"/>
      <c r="E2" s="20"/>
      <c r="F2" s="20"/>
      <c r="G2" s="20"/>
      <c r="I2" s="18" t="s">
        <v>166</v>
      </c>
      <c r="J2" s="18"/>
      <c r="L2" s="18" t="s">
        <v>114</v>
      </c>
      <c r="M2" s="20"/>
    </row>
    <row r="4" spans="1:46" x14ac:dyDescent="0.25">
      <c r="A4" s="8" t="s">
        <v>4</v>
      </c>
      <c r="B4" t="s">
        <v>3</v>
      </c>
      <c r="C4" t="s">
        <v>282</v>
      </c>
      <c r="D4" t="s">
        <v>5</v>
      </c>
      <c r="E4" t="s">
        <v>94</v>
      </c>
      <c r="F4" t="s">
        <v>153</v>
      </c>
      <c r="G4" s="8" t="s">
        <v>154</v>
      </c>
      <c r="I4" t="s">
        <v>158</v>
      </c>
      <c r="J4" t="s">
        <v>159</v>
      </c>
      <c r="L4" s="22" t="s">
        <v>2</v>
      </c>
      <c r="M4" s="22" t="s">
        <v>77</v>
      </c>
      <c r="N4" s="22" t="s">
        <v>111</v>
      </c>
      <c r="O4" s="22" t="s">
        <v>8</v>
      </c>
      <c r="P4" s="22" t="s">
        <v>12</v>
      </c>
      <c r="Q4" s="22" t="s">
        <v>13</v>
      </c>
      <c r="R4" s="22" t="s">
        <v>14</v>
      </c>
      <c r="S4" s="22" t="s">
        <v>9</v>
      </c>
      <c r="T4" s="22" t="s">
        <v>11</v>
      </c>
      <c r="U4" s="22" t="s">
        <v>10</v>
      </c>
      <c r="V4" s="22" t="s">
        <v>22</v>
      </c>
      <c r="W4" s="22" t="s">
        <v>169</v>
      </c>
      <c r="X4" s="22" t="s">
        <v>170</v>
      </c>
      <c r="Y4" s="22" t="s">
        <v>281</v>
      </c>
      <c r="Z4" s="22" t="s">
        <v>18</v>
      </c>
      <c r="AA4" s="22" t="s">
        <v>19</v>
      </c>
      <c r="AB4" s="22" t="s">
        <v>20</v>
      </c>
      <c r="AC4" s="22" t="s">
        <v>109</v>
      </c>
      <c r="AD4" s="22" t="s">
        <v>21</v>
      </c>
      <c r="AE4" s="22" t="s">
        <v>23</v>
      </c>
      <c r="AF4" s="22" t="s">
        <v>24</v>
      </c>
      <c r="AG4" s="22" t="s">
        <v>25</v>
      </c>
      <c r="AH4" s="22" t="s">
        <v>26</v>
      </c>
      <c r="AI4" s="22" t="s">
        <v>27</v>
      </c>
      <c r="AJ4" s="22" t="s">
        <v>112</v>
      </c>
      <c r="AK4" s="22" t="s">
        <v>15</v>
      </c>
      <c r="AL4" s="22" t="s">
        <v>16</v>
      </c>
      <c r="AM4" s="22" t="s">
        <v>17</v>
      </c>
      <c r="AN4" s="22" t="s">
        <v>28</v>
      </c>
      <c r="AO4" s="22" t="s">
        <v>29</v>
      </c>
      <c r="AP4" s="22" t="s">
        <v>135</v>
      </c>
      <c r="AQ4" s="22" t="s">
        <v>121</v>
      </c>
      <c r="AR4" s="22" t="s">
        <v>137</v>
      </c>
      <c r="AS4" s="22" t="s">
        <v>138</v>
      </c>
      <c r="AT4" s="22" t="s">
        <v>139</v>
      </c>
    </row>
    <row r="5" spans="1:46" x14ac:dyDescent="0.25">
      <c r="A5" t="s">
        <v>90</v>
      </c>
      <c r="B5" t="s">
        <v>75</v>
      </c>
      <c r="C5" t="s">
        <v>283</v>
      </c>
      <c r="D5" t="s">
        <v>70</v>
      </c>
      <c r="E5" t="s">
        <v>96</v>
      </c>
      <c r="F5">
        <v>159.1</v>
      </c>
      <c r="G5">
        <v>500</v>
      </c>
      <c r="I5" t="s">
        <v>157</v>
      </c>
      <c r="J5" t="s">
        <v>160</v>
      </c>
      <c r="L5" t="s">
        <v>90</v>
      </c>
      <c r="M5" t="s">
        <v>68</v>
      </c>
      <c r="N5" t="s">
        <v>20</v>
      </c>
      <c r="P5">
        <v>9.1</v>
      </c>
      <c r="V5">
        <v>75</v>
      </c>
      <c r="Z5">
        <v>150</v>
      </c>
      <c r="AA5">
        <v>8.3000000000000007</v>
      </c>
      <c r="AB5">
        <v>1</v>
      </c>
      <c r="AC5">
        <v>1</v>
      </c>
      <c r="AD5">
        <v>38.200000000000003</v>
      </c>
    </row>
    <row r="6" spans="1:46" x14ac:dyDescent="0.25">
      <c r="A6" t="s">
        <v>90</v>
      </c>
      <c r="B6" t="s">
        <v>75</v>
      </c>
      <c r="C6" t="s">
        <v>283</v>
      </c>
      <c r="D6" t="s">
        <v>72</v>
      </c>
      <c r="E6" t="s">
        <v>96</v>
      </c>
      <c r="F6">
        <v>208.34</v>
      </c>
      <c r="G6">
        <v>500</v>
      </c>
      <c r="L6" t="s">
        <v>90</v>
      </c>
      <c r="M6" t="s">
        <v>63</v>
      </c>
      <c r="N6" t="s">
        <v>15</v>
      </c>
      <c r="O6">
        <v>200</v>
      </c>
      <c r="P6">
        <v>20</v>
      </c>
      <c r="Q6">
        <v>5</v>
      </c>
      <c r="R6">
        <v>5</v>
      </c>
      <c r="S6">
        <v>2.5</v>
      </c>
      <c r="T6">
        <v>0.1</v>
      </c>
      <c r="U6">
        <v>0.1</v>
      </c>
      <c r="V6">
        <v>100</v>
      </c>
      <c r="AK6">
        <v>1</v>
      </c>
    </row>
    <row r="7" spans="1:46" x14ac:dyDescent="0.25">
      <c r="A7" t="s">
        <v>90</v>
      </c>
      <c r="B7" t="s">
        <v>75</v>
      </c>
      <c r="C7" t="s">
        <v>283</v>
      </c>
      <c r="D7" t="s">
        <v>73</v>
      </c>
      <c r="E7" t="s">
        <v>96</v>
      </c>
      <c r="F7">
        <v>270</v>
      </c>
      <c r="G7">
        <v>500</v>
      </c>
      <c r="L7" t="s">
        <v>90</v>
      </c>
      <c r="M7" t="s">
        <v>67</v>
      </c>
      <c r="N7" t="s">
        <v>29</v>
      </c>
      <c r="O7">
        <v>200</v>
      </c>
      <c r="P7">
        <v>20</v>
      </c>
      <c r="Q7">
        <v>5</v>
      </c>
      <c r="R7">
        <v>5</v>
      </c>
      <c r="S7">
        <v>2.5</v>
      </c>
      <c r="T7">
        <v>0.1</v>
      </c>
      <c r="U7">
        <v>0.1</v>
      </c>
      <c r="V7">
        <v>100</v>
      </c>
      <c r="AO7">
        <v>1</v>
      </c>
    </row>
    <row r="8" spans="1:46" x14ac:dyDescent="0.25">
      <c r="A8" t="s">
        <v>90</v>
      </c>
      <c r="B8" t="s">
        <v>75</v>
      </c>
      <c r="C8" t="s">
        <v>283</v>
      </c>
      <c r="D8" t="s">
        <v>74</v>
      </c>
      <c r="E8" t="s">
        <v>96</v>
      </c>
      <c r="F8">
        <v>198</v>
      </c>
      <c r="G8">
        <v>500</v>
      </c>
      <c r="I8" t="s">
        <v>311</v>
      </c>
      <c r="L8" t="s">
        <v>90</v>
      </c>
      <c r="M8" t="s">
        <v>69</v>
      </c>
      <c r="N8" t="s">
        <v>27</v>
      </c>
      <c r="O8">
        <v>200</v>
      </c>
      <c r="P8">
        <v>20</v>
      </c>
      <c r="Q8">
        <v>5</v>
      </c>
      <c r="R8">
        <v>5</v>
      </c>
      <c r="S8">
        <v>2.5</v>
      </c>
      <c r="T8">
        <v>0.1</v>
      </c>
      <c r="U8">
        <v>0.1</v>
      </c>
      <c r="V8">
        <v>100</v>
      </c>
      <c r="AI8">
        <v>1</v>
      </c>
    </row>
    <row r="9" spans="1:46" x14ac:dyDescent="0.25">
      <c r="A9" t="s">
        <v>90</v>
      </c>
      <c r="B9" t="s">
        <v>76</v>
      </c>
      <c r="C9" t="s">
        <v>283</v>
      </c>
      <c r="D9" t="s">
        <v>127</v>
      </c>
      <c r="E9" s="9" t="s">
        <v>134</v>
      </c>
      <c r="F9">
        <v>920</v>
      </c>
      <c r="G9">
        <v>1500</v>
      </c>
      <c r="I9" t="s">
        <v>312</v>
      </c>
      <c r="L9" t="s">
        <v>90</v>
      </c>
      <c r="M9" t="s">
        <v>65</v>
      </c>
      <c r="N9" t="s">
        <v>17</v>
      </c>
      <c r="O9">
        <v>200</v>
      </c>
      <c r="P9">
        <v>20</v>
      </c>
      <c r="Q9">
        <v>5</v>
      </c>
      <c r="R9">
        <v>5</v>
      </c>
      <c r="S9">
        <v>2.5</v>
      </c>
      <c r="T9">
        <v>0.1</v>
      </c>
      <c r="U9">
        <v>0.1</v>
      </c>
      <c r="V9">
        <v>100</v>
      </c>
      <c r="AM9">
        <v>1</v>
      </c>
    </row>
    <row r="10" spans="1:46" x14ac:dyDescent="0.25">
      <c r="A10" t="s">
        <v>90</v>
      </c>
      <c r="B10" t="s">
        <v>76</v>
      </c>
      <c r="C10" t="s">
        <v>283</v>
      </c>
      <c r="D10" t="s">
        <v>80</v>
      </c>
      <c r="E10" t="s">
        <v>97</v>
      </c>
      <c r="F10">
        <v>9850</v>
      </c>
      <c r="G10">
        <v>15000</v>
      </c>
      <c r="I10" t="s">
        <v>313</v>
      </c>
      <c r="L10" t="s">
        <v>90</v>
      </c>
      <c r="M10" t="s">
        <v>66</v>
      </c>
      <c r="N10" t="s">
        <v>28</v>
      </c>
      <c r="O10">
        <v>200</v>
      </c>
      <c r="P10">
        <v>20</v>
      </c>
      <c r="Q10">
        <v>5</v>
      </c>
      <c r="R10">
        <v>5</v>
      </c>
      <c r="S10">
        <v>2.5</v>
      </c>
      <c r="T10">
        <v>0.1</v>
      </c>
      <c r="U10">
        <v>0.1</v>
      </c>
      <c r="V10">
        <v>100</v>
      </c>
      <c r="AN10">
        <v>1</v>
      </c>
    </row>
    <row r="11" spans="1:46" x14ac:dyDescent="0.25">
      <c r="A11" t="s">
        <v>90</v>
      </c>
      <c r="B11" t="s">
        <v>76</v>
      </c>
      <c r="C11" t="s">
        <v>283</v>
      </c>
      <c r="D11" t="s">
        <v>33</v>
      </c>
      <c r="E11" t="s">
        <v>97</v>
      </c>
      <c r="F11">
        <v>600</v>
      </c>
      <c r="G11">
        <v>1000</v>
      </c>
      <c r="L11" t="s">
        <v>90</v>
      </c>
      <c r="M11" t="s">
        <v>62</v>
      </c>
      <c r="N11" t="s">
        <v>112</v>
      </c>
      <c r="O11">
        <v>200</v>
      </c>
      <c r="P11">
        <v>20</v>
      </c>
      <c r="Q11">
        <v>5</v>
      </c>
      <c r="R11">
        <v>5</v>
      </c>
      <c r="S11">
        <v>2.5</v>
      </c>
      <c r="T11">
        <v>0.1</v>
      </c>
      <c r="U11">
        <v>0.1</v>
      </c>
      <c r="V11">
        <v>100</v>
      </c>
      <c r="AJ11">
        <v>1</v>
      </c>
    </row>
    <row r="12" spans="1:46" x14ac:dyDescent="0.25">
      <c r="A12" t="s">
        <v>90</v>
      </c>
      <c r="B12" t="s">
        <v>76</v>
      </c>
      <c r="C12" t="s">
        <v>283</v>
      </c>
      <c r="D12" t="s">
        <v>37</v>
      </c>
      <c r="E12" t="s">
        <v>97</v>
      </c>
      <c r="F12">
        <v>550</v>
      </c>
      <c r="G12">
        <v>1000</v>
      </c>
      <c r="L12" t="s">
        <v>90</v>
      </c>
      <c r="M12" t="s">
        <v>64</v>
      </c>
      <c r="N12" t="s">
        <v>16</v>
      </c>
      <c r="O12">
        <v>200</v>
      </c>
      <c r="P12">
        <v>20</v>
      </c>
      <c r="Q12">
        <v>5</v>
      </c>
      <c r="R12">
        <v>5</v>
      </c>
      <c r="S12">
        <v>2.5</v>
      </c>
      <c r="T12">
        <v>0.1</v>
      </c>
      <c r="U12">
        <v>0.1</v>
      </c>
      <c r="V12">
        <v>100</v>
      </c>
      <c r="AL12">
        <v>1</v>
      </c>
    </row>
    <row r="13" spans="1:46" x14ac:dyDescent="0.25">
      <c r="A13" t="s">
        <v>90</v>
      </c>
      <c r="B13" t="s">
        <v>76</v>
      </c>
      <c r="C13" t="s">
        <v>283</v>
      </c>
      <c r="D13" t="s">
        <v>43</v>
      </c>
      <c r="E13" t="s">
        <v>97</v>
      </c>
      <c r="F13">
        <v>600</v>
      </c>
      <c r="G13">
        <v>1000</v>
      </c>
      <c r="L13" t="s">
        <v>90</v>
      </c>
      <c r="M13" t="s">
        <v>70</v>
      </c>
      <c r="N13" t="s">
        <v>23</v>
      </c>
      <c r="AE13">
        <v>1</v>
      </c>
    </row>
    <row r="14" spans="1:46" x14ac:dyDescent="0.25">
      <c r="A14" t="s">
        <v>90</v>
      </c>
      <c r="B14" t="s">
        <v>76</v>
      </c>
      <c r="C14" t="s">
        <v>283</v>
      </c>
      <c r="D14" t="s">
        <v>44</v>
      </c>
      <c r="E14" t="s">
        <v>97</v>
      </c>
      <c r="F14">
        <v>600</v>
      </c>
      <c r="G14">
        <v>1000</v>
      </c>
      <c r="L14" t="s">
        <v>90</v>
      </c>
      <c r="M14" t="s">
        <v>72</v>
      </c>
      <c r="N14" t="s">
        <v>24</v>
      </c>
      <c r="AF14">
        <v>1</v>
      </c>
    </row>
    <row r="15" spans="1:46" x14ac:dyDescent="0.25">
      <c r="A15" t="s">
        <v>90</v>
      </c>
      <c r="B15" t="s">
        <v>76</v>
      </c>
      <c r="C15" t="s">
        <v>283</v>
      </c>
      <c r="D15" t="s">
        <v>34</v>
      </c>
      <c r="E15" t="s">
        <v>97</v>
      </c>
      <c r="F15">
        <v>600</v>
      </c>
      <c r="G15">
        <v>1000</v>
      </c>
      <c r="L15" t="s">
        <v>90</v>
      </c>
      <c r="M15" t="s">
        <v>73</v>
      </c>
      <c r="N15" t="s">
        <v>25</v>
      </c>
      <c r="AG15">
        <v>200</v>
      </c>
    </row>
    <row r="16" spans="1:46" x14ac:dyDescent="0.25">
      <c r="A16" t="s">
        <v>90</v>
      </c>
      <c r="B16" t="s">
        <v>76</v>
      </c>
      <c r="C16" t="s">
        <v>283</v>
      </c>
      <c r="D16" t="s">
        <v>32</v>
      </c>
      <c r="E16" t="s">
        <v>97</v>
      </c>
      <c r="F16">
        <v>458.33</v>
      </c>
      <c r="G16">
        <v>1000</v>
      </c>
      <c r="L16" t="s">
        <v>90</v>
      </c>
      <c r="M16" t="s">
        <v>74</v>
      </c>
      <c r="N16" t="s">
        <v>26</v>
      </c>
      <c r="AH16">
        <v>165</v>
      </c>
    </row>
    <row r="17" spans="1:46" x14ac:dyDescent="0.25">
      <c r="A17" t="s">
        <v>90</v>
      </c>
      <c r="B17" t="s">
        <v>76</v>
      </c>
      <c r="C17" t="s">
        <v>283</v>
      </c>
      <c r="D17" t="s">
        <v>39</v>
      </c>
      <c r="E17" t="s">
        <v>97</v>
      </c>
      <c r="F17">
        <v>983.33</v>
      </c>
      <c r="G17">
        <v>1500</v>
      </c>
      <c r="L17" t="s">
        <v>90</v>
      </c>
      <c r="M17" t="s">
        <v>147</v>
      </c>
      <c r="N17" t="s">
        <v>135</v>
      </c>
      <c r="AP17">
        <v>2</v>
      </c>
    </row>
    <row r="18" spans="1:46" x14ac:dyDescent="0.25">
      <c r="A18" t="s">
        <v>90</v>
      </c>
      <c r="B18" t="s">
        <v>76</v>
      </c>
      <c r="C18" t="s">
        <v>283</v>
      </c>
      <c r="D18" t="s">
        <v>38</v>
      </c>
      <c r="E18" t="s">
        <v>97</v>
      </c>
      <c r="F18">
        <v>595.83000000000004</v>
      </c>
      <c r="G18">
        <v>1000</v>
      </c>
      <c r="L18" t="s">
        <v>90</v>
      </c>
      <c r="M18" t="s">
        <v>136</v>
      </c>
      <c r="N18" t="s">
        <v>135</v>
      </c>
      <c r="AP18">
        <v>2</v>
      </c>
      <c r="AQ18">
        <v>1</v>
      </c>
      <c r="AR18">
        <v>1</v>
      </c>
      <c r="AS18">
        <v>1</v>
      </c>
      <c r="AT18">
        <v>1</v>
      </c>
    </row>
    <row r="19" spans="1:46" x14ac:dyDescent="0.25">
      <c r="A19" t="s">
        <v>90</v>
      </c>
      <c r="B19" t="s">
        <v>76</v>
      </c>
      <c r="C19" t="s">
        <v>283</v>
      </c>
      <c r="D19" t="s">
        <v>40</v>
      </c>
      <c r="E19" t="s">
        <v>97</v>
      </c>
      <c r="F19">
        <v>741.67</v>
      </c>
      <c r="G19">
        <v>1000</v>
      </c>
    </row>
    <row r="20" spans="1:46" x14ac:dyDescent="0.25">
      <c r="A20" t="s">
        <v>90</v>
      </c>
      <c r="B20" t="s">
        <v>76</v>
      </c>
      <c r="C20" t="s">
        <v>283</v>
      </c>
      <c r="D20" t="s">
        <v>46</v>
      </c>
      <c r="E20" t="s">
        <v>97</v>
      </c>
      <c r="F20">
        <v>800</v>
      </c>
      <c r="G20">
        <v>1000</v>
      </c>
      <c r="L20" t="s">
        <v>2</v>
      </c>
      <c r="M20" t="s">
        <v>152</v>
      </c>
      <c r="N20" t="s">
        <v>94</v>
      </c>
      <c r="O20" t="s">
        <v>0</v>
      </c>
      <c r="P20" t="s">
        <v>151</v>
      </c>
      <c r="Q20" t="s">
        <v>165</v>
      </c>
      <c r="R20" t="s">
        <v>279</v>
      </c>
      <c r="S20" t="s">
        <v>280</v>
      </c>
      <c r="U20" t="s">
        <v>2</v>
      </c>
      <c r="V20" t="s">
        <v>77</v>
      </c>
      <c r="W20" t="s">
        <v>113</v>
      </c>
      <c r="X20" t="s">
        <v>111</v>
      </c>
      <c r="Y20" t="s">
        <v>7</v>
      </c>
    </row>
    <row r="21" spans="1:46" x14ac:dyDescent="0.25">
      <c r="A21" t="s">
        <v>90</v>
      </c>
      <c r="B21" t="s">
        <v>76</v>
      </c>
      <c r="C21" t="s">
        <v>283</v>
      </c>
      <c r="D21" t="s">
        <v>45</v>
      </c>
      <c r="E21" t="s">
        <v>97</v>
      </c>
      <c r="F21">
        <v>562.5</v>
      </c>
      <c r="G21">
        <v>1000</v>
      </c>
      <c r="L21" s="3" t="s">
        <v>90</v>
      </c>
      <c r="M21" s="4" t="s">
        <v>18</v>
      </c>
      <c r="N21" s="4" t="s">
        <v>108</v>
      </c>
      <c r="O21" s="4">
        <v>1</v>
      </c>
      <c r="P21" s="3">
        <v>2000</v>
      </c>
      <c r="Q21" s="4">
        <v>1800</v>
      </c>
      <c r="R21" s="3">
        <f>IFERROR(PRIX_ACHAT_INGREDIENT[[#This Row],[PRIX]]/PRIX_ACHAT_INGREDIENT[[#This Row],[TOTAL QANTITE]],0)</f>
        <v>1.1111111111111112</v>
      </c>
      <c r="S21" s="34"/>
      <c r="U21" t="s">
        <v>90</v>
      </c>
      <c r="V21" t="s">
        <v>68</v>
      </c>
      <c r="W21" t="s">
        <v>95</v>
      </c>
      <c r="X21" t="s">
        <v>20</v>
      </c>
      <c r="Y21" s="13">
        <v>825.76222707423585</v>
      </c>
    </row>
    <row r="22" spans="1:46" x14ac:dyDescent="0.25">
      <c r="A22" t="s">
        <v>90</v>
      </c>
      <c r="B22" t="s">
        <v>76</v>
      </c>
      <c r="C22" t="s">
        <v>283</v>
      </c>
      <c r="D22" t="s">
        <v>36</v>
      </c>
      <c r="E22" t="s">
        <v>97</v>
      </c>
      <c r="F22">
        <v>691.67</v>
      </c>
      <c r="G22">
        <v>1000</v>
      </c>
      <c r="L22" s="3" t="s">
        <v>90</v>
      </c>
      <c r="M22" s="3" t="s">
        <v>9</v>
      </c>
      <c r="N22" s="3" t="s">
        <v>108</v>
      </c>
      <c r="O22" s="3">
        <v>1</v>
      </c>
      <c r="P22" s="3">
        <v>500</v>
      </c>
      <c r="Q22" s="3">
        <v>300</v>
      </c>
      <c r="R22" s="3">
        <f>IFERROR(PRIX_ACHAT_INGREDIENT[[#This Row],[PRIX]]/PRIX_ACHAT_INGREDIENT[[#This Row],[TOTAL QANTITE]],0)</f>
        <v>1.6666666666666667</v>
      </c>
      <c r="S22" s="3"/>
      <c r="U22" t="s">
        <v>90</v>
      </c>
      <c r="V22" t="s">
        <v>63</v>
      </c>
      <c r="W22" t="s">
        <v>95</v>
      </c>
      <c r="X22" t="s">
        <v>15</v>
      </c>
      <c r="Y22" s="13">
        <v>1568.4679292929293</v>
      </c>
    </row>
    <row r="23" spans="1:46" x14ac:dyDescent="0.25">
      <c r="A23" t="s">
        <v>90</v>
      </c>
      <c r="B23" t="s">
        <v>76</v>
      </c>
      <c r="C23" t="s">
        <v>283</v>
      </c>
      <c r="D23" t="s">
        <v>42</v>
      </c>
      <c r="E23" t="s">
        <v>97</v>
      </c>
      <c r="F23">
        <v>608.33000000000004</v>
      </c>
      <c r="G23">
        <v>1000</v>
      </c>
      <c r="L23" s="3" t="s">
        <v>90</v>
      </c>
      <c r="M23" s="3" t="s">
        <v>141</v>
      </c>
      <c r="N23" s="3" t="s">
        <v>108</v>
      </c>
      <c r="O23" s="3">
        <v>1</v>
      </c>
      <c r="P23" s="3">
        <v>2000</v>
      </c>
      <c r="Q23" s="3">
        <v>250</v>
      </c>
      <c r="R23" s="3">
        <f>IFERROR(PRIX_ACHAT_INGREDIENT[[#This Row],[PRIX]]/PRIX_ACHAT_INGREDIENT[[#This Row],[TOTAL QANTITE]],0)</f>
        <v>8</v>
      </c>
      <c r="S23" s="3"/>
      <c r="U23" t="s">
        <v>90</v>
      </c>
      <c r="V23" t="s">
        <v>67</v>
      </c>
      <c r="W23" t="s">
        <v>95</v>
      </c>
      <c r="X23" t="s">
        <v>29</v>
      </c>
      <c r="Y23" s="13">
        <v>1193.4679292929293</v>
      </c>
    </row>
    <row r="24" spans="1:46" x14ac:dyDescent="0.25">
      <c r="A24" t="s">
        <v>90</v>
      </c>
      <c r="B24" t="s">
        <v>76</v>
      </c>
      <c r="C24" t="s">
        <v>283</v>
      </c>
      <c r="D24" t="s">
        <v>35</v>
      </c>
      <c r="E24" t="s">
        <v>97</v>
      </c>
      <c r="F24">
        <v>600</v>
      </c>
      <c r="G24">
        <v>1000</v>
      </c>
      <c r="L24" s="3" t="s">
        <v>90</v>
      </c>
      <c r="M24" s="3" t="s">
        <v>129</v>
      </c>
      <c r="N24" s="3" t="s">
        <v>130</v>
      </c>
      <c r="O24" s="3">
        <v>1</v>
      </c>
      <c r="P24" s="3">
        <v>175</v>
      </c>
      <c r="Q24" s="3">
        <v>1</v>
      </c>
      <c r="R24" s="3">
        <f>IFERROR(PRIX_ACHAT_INGREDIENT[[#This Row],[PRIX]]/PRIX_ACHAT_INGREDIENT[[#This Row],[TOTAL QANTITE]],0)</f>
        <v>175</v>
      </c>
      <c r="S24" s="3"/>
      <c r="U24" t="s">
        <v>90</v>
      </c>
      <c r="V24" t="s">
        <v>69</v>
      </c>
      <c r="W24" t="s">
        <v>95</v>
      </c>
      <c r="X24" t="s">
        <v>27</v>
      </c>
      <c r="Y24" s="13">
        <v>755.96792929292928</v>
      </c>
    </row>
    <row r="25" spans="1:46" x14ac:dyDescent="0.25">
      <c r="A25" t="s">
        <v>90</v>
      </c>
      <c r="B25" t="s">
        <v>76</v>
      </c>
      <c r="C25" t="s">
        <v>283</v>
      </c>
      <c r="D25" t="s">
        <v>41</v>
      </c>
      <c r="E25" t="s">
        <v>97</v>
      </c>
      <c r="F25">
        <v>600</v>
      </c>
      <c r="G25">
        <v>1000</v>
      </c>
      <c r="L25" s="3" t="s">
        <v>90</v>
      </c>
      <c r="M25" s="4" t="s">
        <v>14</v>
      </c>
      <c r="N25" s="4" t="s">
        <v>108</v>
      </c>
      <c r="O25" s="4">
        <v>1</v>
      </c>
      <c r="P25" s="3">
        <v>500</v>
      </c>
      <c r="Q25" s="4">
        <v>500</v>
      </c>
      <c r="R25" s="3">
        <f>IFERROR(PRIX_ACHAT_INGREDIENT[[#This Row],[PRIX]]/PRIX_ACHAT_INGREDIENT[[#This Row],[TOTAL QANTITE]],0)</f>
        <v>1</v>
      </c>
      <c r="S25" s="3"/>
      <c r="U25" t="s">
        <v>90</v>
      </c>
      <c r="V25" t="s">
        <v>65</v>
      </c>
      <c r="W25" t="s">
        <v>95</v>
      </c>
      <c r="X25" t="s">
        <v>17</v>
      </c>
      <c r="Y25" s="13">
        <v>1210.5133838383838</v>
      </c>
    </row>
    <row r="26" spans="1:46" x14ac:dyDescent="0.25">
      <c r="A26" t="s">
        <v>90</v>
      </c>
      <c r="B26" t="s">
        <v>76</v>
      </c>
      <c r="C26" t="s">
        <v>283</v>
      </c>
      <c r="D26" t="s">
        <v>47</v>
      </c>
      <c r="E26" t="s">
        <v>97</v>
      </c>
      <c r="F26">
        <v>600</v>
      </c>
      <c r="G26">
        <v>1000</v>
      </c>
      <c r="L26" s="3" t="s">
        <v>90</v>
      </c>
      <c r="M26" s="3" t="s">
        <v>19</v>
      </c>
      <c r="N26" s="3" t="s">
        <v>108</v>
      </c>
      <c r="O26" s="3">
        <v>1</v>
      </c>
      <c r="P26" s="3">
        <v>500</v>
      </c>
      <c r="Q26" s="3">
        <v>100</v>
      </c>
      <c r="R26" s="3">
        <f>IFERROR(PRIX_ACHAT_INGREDIENT[[#This Row],[PRIX]]/PRIX_ACHAT_INGREDIENT[[#This Row],[TOTAL QANTITE]],0)</f>
        <v>5</v>
      </c>
      <c r="S26" s="3"/>
      <c r="U26" t="s">
        <v>90</v>
      </c>
      <c r="V26" t="s">
        <v>66</v>
      </c>
      <c r="W26" t="s">
        <v>95</v>
      </c>
      <c r="X26" t="s">
        <v>28</v>
      </c>
      <c r="Y26" s="13">
        <v>1318.4679292929293</v>
      </c>
    </row>
    <row r="27" spans="1:46" x14ac:dyDescent="0.25">
      <c r="A27" t="s">
        <v>90</v>
      </c>
      <c r="B27" t="s">
        <v>76</v>
      </c>
      <c r="C27" t="s">
        <v>283</v>
      </c>
      <c r="D27" t="s">
        <v>129</v>
      </c>
      <c r="E27" t="s">
        <v>130</v>
      </c>
      <c r="F27">
        <v>175</v>
      </c>
      <c r="G27">
        <v>200</v>
      </c>
      <c r="L27" s="3" t="s">
        <v>90</v>
      </c>
      <c r="M27" s="4" t="s">
        <v>15</v>
      </c>
      <c r="N27" s="4" t="s">
        <v>96</v>
      </c>
      <c r="O27" s="4">
        <v>1</v>
      </c>
      <c r="P27" s="3">
        <v>10500</v>
      </c>
      <c r="Q27" s="4">
        <v>8</v>
      </c>
      <c r="R27" s="3">
        <f>IFERROR(PRIX_ACHAT_INGREDIENT[[#This Row],[PRIX]]/PRIX_ACHAT_INGREDIENT[[#This Row],[TOTAL QANTITE]],0)</f>
        <v>1312.5</v>
      </c>
      <c r="S27" s="3"/>
      <c r="U27" t="s">
        <v>90</v>
      </c>
      <c r="V27" t="s">
        <v>62</v>
      </c>
      <c r="W27" t="s">
        <v>95</v>
      </c>
      <c r="X27" t="s">
        <v>112</v>
      </c>
      <c r="Y27" s="13">
        <v>1568.4679292929293</v>
      </c>
    </row>
    <row r="28" spans="1:46" x14ac:dyDescent="0.25">
      <c r="A28" t="s">
        <v>90</v>
      </c>
      <c r="B28" t="s">
        <v>76</v>
      </c>
      <c r="C28" t="s">
        <v>283</v>
      </c>
      <c r="D28" t="s">
        <v>61</v>
      </c>
      <c r="E28" t="s">
        <v>97</v>
      </c>
      <c r="F28">
        <v>166.67</v>
      </c>
      <c r="G28">
        <v>350</v>
      </c>
      <c r="L28" s="3" t="s">
        <v>90</v>
      </c>
      <c r="M28" s="3" t="s">
        <v>148</v>
      </c>
      <c r="N28" s="3" t="s">
        <v>150</v>
      </c>
      <c r="O28" s="3">
        <v>1</v>
      </c>
      <c r="P28" s="3">
        <v>4000</v>
      </c>
      <c r="Q28" s="3">
        <v>50</v>
      </c>
      <c r="R28" s="3">
        <f>IFERROR(PRIX_ACHAT_INGREDIENT[[#This Row],[PRIX]]/PRIX_ACHAT_INGREDIENT[[#This Row],[TOTAL QANTITE]],0)</f>
        <v>80</v>
      </c>
      <c r="S28" s="3"/>
      <c r="U28" t="s">
        <v>90</v>
      </c>
      <c r="V28" t="s">
        <v>64</v>
      </c>
      <c r="W28" t="s">
        <v>95</v>
      </c>
      <c r="X28" t="s">
        <v>16</v>
      </c>
      <c r="Y28" s="13">
        <v>1210.5133838383838</v>
      </c>
    </row>
    <row r="29" spans="1:46" x14ac:dyDescent="0.25">
      <c r="A29" t="s">
        <v>90</v>
      </c>
      <c r="B29" t="s">
        <v>76</v>
      </c>
      <c r="C29" t="s">
        <v>283</v>
      </c>
      <c r="D29" t="s">
        <v>60</v>
      </c>
      <c r="E29" t="s">
        <v>97</v>
      </c>
      <c r="F29">
        <v>250</v>
      </c>
      <c r="G29">
        <v>800</v>
      </c>
      <c r="L29" s="3" t="s">
        <v>90</v>
      </c>
      <c r="M29" s="3" t="s">
        <v>22</v>
      </c>
      <c r="N29" s="3" t="s">
        <v>99</v>
      </c>
      <c r="O29" s="3">
        <v>1</v>
      </c>
      <c r="P29" s="3">
        <v>15000</v>
      </c>
      <c r="Q29" s="3">
        <v>10000</v>
      </c>
      <c r="R29" s="3">
        <f>IFERROR(PRIX_ACHAT_INGREDIENT[[#This Row],[PRIX]]/PRIX_ACHAT_INGREDIENT[[#This Row],[TOTAL QANTITE]],0)</f>
        <v>1.5</v>
      </c>
      <c r="S29" s="3"/>
      <c r="U29" t="s">
        <v>90</v>
      </c>
      <c r="V29" t="s">
        <v>70</v>
      </c>
      <c r="W29" t="s">
        <v>96</v>
      </c>
      <c r="X29" t="s">
        <v>23</v>
      </c>
      <c r="Y29" s="13">
        <v>159.09090909090909</v>
      </c>
    </row>
    <row r="30" spans="1:46" x14ac:dyDescent="0.25">
      <c r="A30" t="s">
        <v>90</v>
      </c>
      <c r="B30" t="s">
        <v>76</v>
      </c>
      <c r="C30" t="s">
        <v>283</v>
      </c>
      <c r="D30" t="s">
        <v>59</v>
      </c>
      <c r="E30" t="s">
        <v>97</v>
      </c>
      <c r="F30">
        <v>208.33</v>
      </c>
      <c r="G30">
        <v>500</v>
      </c>
      <c r="L30" s="3" t="s">
        <v>90</v>
      </c>
      <c r="M30" s="3" t="s">
        <v>137</v>
      </c>
      <c r="N30" s="3" t="s">
        <v>143</v>
      </c>
      <c r="O30" s="3">
        <v>1</v>
      </c>
      <c r="P30" s="3">
        <v>50</v>
      </c>
      <c r="Q30" s="3">
        <v>1</v>
      </c>
      <c r="R30" s="3">
        <f>IFERROR(PRIX_ACHAT_INGREDIENT[[#This Row],[PRIX]]/PRIX_ACHAT_INGREDIENT[[#This Row],[TOTAL QANTITE]],0)</f>
        <v>50</v>
      </c>
      <c r="S30" s="3"/>
      <c r="U30" t="s">
        <v>90</v>
      </c>
      <c r="V30" t="s">
        <v>72</v>
      </c>
      <c r="W30" t="s">
        <v>96</v>
      </c>
      <c r="X30" t="s">
        <v>24</v>
      </c>
      <c r="Y30" s="13">
        <v>208.33333333333334</v>
      </c>
    </row>
    <row r="31" spans="1:46" x14ac:dyDescent="0.25">
      <c r="A31" t="s">
        <v>90</v>
      </c>
      <c r="B31" t="s">
        <v>76</v>
      </c>
      <c r="C31" t="s">
        <v>283</v>
      </c>
      <c r="D31" t="s">
        <v>81</v>
      </c>
      <c r="E31" t="s">
        <v>97</v>
      </c>
      <c r="F31">
        <v>2350</v>
      </c>
      <c r="G31">
        <v>2500</v>
      </c>
      <c r="L31" s="3" t="s">
        <v>90</v>
      </c>
      <c r="M31" s="3" t="s">
        <v>123</v>
      </c>
      <c r="N31" s="3" t="s">
        <v>99</v>
      </c>
      <c r="O31" s="3">
        <v>1</v>
      </c>
      <c r="P31" s="3">
        <v>2800</v>
      </c>
      <c r="Q31" s="3">
        <v>1000</v>
      </c>
      <c r="R31" s="3">
        <f>IFERROR(PRIX_ACHAT_INGREDIENT[[#This Row],[PRIX]]/PRIX_ACHAT_INGREDIENT[[#This Row],[TOTAL QANTITE]],0)</f>
        <v>2.8</v>
      </c>
      <c r="S31" s="3"/>
      <c r="U31" t="s">
        <v>90</v>
      </c>
      <c r="V31" t="s">
        <v>73</v>
      </c>
      <c r="W31" t="s">
        <v>96</v>
      </c>
      <c r="X31" t="s">
        <v>25</v>
      </c>
      <c r="Y31" s="13">
        <v>270</v>
      </c>
    </row>
    <row r="32" spans="1:46" x14ac:dyDescent="0.25">
      <c r="A32" t="s">
        <v>90</v>
      </c>
      <c r="B32" t="s">
        <v>76</v>
      </c>
      <c r="C32" t="s">
        <v>283</v>
      </c>
      <c r="D32" t="s">
        <v>55</v>
      </c>
      <c r="E32" t="s">
        <v>97</v>
      </c>
      <c r="F32" t="s">
        <v>276</v>
      </c>
      <c r="G32">
        <v>800</v>
      </c>
      <c r="L32" s="3" t="s">
        <v>90</v>
      </c>
      <c r="M32" s="4" t="s">
        <v>21</v>
      </c>
      <c r="N32" s="4" t="s">
        <v>108</v>
      </c>
      <c r="O32" s="4">
        <v>1</v>
      </c>
      <c r="P32" s="3">
        <v>2000</v>
      </c>
      <c r="Q32" s="4">
        <v>458</v>
      </c>
      <c r="R32" s="3">
        <f>IFERROR(PRIX_ACHAT_INGREDIENT[[#This Row],[PRIX]]/PRIX_ACHAT_INGREDIENT[[#This Row],[TOTAL QANTITE]],0)</f>
        <v>4.3668122270742362</v>
      </c>
      <c r="S32" s="3"/>
      <c r="U32" t="s">
        <v>90</v>
      </c>
      <c r="V32" t="s">
        <v>74</v>
      </c>
      <c r="W32" t="s">
        <v>96</v>
      </c>
      <c r="X32" t="s">
        <v>26</v>
      </c>
      <c r="Y32" s="13">
        <v>198</v>
      </c>
    </row>
    <row r="33" spans="1:25" x14ac:dyDescent="0.25">
      <c r="A33" t="s">
        <v>90</v>
      </c>
      <c r="B33" t="s">
        <v>76</v>
      </c>
      <c r="C33" t="s">
        <v>283</v>
      </c>
      <c r="D33" t="s">
        <v>51</v>
      </c>
      <c r="E33" t="s">
        <v>97</v>
      </c>
      <c r="F33">
        <v>416.67</v>
      </c>
      <c r="G33">
        <v>800</v>
      </c>
      <c r="L33" s="3" t="s">
        <v>90</v>
      </c>
      <c r="M33" s="3" t="s">
        <v>124</v>
      </c>
      <c r="N33" s="3" t="s">
        <v>99</v>
      </c>
      <c r="O33" s="3">
        <v>1</v>
      </c>
      <c r="P33" s="3">
        <v>3750</v>
      </c>
      <c r="Q33" s="3">
        <v>1000</v>
      </c>
      <c r="R33" s="3">
        <f>IFERROR(PRIX_ACHAT_INGREDIENT[[#This Row],[PRIX]]/PRIX_ACHAT_INGREDIENT[[#This Row],[TOTAL QANTITE]],0)</f>
        <v>3.75</v>
      </c>
      <c r="S33" s="3"/>
      <c r="U33" t="s">
        <v>90</v>
      </c>
      <c r="V33" t="s">
        <v>147</v>
      </c>
      <c r="W33" t="s">
        <v>95</v>
      </c>
      <c r="X33" t="s">
        <v>135</v>
      </c>
      <c r="Y33" s="13">
        <v>166.66666666666666</v>
      </c>
    </row>
    <row r="34" spans="1:25" x14ac:dyDescent="0.25">
      <c r="A34" t="s">
        <v>90</v>
      </c>
      <c r="B34" t="s">
        <v>76</v>
      </c>
      <c r="C34" t="s">
        <v>283</v>
      </c>
      <c r="D34" t="s">
        <v>53</v>
      </c>
      <c r="E34" t="s">
        <v>97</v>
      </c>
      <c r="F34">
        <v>562.5</v>
      </c>
      <c r="G34">
        <v>1000</v>
      </c>
      <c r="L34" s="3" t="s">
        <v>90</v>
      </c>
      <c r="M34" s="3" t="s">
        <v>20</v>
      </c>
      <c r="N34" s="3" t="s">
        <v>93</v>
      </c>
      <c r="O34" s="3">
        <v>1</v>
      </c>
      <c r="P34" s="3">
        <v>1000</v>
      </c>
      <c r="Q34" s="3">
        <v>12</v>
      </c>
      <c r="R34" s="3">
        <f>IFERROR(PRIX_ACHAT_INGREDIENT[[#This Row],[PRIX]]/PRIX_ACHAT_INGREDIENT[[#This Row],[TOTAL QANTITE]],0)</f>
        <v>83.333333333333329</v>
      </c>
      <c r="S34" s="3"/>
      <c r="U34" t="s">
        <v>90</v>
      </c>
      <c r="V34" t="s">
        <v>136</v>
      </c>
      <c r="W34" t="s">
        <v>95</v>
      </c>
      <c r="X34" t="s">
        <v>135</v>
      </c>
      <c r="Y34" s="13">
        <v>516.66666666666663</v>
      </c>
    </row>
    <row r="35" spans="1:25" x14ac:dyDescent="0.25">
      <c r="A35" s="9" t="s">
        <v>90</v>
      </c>
      <c r="B35" t="s">
        <v>76</v>
      </c>
      <c r="C35" t="s">
        <v>283</v>
      </c>
      <c r="D35" t="s">
        <v>156</v>
      </c>
      <c r="E35" s="9" t="s">
        <v>97</v>
      </c>
      <c r="F35">
        <v>479.17</v>
      </c>
      <c r="G35" s="9">
        <v>800</v>
      </c>
      <c r="H35" s="9"/>
      <c r="L35" s="3" t="s">
        <v>90</v>
      </c>
      <c r="M35" s="3" t="s">
        <v>139</v>
      </c>
      <c r="N35" s="3" t="s">
        <v>143</v>
      </c>
      <c r="O35" s="3">
        <v>1</v>
      </c>
      <c r="P35" s="3">
        <v>50</v>
      </c>
      <c r="Q35" s="3">
        <v>1</v>
      </c>
      <c r="R35" s="3">
        <f>IFERROR(PRIX_ACHAT_INGREDIENT[[#This Row],[PRIX]]/PRIX_ACHAT_INGREDIENT[[#This Row],[TOTAL QANTITE]],0)</f>
        <v>50</v>
      </c>
      <c r="S35" s="3"/>
    </row>
    <row r="36" spans="1:25" x14ac:dyDescent="0.25">
      <c r="A36" t="s">
        <v>90</v>
      </c>
      <c r="B36" t="s">
        <v>76</v>
      </c>
      <c r="C36" t="s">
        <v>283</v>
      </c>
      <c r="D36" t="s">
        <v>54</v>
      </c>
      <c r="E36" t="s">
        <v>97</v>
      </c>
      <c r="F36">
        <v>416.67</v>
      </c>
      <c r="G36">
        <v>800</v>
      </c>
      <c r="L36" s="3" t="s">
        <v>90</v>
      </c>
      <c r="M36" s="3" t="s">
        <v>138</v>
      </c>
      <c r="N36" s="3" t="s">
        <v>143</v>
      </c>
      <c r="O36" s="3">
        <v>1</v>
      </c>
      <c r="P36" s="3">
        <v>100</v>
      </c>
      <c r="Q36" s="3">
        <v>1</v>
      </c>
      <c r="R36" s="3">
        <f>IFERROR(PRIX_ACHAT_INGREDIENT[[#This Row],[PRIX]]/PRIX_ACHAT_INGREDIENT[[#This Row],[TOTAL QANTITE]],0)</f>
        <v>100</v>
      </c>
      <c r="S36" s="3"/>
    </row>
    <row r="37" spans="1:25" x14ac:dyDescent="0.25">
      <c r="A37" t="s">
        <v>90</v>
      </c>
      <c r="B37" t="s">
        <v>76</v>
      </c>
      <c r="C37" t="s">
        <v>283</v>
      </c>
      <c r="D37" t="s">
        <v>49</v>
      </c>
      <c r="E37" t="s">
        <v>97</v>
      </c>
      <c r="F37">
        <v>291.67</v>
      </c>
      <c r="G37">
        <v>800</v>
      </c>
      <c r="L37" s="3" t="s">
        <v>90</v>
      </c>
      <c r="M37" s="3" t="s">
        <v>135</v>
      </c>
      <c r="N37" s="3" t="s">
        <v>145</v>
      </c>
      <c r="O37" s="3">
        <v>1</v>
      </c>
      <c r="P37" s="3">
        <v>2500</v>
      </c>
      <c r="Q37" s="3">
        <v>30</v>
      </c>
      <c r="R37" s="3">
        <f>IFERROR(PRIX_ACHAT_INGREDIENT[[#This Row],[PRIX]]/PRIX_ACHAT_INGREDIENT[[#This Row],[TOTAL QANTITE]],0)</f>
        <v>83.333333333333329</v>
      </c>
      <c r="S37" s="3"/>
    </row>
    <row r="38" spans="1:25" x14ac:dyDescent="0.25">
      <c r="A38" t="s">
        <v>90</v>
      </c>
      <c r="B38" t="s">
        <v>76</v>
      </c>
      <c r="C38" t="s">
        <v>283</v>
      </c>
      <c r="D38" t="s">
        <v>50</v>
      </c>
      <c r="E38" t="s">
        <v>97</v>
      </c>
      <c r="F38">
        <v>333.33</v>
      </c>
      <c r="G38">
        <v>800</v>
      </c>
      <c r="L38" s="3" t="s">
        <v>90</v>
      </c>
      <c r="M38" s="4" t="s">
        <v>12</v>
      </c>
      <c r="N38" s="4" t="s">
        <v>108</v>
      </c>
      <c r="O38" s="4">
        <v>1</v>
      </c>
      <c r="P38" s="3">
        <v>5500</v>
      </c>
      <c r="Q38" s="4">
        <v>10000</v>
      </c>
      <c r="R38" s="3">
        <f>IFERROR(PRIX_ACHAT_INGREDIENT[[#This Row],[PRIX]]/PRIX_ACHAT_INGREDIENT[[#This Row],[TOTAL QANTITE]],0)</f>
        <v>0.55000000000000004</v>
      </c>
      <c r="S38" s="3"/>
    </row>
    <row r="39" spans="1:25" x14ac:dyDescent="0.25">
      <c r="A39" t="s">
        <v>90</v>
      </c>
      <c r="B39" t="s">
        <v>76</v>
      </c>
      <c r="C39" t="s">
        <v>283</v>
      </c>
      <c r="D39" t="s">
        <v>48</v>
      </c>
      <c r="E39" t="s">
        <v>97</v>
      </c>
      <c r="F39">
        <v>291.67</v>
      </c>
      <c r="G39">
        <v>800</v>
      </c>
      <c r="L39" s="3" t="s">
        <v>90</v>
      </c>
      <c r="M39" s="3" t="s">
        <v>121</v>
      </c>
      <c r="N39" s="3" t="s">
        <v>122</v>
      </c>
      <c r="O39" s="3">
        <v>1</v>
      </c>
      <c r="P39" s="3">
        <v>150</v>
      </c>
      <c r="Q39" s="3">
        <v>1</v>
      </c>
      <c r="R39" s="3">
        <f>IFERROR(PRIX_ACHAT_INGREDIENT[[#This Row],[PRIX]]/PRIX_ACHAT_INGREDIENT[[#This Row],[TOTAL QANTITE]],0)</f>
        <v>150</v>
      </c>
      <c r="S39" s="3"/>
    </row>
    <row r="40" spans="1:25" x14ac:dyDescent="0.25">
      <c r="A40" s="9" t="s">
        <v>90</v>
      </c>
      <c r="B40" t="s">
        <v>76</v>
      </c>
      <c r="C40" t="s">
        <v>283</v>
      </c>
      <c r="D40" t="s">
        <v>155</v>
      </c>
      <c r="E40" s="9" t="s">
        <v>97</v>
      </c>
      <c r="F40">
        <v>333.33</v>
      </c>
      <c r="G40" s="9">
        <v>800</v>
      </c>
      <c r="H40" s="9"/>
      <c r="L40" s="3" t="s">
        <v>90</v>
      </c>
      <c r="M40" s="3" t="s">
        <v>125</v>
      </c>
      <c r="N40" s="3" t="s">
        <v>126</v>
      </c>
      <c r="O40" s="3">
        <v>1</v>
      </c>
      <c r="P40" s="3">
        <v>500</v>
      </c>
      <c r="Q40" s="3">
        <v>1</v>
      </c>
      <c r="R40" s="3">
        <f>IFERROR(PRIX_ACHAT_INGREDIENT[[#This Row],[PRIX]]/PRIX_ACHAT_INGREDIENT[[#This Row],[TOTAL QANTITE]],0)</f>
        <v>500</v>
      </c>
      <c r="S40" s="3"/>
    </row>
    <row r="41" spans="1:25" x14ac:dyDescent="0.25">
      <c r="A41" t="s">
        <v>90</v>
      </c>
      <c r="B41" t="s">
        <v>76</v>
      </c>
      <c r="C41" t="s">
        <v>283</v>
      </c>
      <c r="D41" t="s">
        <v>52</v>
      </c>
      <c r="E41" t="s">
        <v>97</v>
      </c>
      <c r="F41">
        <v>416.67</v>
      </c>
      <c r="G41">
        <v>800</v>
      </c>
      <c r="L41" s="3" t="s">
        <v>90</v>
      </c>
      <c r="M41" s="3" t="s">
        <v>23</v>
      </c>
      <c r="N41" s="3" t="s">
        <v>110</v>
      </c>
      <c r="O41" s="3">
        <v>1</v>
      </c>
      <c r="P41" s="3">
        <v>3500</v>
      </c>
      <c r="Q41" s="3">
        <v>22</v>
      </c>
      <c r="R41" s="3">
        <f>IFERROR(PRIX_ACHAT_INGREDIENT[[#This Row],[PRIX]]/PRIX_ACHAT_INGREDIENT[[#This Row],[TOTAL QANTITE]],0)</f>
        <v>159.09090909090909</v>
      </c>
      <c r="S41" s="3"/>
    </row>
    <row r="42" spans="1:25" x14ac:dyDescent="0.25">
      <c r="A42" t="s">
        <v>90</v>
      </c>
      <c r="B42" t="s">
        <v>76</v>
      </c>
      <c r="C42" t="s">
        <v>283</v>
      </c>
      <c r="D42" t="s">
        <v>82</v>
      </c>
      <c r="E42" t="s">
        <v>97</v>
      </c>
      <c r="F42">
        <v>6800</v>
      </c>
      <c r="G42">
        <v>10000</v>
      </c>
      <c r="L42" s="3" t="s">
        <v>90</v>
      </c>
      <c r="M42" s="4" t="s">
        <v>29</v>
      </c>
      <c r="N42" s="4" t="s">
        <v>168</v>
      </c>
      <c r="O42" s="4">
        <v>1</v>
      </c>
      <c r="P42" s="3">
        <v>15000</v>
      </c>
      <c r="Q42" s="4">
        <v>16</v>
      </c>
      <c r="R42" s="3">
        <f>IFERROR(PRIX_ACHAT_INGREDIENT[[#This Row],[PRIX]]/PRIX_ACHAT_INGREDIENT[[#This Row],[TOTAL QANTITE]],0)</f>
        <v>937.5</v>
      </c>
      <c r="S42" s="3"/>
    </row>
    <row r="43" spans="1:25" x14ac:dyDescent="0.25">
      <c r="A43" t="s">
        <v>90</v>
      </c>
      <c r="B43" t="s">
        <v>76</v>
      </c>
      <c r="C43" t="s">
        <v>283</v>
      </c>
      <c r="D43" t="s">
        <v>83</v>
      </c>
      <c r="E43" t="s">
        <v>97</v>
      </c>
      <c r="F43" t="s">
        <v>304</v>
      </c>
      <c r="G43">
        <v>0</v>
      </c>
      <c r="L43" s="3" t="s">
        <v>90</v>
      </c>
      <c r="M43" s="3" t="s">
        <v>11</v>
      </c>
      <c r="N43" s="3" t="s">
        <v>108</v>
      </c>
      <c r="O43" s="3">
        <v>1</v>
      </c>
      <c r="P43" s="3">
        <v>500</v>
      </c>
      <c r="Q43" s="3">
        <v>500</v>
      </c>
      <c r="R43" s="3">
        <f>IFERROR(PRIX_ACHAT_INGREDIENT[[#This Row],[PRIX]]/PRIX_ACHAT_INGREDIENT[[#This Row],[TOTAL QANTITE]],0)</f>
        <v>1</v>
      </c>
      <c r="S43" s="3"/>
    </row>
    <row r="44" spans="1:25" x14ac:dyDescent="0.25">
      <c r="A44" t="s">
        <v>90</v>
      </c>
      <c r="B44" t="s">
        <v>76</v>
      </c>
      <c r="C44" t="s">
        <v>283</v>
      </c>
      <c r="D44" t="s">
        <v>84</v>
      </c>
      <c r="E44" t="s">
        <v>97</v>
      </c>
      <c r="F44">
        <v>3000</v>
      </c>
      <c r="G44">
        <v>7000</v>
      </c>
      <c r="L44" s="3" t="s">
        <v>90</v>
      </c>
      <c r="M44" s="4" t="s">
        <v>13</v>
      </c>
      <c r="N44" s="4" t="s">
        <v>108</v>
      </c>
      <c r="O44" s="4">
        <v>1</v>
      </c>
      <c r="P44" s="3">
        <v>500</v>
      </c>
      <c r="Q44" s="4">
        <v>440</v>
      </c>
      <c r="R44" s="3">
        <f>IFERROR(PRIX_ACHAT_INGREDIENT[[#This Row],[PRIX]]/PRIX_ACHAT_INGREDIENT[[#This Row],[TOTAL QANTITE]],0)</f>
        <v>1.1363636363636365</v>
      </c>
      <c r="S44" s="3"/>
    </row>
    <row r="45" spans="1:25" x14ac:dyDescent="0.25">
      <c r="A45" t="s">
        <v>90</v>
      </c>
      <c r="B45" t="s">
        <v>76</v>
      </c>
      <c r="C45" t="s">
        <v>283</v>
      </c>
      <c r="D45" t="s">
        <v>85</v>
      </c>
      <c r="E45" t="s">
        <v>97</v>
      </c>
      <c r="F45">
        <v>3000</v>
      </c>
      <c r="G45">
        <v>6500</v>
      </c>
      <c r="L45" s="3" t="s">
        <v>90</v>
      </c>
      <c r="M45" s="3" t="s">
        <v>24</v>
      </c>
      <c r="N45" s="3" t="s">
        <v>96</v>
      </c>
      <c r="O45" s="3">
        <v>1</v>
      </c>
      <c r="P45" s="3">
        <v>2500</v>
      </c>
      <c r="Q45" s="3">
        <v>12</v>
      </c>
      <c r="R45" s="3">
        <f>IFERROR(PRIX_ACHAT_INGREDIENT[[#This Row],[PRIX]]/PRIX_ACHAT_INGREDIENT[[#This Row],[TOTAL QANTITE]],0)</f>
        <v>208.33333333333334</v>
      </c>
      <c r="S45" s="3"/>
    </row>
    <row r="46" spans="1:25" x14ac:dyDescent="0.25">
      <c r="A46" t="s">
        <v>90</v>
      </c>
      <c r="B46" t="s">
        <v>76</v>
      </c>
      <c r="C46" t="s">
        <v>283</v>
      </c>
      <c r="D46" t="s">
        <v>58</v>
      </c>
      <c r="E46" t="s">
        <v>97</v>
      </c>
      <c r="F46">
        <v>2300</v>
      </c>
      <c r="G46">
        <v>5000</v>
      </c>
      <c r="L46" s="3" t="s">
        <v>90</v>
      </c>
      <c r="M46" s="4" t="s">
        <v>27</v>
      </c>
      <c r="N46" s="4" t="s">
        <v>96</v>
      </c>
      <c r="O46" s="4">
        <v>1</v>
      </c>
      <c r="P46" s="3">
        <v>10000</v>
      </c>
      <c r="Q46" s="4">
        <v>20</v>
      </c>
      <c r="R46" s="3">
        <f>IFERROR(PRIX_ACHAT_INGREDIENT[[#This Row],[PRIX]]/PRIX_ACHAT_INGREDIENT[[#This Row],[TOTAL QANTITE]],0)</f>
        <v>500</v>
      </c>
      <c r="S46" s="3"/>
    </row>
    <row r="47" spans="1:25" x14ac:dyDescent="0.25">
      <c r="A47" t="s">
        <v>90</v>
      </c>
      <c r="B47" t="s">
        <v>76</v>
      </c>
      <c r="C47" t="s">
        <v>283</v>
      </c>
      <c r="D47" t="s">
        <v>303</v>
      </c>
      <c r="E47" s="9" t="s">
        <v>134</v>
      </c>
      <c r="F47">
        <v>748</v>
      </c>
      <c r="G47" s="9">
        <v>1500</v>
      </c>
      <c r="H47" s="9"/>
      <c r="L47" s="3" t="s">
        <v>90</v>
      </c>
      <c r="M47" s="3" t="s">
        <v>17</v>
      </c>
      <c r="N47" s="3" t="s">
        <v>92</v>
      </c>
      <c r="O47" s="3">
        <v>1</v>
      </c>
      <c r="P47" s="3">
        <v>21000</v>
      </c>
      <c r="Q47" s="3">
        <v>22</v>
      </c>
      <c r="R47" s="3">
        <f>IFERROR(PRIX_ACHAT_INGREDIENT[[#This Row],[PRIX]]/PRIX_ACHAT_INGREDIENT[[#This Row],[TOTAL QANTITE]],0)</f>
        <v>954.5454545454545</v>
      </c>
      <c r="S47" s="3"/>
    </row>
    <row r="48" spans="1:25" x14ac:dyDescent="0.25">
      <c r="A48" t="s">
        <v>90</v>
      </c>
      <c r="B48" t="s">
        <v>76</v>
      </c>
      <c r="C48" t="s">
        <v>283</v>
      </c>
      <c r="D48" t="s">
        <v>56</v>
      </c>
      <c r="E48" t="s">
        <v>97</v>
      </c>
      <c r="F48">
        <v>9200</v>
      </c>
      <c r="G48">
        <v>15000</v>
      </c>
      <c r="L48" s="3" t="s">
        <v>90</v>
      </c>
      <c r="M48" s="4" t="s">
        <v>28</v>
      </c>
      <c r="N48" s="4" t="s">
        <v>96</v>
      </c>
      <c r="O48" s="4">
        <v>1</v>
      </c>
      <c r="P48" s="3">
        <v>8500</v>
      </c>
      <c r="Q48" s="4">
        <v>8</v>
      </c>
      <c r="R48" s="3">
        <f>IFERROR(PRIX_ACHAT_INGREDIENT[[#This Row],[PRIX]]/PRIX_ACHAT_INGREDIENT[[#This Row],[TOTAL QANTITE]],0)</f>
        <v>1062.5</v>
      </c>
      <c r="S48" s="3"/>
    </row>
    <row r="49" spans="1:19" x14ac:dyDescent="0.25">
      <c r="A49" t="s">
        <v>90</v>
      </c>
      <c r="B49" t="s">
        <v>76</v>
      </c>
      <c r="C49" t="s">
        <v>283</v>
      </c>
      <c r="D49" t="s">
        <v>57</v>
      </c>
      <c r="E49" t="s">
        <v>97</v>
      </c>
      <c r="F49">
        <v>17375</v>
      </c>
      <c r="G49">
        <v>25000</v>
      </c>
      <c r="L49" s="3" t="s">
        <v>90</v>
      </c>
      <c r="M49" s="3" t="s">
        <v>25</v>
      </c>
      <c r="N49" s="3" t="s">
        <v>108</v>
      </c>
      <c r="O49" s="3">
        <v>1</v>
      </c>
      <c r="P49" s="3">
        <v>6750</v>
      </c>
      <c r="Q49" s="3">
        <v>5000</v>
      </c>
      <c r="R49" s="3">
        <f>IFERROR(PRIX_ACHAT_INGREDIENT[[#This Row],[PRIX]]/PRIX_ACHAT_INGREDIENT[[#This Row],[TOTAL QANTITE]],0)</f>
        <v>1.35</v>
      </c>
      <c r="S49" s="3"/>
    </row>
    <row r="50" spans="1:19" x14ac:dyDescent="0.25">
      <c r="A50" t="s">
        <v>90</v>
      </c>
      <c r="B50" t="s">
        <v>76</v>
      </c>
      <c r="C50" t="s">
        <v>283</v>
      </c>
      <c r="D50" t="s">
        <v>146</v>
      </c>
      <c r="E50" t="s">
        <v>97</v>
      </c>
      <c r="F50">
        <v>11200</v>
      </c>
      <c r="G50">
        <v>25000</v>
      </c>
      <c r="L50" s="3" t="s">
        <v>90</v>
      </c>
      <c r="M50" s="4" t="s">
        <v>112</v>
      </c>
      <c r="N50" s="4" t="s">
        <v>96</v>
      </c>
      <c r="O50" s="4">
        <v>1</v>
      </c>
      <c r="P50" s="3">
        <v>10500</v>
      </c>
      <c r="Q50" s="4">
        <v>8</v>
      </c>
      <c r="R50" s="3">
        <f>IFERROR(PRIX_ACHAT_INGREDIENT[[#This Row],[PRIX]]/PRIX_ACHAT_INGREDIENT[[#This Row],[TOTAL QANTITE]],0)</f>
        <v>1312.5</v>
      </c>
      <c r="S50" s="3"/>
    </row>
    <row r="51" spans="1:19" x14ac:dyDescent="0.25">
      <c r="A51" t="s">
        <v>90</v>
      </c>
      <c r="B51" t="s">
        <v>76</v>
      </c>
      <c r="C51" t="s">
        <v>283</v>
      </c>
      <c r="D51" t="s">
        <v>128</v>
      </c>
      <c r="E51" s="9" t="s">
        <v>134</v>
      </c>
      <c r="F51">
        <v>635.41999999999996</v>
      </c>
      <c r="G51" s="9">
        <v>1500</v>
      </c>
      <c r="H51" s="9"/>
      <c r="L51" s="3" t="s">
        <v>90</v>
      </c>
      <c r="M51" s="3" t="s">
        <v>10</v>
      </c>
      <c r="N51" s="3" t="s">
        <v>108</v>
      </c>
      <c r="O51" s="3">
        <v>1</v>
      </c>
      <c r="P51" s="3">
        <v>3500</v>
      </c>
      <c r="Q51" s="3">
        <v>18000</v>
      </c>
      <c r="R51" s="3">
        <f>IFERROR(PRIX_ACHAT_INGREDIENT[[#This Row],[PRIX]]/PRIX_ACHAT_INGREDIENT[[#This Row],[TOTAL QANTITE]],0)</f>
        <v>0.19444444444444445</v>
      </c>
      <c r="S51" s="3"/>
    </row>
    <row r="52" spans="1:19" x14ac:dyDescent="0.25">
      <c r="A52" s="9" t="s">
        <v>90</v>
      </c>
      <c r="B52" t="s">
        <v>149</v>
      </c>
      <c r="C52" t="s">
        <v>283</v>
      </c>
      <c r="D52" t="s">
        <v>148</v>
      </c>
      <c r="E52" s="9" t="s">
        <v>150</v>
      </c>
      <c r="F52">
        <v>80</v>
      </c>
      <c r="G52" s="9">
        <v>500</v>
      </c>
      <c r="H52" s="9"/>
      <c r="L52" s="3" t="s">
        <v>90</v>
      </c>
      <c r="M52" s="4" t="s">
        <v>26</v>
      </c>
      <c r="N52" s="4" t="s">
        <v>108</v>
      </c>
      <c r="O52" s="4">
        <v>1</v>
      </c>
      <c r="P52" s="3">
        <v>600</v>
      </c>
      <c r="Q52" s="4">
        <v>500</v>
      </c>
      <c r="R52" s="3">
        <f>IFERROR(PRIX_ACHAT_INGREDIENT[[#This Row],[PRIX]]/PRIX_ACHAT_INGREDIENT[[#This Row],[TOTAL QANTITE]],0)</f>
        <v>1.2</v>
      </c>
      <c r="S52" s="3"/>
    </row>
    <row r="53" spans="1:19" x14ac:dyDescent="0.25">
      <c r="A53" t="s">
        <v>90</v>
      </c>
      <c r="B53" t="s">
        <v>71</v>
      </c>
      <c r="C53" t="s">
        <v>284</v>
      </c>
      <c r="D53" t="s">
        <v>18</v>
      </c>
      <c r="E53" t="s">
        <v>108</v>
      </c>
      <c r="F53">
        <v>1.1200000000000001</v>
      </c>
      <c r="L53" s="3" t="s">
        <v>90</v>
      </c>
      <c r="M53" s="3" t="s">
        <v>140</v>
      </c>
      <c r="N53" s="3" t="s">
        <v>143</v>
      </c>
      <c r="O53" s="3">
        <v>1</v>
      </c>
      <c r="P53" s="3">
        <v>1600</v>
      </c>
      <c r="Q53" s="3">
        <v>25</v>
      </c>
      <c r="R53" s="3">
        <f>IFERROR(PRIX_ACHAT_INGREDIENT[[#This Row],[PRIX]]/PRIX_ACHAT_INGREDIENT[[#This Row],[TOTAL QANTITE]],0)</f>
        <v>64</v>
      </c>
      <c r="S53" s="3"/>
    </row>
    <row r="54" spans="1:19" x14ac:dyDescent="0.25">
      <c r="A54" t="s">
        <v>90</v>
      </c>
      <c r="B54" t="s">
        <v>71</v>
      </c>
      <c r="C54" t="s">
        <v>284</v>
      </c>
      <c r="D54" t="s">
        <v>9</v>
      </c>
      <c r="E54" t="s">
        <v>108</v>
      </c>
      <c r="F54">
        <v>1.67</v>
      </c>
      <c r="L54" s="3" t="s">
        <v>90</v>
      </c>
      <c r="M54" s="3" t="s">
        <v>8</v>
      </c>
      <c r="N54" s="3" t="s">
        <v>108</v>
      </c>
      <c r="O54" s="3">
        <v>1</v>
      </c>
      <c r="P54" s="3">
        <v>6000</v>
      </c>
      <c r="Q54" s="3">
        <v>15000</v>
      </c>
      <c r="R54" s="3">
        <f>IFERROR(PRIX_ACHAT_INGREDIENT[[#This Row],[PRIX]]/PRIX_ACHAT_INGREDIENT[[#This Row],[TOTAL QANTITE]],0)</f>
        <v>0.4</v>
      </c>
      <c r="S54" s="3"/>
    </row>
    <row r="55" spans="1:19" x14ac:dyDescent="0.25">
      <c r="A55" t="s">
        <v>90</v>
      </c>
      <c r="B55" t="s">
        <v>71</v>
      </c>
      <c r="C55" t="s">
        <v>284</v>
      </c>
      <c r="D55" t="s">
        <v>14</v>
      </c>
      <c r="E55" t="s">
        <v>108</v>
      </c>
      <c r="F55">
        <v>1</v>
      </c>
      <c r="L55" s="3" t="s">
        <v>90</v>
      </c>
      <c r="M55" s="70" t="s">
        <v>16</v>
      </c>
      <c r="N55" s="70" t="s">
        <v>96</v>
      </c>
      <c r="O55" s="70">
        <v>1</v>
      </c>
      <c r="P55" s="10">
        <v>10500</v>
      </c>
      <c r="Q55" s="70">
        <v>11</v>
      </c>
      <c r="R55" s="10">
        <f>IFERROR(PRIX_ACHAT_INGREDIENT[[#This Row],[PRIX]]/PRIX_ACHAT_INGREDIENT[[#This Row],[TOTAL QANTITE]],0)</f>
        <v>954.5454545454545</v>
      </c>
      <c r="S55" s="3"/>
    </row>
    <row r="56" spans="1:19" x14ac:dyDescent="0.25">
      <c r="A56" t="s">
        <v>90</v>
      </c>
      <c r="B56" t="s">
        <v>71</v>
      </c>
      <c r="C56" t="s">
        <v>284</v>
      </c>
      <c r="D56" t="s">
        <v>19</v>
      </c>
      <c r="E56" t="s">
        <v>108</v>
      </c>
      <c r="F56">
        <v>5</v>
      </c>
      <c r="L56" s="3" t="s">
        <v>90</v>
      </c>
      <c r="M56" s="10" t="s">
        <v>109</v>
      </c>
      <c r="N56" s="10" t="s">
        <v>96</v>
      </c>
      <c r="O56" s="10">
        <v>1</v>
      </c>
      <c r="P56" s="10">
        <v>3000</v>
      </c>
      <c r="Q56" s="10">
        <v>12</v>
      </c>
      <c r="R56" s="10">
        <f>IFERROR(PRIX_ACHAT_INGREDIENT[[#This Row],[PRIX]]/PRIX_ACHAT_INGREDIENT[[#This Row],[TOTAL QANTITE]],0)</f>
        <v>250</v>
      </c>
      <c r="S56" s="10"/>
    </row>
    <row r="57" spans="1:19" x14ac:dyDescent="0.25">
      <c r="A57" t="s">
        <v>90</v>
      </c>
      <c r="B57" t="s">
        <v>71</v>
      </c>
      <c r="C57" t="s">
        <v>285</v>
      </c>
      <c r="D57" t="s">
        <v>15</v>
      </c>
      <c r="E57" t="s">
        <v>96</v>
      </c>
      <c r="F57">
        <v>1312.5</v>
      </c>
      <c r="G57">
        <v>3000</v>
      </c>
    </row>
    <row r="58" spans="1:19" x14ac:dyDescent="0.25">
      <c r="A58" t="s">
        <v>90</v>
      </c>
      <c r="B58" t="s">
        <v>71</v>
      </c>
      <c r="C58" t="s">
        <v>284</v>
      </c>
      <c r="D58" t="s">
        <v>22</v>
      </c>
      <c r="E58" t="s">
        <v>99</v>
      </c>
      <c r="F58">
        <v>1.5</v>
      </c>
    </row>
    <row r="59" spans="1:19" x14ac:dyDescent="0.25">
      <c r="A59" t="s">
        <v>90</v>
      </c>
      <c r="B59" s="9" t="s">
        <v>71</v>
      </c>
      <c r="C59" t="s">
        <v>284</v>
      </c>
      <c r="D59" t="s">
        <v>137</v>
      </c>
      <c r="E59" s="9" t="s">
        <v>143</v>
      </c>
      <c r="F59">
        <v>50</v>
      </c>
    </row>
    <row r="60" spans="1:19" x14ac:dyDescent="0.25">
      <c r="A60" t="s">
        <v>90</v>
      </c>
      <c r="B60" t="s">
        <v>71</v>
      </c>
      <c r="C60" t="s">
        <v>284</v>
      </c>
      <c r="D60" t="s">
        <v>123</v>
      </c>
      <c r="E60" t="s">
        <v>99</v>
      </c>
      <c r="F60">
        <v>2.8</v>
      </c>
    </row>
    <row r="61" spans="1:19" x14ac:dyDescent="0.25">
      <c r="A61" t="s">
        <v>90</v>
      </c>
      <c r="B61" t="s">
        <v>71</v>
      </c>
      <c r="C61" t="s">
        <v>284</v>
      </c>
      <c r="D61" t="s">
        <v>21</v>
      </c>
      <c r="E61" t="s">
        <v>108</v>
      </c>
      <c r="F61">
        <v>4.37</v>
      </c>
    </row>
    <row r="62" spans="1:19" x14ac:dyDescent="0.25">
      <c r="A62" t="s">
        <v>90</v>
      </c>
      <c r="B62" t="s">
        <v>71</v>
      </c>
      <c r="C62" t="s">
        <v>284</v>
      </c>
      <c r="D62" t="s">
        <v>124</v>
      </c>
      <c r="E62" t="s">
        <v>99</v>
      </c>
      <c r="F62">
        <v>3.75</v>
      </c>
    </row>
    <row r="63" spans="1:19" x14ac:dyDescent="0.25">
      <c r="A63" t="s">
        <v>90</v>
      </c>
      <c r="B63" t="s">
        <v>71</v>
      </c>
      <c r="C63" t="s">
        <v>285</v>
      </c>
      <c r="D63" t="s">
        <v>20</v>
      </c>
      <c r="E63" t="s">
        <v>93</v>
      </c>
      <c r="F63">
        <v>83.34</v>
      </c>
      <c r="G63">
        <v>2500</v>
      </c>
    </row>
    <row r="64" spans="1:19" x14ac:dyDescent="0.25">
      <c r="A64" t="s">
        <v>90</v>
      </c>
      <c r="B64" s="9" t="s">
        <v>71</v>
      </c>
      <c r="C64" t="s">
        <v>284</v>
      </c>
      <c r="D64" t="s">
        <v>139</v>
      </c>
      <c r="E64" s="9" t="s">
        <v>143</v>
      </c>
      <c r="F64">
        <v>50</v>
      </c>
    </row>
    <row r="65" spans="1:7" x14ac:dyDescent="0.25">
      <c r="A65" t="s">
        <v>90</v>
      </c>
      <c r="B65" s="9" t="s">
        <v>71</v>
      </c>
      <c r="C65" t="s">
        <v>284</v>
      </c>
      <c r="D65" t="s">
        <v>138</v>
      </c>
      <c r="E65" s="9" t="s">
        <v>143</v>
      </c>
      <c r="F65">
        <v>100</v>
      </c>
    </row>
    <row r="66" spans="1:7" x14ac:dyDescent="0.25">
      <c r="A66" t="s">
        <v>90</v>
      </c>
      <c r="B66" s="9" t="s">
        <v>71</v>
      </c>
      <c r="C66" t="s">
        <v>284</v>
      </c>
      <c r="D66" t="s">
        <v>135</v>
      </c>
      <c r="E66" t="s">
        <v>145</v>
      </c>
      <c r="F66">
        <v>83.34</v>
      </c>
      <c r="G66">
        <v>500</v>
      </c>
    </row>
    <row r="67" spans="1:7" x14ac:dyDescent="0.25">
      <c r="A67" t="s">
        <v>90</v>
      </c>
      <c r="B67" t="s">
        <v>71</v>
      </c>
      <c r="C67" t="s">
        <v>284</v>
      </c>
      <c r="D67" t="s">
        <v>12</v>
      </c>
      <c r="E67" t="s">
        <v>108</v>
      </c>
      <c r="F67">
        <v>0.55000000000000004</v>
      </c>
    </row>
    <row r="68" spans="1:7" x14ac:dyDescent="0.25">
      <c r="A68" t="s">
        <v>90</v>
      </c>
      <c r="B68" t="s">
        <v>71</v>
      </c>
      <c r="C68" t="s">
        <v>284</v>
      </c>
      <c r="D68" t="s">
        <v>121</v>
      </c>
      <c r="E68" t="s">
        <v>122</v>
      </c>
      <c r="F68">
        <v>150</v>
      </c>
    </row>
    <row r="69" spans="1:7" x14ac:dyDescent="0.25">
      <c r="A69" t="s">
        <v>90</v>
      </c>
      <c r="B69" t="s">
        <v>71</v>
      </c>
      <c r="C69" t="s">
        <v>284</v>
      </c>
      <c r="D69" t="s">
        <v>125</v>
      </c>
      <c r="E69" t="s">
        <v>126</v>
      </c>
      <c r="F69">
        <v>500</v>
      </c>
    </row>
    <row r="70" spans="1:7" x14ac:dyDescent="0.25">
      <c r="A70" t="s">
        <v>90</v>
      </c>
      <c r="B70" t="s">
        <v>71</v>
      </c>
      <c r="C70" t="s">
        <v>284</v>
      </c>
      <c r="D70" t="s">
        <v>23</v>
      </c>
      <c r="E70" t="s">
        <v>96</v>
      </c>
      <c r="F70">
        <v>159.1</v>
      </c>
    </row>
    <row r="71" spans="1:7" x14ac:dyDescent="0.25">
      <c r="A71" t="s">
        <v>90</v>
      </c>
      <c r="B71" t="s">
        <v>71</v>
      </c>
      <c r="C71" t="s">
        <v>285</v>
      </c>
      <c r="D71" t="s">
        <v>29</v>
      </c>
      <c r="E71" t="s">
        <v>168</v>
      </c>
      <c r="F71">
        <v>937.5</v>
      </c>
      <c r="G71">
        <v>3500</v>
      </c>
    </row>
    <row r="72" spans="1:7" x14ac:dyDescent="0.25">
      <c r="A72" t="s">
        <v>90</v>
      </c>
      <c r="B72" t="s">
        <v>71</v>
      </c>
      <c r="C72" t="s">
        <v>284</v>
      </c>
      <c r="D72" t="s">
        <v>11</v>
      </c>
      <c r="E72" t="s">
        <v>108</v>
      </c>
      <c r="F72">
        <v>1</v>
      </c>
    </row>
    <row r="73" spans="1:7" x14ac:dyDescent="0.25">
      <c r="A73" t="s">
        <v>90</v>
      </c>
      <c r="B73" t="s">
        <v>71</v>
      </c>
      <c r="C73" t="s">
        <v>284</v>
      </c>
      <c r="D73" t="s">
        <v>13</v>
      </c>
      <c r="E73" t="s">
        <v>108</v>
      </c>
      <c r="F73">
        <v>1.1399999999999999</v>
      </c>
    </row>
    <row r="74" spans="1:7" x14ac:dyDescent="0.25">
      <c r="A74" t="s">
        <v>90</v>
      </c>
      <c r="B74" t="s">
        <v>71</v>
      </c>
      <c r="C74" t="s">
        <v>284</v>
      </c>
      <c r="D74" t="s">
        <v>24</v>
      </c>
      <c r="E74" t="s">
        <v>96</v>
      </c>
      <c r="F74">
        <v>208.34</v>
      </c>
      <c r="G74">
        <v>500</v>
      </c>
    </row>
    <row r="75" spans="1:7" x14ac:dyDescent="0.25">
      <c r="A75" t="s">
        <v>90</v>
      </c>
      <c r="B75" t="s">
        <v>71</v>
      </c>
      <c r="C75" t="s">
        <v>285</v>
      </c>
      <c r="D75" t="s">
        <v>27</v>
      </c>
      <c r="E75" t="s">
        <v>96</v>
      </c>
      <c r="F75">
        <v>500</v>
      </c>
      <c r="G75">
        <v>3500</v>
      </c>
    </row>
    <row r="76" spans="1:7" x14ac:dyDescent="0.25">
      <c r="A76" t="s">
        <v>90</v>
      </c>
      <c r="B76" t="s">
        <v>71</v>
      </c>
      <c r="C76" t="s">
        <v>285</v>
      </c>
      <c r="D76" t="s">
        <v>17</v>
      </c>
      <c r="E76" t="s">
        <v>92</v>
      </c>
      <c r="F76">
        <v>954.55</v>
      </c>
      <c r="G76">
        <v>3500</v>
      </c>
    </row>
    <row r="77" spans="1:7" x14ac:dyDescent="0.25">
      <c r="A77" t="s">
        <v>90</v>
      </c>
      <c r="B77" t="s">
        <v>71</v>
      </c>
      <c r="C77" t="s">
        <v>285</v>
      </c>
      <c r="D77" t="s">
        <v>28</v>
      </c>
      <c r="E77" t="s">
        <v>96</v>
      </c>
      <c r="F77">
        <v>1062.5</v>
      </c>
      <c r="G77">
        <v>3500</v>
      </c>
    </row>
    <row r="78" spans="1:7" x14ac:dyDescent="0.25">
      <c r="A78" t="s">
        <v>90</v>
      </c>
      <c r="B78" t="s">
        <v>71</v>
      </c>
      <c r="C78" t="s">
        <v>284</v>
      </c>
      <c r="D78" t="s">
        <v>25</v>
      </c>
      <c r="E78" t="s">
        <v>108</v>
      </c>
      <c r="F78">
        <v>1.35</v>
      </c>
      <c r="G78">
        <f>500/200</f>
        <v>2.5</v>
      </c>
    </row>
    <row r="79" spans="1:7" x14ac:dyDescent="0.25">
      <c r="A79" t="s">
        <v>90</v>
      </c>
      <c r="B79" t="s">
        <v>71</v>
      </c>
      <c r="C79" t="s">
        <v>285</v>
      </c>
      <c r="D79" t="s">
        <v>112</v>
      </c>
      <c r="E79" t="s">
        <v>96</v>
      </c>
      <c r="F79">
        <v>1312.5</v>
      </c>
      <c r="G79">
        <v>3000</v>
      </c>
    </row>
    <row r="80" spans="1:7" x14ac:dyDescent="0.25">
      <c r="A80" t="s">
        <v>90</v>
      </c>
      <c r="B80" t="s">
        <v>71</v>
      </c>
      <c r="C80" t="s">
        <v>284</v>
      </c>
      <c r="D80" t="s">
        <v>10</v>
      </c>
      <c r="E80" t="s">
        <v>108</v>
      </c>
      <c r="F80">
        <v>0.2</v>
      </c>
    </row>
    <row r="81" spans="1:11" x14ac:dyDescent="0.25">
      <c r="A81" t="s">
        <v>90</v>
      </c>
      <c r="B81" t="s">
        <v>71</v>
      </c>
      <c r="C81" t="s">
        <v>284</v>
      </c>
      <c r="D81" t="s">
        <v>26</v>
      </c>
      <c r="E81" t="s">
        <v>108</v>
      </c>
      <c r="F81">
        <v>1.2</v>
      </c>
      <c r="G81">
        <f>500/165</f>
        <v>3.0303030303030303</v>
      </c>
    </row>
    <row r="82" spans="1:11" x14ac:dyDescent="0.25">
      <c r="A82" t="s">
        <v>90</v>
      </c>
      <c r="B82" t="s">
        <v>71</v>
      </c>
      <c r="C82" t="s">
        <v>284</v>
      </c>
      <c r="D82" t="s">
        <v>8</v>
      </c>
      <c r="E82" t="s">
        <v>108</v>
      </c>
      <c r="F82">
        <v>0.4</v>
      </c>
    </row>
    <row r="83" spans="1:11" x14ac:dyDescent="0.25">
      <c r="A83" t="s">
        <v>90</v>
      </c>
      <c r="B83" t="s">
        <v>71</v>
      </c>
      <c r="C83" t="s">
        <v>285</v>
      </c>
      <c r="D83" t="s">
        <v>16</v>
      </c>
      <c r="E83" t="s">
        <v>96</v>
      </c>
      <c r="F83">
        <v>954.55</v>
      </c>
      <c r="G83">
        <v>3000</v>
      </c>
    </row>
    <row r="84" spans="1:11" x14ac:dyDescent="0.25">
      <c r="A84" t="s">
        <v>90</v>
      </c>
      <c r="B84" t="s">
        <v>71</v>
      </c>
      <c r="C84" t="s">
        <v>284</v>
      </c>
      <c r="D84" t="s">
        <v>109</v>
      </c>
      <c r="E84" t="s">
        <v>96</v>
      </c>
      <c r="F84">
        <v>250</v>
      </c>
    </row>
    <row r="85" spans="1:11" x14ac:dyDescent="0.25">
      <c r="A85" t="s">
        <v>90</v>
      </c>
      <c r="B85" t="s">
        <v>142</v>
      </c>
      <c r="C85" t="s">
        <v>283</v>
      </c>
      <c r="D85" t="s">
        <v>141</v>
      </c>
      <c r="E85" t="s">
        <v>144</v>
      </c>
      <c r="F85">
        <v>8</v>
      </c>
      <c r="G85">
        <v>500</v>
      </c>
    </row>
    <row r="86" spans="1:11" x14ac:dyDescent="0.25">
      <c r="A86" t="s">
        <v>90</v>
      </c>
      <c r="B86" t="s">
        <v>142</v>
      </c>
      <c r="C86" t="s">
        <v>283</v>
      </c>
      <c r="D86" t="s">
        <v>147</v>
      </c>
      <c r="E86" t="s">
        <v>95</v>
      </c>
      <c r="F86">
        <v>166.67</v>
      </c>
      <c r="G86">
        <v>500</v>
      </c>
    </row>
    <row r="87" spans="1:11" x14ac:dyDescent="0.25">
      <c r="A87" t="s">
        <v>90</v>
      </c>
      <c r="B87" t="s">
        <v>142</v>
      </c>
      <c r="C87" t="s">
        <v>283</v>
      </c>
      <c r="D87" t="s">
        <v>136</v>
      </c>
      <c r="E87" t="s">
        <v>95</v>
      </c>
      <c r="F87">
        <v>516.66999999999996</v>
      </c>
      <c r="G87">
        <v>2000</v>
      </c>
    </row>
    <row r="88" spans="1:11" x14ac:dyDescent="0.25">
      <c r="A88" t="s">
        <v>90</v>
      </c>
      <c r="B88" t="s">
        <v>142</v>
      </c>
      <c r="C88" t="s">
        <v>283</v>
      </c>
      <c r="D88" t="s">
        <v>140</v>
      </c>
      <c r="E88" t="s">
        <v>143</v>
      </c>
      <c r="F88">
        <v>64</v>
      </c>
      <c r="G88">
        <v>500</v>
      </c>
      <c r="I88" s="9"/>
      <c r="J88" s="9"/>
      <c r="K88" s="9"/>
    </row>
    <row r="89" spans="1:11" x14ac:dyDescent="0.25">
      <c r="A89" t="s">
        <v>90</v>
      </c>
      <c r="B89" t="s">
        <v>102</v>
      </c>
      <c r="C89" t="s">
        <v>283</v>
      </c>
      <c r="D89" t="s">
        <v>66</v>
      </c>
      <c r="E89" t="s">
        <v>95</v>
      </c>
      <c r="F89">
        <v>1318.47</v>
      </c>
      <c r="G89">
        <v>3500</v>
      </c>
      <c r="I89" s="9"/>
      <c r="J89" s="9"/>
      <c r="K89" s="9"/>
    </row>
    <row r="90" spans="1:11" x14ac:dyDescent="0.25">
      <c r="A90" t="s">
        <v>90</v>
      </c>
      <c r="B90" t="s">
        <v>102</v>
      </c>
      <c r="C90" t="s">
        <v>283</v>
      </c>
      <c r="D90" t="s">
        <v>63</v>
      </c>
      <c r="E90" t="s">
        <v>95</v>
      </c>
      <c r="F90">
        <v>1568.47</v>
      </c>
      <c r="G90">
        <v>3000</v>
      </c>
    </row>
    <row r="91" spans="1:11" x14ac:dyDescent="0.25">
      <c r="A91" t="s">
        <v>90</v>
      </c>
      <c r="B91" t="s">
        <v>102</v>
      </c>
      <c r="C91" t="s">
        <v>283</v>
      </c>
      <c r="D91" t="s">
        <v>68</v>
      </c>
      <c r="E91" t="s">
        <v>95</v>
      </c>
      <c r="F91">
        <v>825.81999999999994</v>
      </c>
      <c r="G91">
        <v>2500</v>
      </c>
      <c r="I91" s="9"/>
      <c r="J91" s="9"/>
      <c r="K91" s="9"/>
    </row>
    <row r="92" spans="1:11" x14ac:dyDescent="0.25">
      <c r="A92" t="s">
        <v>90</v>
      </c>
      <c r="B92" t="s">
        <v>102</v>
      </c>
      <c r="C92" t="s">
        <v>283</v>
      </c>
      <c r="D92" t="s">
        <v>67</v>
      </c>
      <c r="E92" t="s">
        <v>95</v>
      </c>
      <c r="F92">
        <v>1193.47</v>
      </c>
      <c r="G92">
        <v>3500</v>
      </c>
    </row>
    <row r="93" spans="1:11" x14ac:dyDescent="0.25">
      <c r="A93" t="s">
        <v>90</v>
      </c>
      <c r="B93" t="s">
        <v>102</v>
      </c>
      <c r="C93" t="s">
        <v>283</v>
      </c>
      <c r="D93" t="s">
        <v>69</v>
      </c>
      <c r="E93" t="s">
        <v>95</v>
      </c>
      <c r="F93">
        <v>755.97</v>
      </c>
      <c r="G93">
        <v>3500</v>
      </c>
    </row>
    <row r="94" spans="1:11" x14ac:dyDescent="0.25">
      <c r="A94" t="s">
        <v>90</v>
      </c>
      <c r="B94" t="s">
        <v>102</v>
      </c>
      <c r="C94" t="s">
        <v>283</v>
      </c>
      <c r="D94" t="s">
        <v>65</v>
      </c>
      <c r="E94" t="s">
        <v>95</v>
      </c>
      <c r="F94">
        <v>1210.52</v>
      </c>
      <c r="G94">
        <v>3500</v>
      </c>
    </row>
    <row r="95" spans="1:11" x14ac:dyDescent="0.25">
      <c r="A95" t="s">
        <v>90</v>
      </c>
      <c r="B95" t="s">
        <v>102</v>
      </c>
      <c r="C95" t="s">
        <v>283</v>
      </c>
      <c r="D95" t="s">
        <v>62</v>
      </c>
      <c r="E95" t="s">
        <v>95</v>
      </c>
      <c r="F95">
        <v>1568.47</v>
      </c>
      <c r="G95">
        <v>3000</v>
      </c>
    </row>
    <row r="96" spans="1:11" x14ac:dyDescent="0.25">
      <c r="A96" t="s">
        <v>90</v>
      </c>
      <c r="B96" t="s">
        <v>102</v>
      </c>
      <c r="C96" t="s">
        <v>283</v>
      </c>
      <c r="D96" t="s">
        <v>64</v>
      </c>
      <c r="E96" t="s">
        <v>95</v>
      </c>
      <c r="F96">
        <v>1210.52</v>
      </c>
      <c r="G96">
        <v>3000</v>
      </c>
    </row>
    <row r="97" spans="1:10" x14ac:dyDescent="0.25">
      <c r="A97" t="s">
        <v>90</v>
      </c>
      <c r="B97" t="s">
        <v>132</v>
      </c>
      <c r="C97" t="s">
        <v>283</v>
      </c>
      <c r="D97" t="s">
        <v>131</v>
      </c>
      <c r="E97" t="s">
        <v>133</v>
      </c>
      <c r="F97">
        <v>0</v>
      </c>
      <c r="G97">
        <v>500</v>
      </c>
    </row>
    <row r="100" spans="1:10" x14ac:dyDescent="0.25">
      <c r="G100" s="9"/>
      <c r="H100" s="9"/>
      <c r="I100" s="9"/>
      <c r="J100" s="9"/>
    </row>
  </sheetData>
  <phoneticPr fontId="1" type="noConversion"/>
  <conditionalFormatting sqref="F5:H5 G6:H74 F6:F97">
    <cfRule type="expression" dxfId="61" priority="4">
      <formula>($F5&amp;$G5)=""</formula>
    </cfRule>
  </conditionalFormatting>
  <conditionalFormatting sqref="L21:R56">
    <cfRule type="containsBlanks" dxfId="60" priority="3">
      <formula>LEN(TRIM(L21))=0</formula>
    </cfRule>
  </conditionalFormatting>
  <conditionalFormatting sqref="M48:M53">
    <cfRule type="containsBlanks" dxfId="59" priority="6">
      <formula>LEN(TRIM(M48))=0</formula>
    </cfRule>
  </conditionalFormatting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A81B-AB98-4F75-9C30-3E7D976C69E1}">
  <dimension ref="A2:H48"/>
  <sheetViews>
    <sheetView zoomScaleNormal="100" workbookViewId="0">
      <selection activeCell="D22" sqref="D22:H22"/>
    </sheetView>
  </sheetViews>
  <sheetFormatPr defaultRowHeight="15" x14ac:dyDescent="0.25"/>
  <cols>
    <col min="1" max="1" width="10.28515625" bestFit="1" customWidth="1"/>
    <col min="2" max="2" width="11.85546875" bestFit="1" customWidth="1"/>
    <col min="3" max="3" width="12.85546875" bestFit="1" customWidth="1"/>
    <col min="4" max="4" width="32" bestFit="1" customWidth="1"/>
    <col min="5" max="5" width="9" bestFit="1" customWidth="1"/>
    <col min="6" max="6" width="11.140625" bestFit="1" customWidth="1"/>
    <col min="7" max="7" width="14.42578125" bestFit="1" customWidth="1"/>
    <col min="8" max="8" width="7.7109375" customWidth="1"/>
    <col min="10" max="10" width="12.7109375" bestFit="1" customWidth="1"/>
    <col min="11" max="11" width="37.7109375" bestFit="1" customWidth="1"/>
  </cols>
  <sheetData>
    <row r="2" spans="1:8" ht="23.25" x14ac:dyDescent="0.35">
      <c r="A2" s="17" t="s">
        <v>98</v>
      </c>
      <c r="B2" s="2"/>
      <c r="C2" s="2"/>
      <c r="D2" s="2"/>
      <c r="E2" s="2"/>
      <c r="F2" s="2"/>
      <c r="G2" s="16"/>
      <c r="H2" s="16"/>
    </row>
    <row r="4" spans="1:8" x14ac:dyDescent="0.25">
      <c r="A4" s="1" t="s">
        <v>4</v>
      </c>
      <c r="B4" s="1" t="s">
        <v>3</v>
      </c>
      <c r="C4" t="s">
        <v>282</v>
      </c>
      <c r="D4" s="1" t="s">
        <v>5</v>
      </c>
      <c r="E4" s="1" t="s">
        <v>94</v>
      </c>
      <c r="F4" s="1" t="s">
        <v>6</v>
      </c>
      <c r="G4" s="1" t="s">
        <v>161</v>
      </c>
      <c r="H4" s="1" t="s">
        <v>7</v>
      </c>
    </row>
    <row r="5" spans="1:8" x14ac:dyDescent="0.25">
      <c r="A5" s="80" t="s">
        <v>308</v>
      </c>
      <c r="B5" s="80" t="s">
        <v>71</v>
      </c>
      <c r="D5" s="80" t="s">
        <v>23</v>
      </c>
      <c r="E5" s="80" t="s">
        <v>96</v>
      </c>
      <c r="F5">
        <v>24</v>
      </c>
      <c r="G5">
        <v>145.83333333333334</v>
      </c>
      <c r="H5">
        <v>3500</v>
      </c>
    </row>
    <row r="6" spans="1:8" x14ac:dyDescent="0.25">
      <c r="A6" s="80" t="s">
        <v>308</v>
      </c>
      <c r="B6" s="80" t="s">
        <v>76</v>
      </c>
      <c r="D6" s="80" t="s">
        <v>60</v>
      </c>
      <c r="E6" s="80" t="s">
        <v>97</v>
      </c>
      <c r="F6">
        <v>36</v>
      </c>
      <c r="G6">
        <v>250</v>
      </c>
      <c r="H6">
        <v>9000</v>
      </c>
    </row>
    <row r="7" spans="1:8" x14ac:dyDescent="0.25">
      <c r="A7" s="80" t="s">
        <v>308</v>
      </c>
      <c r="B7" s="80" t="s">
        <v>76</v>
      </c>
      <c r="D7" s="80" t="s">
        <v>59</v>
      </c>
      <c r="E7" s="80" t="s">
        <v>97</v>
      </c>
      <c r="F7">
        <v>60</v>
      </c>
      <c r="G7">
        <v>250</v>
      </c>
      <c r="H7">
        <v>15000</v>
      </c>
    </row>
    <row r="8" spans="1:8" x14ac:dyDescent="0.25">
      <c r="A8" s="80" t="s">
        <v>308</v>
      </c>
      <c r="B8" s="80" t="s">
        <v>71</v>
      </c>
      <c r="D8" s="80" t="s">
        <v>15</v>
      </c>
      <c r="E8" s="80" t="s">
        <v>96</v>
      </c>
      <c r="F8">
        <v>10</v>
      </c>
      <c r="G8">
        <v>1050</v>
      </c>
      <c r="H8">
        <v>10500</v>
      </c>
    </row>
    <row r="9" spans="1:8" x14ac:dyDescent="0.25">
      <c r="A9" s="80" t="s">
        <v>308</v>
      </c>
      <c r="B9" s="80" t="s">
        <v>71</v>
      </c>
      <c r="D9" s="80" t="s">
        <v>16</v>
      </c>
      <c r="E9" s="80" t="s">
        <v>96</v>
      </c>
      <c r="F9">
        <v>10</v>
      </c>
      <c r="G9">
        <v>1000</v>
      </c>
      <c r="H9">
        <v>10000</v>
      </c>
    </row>
    <row r="10" spans="1:8" x14ac:dyDescent="0.25">
      <c r="A10" s="80" t="s">
        <v>308</v>
      </c>
      <c r="B10" s="80" t="s">
        <v>71</v>
      </c>
      <c r="D10" s="80" t="s">
        <v>22</v>
      </c>
      <c r="E10" s="80" t="s">
        <v>99</v>
      </c>
      <c r="F10">
        <v>5000</v>
      </c>
      <c r="G10">
        <v>1.5</v>
      </c>
      <c r="H10">
        <v>7500</v>
      </c>
    </row>
    <row r="11" spans="1:8" x14ac:dyDescent="0.25">
      <c r="A11" s="80" t="s">
        <v>308</v>
      </c>
      <c r="B11" s="80" t="s">
        <v>71</v>
      </c>
      <c r="D11" s="80" t="s">
        <v>26</v>
      </c>
      <c r="E11" s="80" t="s">
        <v>108</v>
      </c>
      <c r="F11">
        <v>2500</v>
      </c>
      <c r="G11">
        <v>1</v>
      </c>
      <c r="H11">
        <v>2500</v>
      </c>
    </row>
    <row r="12" spans="1:8" x14ac:dyDescent="0.25">
      <c r="A12" s="80" t="s">
        <v>308</v>
      </c>
      <c r="B12" s="80" t="s">
        <v>71</v>
      </c>
      <c r="D12" s="80" t="s">
        <v>29</v>
      </c>
      <c r="E12" s="80" t="s">
        <v>168</v>
      </c>
      <c r="F12">
        <v>16</v>
      </c>
      <c r="G12">
        <v>843.75</v>
      </c>
      <c r="H12">
        <v>13500</v>
      </c>
    </row>
    <row r="13" spans="1:8" x14ac:dyDescent="0.25">
      <c r="A13" s="80" t="s">
        <v>308</v>
      </c>
      <c r="B13" s="80" t="s">
        <v>76</v>
      </c>
      <c r="D13" s="80" t="s">
        <v>129</v>
      </c>
      <c r="E13" s="80" t="s">
        <v>130</v>
      </c>
      <c r="F13">
        <v>40</v>
      </c>
      <c r="G13">
        <v>125</v>
      </c>
      <c r="H13">
        <v>5000</v>
      </c>
    </row>
    <row r="14" spans="1:8" x14ac:dyDescent="0.25">
      <c r="A14" s="80" t="s">
        <v>308</v>
      </c>
      <c r="B14" s="80" t="s">
        <v>76</v>
      </c>
      <c r="D14" s="80" t="s">
        <v>55</v>
      </c>
      <c r="E14" s="80" t="s">
        <v>97</v>
      </c>
      <c r="F14">
        <v>11</v>
      </c>
      <c r="G14">
        <v>363.63636363636363</v>
      </c>
      <c r="H14">
        <v>4000</v>
      </c>
    </row>
    <row r="15" spans="1:8" x14ac:dyDescent="0.25">
      <c r="A15" s="80" t="s">
        <v>308</v>
      </c>
      <c r="B15" s="80" t="s">
        <v>76</v>
      </c>
      <c r="D15" s="80" t="s">
        <v>155</v>
      </c>
      <c r="E15" s="80" t="s">
        <v>97</v>
      </c>
      <c r="F15">
        <v>13</v>
      </c>
      <c r="G15">
        <v>403.84615384615387</v>
      </c>
      <c r="H15">
        <v>5250</v>
      </c>
    </row>
    <row r="16" spans="1:8" x14ac:dyDescent="0.25">
      <c r="A16" s="80" t="s">
        <v>308</v>
      </c>
      <c r="B16" s="80" t="s">
        <v>76</v>
      </c>
      <c r="D16" s="80" t="s">
        <v>51</v>
      </c>
      <c r="E16" s="80" t="s">
        <v>97</v>
      </c>
      <c r="F16">
        <v>12</v>
      </c>
      <c r="G16">
        <v>416.66666666666669</v>
      </c>
      <c r="H16">
        <v>5000</v>
      </c>
    </row>
    <row r="17" spans="1:8" x14ac:dyDescent="0.25">
      <c r="A17" s="80" t="s">
        <v>308</v>
      </c>
      <c r="B17" s="80" t="s">
        <v>76</v>
      </c>
      <c r="D17" s="80" t="s">
        <v>32</v>
      </c>
      <c r="E17" s="80" t="s">
        <v>97</v>
      </c>
      <c r="F17">
        <v>12</v>
      </c>
      <c r="G17">
        <v>500</v>
      </c>
      <c r="H17">
        <v>6000</v>
      </c>
    </row>
    <row r="18" spans="1:8" x14ac:dyDescent="0.25">
      <c r="A18" s="80" t="s">
        <v>308</v>
      </c>
      <c r="B18" s="80" t="s">
        <v>76</v>
      </c>
      <c r="D18" s="80" t="s">
        <v>156</v>
      </c>
      <c r="E18" s="80" t="s">
        <v>97</v>
      </c>
      <c r="F18">
        <v>24</v>
      </c>
      <c r="G18">
        <v>516.66666666666663</v>
      </c>
      <c r="H18">
        <v>12400</v>
      </c>
    </row>
    <row r="19" spans="1:8" x14ac:dyDescent="0.25">
      <c r="A19" s="80" t="s">
        <v>308</v>
      </c>
      <c r="B19" s="80" t="s">
        <v>76</v>
      </c>
      <c r="D19" s="80" t="s">
        <v>35</v>
      </c>
      <c r="E19" s="80" t="s">
        <v>97</v>
      </c>
      <c r="F19">
        <v>6</v>
      </c>
      <c r="G19">
        <v>650</v>
      </c>
      <c r="H19">
        <v>3900</v>
      </c>
    </row>
    <row r="20" spans="1:8" x14ac:dyDescent="0.25">
      <c r="A20" s="80" t="s">
        <v>308</v>
      </c>
      <c r="B20" s="80" t="s">
        <v>76</v>
      </c>
      <c r="D20" s="80" t="s">
        <v>33</v>
      </c>
      <c r="E20" s="80" t="s">
        <v>97</v>
      </c>
      <c r="F20">
        <v>6</v>
      </c>
      <c r="G20">
        <v>650</v>
      </c>
      <c r="H20">
        <v>3900</v>
      </c>
    </row>
    <row r="21" spans="1:8" x14ac:dyDescent="0.25">
      <c r="A21" s="80" t="s">
        <v>308</v>
      </c>
      <c r="B21" s="80" t="s">
        <v>76</v>
      </c>
      <c r="D21" s="80" t="s">
        <v>45</v>
      </c>
      <c r="E21" s="80" t="s">
        <v>97</v>
      </c>
      <c r="F21">
        <v>24</v>
      </c>
      <c r="G21">
        <v>604.16666666666663</v>
      </c>
      <c r="H21">
        <v>14500</v>
      </c>
    </row>
    <row r="22" spans="1:8" x14ac:dyDescent="0.25">
      <c r="A22" s="80" t="s">
        <v>308</v>
      </c>
      <c r="B22" s="80" t="s">
        <v>76</v>
      </c>
      <c r="D22" s="80" t="s">
        <v>39</v>
      </c>
      <c r="E22" s="80" t="s">
        <v>97</v>
      </c>
      <c r="F22">
        <v>12</v>
      </c>
      <c r="G22">
        <v>1083.3333333333333</v>
      </c>
      <c r="H22">
        <v>13000</v>
      </c>
    </row>
    <row r="23" spans="1:8" x14ac:dyDescent="0.25">
      <c r="A23" s="80" t="s">
        <v>308</v>
      </c>
      <c r="B23" s="80" t="s">
        <v>76</v>
      </c>
      <c r="D23" s="80" t="s">
        <v>34</v>
      </c>
      <c r="E23" s="80" t="s">
        <v>97</v>
      </c>
      <c r="F23">
        <v>12</v>
      </c>
      <c r="G23">
        <v>650</v>
      </c>
      <c r="H23">
        <v>7800</v>
      </c>
    </row>
    <row r="24" spans="1:8" x14ac:dyDescent="0.25">
      <c r="A24" s="80" t="s">
        <v>308</v>
      </c>
      <c r="B24" s="80" t="s">
        <v>76</v>
      </c>
      <c r="D24" s="80" t="s">
        <v>48</v>
      </c>
      <c r="E24" s="80" t="s">
        <v>97</v>
      </c>
      <c r="F24">
        <v>2</v>
      </c>
      <c r="G24">
        <v>350</v>
      </c>
      <c r="H24">
        <v>700</v>
      </c>
    </row>
    <row r="25" spans="1:8" x14ac:dyDescent="0.25">
      <c r="A25" s="80" t="s">
        <v>308</v>
      </c>
      <c r="B25" s="80" t="s">
        <v>309</v>
      </c>
      <c r="D25" s="80" t="s">
        <v>310</v>
      </c>
      <c r="E25" s="80" t="s">
        <v>97</v>
      </c>
      <c r="F25">
        <v>6</v>
      </c>
      <c r="G25">
        <v>700</v>
      </c>
      <c r="H25">
        <v>4200</v>
      </c>
    </row>
    <row r="26" spans="1:8" x14ac:dyDescent="0.25">
      <c r="A26" s="80" t="s">
        <v>30</v>
      </c>
      <c r="B26" s="80" t="s">
        <v>76</v>
      </c>
      <c r="C26" t="s">
        <v>283</v>
      </c>
      <c r="D26" s="80" t="s">
        <v>60</v>
      </c>
      <c r="E26" s="80" t="s">
        <v>97</v>
      </c>
      <c r="F26">
        <v>30</v>
      </c>
      <c r="G26">
        <v>241.66666666666666</v>
      </c>
      <c r="H26">
        <v>7250</v>
      </c>
    </row>
    <row r="27" spans="1:8" x14ac:dyDescent="0.25">
      <c r="A27" s="80" t="s">
        <v>30</v>
      </c>
      <c r="B27" s="80" t="s">
        <v>71</v>
      </c>
      <c r="C27" t="s">
        <v>284</v>
      </c>
      <c r="D27" s="80" t="s">
        <v>8</v>
      </c>
      <c r="E27" s="80" t="s">
        <v>108</v>
      </c>
      <c r="F27">
        <v>15000</v>
      </c>
      <c r="G27">
        <v>0.4</v>
      </c>
      <c r="H27">
        <v>6000</v>
      </c>
    </row>
    <row r="28" spans="1:8" x14ac:dyDescent="0.25">
      <c r="A28" s="80" t="s">
        <v>30</v>
      </c>
      <c r="B28" s="80" t="s">
        <v>71</v>
      </c>
      <c r="C28" t="s">
        <v>284</v>
      </c>
      <c r="D28" s="80" t="s">
        <v>22</v>
      </c>
      <c r="E28" s="80" t="s">
        <v>99</v>
      </c>
      <c r="F28">
        <v>5000</v>
      </c>
      <c r="G28">
        <v>1.5</v>
      </c>
      <c r="H28">
        <v>7500</v>
      </c>
    </row>
    <row r="29" spans="1:8" x14ac:dyDescent="0.25">
      <c r="A29" s="80" t="s">
        <v>30</v>
      </c>
      <c r="B29" s="80" t="s">
        <v>71</v>
      </c>
      <c r="C29" t="s">
        <v>284</v>
      </c>
      <c r="D29" s="80" t="s">
        <v>24</v>
      </c>
      <c r="E29" s="80" t="s">
        <v>96</v>
      </c>
      <c r="F29">
        <v>25</v>
      </c>
      <c r="G29">
        <v>200</v>
      </c>
      <c r="H29">
        <v>5000</v>
      </c>
    </row>
    <row r="30" spans="1:8" x14ac:dyDescent="0.25">
      <c r="A30" s="80" t="s">
        <v>30</v>
      </c>
      <c r="B30" s="80" t="s">
        <v>71</v>
      </c>
      <c r="C30" t="s">
        <v>284</v>
      </c>
      <c r="D30" s="80" t="s">
        <v>23</v>
      </c>
      <c r="E30" s="80" t="s">
        <v>96</v>
      </c>
      <c r="F30">
        <v>6</v>
      </c>
      <c r="G30">
        <v>166.66666666666666</v>
      </c>
      <c r="H30">
        <v>1000</v>
      </c>
    </row>
    <row r="31" spans="1:8" x14ac:dyDescent="0.25">
      <c r="A31" s="80" t="s">
        <v>30</v>
      </c>
      <c r="B31" s="80" t="s">
        <v>71</v>
      </c>
      <c r="C31" t="s">
        <v>284</v>
      </c>
      <c r="D31" s="80" t="s">
        <v>121</v>
      </c>
      <c r="E31" s="80" t="s">
        <v>122</v>
      </c>
      <c r="F31">
        <v>20</v>
      </c>
      <c r="G31">
        <v>150</v>
      </c>
      <c r="H31">
        <v>3000</v>
      </c>
    </row>
    <row r="32" spans="1:8" x14ac:dyDescent="0.25">
      <c r="A32" s="80" t="s">
        <v>30</v>
      </c>
      <c r="B32" s="80" t="s">
        <v>71</v>
      </c>
      <c r="C32" t="s">
        <v>284</v>
      </c>
      <c r="D32" s="80" t="s">
        <v>135</v>
      </c>
      <c r="E32" s="80" t="s">
        <v>145</v>
      </c>
      <c r="F32">
        <v>60</v>
      </c>
      <c r="G32">
        <v>83.333333333333329</v>
      </c>
      <c r="H32">
        <v>5000</v>
      </c>
    </row>
    <row r="33" spans="1:8" x14ac:dyDescent="0.25">
      <c r="A33" s="80" t="s">
        <v>30</v>
      </c>
      <c r="B33" s="80" t="s">
        <v>71</v>
      </c>
      <c r="C33" t="s">
        <v>284</v>
      </c>
      <c r="D33" s="80" t="s">
        <v>12</v>
      </c>
      <c r="E33" s="80" t="s">
        <v>108</v>
      </c>
      <c r="F33">
        <v>7685</v>
      </c>
      <c r="G33">
        <v>1.3012361743656473</v>
      </c>
      <c r="H33">
        <v>10000</v>
      </c>
    </row>
    <row r="34" spans="1:8" x14ac:dyDescent="0.25">
      <c r="A34" s="80" t="s">
        <v>30</v>
      </c>
      <c r="B34" s="80" t="s">
        <v>71</v>
      </c>
      <c r="C34" t="s">
        <v>284</v>
      </c>
      <c r="D34" s="80" t="s">
        <v>25</v>
      </c>
      <c r="E34" s="80" t="s">
        <v>108</v>
      </c>
      <c r="F34">
        <v>25</v>
      </c>
      <c r="G34">
        <v>320</v>
      </c>
      <c r="H34">
        <v>8000</v>
      </c>
    </row>
    <row r="35" spans="1:8" x14ac:dyDescent="0.25">
      <c r="A35" s="80" t="s">
        <v>30</v>
      </c>
      <c r="B35" s="80" t="s">
        <v>71</v>
      </c>
      <c r="C35" t="s">
        <v>284</v>
      </c>
      <c r="D35" s="80" t="s">
        <v>125</v>
      </c>
      <c r="E35" s="80" t="s">
        <v>126</v>
      </c>
      <c r="F35">
        <v>2</v>
      </c>
      <c r="G35">
        <v>500</v>
      </c>
      <c r="H35">
        <v>1000</v>
      </c>
    </row>
    <row r="36" spans="1:8" x14ac:dyDescent="0.25">
      <c r="A36" s="80" t="s">
        <v>30</v>
      </c>
      <c r="B36" s="80" t="s">
        <v>71</v>
      </c>
      <c r="C36" t="s">
        <v>285</v>
      </c>
      <c r="D36" s="80" t="s">
        <v>112</v>
      </c>
      <c r="E36" s="80" t="s">
        <v>96</v>
      </c>
      <c r="F36">
        <v>6</v>
      </c>
      <c r="G36">
        <v>1333.3333333333333</v>
      </c>
      <c r="H36">
        <v>8000</v>
      </c>
    </row>
    <row r="37" spans="1:8" x14ac:dyDescent="0.25">
      <c r="A37" s="80" t="s">
        <v>30</v>
      </c>
      <c r="B37" s="80" t="s">
        <v>71</v>
      </c>
      <c r="C37" t="s">
        <v>284</v>
      </c>
      <c r="D37" s="80" t="s">
        <v>14</v>
      </c>
      <c r="E37" s="80" t="s">
        <v>108</v>
      </c>
      <c r="F37">
        <v>1395</v>
      </c>
      <c r="G37">
        <v>0.71684587813620071</v>
      </c>
      <c r="H37">
        <v>1000</v>
      </c>
    </row>
    <row r="38" spans="1:8" x14ac:dyDescent="0.25">
      <c r="A38" s="80" t="s">
        <v>30</v>
      </c>
      <c r="B38" s="80" t="s">
        <v>71</v>
      </c>
      <c r="C38" t="s">
        <v>285</v>
      </c>
      <c r="D38" s="80" t="s">
        <v>27</v>
      </c>
      <c r="E38" s="80" t="s">
        <v>96</v>
      </c>
      <c r="F38">
        <v>8</v>
      </c>
      <c r="G38">
        <v>1312.5</v>
      </c>
      <c r="H38">
        <v>10500</v>
      </c>
    </row>
    <row r="39" spans="1:8" x14ac:dyDescent="0.25">
      <c r="A39" s="80" t="s">
        <v>30</v>
      </c>
      <c r="B39" s="80" t="s">
        <v>71</v>
      </c>
      <c r="C39" t="s">
        <v>285</v>
      </c>
      <c r="D39" s="80" t="s">
        <v>29</v>
      </c>
      <c r="E39" s="80" t="s">
        <v>168</v>
      </c>
      <c r="F39">
        <v>8</v>
      </c>
      <c r="G39">
        <v>1437.5</v>
      </c>
      <c r="H39">
        <v>11500</v>
      </c>
    </row>
    <row r="40" spans="1:8" x14ac:dyDescent="0.25">
      <c r="A40" s="80" t="s">
        <v>30</v>
      </c>
      <c r="B40" s="80" t="s">
        <v>76</v>
      </c>
      <c r="C40" t="s">
        <v>283</v>
      </c>
      <c r="D40" s="80" t="s">
        <v>156</v>
      </c>
      <c r="E40" s="80" t="s">
        <v>97</v>
      </c>
      <c r="F40">
        <v>12</v>
      </c>
      <c r="G40">
        <v>466.66666666666669</v>
      </c>
      <c r="H40">
        <v>5600</v>
      </c>
    </row>
    <row r="41" spans="1:8" x14ac:dyDescent="0.25">
      <c r="A41" s="80" t="s">
        <v>30</v>
      </c>
      <c r="B41" s="80" t="s">
        <v>76</v>
      </c>
      <c r="C41" t="s">
        <v>283</v>
      </c>
      <c r="D41" s="80" t="s">
        <v>36</v>
      </c>
      <c r="E41" s="80" t="s">
        <v>97</v>
      </c>
      <c r="F41">
        <v>24</v>
      </c>
      <c r="G41">
        <v>750</v>
      </c>
      <c r="H41">
        <v>18000</v>
      </c>
    </row>
    <row r="42" spans="1:8" x14ac:dyDescent="0.25">
      <c r="A42" s="80" t="s">
        <v>30</v>
      </c>
      <c r="B42" s="80" t="s">
        <v>76</v>
      </c>
      <c r="C42" t="s">
        <v>283</v>
      </c>
      <c r="D42" s="80" t="s">
        <v>37</v>
      </c>
      <c r="E42" s="80" t="s">
        <v>97</v>
      </c>
      <c r="F42">
        <v>18</v>
      </c>
      <c r="G42">
        <v>400</v>
      </c>
      <c r="H42">
        <v>7200</v>
      </c>
    </row>
    <row r="43" spans="1:8" x14ac:dyDescent="0.25">
      <c r="A43" s="80" t="s">
        <v>30</v>
      </c>
      <c r="B43" s="80" t="s">
        <v>76</v>
      </c>
      <c r="C43" t="s">
        <v>283</v>
      </c>
      <c r="D43" s="80" t="s">
        <v>38</v>
      </c>
      <c r="E43" s="80" t="s">
        <v>97</v>
      </c>
      <c r="F43">
        <v>24</v>
      </c>
      <c r="G43">
        <v>645.83333333333337</v>
      </c>
      <c r="H43">
        <v>15500</v>
      </c>
    </row>
    <row r="44" spans="1:8" x14ac:dyDescent="0.25">
      <c r="A44" s="80" t="s">
        <v>30</v>
      </c>
      <c r="B44" s="80" t="s">
        <v>76</v>
      </c>
      <c r="C44" t="s">
        <v>283</v>
      </c>
      <c r="D44" s="80" t="s">
        <v>34</v>
      </c>
      <c r="E44" s="80" t="s">
        <v>97</v>
      </c>
      <c r="F44">
        <v>6</v>
      </c>
      <c r="G44">
        <v>650</v>
      </c>
      <c r="H44">
        <v>3900</v>
      </c>
    </row>
    <row r="45" spans="1:8" x14ac:dyDescent="0.25">
      <c r="A45" s="80" t="s">
        <v>30</v>
      </c>
      <c r="B45" s="80" t="s">
        <v>76</v>
      </c>
      <c r="C45" t="s">
        <v>283</v>
      </c>
      <c r="D45" s="80" t="s">
        <v>33</v>
      </c>
      <c r="E45" s="80" t="s">
        <v>97</v>
      </c>
      <c r="F45">
        <v>6</v>
      </c>
      <c r="G45">
        <v>650</v>
      </c>
      <c r="H45">
        <v>3900</v>
      </c>
    </row>
    <row r="46" spans="1:8" x14ac:dyDescent="0.25">
      <c r="A46" s="80" t="s">
        <v>30</v>
      </c>
      <c r="B46" s="80" t="s">
        <v>76</v>
      </c>
      <c r="C46" t="s">
        <v>283</v>
      </c>
      <c r="D46" s="80" t="s">
        <v>59</v>
      </c>
      <c r="E46" s="80" t="s">
        <v>97</v>
      </c>
      <c r="F46">
        <v>18</v>
      </c>
      <c r="G46">
        <v>191.66666666666666</v>
      </c>
      <c r="H46">
        <v>3450</v>
      </c>
    </row>
    <row r="47" spans="1:8" x14ac:dyDescent="0.25">
      <c r="A47" s="80" t="s">
        <v>30</v>
      </c>
      <c r="B47" s="80" t="s">
        <v>76</v>
      </c>
      <c r="C47" t="s">
        <v>283</v>
      </c>
      <c r="D47" s="80" t="s">
        <v>61</v>
      </c>
      <c r="E47" s="80" t="s">
        <v>97</v>
      </c>
      <c r="F47">
        <v>12</v>
      </c>
      <c r="G47">
        <v>166.66666666666666</v>
      </c>
      <c r="H47">
        <v>2000</v>
      </c>
    </row>
    <row r="48" spans="1:8" x14ac:dyDescent="0.25">
      <c r="A48" s="80" t="s">
        <v>30</v>
      </c>
      <c r="B48" s="80" t="s">
        <v>71</v>
      </c>
      <c r="C48" t="s">
        <v>285</v>
      </c>
      <c r="D48" s="80" t="s">
        <v>17</v>
      </c>
      <c r="E48" s="80" t="s">
        <v>92</v>
      </c>
      <c r="F48">
        <v>19</v>
      </c>
      <c r="G48">
        <v>923.68421052631584</v>
      </c>
      <c r="H48">
        <v>17550</v>
      </c>
    </row>
  </sheetData>
  <phoneticPr fontId="1" type="noConversion"/>
  <conditionalFormatting sqref="B3:D3 B49:D10015 B4:E48">
    <cfRule type="expression" dxfId="58" priority="22">
      <formula>COUNTIFS(#REF!, #REF!, $B$2:$B$115, $B3) &gt; 1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42AA-03F1-44C0-8E5F-D120AB7D7065}">
  <dimension ref="A2:H84"/>
  <sheetViews>
    <sheetView topLeftCell="A19" zoomScaleNormal="100" workbookViewId="0">
      <selection activeCell="D49" sqref="D49:D85"/>
    </sheetView>
  </sheetViews>
  <sheetFormatPr defaultRowHeight="15" x14ac:dyDescent="0.25"/>
  <cols>
    <col min="1" max="1" width="10.28515625" bestFit="1" customWidth="1"/>
    <col min="2" max="2" width="17.28515625" bestFit="1" customWidth="1"/>
    <col min="3" max="3" width="12.85546875" bestFit="1" customWidth="1"/>
    <col min="4" max="4" width="33.85546875" bestFit="1" customWidth="1"/>
    <col min="5" max="5" width="8.140625" bestFit="1" customWidth="1"/>
    <col min="6" max="6" width="17.5703125" bestFit="1" customWidth="1"/>
    <col min="7" max="7" width="12.5703125" bestFit="1" customWidth="1"/>
    <col min="8" max="8" width="7.7109375" customWidth="1"/>
  </cols>
  <sheetData>
    <row r="2" spans="1:8" ht="23.25" x14ac:dyDescent="0.35">
      <c r="A2" s="15" t="s">
        <v>1</v>
      </c>
      <c r="B2" s="15"/>
      <c r="C2" s="15"/>
      <c r="D2" s="15"/>
      <c r="E2" s="15"/>
      <c r="F2" s="15"/>
      <c r="G2" s="15"/>
      <c r="H2" s="15"/>
    </row>
    <row r="4" spans="1:8" x14ac:dyDescent="0.25">
      <c r="A4" s="1" t="s">
        <v>4</v>
      </c>
      <c r="B4" s="1" t="s">
        <v>3</v>
      </c>
      <c r="C4" t="s">
        <v>282</v>
      </c>
      <c r="D4" s="1" t="s">
        <v>5</v>
      </c>
      <c r="E4" s="1" t="s">
        <v>94</v>
      </c>
      <c r="F4" s="1" t="s">
        <v>91</v>
      </c>
      <c r="G4" s="1" t="s">
        <v>154</v>
      </c>
      <c r="H4" s="1" t="s">
        <v>7</v>
      </c>
    </row>
    <row r="5" spans="1:8" x14ac:dyDescent="0.25">
      <c r="A5" s="80" t="s">
        <v>30</v>
      </c>
      <c r="B5" s="80" t="s">
        <v>75</v>
      </c>
      <c r="C5" t="s">
        <v>283</v>
      </c>
      <c r="D5" s="80" t="s">
        <v>70</v>
      </c>
      <c r="E5" s="80" t="s">
        <v>96</v>
      </c>
      <c r="F5">
        <v>9</v>
      </c>
      <c r="G5">
        <v>500</v>
      </c>
      <c r="H5">
        <v>4500</v>
      </c>
    </row>
    <row r="6" spans="1:8" x14ac:dyDescent="0.25">
      <c r="A6" s="80" t="s">
        <v>30</v>
      </c>
      <c r="B6" s="80" t="s">
        <v>75</v>
      </c>
      <c r="C6" t="s">
        <v>283</v>
      </c>
      <c r="D6" s="80" t="s">
        <v>74</v>
      </c>
      <c r="E6" s="80" t="s">
        <v>96</v>
      </c>
      <c r="F6">
        <v>4</v>
      </c>
      <c r="G6">
        <v>500</v>
      </c>
      <c r="H6">
        <v>2000</v>
      </c>
    </row>
    <row r="7" spans="1:8" x14ac:dyDescent="0.25">
      <c r="A7" s="80" t="s">
        <v>30</v>
      </c>
      <c r="B7" s="80" t="s">
        <v>75</v>
      </c>
      <c r="C7" t="s">
        <v>283</v>
      </c>
      <c r="D7" s="80" t="s">
        <v>72</v>
      </c>
      <c r="E7" s="80" t="s">
        <v>96</v>
      </c>
      <c r="F7">
        <v>6</v>
      </c>
      <c r="G7">
        <v>500</v>
      </c>
      <c r="H7">
        <v>3000</v>
      </c>
    </row>
    <row r="8" spans="1:8" x14ac:dyDescent="0.25">
      <c r="A8" s="80" t="s">
        <v>30</v>
      </c>
      <c r="B8" s="80" t="s">
        <v>75</v>
      </c>
      <c r="C8" t="s">
        <v>283</v>
      </c>
      <c r="D8" s="80" t="s">
        <v>73</v>
      </c>
      <c r="E8" s="80" t="s">
        <v>96</v>
      </c>
      <c r="F8">
        <v>20</v>
      </c>
      <c r="G8">
        <v>500</v>
      </c>
      <c r="H8">
        <v>10000</v>
      </c>
    </row>
    <row r="9" spans="1:8" x14ac:dyDescent="0.25">
      <c r="A9" s="80" t="s">
        <v>30</v>
      </c>
      <c r="B9" s="80" t="s">
        <v>76</v>
      </c>
      <c r="C9" t="s">
        <v>283</v>
      </c>
      <c r="D9" s="80" t="s">
        <v>35</v>
      </c>
      <c r="E9" s="80" t="s">
        <v>97</v>
      </c>
      <c r="F9">
        <v>3</v>
      </c>
      <c r="G9">
        <v>1000</v>
      </c>
      <c r="H9">
        <v>3000</v>
      </c>
    </row>
    <row r="10" spans="1:8" x14ac:dyDescent="0.25">
      <c r="A10" s="80" t="s">
        <v>30</v>
      </c>
      <c r="B10" s="80" t="s">
        <v>76</v>
      </c>
      <c r="C10" t="s">
        <v>283</v>
      </c>
      <c r="D10" s="80" t="s">
        <v>155</v>
      </c>
      <c r="E10" s="80" t="s">
        <v>97</v>
      </c>
      <c r="F10">
        <v>12</v>
      </c>
      <c r="G10">
        <v>800</v>
      </c>
      <c r="H10">
        <v>9600</v>
      </c>
    </row>
    <row r="11" spans="1:8" x14ac:dyDescent="0.25">
      <c r="A11" s="80" t="s">
        <v>30</v>
      </c>
      <c r="B11" s="80" t="s">
        <v>76</v>
      </c>
      <c r="C11" t="s">
        <v>283</v>
      </c>
      <c r="D11" s="80" t="s">
        <v>53</v>
      </c>
      <c r="E11" s="80" t="s">
        <v>97</v>
      </c>
      <c r="F11">
        <v>7</v>
      </c>
      <c r="G11">
        <v>1000</v>
      </c>
      <c r="H11">
        <v>7000</v>
      </c>
    </row>
    <row r="12" spans="1:8" x14ac:dyDescent="0.25">
      <c r="A12" s="80" t="s">
        <v>30</v>
      </c>
      <c r="B12" s="80" t="s">
        <v>76</v>
      </c>
      <c r="C12" t="s">
        <v>283</v>
      </c>
      <c r="D12" s="80" t="s">
        <v>39</v>
      </c>
      <c r="E12" s="80" t="s">
        <v>97</v>
      </c>
      <c r="F12">
        <v>4</v>
      </c>
      <c r="G12">
        <v>1500</v>
      </c>
      <c r="H12">
        <v>6000</v>
      </c>
    </row>
    <row r="13" spans="1:8" x14ac:dyDescent="0.25">
      <c r="A13" s="80" t="s">
        <v>30</v>
      </c>
      <c r="B13" s="80" t="s">
        <v>76</v>
      </c>
      <c r="C13" t="s">
        <v>283</v>
      </c>
      <c r="D13" s="80" t="s">
        <v>32</v>
      </c>
      <c r="E13" s="80" t="s">
        <v>97</v>
      </c>
      <c r="F13">
        <v>4</v>
      </c>
      <c r="G13">
        <v>1000</v>
      </c>
      <c r="H13">
        <v>4000</v>
      </c>
    </row>
    <row r="14" spans="1:8" x14ac:dyDescent="0.25">
      <c r="A14" s="80" t="s">
        <v>30</v>
      </c>
      <c r="B14" s="80" t="s">
        <v>76</v>
      </c>
      <c r="C14" t="s">
        <v>283</v>
      </c>
      <c r="D14" s="80" t="s">
        <v>129</v>
      </c>
      <c r="E14" s="80" t="s">
        <v>130</v>
      </c>
      <c r="F14">
        <v>1</v>
      </c>
      <c r="G14">
        <v>200</v>
      </c>
      <c r="H14">
        <v>200</v>
      </c>
    </row>
    <row r="15" spans="1:8" x14ac:dyDescent="0.25">
      <c r="A15" s="80" t="s">
        <v>30</v>
      </c>
      <c r="B15" s="80" t="s">
        <v>76</v>
      </c>
      <c r="C15" t="s">
        <v>283</v>
      </c>
      <c r="D15" s="80" t="s">
        <v>41</v>
      </c>
      <c r="E15" s="80" t="s">
        <v>97</v>
      </c>
      <c r="F15">
        <v>7</v>
      </c>
      <c r="G15">
        <v>1000</v>
      </c>
      <c r="H15">
        <v>7000</v>
      </c>
    </row>
    <row r="16" spans="1:8" x14ac:dyDescent="0.25">
      <c r="A16" s="80" t="s">
        <v>30</v>
      </c>
      <c r="B16" s="80" t="s">
        <v>76</v>
      </c>
      <c r="C16" t="s">
        <v>283</v>
      </c>
      <c r="D16" s="80" t="s">
        <v>47</v>
      </c>
      <c r="E16" s="80" t="s">
        <v>97</v>
      </c>
      <c r="F16">
        <v>2</v>
      </c>
      <c r="G16">
        <v>1000</v>
      </c>
      <c r="H16">
        <v>2000</v>
      </c>
    </row>
    <row r="17" spans="1:8" x14ac:dyDescent="0.25">
      <c r="A17" s="80" t="s">
        <v>30</v>
      </c>
      <c r="B17" s="80" t="s">
        <v>76</v>
      </c>
      <c r="C17" t="s">
        <v>283</v>
      </c>
      <c r="D17" s="80" t="s">
        <v>51</v>
      </c>
      <c r="E17" s="80" t="s">
        <v>97</v>
      </c>
      <c r="F17">
        <v>4</v>
      </c>
      <c r="G17">
        <v>800</v>
      </c>
      <c r="H17">
        <v>3200</v>
      </c>
    </row>
    <row r="18" spans="1:8" x14ac:dyDescent="0.25">
      <c r="A18" s="80" t="s">
        <v>30</v>
      </c>
      <c r="B18" s="80" t="s">
        <v>76</v>
      </c>
      <c r="C18" t="s">
        <v>283</v>
      </c>
      <c r="D18" s="80" t="s">
        <v>50</v>
      </c>
      <c r="E18" s="80" t="s">
        <v>97</v>
      </c>
      <c r="F18">
        <v>2</v>
      </c>
      <c r="G18">
        <v>800</v>
      </c>
      <c r="H18">
        <v>1600</v>
      </c>
    </row>
    <row r="19" spans="1:8" x14ac:dyDescent="0.25">
      <c r="A19" s="80" t="s">
        <v>30</v>
      </c>
      <c r="B19" s="80" t="s">
        <v>76</v>
      </c>
      <c r="C19" t="s">
        <v>283</v>
      </c>
      <c r="D19" s="80" t="s">
        <v>48</v>
      </c>
      <c r="E19" s="80" t="s">
        <v>97</v>
      </c>
      <c r="F19">
        <v>3</v>
      </c>
      <c r="G19">
        <v>800</v>
      </c>
      <c r="H19">
        <v>2400</v>
      </c>
    </row>
    <row r="20" spans="1:8" x14ac:dyDescent="0.25">
      <c r="A20" s="80" t="s">
        <v>30</v>
      </c>
      <c r="B20" s="80" t="s">
        <v>76</v>
      </c>
      <c r="C20" t="s">
        <v>283</v>
      </c>
      <c r="D20" s="80" t="s">
        <v>52</v>
      </c>
      <c r="E20" s="80" t="s">
        <v>97</v>
      </c>
      <c r="F20">
        <v>2</v>
      </c>
      <c r="G20">
        <v>800</v>
      </c>
      <c r="H20">
        <v>1600</v>
      </c>
    </row>
    <row r="21" spans="1:8" x14ac:dyDescent="0.25">
      <c r="A21" s="80" t="s">
        <v>30</v>
      </c>
      <c r="B21" s="80" t="s">
        <v>76</v>
      </c>
      <c r="C21" t="s">
        <v>283</v>
      </c>
      <c r="D21" s="80" t="s">
        <v>128</v>
      </c>
      <c r="E21" s="80" t="s">
        <v>134</v>
      </c>
      <c r="F21">
        <v>1</v>
      </c>
      <c r="G21">
        <v>1500</v>
      </c>
      <c r="H21">
        <v>1500</v>
      </c>
    </row>
    <row r="22" spans="1:8" x14ac:dyDescent="0.25">
      <c r="A22" s="80" t="s">
        <v>30</v>
      </c>
      <c r="B22" s="80" t="s">
        <v>76</v>
      </c>
      <c r="C22" t="s">
        <v>283</v>
      </c>
      <c r="D22" s="80" t="s">
        <v>61</v>
      </c>
      <c r="E22" s="80" t="s">
        <v>97</v>
      </c>
      <c r="F22">
        <v>4</v>
      </c>
      <c r="G22">
        <v>350</v>
      </c>
      <c r="H22">
        <v>1400</v>
      </c>
    </row>
    <row r="23" spans="1:8" x14ac:dyDescent="0.25">
      <c r="A23" s="80" t="s">
        <v>30</v>
      </c>
      <c r="B23" s="80" t="s">
        <v>76</v>
      </c>
      <c r="C23" t="s">
        <v>283</v>
      </c>
      <c r="D23" s="80" t="s">
        <v>34</v>
      </c>
      <c r="E23" s="80" t="s">
        <v>97</v>
      </c>
      <c r="F23">
        <v>3</v>
      </c>
      <c r="G23">
        <v>1000</v>
      </c>
      <c r="H23">
        <v>3000</v>
      </c>
    </row>
    <row r="24" spans="1:8" x14ac:dyDescent="0.25">
      <c r="A24" s="80" t="s">
        <v>30</v>
      </c>
      <c r="B24" s="80" t="s">
        <v>76</v>
      </c>
      <c r="C24" t="s">
        <v>283</v>
      </c>
      <c r="D24" s="80" t="s">
        <v>46</v>
      </c>
      <c r="E24" s="80" t="s">
        <v>97</v>
      </c>
      <c r="F24">
        <v>4</v>
      </c>
      <c r="G24">
        <v>1000</v>
      </c>
      <c r="H24">
        <v>4000</v>
      </c>
    </row>
    <row r="25" spans="1:8" x14ac:dyDescent="0.25">
      <c r="A25" s="80" t="s">
        <v>30</v>
      </c>
      <c r="B25" s="80" t="s">
        <v>76</v>
      </c>
      <c r="C25" t="s">
        <v>283</v>
      </c>
      <c r="D25" s="80" t="s">
        <v>44</v>
      </c>
      <c r="E25" s="80" t="s">
        <v>97</v>
      </c>
      <c r="F25">
        <v>3</v>
      </c>
      <c r="G25">
        <v>1000</v>
      </c>
      <c r="H25">
        <v>3000</v>
      </c>
    </row>
    <row r="26" spans="1:8" x14ac:dyDescent="0.25">
      <c r="A26" s="80" t="s">
        <v>30</v>
      </c>
      <c r="B26" s="80" t="s">
        <v>76</v>
      </c>
      <c r="C26" t="s">
        <v>283</v>
      </c>
      <c r="D26" s="80" t="s">
        <v>156</v>
      </c>
      <c r="E26" s="80" t="s">
        <v>97</v>
      </c>
      <c r="F26">
        <v>7</v>
      </c>
      <c r="G26">
        <v>800</v>
      </c>
      <c r="H26">
        <v>5600</v>
      </c>
    </row>
    <row r="27" spans="1:8" x14ac:dyDescent="0.25">
      <c r="A27" s="80" t="s">
        <v>30</v>
      </c>
      <c r="B27" s="80" t="s">
        <v>76</v>
      </c>
      <c r="C27" t="s">
        <v>283</v>
      </c>
      <c r="D27" s="80" t="s">
        <v>36</v>
      </c>
      <c r="E27" s="80" t="s">
        <v>97</v>
      </c>
      <c r="F27">
        <v>10</v>
      </c>
      <c r="G27">
        <v>1000</v>
      </c>
      <c r="H27">
        <v>10000</v>
      </c>
    </row>
    <row r="28" spans="1:8" x14ac:dyDescent="0.25">
      <c r="A28" s="80" t="s">
        <v>30</v>
      </c>
      <c r="B28" s="80" t="s">
        <v>76</v>
      </c>
      <c r="C28" t="s">
        <v>283</v>
      </c>
      <c r="D28" s="80" t="s">
        <v>37</v>
      </c>
      <c r="E28" s="80" t="s">
        <v>97</v>
      </c>
      <c r="F28">
        <v>4</v>
      </c>
      <c r="G28">
        <v>1000</v>
      </c>
      <c r="H28">
        <v>4000</v>
      </c>
    </row>
    <row r="29" spans="1:8" x14ac:dyDescent="0.25">
      <c r="A29" s="80" t="s">
        <v>30</v>
      </c>
      <c r="B29" s="80" t="s">
        <v>76</v>
      </c>
      <c r="C29" t="s">
        <v>283</v>
      </c>
      <c r="D29" s="80" t="s">
        <v>38</v>
      </c>
      <c r="E29" s="80" t="s">
        <v>97</v>
      </c>
      <c r="F29">
        <v>7</v>
      </c>
      <c r="G29">
        <v>1000</v>
      </c>
      <c r="H29">
        <v>7000</v>
      </c>
    </row>
    <row r="30" spans="1:8" x14ac:dyDescent="0.25">
      <c r="A30" s="80" t="s">
        <v>30</v>
      </c>
      <c r="B30" s="80" t="s">
        <v>76</v>
      </c>
      <c r="C30" t="s">
        <v>283</v>
      </c>
      <c r="D30" s="80" t="s">
        <v>40</v>
      </c>
      <c r="E30" s="80" t="s">
        <v>97</v>
      </c>
      <c r="F30">
        <v>3</v>
      </c>
      <c r="G30">
        <v>1000</v>
      </c>
      <c r="H30">
        <v>3000</v>
      </c>
    </row>
    <row r="31" spans="1:8" x14ac:dyDescent="0.25">
      <c r="A31" s="80" t="s">
        <v>30</v>
      </c>
      <c r="B31" s="80" t="s">
        <v>76</v>
      </c>
      <c r="C31" t="s">
        <v>283</v>
      </c>
      <c r="D31" s="80" t="s">
        <v>127</v>
      </c>
      <c r="E31" s="80" t="s">
        <v>134</v>
      </c>
      <c r="F31">
        <v>2</v>
      </c>
      <c r="G31">
        <v>1500</v>
      </c>
      <c r="H31">
        <v>3000</v>
      </c>
    </row>
    <row r="32" spans="1:8" x14ac:dyDescent="0.25">
      <c r="A32" s="80" t="s">
        <v>30</v>
      </c>
      <c r="B32" s="80" t="s">
        <v>76</v>
      </c>
      <c r="C32" t="s">
        <v>283</v>
      </c>
      <c r="D32" s="80" t="s">
        <v>45</v>
      </c>
      <c r="E32" s="80" t="s">
        <v>97</v>
      </c>
      <c r="F32">
        <v>9</v>
      </c>
      <c r="G32">
        <v>1000</v>
      </c>
      <c r="H32">
        <v>9000</v>
      </c>
    </row>
    <row r="33" spans="1:8" x14ac:dyDescent="0.25">
      <c r="A33" s="80" t="s">
        <v>30</v>
      </c>
      <c r="B33" s="80" t="s">
        <v>76</v>
      </c>
      <c r="C33" t="s">
        <v>283</v>
      </c>
      <c r="D33" s="80" t="s">
        <v>33</v>
      </c>
      <c r="E33" s="80" t="s">
        <v>97</v>
      </c>
      <c r="F33">
        <v>3</v>
      </c>
      <c r="G33">
        <v>1000</v>
      </c>
      <c r="H33">
        <v>3000</v>
      </c>
    </row>
    <row r="34" spans="1:8" x14ac:dyDescent="0.25">
      <c r="A34" s="80" t="s">
        <v>30</v>
      </c>
      <c r="B34" s="80" t="s">
        <v>76</v>
      </c>
      <c r="C34" t="s">
        <v>283</v>
      </c>
      <c r="D34" s="80" t="s">
        <v>42</v>
      </c>
      <c r="E34" s="80" t="s">
        <v>97</v>
      </c>
      <c r="F34">
        <v>2</v>
      </c>
      <c r="G34">
        <v>1000</v>
      </c>
      <c r="H34">
        <v>2000</v>
      </c>
    </row>
    <row r="35" spans="1:8" x14ac:dyDescent="0.25">
      <c r="A35" s="80" t="s">
        <v>30</v>
      </c>
      <c r="B35" s="80" t="s">
        <v>76</v>
      </c>
      <c r="C35" t="s">
        <v>283</v>
      </c>
      <c r="D35" s="80" t="s">
        <v>60</v>
      </c>
      <c r="E35" s="80" t="s">
        <v>97</v>
      </c>
      <c r="F35">
        <v>27</v>
      </c>
      <c r="G35">
        <v>800</v>
      </c>
      <c r="H35">
        <v>21600</v>
      </c>
    </row>
    <row r="36" spans="1:8" x14ac:dyDescent="0.25">
      <c r="A36" s="80" t="s">
        <v>30</v>
      </c>
      <c r="B36" s="80" t="s">
        <v>76</v>
      </c>
      <c r="C36" t="s">
        <v>283</v>
      </c>
      <c r="D36" s="80" t="s">
        <v>59</v>
      </c>
      <c r="E36" s="80" t="s">
        <v>97</v>
      </c>
      <c r="F36">
        <v>20</v>
      </c>
      <c r="G36">
        <v>500</v>
      </c>
      <c r="H36">
        <v>10000</v>
      </c>
    </row>
    <row r="37" spans="1:8" x14ac:dyDescent="0.25">
      <c r="A37" s="80" t="s">
        <v>30</v>
      </c>
      <c r="B37" s="80" t="s">
        <v>76</v>
      </c>
      <c r="C37" t="s">
        <v>283</v>
      </c>
      <c r="D37" s="80" t="s">
        <v>43</v>
      </c>
      <c r="E37" s="80" t="s">
        <v>97</v>
      </c>
      <c r="F37">
        <v>5</v>
      </c>
      <c r="G37">
        <v>1000</v>
      </c>
      <c r="H37">
        <v>5000</v>
      </c>
    </row>
    <row r="38" spans="1:8" x14ac:dyDescent="0.25">
      <c r="A38" s="80" t="s">
        <v>30</v>
      </c>
      <c r="B38" s="80" t="s">
        <v>149</v>
      </c>
      <c r="C38" t="s">
        <v>283</v>
      </c>
      <c r="D38" s="80" t="s">
        <v>148</v>
      </c>
      <c r="E38" s="80" t="s">
        <v>150</v>
      </c>
      <c r="F38">
        <v>4</v>
      </c>
      <c r="G38">
        <v>500</v>
      </c>
      <c r="H38">
        <v>2000</v>
      </c>
    </row>
    <row r="39" spans="1:8" x14ac:dyDescent="0.25">
      <c r="A39" s="80" t="s">
        <v>30</v>
      </c>
      <c r="B39" s="80" t="s">
        <v>142</v>
      </c>
      <c r="C39" t="s">
        <v>283</v>
      </c>
      <c r="D39" s="80" t="s">
        <v>136</v>
      </c>
      <c r="E39" s="80" t="s">
        <v>95</v>
      </c>
      <c r="F39">
        <v>6</v>
      </c>
      <c r="G39">
        <v>2000</v>
      </c>
      <c r="H39">
        <v>12000</v>
      </c>
    </row>
    <row r="40" spans="1:8" x14ac:dyDescent="0.25">
      <c r="A40" s="80" t="s">
        <v>30</v>
      </c>
      <c r="B40" s="80" t="s">
        <v>142</v>
      </c>
      <c r="C40" t="s">
        <v>283</v>
      </c>
      <c r="D40" s="80" t="s">
        <v>147</v>
      </c>
      <c r="E40" s="80" t="s">
        <v>95</v>
      </c>
      <c r="F40">
        <v>1</v>
      </c>
      <c r="G40">
        <v>500</v>
      </c>
      <c r="H40">
        <v>500</v>
      </c>
    </row>
    <row r="41" spans="1:8" x14ac:dyDescent="0.25">
      <c r="A41" s="80" t="s">
        <v>30</v>
      </c>
      <c r="B41" s="80" t="s">
        <v>102</v>
      </c>
      <c r="C41" t="s">
        <v>283</v>
      </c>
      <c r="D41" s="80" t="s">
        <v>64</v>
      </c>
      <c r="E41" s="80" t="s">
        <v>95</v>
      </c>
      <c r="F41">
        <v>7</v>
      </c>
      <c r="G41">
        <v>3000</v>
      </c>
      <c r="H41">
        <v>21000</v>
      </c>
    </row>
    <row r="42" spans="1:8" x14ac:dyDescent="0.25">
      <c r="A42" s="80" t="s">
        <v>30</v>
      </c>
      <c r="B42" s="80" t="s">
        <v>102</v>
      </c>
      <c r="C42" t="s">
        <v>283</v>
      </c>
      <c r="D42" s="80" t="s">
        <v>62</v>
      </c>
      <c r="E42" s="80" t="s">
        <v>95</v>
      </c>
      <c r="F42">
        <v>4</v>
      </c>
      <c r="G42">
        <v>3000</v>
      </c>
      <c r="H42">
        <v>12000</v>
      </c>
    </row>
    <row r="43" spans="1:8" x14ac:dyDescent="0.25">
      <c r="A43" s="80" t="s">
        <v>30</v>
      </c>
      <c r="B43" s="80" t="s">
        <v>102</v>
      </c>
      <c r="C43" t="s">
        <v>283</v>
      </c>
      <c r="D43" s="80" t="s">
        <v>65</v>
      </c>
      <c r="E43" s="80" t="s">
        <v>95</v>
      </c>
      <c r="F43">
        <v>14</v>
      </c>
      <c r="G43">
        <v>3500</v>
      </c>
      <c r="H43">
        <v>49000</v>
      </c>
    </row>
    <row r="44" spans="1:8" x14ac:dyDescent="0.25">
      <c r="A44" s="80" t="s">
        <v>30</v>
      </c>
      <c r="B44" s="80" t="s">
        <v>102</v>
      </c>
      <c r="C44" t="s">
        <v>283</v>
      </c>
      <c r="D44" s="80" t="s">
        <v>69</v>
      </c>
      <c r="E44" s="80" t="s">
        <v>95</v>
      </c>
      <c r="F44">
        <v>2</v>
      </c>
      <c r="G44">
        <v>3500</v>
      </c>
      <c r="H44">
        <v>7000</v>
      </c>
    </row>
    <row r="45" spans="1:8" x14ac:dyDescent="0.25">
      <c r="A45" s="80" t="s">
        <v>30</v>
      </c>
      <c r="B45" s="80" t="s">
        <v>102</v>
      </c>
      <c r="C45" t="s">
        <v>283</v>
      </c>
      <c r="D45" s="80" t="s">
        <v>68</v>
      </c>
      <c r="E45" s="80" t="s">
        <v>95</v>
      </c>
      <c r="F45">
        <v>1</v>
      </c>
      <c r="G45">
        <v>2500</v>
      </c>
      <c r="H45">
        <v>2500</v>
      </c>
    </row>
    <row r="46" spans="1:8" x14ac:dyDescent="0.25">
      <c r="A46" s="80" t="s">
        <v>30</v>
      </c>
      <c r="B46" s="80" t="s">
        <v>102</v>
      </c>
      <c r="C46" t="s">
        <v>283</v>
      </c>
      <c r="D46" s="80" t="s">
        <v>63</v>
      </c>
      <c r="E46" s="80" t="s">
        <v>95</v>
      </c>
      <c r="F46">
        <v>2</v>
      </c>
      <c r="G46">
        <v>3000</v>
      </c>
      <c r="H46">
        <v>6000</v>
      </c>
    </row>
    <row r="47" spans="1:8" x14ac:dyDescent="0.25">
      <c r="A47" s="80" t="s">
        <v>30</v>
      </c>
      <c r="B47" s="80" t="s">
        <v>102</v>
      </c>
      <c r="C47" t="s">
        <v>283</v>
      </c>
      <c r="D47" s="80" t="s">
        <v>67</v>
      </c>
      <c r="E47" s="80" t="s">
        <v>95</v>
      </c>
      <c r="F47">
        <v>5</v>
      </c>
      <c r="G47">
        <v>3500</v>
      </c>
      <c r="H47">
        <v>17500</v>
      </c>
    </row>
    <row r="48" spans="1:8" x14ac:dyDescent="0.25">
      <c r="A48" s="80" t="s">
        <v>30</v>
      </c>
      <c r="B48" s="80" t="s">
        <v>132</v>
      </c>
      <c r="C48" t="s">
        <v>283</v>
      </c>
      <c r="D48" s="80" t="s">
        <v>131</v>
      </c>
      <c r="E48" s="80" t="s">
        <v>133</v>
      </c>
      <c r="F48">
        <v>8</v>
      </c>
      <c r="G48">
        <v>500</v>
      </c>
      <c r="H48">
        <v>4000</v>
      </c>
    </row>
    <row r="49" spans="1:8" x14ac:dyDescent="0.25">
      <c r="A49" s="80" t="s">
        <v>308</v>
      </c>
      <c r="B49" s="80" t="s">
        <v>75</v>
      </c>
      <c r="D49" s="80" t="s">
        <v>70</v>
      </c>
      <c r="E49" s="80" t="s">
        <v>96</v>
      </c>
      <c r="F49">
        <v>17</v>
      </c>
      <c r="G49">
        <v>500</v>
      </c>
      <c r="H49">
        <v>8500</v>
      </c>
    </row>
    <row r="50" spans="1:8" x14ac:dyDescent="0.25">
      <c r="A50" s="80" t="s">
        <v>308</v>
      </c>
      <c r="B50" s="80" t="s">
        <v>75</v>
      </c>
      <c r="D50" s="80" t="s">
        <v>72</v>
      </c>
      <c r="E50" s="80" t="s">
        <v>96</v>
      </c>
      <c r="F50">
        <v>8</v>
      </c>
      <c r="G50">
        <v>500</v>
      </c>
      <c r="H50">
        <v>4000</v>
      </c>
    </row>
    <row r="51" spans="1:8" x14ac:dyDescent="0.25">
      <c r="A51" s="80" t="s">
        <v>308</v>
      </c>
      <c r="B51" s="80" t="s">
        <v>75</v>
      </c>
      <c r="D51" s="80" t="s">
        <v>73</v>
      </c>
      <c r="E51" s="80" t="s">
        <v>96</v>
      </c>
      <c r="F51">
        <v>9</v>
      </c>
      <c r="G51">
        <v>500</v>
      </c>
      <c r="H51">
        <v>4500</v>
      </c>
    </row>
    <row r="52" spans="1:8" x14ac:dyDescent="0.25">
      <c r="A52" s="80" t="s">
        <v>308</v>
      </c>
      <c r="B52" s="80" t="s">
        <v>76</v>
      </c>
      <c r="D52" s="80" t="s">
        <v>156</v>
      </c>
      <c r="E52" s="80" t="s">
        <v>97</v>
      </c>
      <c r="F52">
        <v>19</v>
      </c>
      <c r="G52">
        <v>800</v>
      </c>
      <c r="H52">
        <v>15200</v>
      </c>
    </row>
    <row r="53" spans="1:8" x14ac:dyDescent="0.25">
      <c r="A53" s="80" t="s">
        <v>308</v>
      </c>
      <c r="B53" s="80" t="s">
        <v>76</v>
      </c>
      <c r="D53" s="80" t="s">
        <v>53</v>
      </c>
      <c r="E53" s="80" t="s">
        <v>97</v>
      </c>
      <c r="F53">
        <v>5</v>
      </c>
      <c r="G53">
        <v>1000</v>
      </c>
      <c r="H53">
        <v>5000</v>
      </c>
    </row>
    <row r="54" spans="1:8" x14ac:dyDescent="0.25">
      <c r="A54" s="80" t="s">
        <v>308</v>
      </c>
      <c r="B54" s="80" t="s">
        <v>76</v>
      </c>
      <c r="D54" s="80" t="s">
        <v>35</v>
      </c>
      <c r="E54" s="80" t="s">
        <v>97</v>
      </c>
      <c r="F54">
        <v>2</v>
      </c>
      <c r="G54">
        <v>1000</v>
      </c>
      <c r="H54">
        <v>2000</v>
      </c>
    </row>
    <row r="55" spans="1:8" x14ac:dyDescent="0.25">
      <c r="A55" s="80" t="s">
        <v>308</v>
      </c>
      <c r="B55" s="80" t="s">
        <v>76</v>
      </c>
      <c r="D55" s="80" t="s">
        <v>155</v>
      </c>
      <c r="E55" s="80" t="s">
        <v>97</v>
      </c>
      <c r="F55">
        <v>4</v>
      </c>
      <c r="G55">
        <v>800</v>
      </c>
      <c r="H55">
        <v>3200</v>
      </c>
    </row>
    <row r="56" spans="1:8" x14ac:dyDescent="0.25">
      <c r="A56" s="80" t="s">
        <v>308</v>
      </c>
      <c r="B56" s="80" t="s">
        <v>76</v>
      </c>
      <c r="D56" s="80" t="s">
        <v>46</v>
      </c>
      <c r="E56" s="80" t="s">
        <v>97</v>
      </c>
      <c r="F56">
        <v>13</v>
      </c>
      <c r="G56">
        <v>1000</v>
      </c>
      <c r="H56">
        <v>13000</v>
      </c>
    </row>
    <row r="57" spans="1:8" x14ac:dyDescent="0.25">
      <c r="A57" s="80" t="s">
        <v>308</v>
      </c>
      <c r="B57" s="80" t="s">
        <v>76</v>
      </c>
      <c r="D57" s="80" t="s">
        <v>61</v>
      </c>
      <c r="E57" s="80" t="s">
        <v>97</v>
      </c>
      <c r="F57">
        <v>11</v>
      </c>
      <c r="G57">
        <v>350</v>
      </c>
      <c r="H57">
        <v>3850</v>
      </c>
    </row>
    <row r="58" spans="1:8" x14ac:dyDescent="0.25">
      <c r="A58" s="80" t="s">
        <v>308</v>
      </c>
      <c r="B58" s="80" t="s">
        <v>76</v>
      </c>
      <c r="D58" s="80" t="s">
        <v>32</v>
      </c>
      <c r="E58" s="80" t="s">
        <v>97</v>
      </c>
      <c r="F58">
        <v>1</v>
      </c>
      <c r="G58">
        <v>1000</v>
      </c>
      <c r="H58">
        <v>1000</v>
      </c>
    </row>
    <row r="59" spans="1:8" x14ac:dyDescent="0.25">
      <c r="A59" s="80" t="s">
        <v>308</v>
      </c>
      <c r="B59" s="80" t="s">
        <v>76</v>
      </c>
      <c r="D59" s="80" t="s">
        <v>49</v>
      </c>
      <c r="E59" s="80" t="s">
        <v>97</v>
      </c>
      <c r="F59">
        <v>2</v>
      </c>
      <c r="G59">
        <v>800</v>
      </c>
      <c r="H59">
        <v>1600</v>
      </c>
    </row>
    <row r="60" spans="1:8" x14ac:dyDescent="0.25">
      <c r="A60" s="80" t="s">
        <v>308</v>
      </c>
      <c r="B60" s="80" t="s">
        <v>76</v>
      </c>
      <c r="D60" s="80" t="s">
        <v>51</v>
      </c>
      <c r="E60" s="80" t="s">
        <v>97</v>
      </c>
      <c r="F60">
        <v>1</v>
      </c>
      <c r="G60">
        <v>800</v>
      </c>
      <c r="H60">
        <v>800</v>
      </c>
    </row>
    <row r="61" spans="1:8" x14ac:dyDescent="0.25">
      <c r="A61" s="80" t="s">
        <v>308</v>
      </c>
      <c r="B61" s="80" t="s">
        <v>76</v>
      </c>
      <c r="D61" s="80" t="s">
        <v>34</v>
      </c>
      <c r="E61" s="80" t="s">
        <v>97</v>
      </c>
      <c r="F61">
        <v>5</v>
      </c>
      <c r="G61">
        <v>1000</v>
      </c>
      <c r="H61">
        <v>5000</v>
      </c>
    </row>
    <row r="62" spans="1:8" x14ac:dyDescent="0.25">
      <c r="A62" s="80" t="s">
        <v>308</v>
      </c>
      <c r="B62" s="80" t="s">
        <v>76</v>
      </c>
      <c r="D62" s="80" t="s">
        <v>37</v>
      </c>
      <c r="E62" s="80" t="s">
        <v>97</v>
      </c>
      <c r="F62">
        <v>6</v>
      </c>
      <c r="G62">
        <v>1000</v>
      </c>
      <c r="H62">
        <v>6000</v>
      </c>
    </row>
    <row r="63" spans="1:8" x14ac:dyDescent="0.25">
      <c r="A63" s="80" t="s">
        <v>308</v>
      </c>
      <c r="B63" s="80" t="s">
        <v>76</v>
      </c>
      <c r="D63" s="80" t="s">
        <v>38</v>
      </c>
      <c r="E63" s="80" t="s">
        <v>97</v>
      </c>
      <c r="F63">
        <v>9</v>
      </c>
      <c r="G63">
        <v>1000</v>
      </c>
      <c r="H63">
        <v>9000</v>
      </c>
    </row>
    <row r="64" spans="1:8" x14ac:dyDescent="0.25">
      <c r="A64" s="80" t="s">
        <v>308</v>
      </c>
      <c r="B64" s="80" t="s">
        <v>76</v>
      </c>
      <c r="D64" s="80" t="s">
        <v>40</v>
      </c>
      <c r="E64" s="80" t="s">
        <v>97</v>
      </c>
      <c r="F64">
        <v>7</v>
      </c>
      <c r="G64">
        <v>1000</v>
      </c>
      <c r="H64">
        <v>7000</v>
      </c>
    </row>
    <row r="65" spans="1:8" x14ac:dyDescent="0.25">
      <c r="A65" s="80" t="s">
        <v>308</v>
      </c>
      <c r="B65" s="80" t="s">
        <v>76</v>
      </c>
      <c r="D65" s="80" t="s">
        <v>42</v>
      </c>
      <c r="E65" s="80" t="s">
        <v>97</v>
      </c>
      <c r="F65">
        <v>1</v>
      </c>
      <c r="G65">
        <v>1000</v>
      </c>
      <c r="H65">
        <v>1000</v>
      </c>
    </row>
    <row r="66" spans="1:8" x14ac:dyDescent="0.25">
      <c r="A66" s="80" t="s">
        <v>308</v>
      </c>
      <c r="B66" s="80" t="s">
        <v>76</v>
      </c>
      <c r="D66" s="80" t="s">
        <v>36</v>
      </c>
      <c r="E66" s="80" t="s">
        <v>97</v>
      </c>
      <c r="F66">
        <v>20</v>
      </c>
      <c r="G66">
        <v>1000</v>
      </c>
      <c r="H66">
        <v>20000</v>
      </c>
    </row>
    <row r="67" spans="1:8" x14ac:dyDescent="0.25">
      <c r="A67" s="80" t="s">
        <v>308</v>
      </c>
      <c r="B67" s="80" t="s">
        <v>76</v>
      </c>
      <c r="D67" s="80" t="s">
        <v>45</v>
      </c>
      <c r="E67" s="80" t="s">
        <v>97</v>
      </c>
      <c r="F67">
        <v>13</v>
      </c>
      <c r="G67">
        <v>1000</v>
      </c>
      <c r="H67">
        <v>13000</v>
      </c>
    </row>
    <row r="68" spans="1:8" x14ac:dyDescent="0.25">
      <c r="A68" s="80" t="s">
        <v>308</v>
      </c>
      <c r="B68" s="80" t="s">
        <v>76</v>
      </c>
      <c r="D68" s="80" t="s">
        <v>33</v>
      </c>
      <c r="E68" s="80" t="s">
        <v>97</v>
      </c>
      <c r="F68">
        <v>5</v>
      </c>
      <c r="G68">
        <v>1000</v>
      </c>
      <c r="H68">
        <v>5000</v>
      </c>
    </row>
    <row r="69" spans="1:8" x14ac:dyDescent="0.25">
      <c r="A69" s="80" t="s">
        <v>308</v>
      </c>
      <c r="B69" s="80" t="s">
        <v>76</v>
      </c>
      <c r="D69" s="80" t="s">
        <v>60</v>
      </c>
      <c r="E69" s="80" t="s">
        <v>97</v>
      </c>
      <c r="F69">
        <v>22</v>
      </c>
      <c r="G69">
        <v>800</v>
      </c>
      <c r="H69">
        <v>17600</v>
      </c>
    </row>
    <row r="70" spans="1:8" x14ac:dyDescent="0.25">
      <c r="A70" s="80" t="s">
        <v>308</v>
      </c>
      <c r="B70" s="80" t="s">
        <v>76</v>
      </c>
      <c r="D70" s="80" t="s">
        <v>59</v>
      </c>
      <c r="E70" s="80" t="s">
        <v>97</v>
      </c>
      <c r="F70">
        <v>23</v>
      </c>
      <c r="G70">
        <v>500</v>
      </c>
      <c r="H70">
        <v>11500</v>
      </c>
    </row>
    <row r="71" spans="1:8" x14ac:dyDescent="0.25">
      <c r="A71" s="80" t="s">
        <v>308</v>
      </c>
      <c r="B71" s="80" t="s">
        <v>76</v>
      </c>
      <c r="D71" s="80" t="s">
        <v>44</v>
      </c>
      <c r="E71" s="80" t="s">
        <v>97</v>
      </c>
      <c r="F71">
        <v>1</v>
      </c>
      <c r="G71">
        <v>1000</v>
      </c>
      <c r="H71">
        <v>1000</v>
      </c>
    </row>
    <row r="72" spans="1:8" x14ac:dyDescent="0.25">
      <c r="A72" s="80" t="s">
        <v>308</v>
      </c>
      <c r="B72" s="80" t="s">
        <v>142</v>
      </c>
      <c r="D72" s="80" t="s">
        <v>136</v>
      </c>
      <c r="E72" s="80" t="s">
        <v>95</v>
      </c>
      <c r="F72">
        <v>13</v>
      </c>
      <c r="G72">
        <v>2000</v>
      </c>
      <c r="H72">
        <v>26000</v>
      </c>
    </row>
    <row r="73" spans="1:8" x14ac:dyDescent="0.25">
      <c r="A73" s="80" t="s">
        <v>308</v>
      </c>
      <c r="B73" s="80" t="s">
        <v>142</v>
      </c>
      <c r="D73" s="80" t="s">
        <v>140</v>
      </c>
      <c r="E73" s="80" t="s">
        <v>143</v>
      </c>
      <c r="F73">
        <v>2</v>
      </c>
      <c r="G73">
        <v>500</v>
      </c>
      <c r="H73">
        <v>1000</v>
      </c>
    </row>
    <row r="74" spans="1:8" x14ac:dyDescent="0.25">
      <c r="A74" s="80" t="s">
        <v>308</v>
      </c>
      <c r="B74" s="80" t="s">
        <v>142</v>
      </c>
      <c r="D74" s="80" t="s">
        <v>147</v>
      </c>
      <c r="E74" s="80" t="s">
        <v>95</v>
      </c>
      <c r="F74">
        <v>1</v>
      </c>
      <c r="G74">
        <v>500</v>
      </c>
      <c r="H74">
        <v>500</v>
      </c>
    </row>
    <row r="75" spans="1:8" x14ac:dyDescent="0.25">
      <c r="A75" s="80" t="s">
        <v>308</v>
      </c>
      <c r="B75" s="80" t="s">
        <v>142</v>
      </c>
      <c r="D75" s="80" t="s">
        <v>141</v>
      </c>
      <c r="E75" s="80" t="s">
        <v>144</v>
      </c>
      <c r="F75">
        <v>3</v>
      </c>
      <c r="G75">
        <v>500</v>
      </c>
      <c r="H75">
        <v>1500</v>
      </c>
    </row>
    <row r="76" spans="1:8" x14ac:dyDescent="0.25">
      <c r="A76" s="80" t="s">
        <v>308</v>
      </c>
      <c r="B76" s="80" t="s">
        <v>102</v>
      </c>
      <c r="D76" s="80" t="s">
        <v>64</v>
      </c>
      <c r="E76" s="80" t="s">
        <v>95</v>
      </c>
      <c r="F76">
        <v>2</v>
      </c>
      <c r="G76">
        <v>3000</v>
      </c>
      <c r="H76">
        <v>6000</v>
      </c>
    </row>
    <row r="77" spans="1:8" x14ac:dyDescent="0.25">
      <c r="A77" s="80" t="s">
        <v>308</v>
      </c>
      <c r="B77" s="80" t="s">
        <v>102</v>
      </c>
      <c r="D77" s="80" t="s">
        <v>62</v>
      </c>
      <c r="E77" s="80" t="s">
        <v>95</v>
      </c>
      <c r="F77">
        <v>3</v>
      </c>
      <c r="G77">
        <v>3000</v>
      </c>
      <c r="H77">
        <v>9000</v>
      </c>
    </row>
    <row r="78" spans="1:8" x14ac:dyDescent="0.25">
      <c r="A78" s="80" t="s">
        <v>308</v>
      </c>
      <c r="B78" s="80" t="s">
        <v>102</v>
      </c>
      <c r="D78" s="80" t="s">
        <v>65</v>
      </c>
      <c r="E78" s="80" t="s">
        <v>95</v>
      </c>
      <c r="F78">
        <v>10</v>
      </c>
      <c r="G78">
        <v>3500</v>
      </c>
      <c r="H78">
        <v>35000</v>
      </c>
    </row>
    <row r="79" spans="1:8" x14ac:dyDescent="0.25">
      <c r="A79" s="80" t="s">
        <v>308</v>
      </c>
      <c r="B79" s="80" t="s">
        <v>102</v>
      </c>
      <c r="D79" s="80" t="s">
        <v>69</v>
      </c>
      <c r="E79" s="80" t="s">
        <v>95</v>
      </c>
      <c r="F79">
        <v>9</v>
      </c>
      <c r="G79">
        <v>3500</v>
      </c>
      <c r="H79">
        <v>31500</v>
      </c>
    </row>
    <row r="80" spans="1:8" x14ac:dyDescent="0.25">
      <c r="A80" s="80" t="s">
        <v>308</v>
      </c>
      <c r="B80" s="80" t="s">
        <v>102</v>
      </c>
      <c r="D80" s="80" t="s">
        <v>67</v>
      </c>
      <c r="E80" s="80" t="s">
        <v>95</v>
      </c>
      <c r="F80">
        <v>8</v>
      </c>
      <c r="G80">
        <v>3500</v>
      </c>
      <c r="H80">
        <v>28000</v>
      </c>
    </row>
    <row r="81" spans="1:8" x14ac:dyDescent="0.25">
      <c r="A81" s="80" t="s">
        <v>308</v>
      </c>
      <c r="B81" s="80" t="s">
        <v>102</v>
      </c>
      <c r="D81" s="80" t="s">
        <v>68</v>
      </c>
      <c r="E81" s="80" t="s">
        <v>95</v>
      </c>
      <c r="F81">
        <v>2</v>
      </c>
      <c r="G81">
        <v>2500</v>
      </c>
      <c r="H81">
        <v>5000</v>
      </c>
    </row>
    <row r="82" spans="1:8" x14ac:dyDescent="0.25">
      <c r="A82" s="80" t="s">
        <v>308</v>
      </c>
      <c r="B82" s="80" t="s">
        <v>102</v>
      </c>
      <c r="D82" s="80" t="s">
        <v>63</v>
      </c>
      <c r="E82" s="80" t="s">
        <v>95</v>
      </c>
      <c r="F82">
        <v>1</v>
      </c>
      <c r="G82">
        <v>3000</v>
      </c>
      <c r="H82">
        <v>3000</v>
      </c>
    </row>
    <row r="83" spans="1:8" x14ac:dyDescent="0.25">
      <c r="A83" s="80" t="s">
        <v>308</v>
      </c>
      <c r="B83" s="80" t="s">
        <v>132</v>
      </c>
      <c r="D83" s="80" t="s">
        <v>131</v>
      </c>
      <c r="E83" s="80" t="s">
        <v>133</v>
      </c>
      <c r="F83">
        <v>3</v>
      </c>
      <c r="G83">
        <v>500</v>
      </c>
      <c r="H83">
        <v>1500</v>
      </c>
    </row>
    <row r="84" spans="1:8" x14ac:dyDescent="0.25">
      <c r="A84" s="80" t="s">
        <v>308</v>
      </c>
      <c r="B84" s="80" t="s">
        <v>309</v>
      </c>
      <c r="D84" s="80" t="s">
        <v>156</v>
      </c>
      <c r="E84" s="80" t="s">
        <v>97</v>
      </c>
      <c r="F84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D74F-CC08-406B-903C-7C92877F2BD8}">
  <dimension ref="A2:I59"/>
  <sheetViews>
    <sheetView topLeftCell="A27" zoomScale="115" zoomScaleNormal="115" workbookViewId="0">
      <selection activeCell="A15" sqref="A15:I16"/>
    </sheetView>
  </sheetViews>
  <sheetFormatPr defaultRowHeight="15" x14ac:dyDescent="0.25"/>
  <cols>
    <col min="1" max="1" width="10.28515625" bestFit="1" customWidth="1"/>
    <col min="2" max="2" width="11.85546875" bestFit="1" customWidth="1"/>
    <col min="3" max="3" width="15.28515625" bestFit="1" customWidth="1"/>
    <col min="4" max="4" width="9" bestFit="1" customWidth="1"/>
    <col min="5" max="5" width="18.42578125" bestFit="1" customWidth="1"/>
    <col min="6" max="6" width="13" bestFit="1" customWidth="1"/>
    <col min="7" max="7" width="26.140625" bestFit="1" customWidth="1"/>
    <col min="8" max="8" width="15.140625" bestFit="1" customWidth="1"/>
    <col min="9" max="9" width="12.28515625" bestFit="1" customWidth="1"/>
  </cols>
  <sheetData>
    <row r="2" spans="1:9" ht="18.75" x14ac:dyDescent="0.3">
      <c r="A2" s="23" t="s">
        <v>78</v>
      </c>
      <c r="B2" s="23"/>
      <c r="C2" s="23"/>
      <c r="D2" s="23"/>
      <c r="E2" s="23"/>
      <c r="F2" s="23"/>
      <c r="G2" s="23"/>
      <c r="H2" s="23"/>
      <c r="I2" s="23"/>
    </row>
    <row r="4" spans="1:9" x14ac:dyDescent="0.25">
      <c r="A4" t="s">
        <v>4</v>
      </c>
      <c r="B4" t="s">
        <v>3</v>
      </c>
      <c r="C4" t="s">
        <v>71</v>
      </c>
      <c r="D4" t="s">
        <v>94</v>
      </c>
      <c r="E4" t="s">
        <v>116</v>
      </c>
      <c r="F4" t="s">
        <v>31</v>
      </c>
      <c r="G4" t="s">
        <v>117</v>
      </c>
      <c r="H4" t="s">
        <v>118</v>
      </c>
      <c r="I4" t="s">
        <v>119</v>
      </c>
    </row>
    <row r="5" spans="1:9" x14ac:dyDescent="0.25">
      <c r="A5" s="80" t="s">
        <v>308</v>
      </c>
      <c r="B5" s="80" t="s">
        <v>71</v>
      </c>
      <c r="C5" s="80" t="s">
        <v>18</v>
      </c>
      <c r="D5" s="80" t="s">
        <v>108</v>
      </c>
      <c r="E5">
        <v>150</v>
      </c>
      <c r="F5">
        <v>2</v>
      </c>
      <c r="G5">
        <v>300</v>
      </c>
      <c r="H5" s="13">
        <v>1.1200000000000001</v>
      </c>
      <c r="I5" s="13">
        <v>336.00000000000006</v>
      </c>
    </row>
    <row r="6" spans="1:9" x14ac:dyDescent="0.25">
      <c r="A6" s="80" t="s">
        <v>30</v>
      </c>
      <c r="B6" s="80" t="s">
        <v>71</v>
      </c>
      <c r="C6" s="80" t="s">
        <v>18</v>
      </c>
      <c r="D6" s="80" t="s">
        <v>108</v>
      </c>
      <c r="E6">
        <v>150</v>
      </c>
      <c r="F6">
        <v>1</v>
      </c>
      <c r="G6">
        <v>150</v>
      </c>
      <c r="H6" s="13">
        <v>1.1200000000000001</v>
      </c>
      <c r="I6" s="13">
        <v>168.00000000000003</v>
      </c>
    </row>
    <row r="7" spans="1:9" x14ac:dyDescent="0.25">
      <c r="A7" s="80" t="s">
        <v>308</v>
      </c>
      <c r="B7" s="80" t="s">
        <v>71</v>
      </c>
      <c r="C7" s="80" t="s">
        <v>9</v>
      </c>
      <c r="D7" s="80" t="s">
        <v>108</v>
      </c>
      <c r="E7">
        <v>2.5</v>
      </c>
      <c r="F7">
        <v>33</v>
      </c>
      <c r="G7">
        <v>82.5</v>
      </c>
      <c r="H7" s="13">
        <v>1.67</v>
      </c>
      <c r="I7" s="13">
        <v>137.77499999999998</v>
      </c>
    </row>
    <row r="8" spans="1:9" x14ac:dyDescent="0.25">
      <c r="A8" s="80" t="s">
        <v>30</v>
      </c>
      <c r="B8" s="80" t="s">
        <v>71</v>
      </c>
      <c r="C8" s="80" t="s">
        <v>9</v>
      </c>
      <c r="D8" s="80" t="s">
        <v>108</v>
      </c>
      <c r="E8">
        <v>2.5</v>
      </c>
      <c r="F8">
        <v>34</v>
      </c>
      <c r="G8">
        <v>85</v>
      </c>
      <c r="H8" s="13">
        <v>1.67</v>
      </c>
      <c r="I8" s="13">
        <v>141.95000000000002</v>
      </c>
    </row>
    <row r="9" spans="1:9" x14ac:dyDescent="0.25">
      <c r="A9" s="80" t="s">
        <v>30</v>
      </c>
      <c r="B9" s="80" t="s">
        <v>71</v>
      </c>
      <c r="C9" s="80" t="s">
        <v>14</v>
      </c>
      <c r="D9" s="80" t="s">
        <v>108</v>
      </c>
      <c r="E9">
        <v>5</v>
      </c>
      <c r="F9">
        <v>34</v>
      </c>
      <c r="G9">
        <v>170</v>
      </c>
      <c r="H9" s="13">
        <v>1</v>
      </c>
      <c r="I9" s="13">
        <v>170</v>
      </c>
    </row>
    <row r="10" spans="1:9" x14ac:dyDescent="0.25">
      <c r="A10" s="80" t="s">
        <v>308</v>
      </c>
      <c r="B10" s="80" t="s">
        <v>71</v>
      </c>
      <c r="C10" s="80" t="s">
        <v>14</v>
      </c>
      <c r="D10" s="80" t="s">
        <v>108</v>
      </c>
      <c r="E10">
        <v>5</v>
      </c>
      <c r="F10">
        <v>33</v>
      </c>
      <c r="G10">
        <v>165</v>
      </c>
      <c r="H10" s="13">
        <v>1</v>
      </c>
      <c r="I10" s="13">
        <v>165</v>
      </c>
    </row>
    <row r="11" spans="1:9" x14ac:dyDescent="0.25">
      <c r="A11" s="80" t="s">
        <v>308</v>
      </c>
      <c r="B11" s="80" t="s">
        <v>71</v>
      </c>
      <c r="C11" s="80" t="s">
        <v>19</v>
      </c>
      <c r="D11" s="80" t="s">
        <v>108</v>
      </c>
      <c r="E11">
        <v>8.3000000000000007</v>
      </c>
      <c r="F11">
        <v>2</v>
      </c>
      <c r="G11">
        <v>16.600000000000001</v>
      </c>
      <c r="H11" s="13">
        <v>5</v>
      </c>
      <c r="I11" s="13">
        <v>83</v>
      </c>
    </row>
    <row r="12" spans="1:9" x14ac:dyDescent="0.25">
      <c r="A12" s="80" t="s">
        <v>30</v>
      </c>
      <c r="B12" s="80" t="s">
        <v>71</v>
      </c>
      <c r="C12" s="80" t="s">
        <v>19</v>
      </c>
      <c r="D12" s="80" t="s">
        <v>108</v>
      </c>
      <c r="E12">
        <v>8.3000000000000007</v>
      </c>
      <c r="F12">
        <v>1</v>
      </c>
      <c r="G12">
        <v>8.3000000000000007</v>
      </c>
      <c r="H12" s="13">
        <v>5</v>
      </c>
      <c r="I12" s="13">
        <v>41.5</v>
      </c>
    </row>
    <row r="13" spans="1:9" x14ac:dyDescent="0.25">
      <c r="A13" s="80" t="s">
        <v>308</v>
      </c>
      <c r="B13" s="80" t="s">
        <v>71</v>
      </c>
      <c r="C13" s="80" t="s">
        <v>15</v>
      </c>
      <c r="D13" s="80" t="s">
        <v>96</v>
      </c>
      <c r="E13">
        <v>1</v>
      </c>
      <c r="F13">
        <v>1</v>
      </c>
      <c r="G13">
        <v>1</v>
      </c>
      <c r="H13" s="13">
        <v>1312.5</v>
      </c>
      <c r="I13" s="13">
        <v>1312.5</v>
      </c>
    </row>
    <row r="14" spans="1:9" x14ac:dyDescent="0.25">
      <c r="A14" s="80" t="s">
        <v>30</v>
      </c>
      <c r="B14" s="80" t="s">
        <v>71</v>
      </c>
      <c r="C14" s="80" t="s">
        <v>15</v>
      </c>
      <c r="D14" s="80" t="s">
        <v>96</v>
      </c>
      <c r="E14">
        <v>1</v>
      </c>
      <c r="F14">
        <v>2</v>
      </c>
      <c r="G14">
        <v>2</v>
      </c>
      <c r="H14" s="13">
        <v>1312.5</v>
      </c>
      <c r="I14" s="13">
        <v>2625</v>
      </c>
    </row>
    <row r="15" spans="1:9" x14ac:dyDescent="0.25">
      <c r="A15" s="80" t="s">
        <v>308</v>
      </c>
      <c r="B15" s="80" t="s">
        <v>71</v>
      </c>
      <c r="C15" s="80" t="s">
        <v>22</v>
      </c>
      <c r="D15" s="80" t="s">
        <v>99</v>
      </c>
      <c r="E15">
        <v>96.428571428571431</v>
      </c>
      <c r="F15">
        <v>35</v>
      </c>
      <c r="G15">
        <v>3450</v>
      </c>
      <c r="H15" s="13">
        <v>1.5</v>
      </c>
      <c r="I15" s="13">
        <v>5175</v>
      </c>
    </row>
    <row r="16" spans="1:9" x14ac:dyDescent="0.25">
      <c r="A16" s="80" t="s">
        <v>30</v>
      </c>
      <c r="B16" s="80" t="s">
        <v>71</v>
      </c>
      <c r="C16" s="80" t="s">
        <v>22</v>
      </c>
      <c r="D16" s="80" t="s">
        <v>99</v>
      </c>
      <c r="E16">
        <v>96.428571428571431</v>
      </c>
      <c r="F16">
        <v>35</v>
      </c>
      <c r="G16">
        <v>3475</v>
      </c>
      <c r="H16" s="13">
        <v>1.5</v>
      </c>
      <c r="I16" s="13">
        <v>5212.5</v>
      </c>
    </row>
    <row r="17" spans="1:9" x14ac:dyDescent="0.25">
      <c r="A17" s="80" t="s">
        <v>30</v>
      </c>
      <c r="B17" s="80" t="s">
        <v>71</v>
      </c>
      <c r="C17" s="80" t="s">
        <v>137</v>
      </c>
      <c r="D17" s="80" t="s">
        <v>143</v>
      </c>
      <c r="E17">
        <v>1</v>
      </c>
      <c r="F17">
        <v>6</v>
      </c>
      <c r="G17">
        <v>6</v>
      </c>
      <c r="H17" s="13">
        <v>50</v>
      </c>
      <c r="I17" s="13">
        <v>300</v>
      </c>
    </row>
    <row r="18" spans="1:9" x14ac:dyDescent="0.25">
      <c r="A18" s="80" t="s">
        <v>308</v>
      </c>
      <c r="B18" s="80" t="s">
        <v>71</v>
      </c>
      <c r="C18" s="80" t="s">
        <v>137</v>
      </c>
      <c r="D18" s="80" t="s">
        <v>143</v>
      </c>
      <c r="E18">
        <v>1</v>
      </c>
      <c r="F18">
        <v>13</v>
      </c>
      <c r="G18">
        <v>13</v>
      </c>
      <c r="H18" s="13">
        <v>50</v>
      </c>
      <c r="I18" s="13">
        <v>650</v>
      </c>
    </row>
    <row r="19" spans="1:9" x14ac:dyDescent="0.25">
      <c r="A19" s="80" t="s">
        <v>308</v>
      </c>
      <c r="B19" s="80" t="s">
        <v>71</v>
      </c>
      <c r="C19" s="80" t="s">
        <v>21</v>
      </c>
      <c r="D19" s="80" t="s">
        <v>108</v>
      </c>
      <c r="E19">
        <v>38.200000000000003</v>
      </c>
      <c r="F19">
        <v>2</v>
      </c>
      <c r="G19">
        <v>76.400000000000006</v>
      </c>
      <c r="H19" s="13">
        <v>4.37</v>
      </c>
      <c r="I19" s="13">
        <v>333.86800000000005</v>
      </c>
    </row>
    <row r="20" spans="1:9" x14ac:dyDescent="0.25">
      <c r="A20" s="80" t="s">
        <v>30</v>
      </c>
      <c r="B20" s="80" t="s">
        <v>71</v>
      </c>
      <c r="C20" s="80" t="s">
        <v>21</v>
      </c>
      <c r="D20" s="80" t="s">
        <v>108</v>
      </c>
      <c r="E20">
        <v>38.200000000000003</v>
      </c>
      <c r="F20">
        <v>1</v>
      </c>
      <c r="G20">
        <v>38.200000000000003</v>
      </c>
      <c r="H20" s="13">
        <v>4.37</v>
      </c>
      <c r="I20" s="13">
        <v>166.93400000000003</v>
      </c>
    </row>
    <row r="21" spans="1:9" x14ac:dyDescent="0.25">
      <c r="A21" s="80" t="s">
        <v>308</v>
      </c>
      <c r="B21" s="80" t="s">
        <v>71</v>
      </c>
      <c r="C21" s="80" t="s">
        <v>20</v>
      </c>
      <c r="D21" s="80" t="s">
        <v>93</v>
      </c>
      <c r="E21">
        <v>1</v>
      </c>
      <c r="F21">
        <v>2</v>
      </c>
      <c r="G21">
        <v>2</v>
      </c>
      <c r="H21" s="13">
        <v>83.34</v>
      </c>
      <c r="I21" s="13">
        <v>166.68</v>
      </c>
    </row>
    <row r="22" spans="1:9" x14ac:dyDescent="0.25">
      <c r="A22" s="80" t="s">
        <v>30</v>
      </c>
      <c r="B22" s="80" t="s">
        <v>71</v>
      </c>
      <c r="C22" s="80" t="s">
        <v>20</v>
      </c>
      <c r="D22" s="80" t="s">
        <v>93</v>
      </c>
      <c r="E22">
        <v>1</v>
      </c>
      <c r="F22">
        <v>1</v>
      </c>
      <c r="G22">
        <v>1</v>
      </c>
      <c r="H22" s="13">
        <v>83.34</v>
      </c>
      <c r="I22" s="13">
        <v>83.34</v>
      </c>
    </row>
    <row r="23" spans="1:9" x14ac:dyDescent="0.25">
      <c r="A23" s="80" t="s">
        <v>308</v>
      </c>
      <c r="B23" s="80" t="s">
        <v>71</v>
      </c>
      <c r="C23" s="80" t="s">
        <v>139</v>
      </c>
      <c r="D23" s="80" t="s">
        <v>143</v>
      </c>
      <c r="E23">
        <v>1</v>
      </c>
      <c r="F23">
        <v>13</v>
      </c>
      <c r="G23">
        <v>13</v>
      </c>
      <c r="H23" s="13">
        <v>50</v>
      </c>
      <c r="I23" s="13">
        <v>650</v>
      </c>
    </row>
    <row r="24" spans="1:9" x14ac:dyDescent="0.25">
      <c r="A24" s="80" t="s">
        <v>30</v>
      </c>
      <c r="B24" s="80" t="s">
        <v>71</v>
      </c>
      <c r="C24" s="80" t="s">
        <v>139</v>
      </c>
      <c r="D24" s="80" t="s">
        <v>143</v>
      </c>
      <c r="E24">
        <v>1</v>
      </c>
      <c r="F24">
        <v>6</v>
      </c>
      <c r="G24">
        <v>6</v>
      </c>
      <c r="H24" s="13">
        <v>50</v>
      </c>
      <c r="I24" s="13">
        <v>300</v>
      </c>
    </row>
    <row r="25" spans="1:9" x14ac:dyDescent="0.25">
      <c r="A25" s="80" t="s">
        <v>308</v>
      </c>
      <c r="B25" s="80" t="s">
        <v>71</v>
      </c>
      <c r="C25" s="80" t="s">
        <v>138</v>
      </c>
      <c r="D25" s="80" t="s">
        <v>143</v>
      </c>
      <c r="E25">
        <v>1</v>
      </c>
      <c r="F25">
        <v>13</v>
      </c>
      <c r="G25">
        <v>13</v>
      </c>
      <c r="H25" s="13">
        <v>100</v>
      </c>
      <c r="I25" s="13">
        <v>1300</v>
      </c>
    </row>
    <row r="26" spans="1:9" x14ac:dyDescent="0.25">
      <c r="A26" s="80" t="s">
        <v>30</v>
      </c>
      <c r="B26" s="80" t="s">
        <v>71</v>
      </c>
      <c r="C26" s="80" t="s">
        <v>138</v>
      </c>
      <c r="D26" s="80" t="s">
        <v>143</v>
      </c>
      <c r="E26">
        <v>1</v>
      </c>
      <c r="F26">
        <v>6</v>
      </c>
      <c r="G26">
        <v>6</v>
      </c>
      <c r="H26" s="13">
        <v>100</v>
      </c>
      <c r="I26" s="13">
        <v>600</v>
      </c>
    </row>
    <row r="27" spans="1:9" x14ac:dyDescent="0.25">
      <c r="A27" s="80" t="s">
        <v>30</v>
      </c>
      <c r="B27" s="80" t="s">
        <v>71</v>
      </c>
      <c r="C27" s="80" t="s">
        <v>135</v>
      </c>
      <c r="D27" s="80" t="s">
        <v>145</v>
      </c>
      <c r="E27">
        <v>2</v>
      </c>
      <c r="F27">
        <v>7</v>
      </c>
      <c r="G27">
        <v>14</v>
      </c>
      <c r="H27" s="13">
        <v>83.34</v>
      </c>
      <c r="I27" s="13">
        <v>1166.76</v>
      </c>
    </row>
    <row r="28" spans="1:9" x14ac:dyDescent="0.25">
      <c r="A28" s="80" t="s">
        <v>308</v>
      </c>
      <c r="B28" s="80" t="s">
        <v>71</v>
      </c>
      <c r="C28" s="80" t="s">
        <v>135</v>
      </c>
      <c r="D28" s="80" t="s">
        <v>145</v>
      </c>
      <c r="E28">
        <v>2</v>
      </c>
      <c r="F28">
        <v>14</v>
      </c>
      <c r="G28">
        <v>28</v>
      </c>
      <c r="H28" s="13">
        <v>83.34</v>
      </c>
      <c r="I28" s="13">
        <v>2333.52</v>
      </c>
    </row>
    <row r="29" spans="1:9" x14ac:dyDescent="0.25">
      <c r="A29" s="80" t="s">
        <v>308</v>
      </c>
      <c r="B29" s="80" t="s">
        <v>71</v>
      </c>
      <c r="C29" s="80" t="s">
        <v>12</v>
      </c>
      <c r="D29" s="80" t="s">
        <v>108</v>
      </c>
      <c r="E29">
        <v>18.428571428571431</v>
      </c>
      <c r="F29">
        <v>35</v>
      </c>
      <c r="G29">
        <v>678</v>
      </c>
      <c r="H29" s="13">
        <v>0.55000000000000004</v>
      </c>
      <c r="I29" s="13">
        <v>372.90000000000003</v>
      </c>
    </row>
    <row r="30" spans="1:9" x14ac:dyDescent="0.25">
      <c r="A30" s="80" t="s">
        <v>30</v>
      </c>
      <c r="B30" s="80" t="s">
        <v>71</v>
      </c>
      <c r="C30" s="80" t="s">
        <v>12</v>
      </c>
      <c r="D30" s="80" t="s">
        <v>108</v>
      </c>
      <c r="E30">
        <v>18.428571428571431</v>
      </c>
      <c r="F30">
        <v>35</v>
      </c>
      <c r="G30">
        <v>689</v>
      </c>
      <c r="H30" s="13">
        <v>0.55000000000000004</v>
      </c>
      <c r="I30" s="13">
        <v>378.95</v>
      </c>
    </row>
    <row r="31" spans="1:9" x14ac:dyDescent="0.25">
      <c r="A31" s="80" t="s">
        <v>30</v>
      </c>
      <c r="B31" s="80" t="s">
        <v>71</v>
      </c>
      <c r="C31" s="80" t="s">
        <v>121</v>
      </c>
      <c r="D31" s="80" t="s">
        <v>122</v>
      </c>
      <c r="E31">
        <v>1</v>
      </c>
      <c r="F31">
        <v>6</v>
      </c>
      <c r="G31">
        <v>6</v>
      </c>
      <c r="H31" s="13">
        <v>150</v>
      </c>
      <c r="I31" s="13">
        <v>900</v>
      </c>
    </row>
    <row r="32" spans="1:9" x14ac:dyDescent="0.25">
      <c r="A32" s="80" t="s">
        <v>308</v>
      </c>
      <c r="B32" s="80" t="s">
        <v>71</v>
      </c>
      <c r="C32" s="80" t="s">
        <v>121</v>
      </c>
      <c r="D32" s="80" t="s">
        <v>122</v>
      </c>
      <c r="E32">
        <v>1</v>
      </c>
      <c r="F32">
        <v>13</v>
      </c>
      <c r="G32">
        <v>13</v>
      </c>
      <c r="H32" s="13">
        <v>150</v>
      </c>
      <c r="I32" s="13">
        <v>1950</v>
      </c>
    </row>
    <row r="33" spans="1:9" x14ac:dyDescent="0.25">
      <c r="A33" s="80" t="s">
        <v>308</v>
      </c>
      <c r="B33" s="80" t="s">
        <v>71</v>
      </c>
      <c r="C33" s="80" t="s">
        <v>23</v>
      </c>
      <c r="D33" s="80" t="s">
        <v>96</v>
      </c>
      <c r="E33">
        <v>1</v>
      </c>
      <c r="F33">
        <v>17</v>
      </c>
      <c r="G33">
        <v>17</v>
      </c>
      <c r="H33" s="13">
        <v>159.1</v>
      </c>
      <c r="I33" s="13">
        <v>2704.7</v>
      </c>
    </row>
    <row r="34" spans="1:9" x14ac:dyDescent="0.25">
      <c r="A34" s="80" t="s">
        <v>30</v>
      </c>
      <c r="B34" s="80" t="s">
        <v>71</v>
      </c>
      <c r="C34" s="80" t="s">
        <v>23</v>
      </c>
      <c r="D34" s="80" t="s">
        <v>96</v>
      </c>
      <c r="E34">
        <v>1</v>
      </c>
      <c r="F34">
        <v>9</v>
      </c>
      <c r="G34">
        <v>9</v>
      </c>
      <c r="H34" s="13">
        <v>159.1</v>
      </c>
      <c r="I34" s="13">
        <v>1431.8999999999999</v>
      </c>
    </row>
    <row r="35" spans="1:9" x14ac:dyDescent="0.25">
      <c r="A35" s="80" t="s">
        <v>308</v>
      </c>
      <c r="B35" s="80" t="s">
        <v>71</v>
      </c>
      <c r="C35" s="80" t="s">
        <v>29</v>
      </c>
      <c r="D35" s="80" t="s">
        <v>168</v>
      </c>
      <c r="E35">
        <v>1</v>
      </c>
      <c r="F35">
        <v>8</v>
      </c>
      <c r="G35">
        <v>8</v>
      </c>
      <c r="H35" s="13">
        <v>937.5</v>
      </c>
      <c r="I35" s="13">
        <v>7500</v>
      </c>
    </row>
    <row r="36" spans="1:9" x14ac:dyDescent="0.25">
      <c r="A36" s="80" t="s">
        <v>30</v>
      </c>
      <c r="B36" s="80" t="s">
        <v>71</v>
      </c>
      <c r="C36" s="80" t="s">
        <v>29</v>
      </c>
      <c r="D36" s="80" t="s">
        <v>168</v>
      </c>
      <c r="E36">
        <v>1</v>
      </c>
      <c r="F36">
        <v>5</v>
      </c>
      <c r="G36">
        <v>5</v>
      </c>
      <c r="H36" s="13">
        <v>937.5</v>
      </c>
      <c r="I36" s="13">
        <v>4687.5</v>
      </c>
    </row>
    <row r="37" spans="1:9" x14ac:dyDescent="0.25">
      <c r="A37" s="80" t="s">
        <v>308</v>
      </c>
      <c r="B37" s="80" t="s">
        <v>71</v>
      </c>
      <c r="C37" s="80" t="s">
        <v>11</v>
      </c>
      <c r="D37" s="80" t="s">
        <v>108</v>
      </c>
      <c r="E37">
        <v>0.1</v>
      </c>
      <c r="F37">
        <v>33</v>
      </c>
      <c r="G37">
        <v>3.3</v>
      </c>
      <c r="H37" s="13">
        <v>1</v>
      </c>
      <c r="I37" s="13">
        <v>3.3</v>
      </c>
    </row>
    <row r="38" spans="1:9" x14ac:dyDescent="0.25">
      <c r="A38" s="80" t="s">
        <v>30</v>
      </c>
      <c r="B38" s="80" t="s">
        <v>71</v>
      </c>
      <c r="C38" s="80" t="s">
        <v>11</v>
      </c>
      <c r="D38" s="80" t="s">
        <v>108</v>
      </c>
      <c r="E38">
        <v>0.1</v>
      </c>
      <c r="F38">
        <v>34</v>
      </c>
      <c r="G38">
        <v>3.4</v>
      </c>
      <c r="H38" s="13">
        <v>1</v>
      </c>
      <c r="I38" s="13">
        <v>3.4</v>
      </c>
    </row>
    <row r="39" spans="1:9" x14ac:dyDescent="0.25">
      <c r="A39" s="80" t="s">
        <v>308</v>
      </c>
      <c r="B39" s="80" t="s">
        <v>71</v>
      </c>
      <c r="C39" s="80" t="s">
        <v>13</v>
      </c>
      <c r="D39" s="80" t="s">
        <v>108</v>
      </c>
      <c r="E39">
        <v>5</v>
      </c>
      <c r="F39">
        <v>33</v>
      </c>
      <c r="G39">
        <v>165</v>
      </c>
      <c r="H39" s="13">
        <v>1.1399999999999999</v>
      </c>
      <c r="I39" s="13">
        <v>188.1</v>
      </c>
    </row>
    <row r="40" spans="1:9" x14ac:dyDescent="0.25">
      <c r="A40" s="80" t="s">
        <v>30</v>
      </c>
      <c r="B40" s="80" t="s">
        <v>71</v>
      </c>
      <c r="C40" s="80" t="s">
        <v>13</v>
      </c>
      <c r="D40" s="80" t="s">
        <v>108</v>
      </c>
      <c r="E40">
        <v>5</v>
      </c>
      <c r="F40">
        <v>34</v>
      </c>
      <c r="G40">
        <v>170</v>
      </c>
      <c r="H40" s="13">
        <v>1.1399999999999999</v>
      </c>
      <c r="I40" s="13">
        <v>193.79999999999998</v>
      </c>
    </row>
    <row r="41" spans="1:9" x14ac:dyDescent="0.25">
      <c r="A41" s="80" t="s">
        <v>308</v>
      </c>
      <c r="B41" s="80" t="s">
        <v>71</v>
      </c>
      <c r="C41" s="80" t="s">
        <v>24</v>
      </c>
      <c r="D41" s="80" t="s">
        <v>96</v>
      </c>
      <c r="E41">
        <v>1</v>
      </c>
      <c r="F41">
        <v>8</v>
      </c>
      <c r="G41">
        <v>8</v>
      </c>
      <c r="H41" s="13">
        <v>208.34</v>
      </c>
      <c r="I41" s="13">
        <v>1666.72</v>
      </c>
    </row>
    <row r="42" spans="1:9" x14ac:dyDescent="0.25">
      <c r="A42" s="80" t="s">
        <v>30</v>
      </c>
      <c r="B42" s="80" t="s">
        <v>71</v>
      </c>
      <c r="C42" s="80" t="s">
        <v>24</v>
      </c>
      <c r="D42" s="80" t="s">
        <v>96</v>
      </c>
      <c r="E42">
        <v>1</v>
      </c>
      <c r="F42">
        <v>6</v>
      </c>
      <c r="G42">
        <v>6</v>
      </c>
      <c r="H42" s="13">
        <v>208.34</v>
      </c>
      <c r="I42" s="13">
        <v>1250.04</v>
      </c>
    </row>
    <row r="43" spans="1:9" x14ac:dyDescent="0.25">
      <c r="A43" s="80" t="s">
        <v>308</v>
      </c>
      <c r="B43" s="80" t="s">
        <v>71</v>
      </c>
      <c r="C43" s="80" t="s">
        <v>27</v>
      </c>
      <c r="D43" s="80" t="s">
        <v>96</v>
      </c>
      <c r="E43">
        <v>1</v>
      </c>
      <c r="F43">
        <v>9</v>
      </c>
      <c r="G43">
        <v>9</v>
      </c>
      <c r="H43" s="13">
        <v>500</v>
      </c>
      <c r="I43" s="13">
        <v>4500</v>
      </c>
    </row>
    <row r="44" spans="1:9" x14ac:dyDescent="0.25">
      <c r="A44" s="80" t="s">
        <v>30</v>
      </c>
      <c r="B44" s="80" t="s">
        <v>71</v>
      </c>
      <c r="C44" s="80" t="s">
        <v>27</v>
      </c>
      <c r="D44" s="80" t="s">
        <v>96</v>
      </c>
      <c r="E44">
        <v>1</v>
      </c>
      <c r="F44">
        <v>2</v>
      </c>
      <c r="G44">
        <v>2</v>
      </c>
      <c r="H44" s="13">
        <v>500</v>
      </c>
      <c r="I44" s="13">
        <v>1000</v>
      </c>
    </row>
    <row r="45" spans="1:9" x14ac:dyDescent="0.25">
      <c r="A45" s="80" t="s">
        <v>308</v>
      </c>
      <c r="B45" s="80" t="s">
        <v>71</v>
      </c>
      <c r="C45" s="80" t="s">
        <v>17</v>
      </c>
      <c r="D45" s="80" t="s">
        <v>92</v>
      </c>
      <c r="E45">
        <v>1</v>
      </c>
      <c r="F45">
        <v>10</v>
      </c>
      <c r="G45">
        <v>10</v>
      </c>
      <c r="H45" s="13">
        <v>954.55</v>
      </c>
      <c r="I45" s="13">
        <v>9545.5</v>
      </c>
    </row>
    <row r="46" spans="1:9" x14ac:dyDescent="0.25">
      <c r="A46" s="80" t="s">
        <v>30</v>
      </c>
      <c r="B46" s="80" t="s">
        <v>71</v>
      </c>
      <c r="C46" s="80" t="s">
        <v>17</v>
      </c>
      <c r="D46" s="80" t="s">
        <v>92</v>
      </c>
      <c r="E46">
        <v>1</v>
      </c>
      <c r="F46">
        <v>14</v>
      </c>
      <c r="G46">
        <v>14</v>
      </c>
      <c r="H46" s="13">
        <v>954.55</v>
      </c>
      <c r="I46" s="13">
        <v>13363.699999999999</v>
      </c>
    </row>
    <row r="47" spans="1:9" x14ac:dyDescent="0.25">
      <c r="A47" s="80" t="s">
        <v>308</v>
      </c>
      <c r="B47" s="80" t="s">
        <v>71</v>
      </c>
      <c r="C47" s="80" t="s">
        <v>25</v>
      </c>
      <c r="D47" s="80" t="s">
        <v>108</v>
      </c>
      <c r="E47">
        <v>200</v>
      </c>
      <c r="F47">
        <v>9</v>
      </c>
      <c r="G47">
        <v>1800</v>
      </c>
      <c r="H47" s="13">
        <v>1.35</v>
      </c>
      <c r="I47" s="13">
        <v>2430</v>
      </c>
    </row>
    <row r="48" spans="1:9" x14ac:dyDescent="0.25">
      <c r="A48" s="80" t="s">
        <v>30</v>
      </c>
      <c r="B48" s="80" t="s">
        <v>71</v>
      </c>
      <c r="C48" s="80" t="s">
        <v>25</v>
      </c>
      <c r="D48" s="80" t="s">
        <v>108</v>
      </c>
      <c r="E48">
        <v>200</v>
      </c>
      <c r="F48">
        <v>20</v>
      </c>
      <c r="G48">
        <v>4000</v>
      </c>
      <c r="H48" s="13">
        <v>1.35</v>
      </c>
      <c r="I48" s="13">
        <v>5400</v>
      </c>
    </row>
    <row r="49" spans="1:9" x14ac:dyDescent="0.25">
      <c r="A49" s="80" t="s">
        <v>30</v>
      </c>
      <c r="B49" s="80" t="s">
        <v>71</v>
      </c>
      <c r="C49" s="80" t="s">
        <v>112</v>
      </c>
      <c r="D49" s="80" t="s">
        <v>96</v>
      </c>
      <c r="E49">
        <v>1</v>
      </c>
      <c r="F49">
        <v>4</v>
      </c>
      <c r="G49">
        <v>4</v>
      </c>
      <c r="H49" s="13">
        <v>1312.5</v>
      </c>
      <c r="I49" s="13">
        <v>5250</v>
      </c>
    </row>
    <row r="50" spans="1:9" x14ac:dyDescent="0.25">
      <c r="A50" s="80" t="s">
        <v>308</v>
      </c>
      <c r="B50" s="80" t="s">
        <v>71</v>
      </c>
      <c r="C50" s="80" t="s">
        <v>112</v>
      </c>
      <c r="D50" s="80" t="s">
        <v>96</v>
      </c>
      <c r="E50">
        <v>1</v>
      </c>
      <c r="F50">
        <v>3</v>
      </c>
      <c r="G50">
        <v>3</v>
      </c>
      <c r="H50" s="13">
        <v>1312.5</v>
      </c>
      <c r="I50" s="13">
        <v>3937.5</v>
      </c>
    </row>
    <row r="51" spans="1:9" x14ac:dyDescent="0.25">
      <c r="A51" s="80" t="s">
        <v>308</v>
      </c>
      <c r="B51" s="80" t="s">
        <v>71</v>
      </c>
      <c r="C51" s="80" t="s">
        <v>10</v>
      </c>
      <c r="D51" s="80" t="s">
        <v>108</v>
      </c>
      <c r="E51">
        <v>0.1</v>
      </c>
      <c r="F51">
        <v>33</v>
      </c>
      <c r="G51">
        <v>3.3</v>
      </c>
      <c r="H51" s="13">
        <v>0.2</v>
      </c>
      <c r="I51" s="13">
        <v>0.66000000000000014</v>
      </c>
    </row>
    <row r="52" spans="1:9" x14ac:dyDescent="0.25">
      <c r="A52" s="80" t="s">
        <v>30</v>
      </c>
      <c r="B52" s="80" t="s">
        <v>71</v>
      </c>
      <c r="C52" s="80" t="s">
        <v>10</v>
      </c>
      <c r="D52" s="80" t="s">
        <v>108</v>
      </c>
      <c r="E52">
        <v>0.1</v>
      </c>
      <c r="F52">
        <v>34</v>
      </c>
      <c r="G52">
        <v>3.4</v>
      </c>
      <c r="H52" s="13">
        <v>0.2</v>
      </c>
      <c r="I52" s="13">
        <v>0.68</v>
      </c>
    </row>
    <row r="53" spans="1:9" x14ac:dyDescent="0.25">
      <c r="A53" s="80" t="s">
        <v>30</v>
      </c>
      <c r="B53" s="80" t="s">
        <v>71</v>
      </c>
      <c r="C53" s="80" t="s">
        <v>26</v>
      </c>
      <c r="D53" s="80" t="s">
        <v>108</v>
      </c>
      <c r="E53">
        <v>165</v>
      </c>
      <c r="F53">
        <v>4</v>
      </c>
      <c r="G53">
        <v>660</v>
      </c>
      <c r="H53" s="13">
        <v>1.2</v>
      </c>
      <c r="I53" s="13">
        <v>792</v>
      </c>
    </row>
    <row r="54" spans="1:9" x14ac:dyDescent="0.25">
      <c r="A54" s="80" t="s">
        <v>308</v>
      </c>
      <c r="B54" s="80" t="s">
        <v>71</v>
      </c>
      <c r="C54" s="80" t="s">
        <v>8</v>
      </c>
      <c r="D54" s="80" t="s">
        <v>108</v>
      </c>
      <c r="E54">
        <v>200</v>
      </c>
      <c r="F54">
        <v>33</v>
      </c>
      <c r="G54">
        <v>6600</v>
      </c>
      <c r="H54" s="13">
        <v>0.4</v>
      </c>
      <c r="I54" s="13">
        <v>2640</v>
      </c>
    </row>
    <row r="55" spans="1:9" x14ac:dyDescent="0.25">
      <c r="A55" s="80" t="s">
        <v>30</v>
      </c>
      <c r="B55" s="80" t="s">
        <v>71</v>
      </c>
      <c r="C55" s="80" t="s">
        <v>8</v>
      </c>
      <c r="D55" s="80" t="s">
        <v>108</v>
      </c>
      <c r="E55">
        <v>200</v>
      </c>
      <c r="F55">
        <v>34</v>
      </c>
      <c r="G55">
        <v>6800</v>
      </c>
      <c r="H55" s="13">
        <v>0.4</v>
      </c>
      <c r="I55" s="13">
        <v>2720</v>
      </c>
    </row>
    <row r="56" spans="1:9" x14ac:dyDescent="0.25">
      <c r="A56" s="80" t="s">
        <v>308</v>
      </c>
      <c r="B56" s="80" t="s">
        <v>71</v>
      </c>
      <c r="C56" s="80" t="s">
        <v>16</v>
      </c>
      <c r="D56" s="80" t="s">
        <v>96</v>
      </c>
      <c r="E56">
        <v>1</v>
      </c>
      <c r="F56">
        <v>2</v>
      </c>
      <c r="G56">
        <v>2</v>
      </c>
      <c r="H56" s="13">
        <v>954.55</v>
      </c>
      <c r="I56" s="13">
        <v>1909.1</v>
      </c>
    </row>
    <row r="57" spans="1:9" x14ac:dyDescent="0.25">
      <c r="A57" s="80" t="s">
        <v>30</v>
      </c>
      <c r="B57" s="80" t="s">
        <v>71</v>
      </c>
      <c r="C57" s="80" t="s">
        <v>16</v>
      </c>
      <c r="D57" s="80" t="s">
        <v>96</v>
      </c>
      <c r="E57">
        <v>1</v>
      </c>
      <c r="F57">
        <v>7</v>
      </c>
      <c r="G57">
        <v>7</v>
      </c>
      <c r="H57" s="13">
        <v>954.55</v>
      </c>
      <c r="I57" s="13">
        <v>6681.8499999999995</v>
      </c>
    </row>
    <row r="58" spans="1:9" x14ac:dyDescent="0.25">
      <c r="A58" s="80" t="s">
        <v>30</v>
      </c>
      <c r="B58" s="80" t="s">
        <v>71</v>
      </c>
      <c r="C58" s="80" t="s">
        <v>109</v>
      </c>
      <c r="D58" s="80" t="s">
        <v>96</v>
      </c>
      <c r="E58">
        <v>1</v>
      </c>
      <c r="F58">
        <v>1</v>
      </c>
      <c r="G58">
        <v>1</v>
      </c>
      <c r="H58" s="13">
        <v>250</v>
      </c>
      <c r="I58" s="13">
        <v>250</v>
      </c>
    </row>
    <row r="59" spans="1:9" x14ac:dyDescent="0.25">
      <c r="A59" s="80" t="s">
        <v>308</v>
      </c>
      <c r="B59" s="80" t="s">
        <v>71</v>
      </c>
      <c r="C59" s="80" t="s">
        <v>109</v>
      </c>
      <c r="D59" s="80" t="s">
        <v>96</v>
      </c>
      <c r="E59">
        <v>1</v>
      </c>
      <c r="F59">
        <v>2</v>
      </c>
      <c r="G59">
        <v>2</v>
      </c>
      <c r="H59" s="13">
        <v>250</v>
      </c>
      <c r="I59" s="13">
        <v>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94B4-77A7-49E1-B720-023C39B5D3CB}">
  <dimension ref="A2:F228"/>
  <sheetViews>
    <sheetView topLeftCell="A3" workbookViewId="0">
      <selection activeCell="B107" sqref="B107"/>
    </sheetView>
  </sheetViews>
  <sheetFormatPr defaultRowHeight="15" x14ac:dyDescent="0.25"/>
  <cols>
    <col min="1" max="1" width="10.28515625" bestFit="1" customWidth="1"/>
    <col min="2" max="2" width="33.85546875" bestFit="1" customWidth="1"/>
    <col min="3" max="3" width="11.85546875" bestFit="1" customWidth="1"/>
    <col min="4" max="4" width="12.85546875" bestFit="1" customWidth="1"/>
    <col min="5" max="5" width="9" bestFit="1" customWidth="1"/>
    <col min="6" max="6" width="11.140625" customWidth="1"/>
    <col min="7" max="7" width="11.140625" bestFit="1" customWidth="1"/>
  </cols>
  <sheetData>
    <row r="2" spans="1:6" ht="23.25" x14ac:dyDescent="0.35">
      <c r="A2" s="17" t="s">
        <v>79</v>
      </c>
      <c r="B2" s="12"/>
      <c r="C2" s="12"/>
      <c r="D2" s="14"/>
      <c r="E2" s="14"/>
      <c r="F2" s="14"/>
    </row>
    <row r="4" spans="1:6" x14ac:dyDescent="0.25">
      <c r="A4" s="1" t="s">
        <v>4</v>
      </c>
      <c r="B4" s="1" t="s">
        <v>5</v>
      </c>
      <c r="C4" s="1" t="s">
        <v>3</v>
      </c>
      <c r="D4" t="s">
        <v>282</v>
      </c>
      <c r="E4" s="1" t="s">
        <v>94</v>
      </c>
      <c r="F4" s="1" t="s">
        <v>6</v>
      </c>
    </row>
    <row r="5" spans="1:6" x14ac:dyDescent="0.25">
      <c r="A5" s="80" t="s">
        <v>163</v>
      </c>
      <c r="B5" s="80" t="s">
        <v>127</v>
      </c>
      <c r="C5" s="80" t="s">
        <v>76</v>
      </c>
      <c r="D5" t="s">
        <v>283</v>
      </c>
      <c r="E5" s="80" t="s">
        <v>134</v>
      </c>
      <c r="F5" s="80">
        <v>11</v>
      </c>
    </row>
    <row r="6" spans="1:6" x14ac:dyDescent="0.25">
      <c r="A6" s="80" t="s">
        <v>163</v>
      </c>
      <c r="B6" s="80" t="s">
        <v>80</v>
      </c>
      <c r="C6" s="80" t="s">
        <v>76</v>
      </c>
      <c r="D6" t="s">
        <v>283</v>
      </c>
      <c r="E6" s="80" t="s">
        <v>97</v>
      </c>
      <c r="F6" s="80">
        <v>1</v>
      </c>
    </row>
    <row r="7" spans="1:6" x14ac:dyDescent="0.25">
      <c r="A7" s="80" t="s">
        <v>163</v>
      </c>
      <c r="B7" s="80" t="s">
        <v>33</v>
      </c>
      <c r="C7" s="80" t="s">
        <v>76</v>
      </c>
      <c r="D7" t="s">
        <v>283</v>
      </c>
      <c r="E7" s="80" t="s">
        <v>97</v>
      </c>
      <c r="F7" s="80">
        <v>3</v>
      </c>
    </row>
    <row r="8" spans="1:6" x14ac:dyDescent="0.25">
      <c r="A8" s="80" t="s">
        <v>163</v>
      </c>
      <c r="B8" s="80" t="s">
        <v>37</v>
      </c>
      <c r="C8" s="80" t="s">
        <v>76</v>
      </c>
      <c r="D8" t="s">
        <v>283</v>
      </c>
      <c r="E8" s="80" t="s">
        <v>97</v>
      </c>
      <c r="F8" s="80">
        <v>5</v>
      </c>
    </row>
    <row r="9" spans="1:6" x14ac:dyDescent="0.25">
      <c r="A9" s="80" t="s">
        <v>163</v>
      </c>
      <c r="B9" s="80" t="s">
        <v>43</v>
      </c>
      <c r="C9" s="80" t="s">
        <v>76</v>
      </c>
      <c r="D9" t="s">
        <v>283</v>
      </c>
      <c r="E9" s="80" t="s">
        <v>97</v>
      </c>
      <c r="F9" s="80">
        <v>5</v>
      </c>
    </row>
    <row r="10" spans="1:6" x14ac:dyDescent="0.25">
      <c r="A10" s="80" t="s">
        <v>163</v>
      </c>
      <c r="B10" s="80" t="s">
        <v>44</v>
      </c>
      <c r="C10" s="80" t="s">
        <v>76</v>
      </c>
      <c r="D10" t="s">
        <v>283</v>
      </c>
      <c r="E10" s="80" t="s">
        <v>97</v>
      </c>
      <c r="F10" s="80">
        <v>4</v>
      </c>
    </row>
    <row r="11" spans="1:6" x14ac:dyDescent="0.25">
      <c r="A11" s="80" t="s">
        <v>163</v>
      </c>
      <c r="B11" s="80" t="s">
        <v>34</v>
      </c>
      <c r="C11" s="80" t="s">
        <v>76</v>
      </c>
      <c r="D11" t="s">
        <v>283</v>
      </c>
      <c r="E11" s="80" t="s">
        <v>97</v>
      </c>
      <c r="F11" s="80">
        <v>3</v>
      </c>
    </row>
    <row r="12" spans="1:6" x14ac:dyDescent="0.25">
      <c r="A12" s="80" t="s">
        <v>163</v>
      </c>
      <c r="B12" s="80" t="s">
        <v>32</v>
      </c>
      <c r="C12" s="80" t="s">
        <v>76</v>
      </c>
      <c r="D12" t="s">
        <v>283</v>
      </c>
      <c r="E12" s="80" t="s">
        <v>97</v>
      </c>
      <c r="F12" s="80">
        <v>4</v>
      </c>
    </row>
    <row r="13" spans="1:6" x14ac:dyDescent="0.25">
      <c r="A13" s="80" t="s">
        <v>163</v>
      </c>
      <c r="B13" s="80" t="s">
        <v>39</v>
      </c>
      <c r="C13" s="80" t="s">
        <v>76</v>
      </c>
      <c r="D13" t="s">
        <v>283</v>
      </c>
      <c r="E13" s="80" t="s">
        <v>97</v>
      </c>
      <c r="F13" s="80">
        <v>5</v>
      </c>
    </row>
    <row r="14" spans="1:6" x14ac:dyDescent="0.25">
      <c r="A14" s="80" t="s">
        <v>163</v>
      </c>
      <c r="B14" s="80" t="s">
        <v>38</v>
      </c>
      <c r="C14" s="80" t="s">
        <v>76</v>
      </c>
      <c r="D14" t="s">
        <v>283</v>
      </c>
      <c r="E14" s="80" t="s">
        <v>97</v>
      </c>
      <c r="F14" s="80">
        <v>9</v>
      </c>
    </row>
    <row r="15" spans="1:6" x14ac:dyDescent="0.25">
      <c r="A15" s="80" t="s">
        <v>163</v>
      </c>
      <c r="B15" s="80" t="s">
        <v>40</v>
      </c>
      <c r="C15" s="80" t="s">
        <v>76</v>
      </c>
      <c r="D15" t="s">
        <v>283</v>
      </c>
      <c r="E15" s="80" t="s">
        <v>97</v>
      </c>
      <c r="F15" s="80">
        <v>11</v>
      </c>
    </row>
    <row r="16" spans="1:6" x14ac:dyDescent="0.25">
      <c r="A16" s="80" t="s">
        <v>163</v>
      </c>
      <c r="B16" s="80" t="s">
        <v>46</v>
      </c>
      <c r="C16" s="80" t="s">
        <v>76</v>
      </c>
      <c r="D16" t="s">
        <v>283</v>
      </c>
      <c r="E16" s="80" t="s">
        <v>97</v>
      </c>
      <c r="F16" s="80">
        <v>18</v>
      </c>
    </row>
    <row r="17" spans="1:6" x14ac:dyDescent="0.25">
      <c r="A17" s="80" t="s">
        <v>163</v>
      </c>
      <c r="B17" s="80" t="s">
        <v>45</v>
      </c>
      <c r="C17" s="80" t="s">
        <v>76</v>
      </c>
      <c r="D17" t="s">
        <v>283</v>
      </c>
      <c r="E17" s="80" t="s">
        <v>97</v>
      </c>
      <c r="F17" s="80">
        <v>26</v>
      </c>
    </row>
    <row r="18" spans="1:6" x14ac:dyDescent="0.25">
      <c r="A18" s="80" t="s">
        <v>163</v>
      </c>
      <c r="B18" s="80" t="s">
        <v>36</v>
      </c>
      <c r="C18" s="80" t="s">
        <v>76</v>
      </c>
      <c r="D18" t="s">
        <v>283</v>
      </c>
      <c r="E18" s="80" t="s">
        <v>97</v>
      </c>
      <c r="F18" s="80">
        <v>11</v>
      </c>
    </row>
    <row r="19" spans="1:6" x14ac:dyDescent="0.25">
      <c r="A19" s="80" t="s">
        <v>163</v>
      </c>
      <c r="B19" s="80" t="s">
        <v>42</v>
      </c>
      <c r="C19" s="80" t="s">
        <v>76</v>
      </c>
      <c r="D19" t="s">
        <v>283</v>
      </c>
      <c r="E19" s="80" t="s">
        <v>97</v>
      </c>
      <c r="F19" s="80">
        <v>3</v>
      </c>
    </row>
    <row r="20" spans="1:6" x14ac:dyDescent="0.25">
      <c r="A20" s="80" t="s">
        <v>163</v>
      </c>
      <c r="B20" s="80" t="s">
        <v>35</v>
      </c>
      <c r="C20" s="80" t="s">
        <v>76</v>
      </c>
      <c r="D20" t="s">
        <v>283</v>
      </c>
      <c r="E20" s="80" t="s">
        <v>97</v>
      </c>
      <c r="F20" s="80">
        <v>5</v>
      </c>
    </row>
    <row r="21" spans="1:6" x14ac:dyDescent="0.25">
      <c r="A21" s="80" t="s">
        <v>163</v>
      </c>
      <c r="B21" s="80" t="s">
        <v>41</v>
      </c>
      <c r="C21" s="80" t="s">
        <v>76</v>
      </c>
      <c r="D21" t="s">
        <v>283</v>
      </c>
      <c r="E21" s="80" t="s">
        <v>97</v>
      </c>
      <c r="F21" s="80">
        <v>7</v>
      </c>
    </row>
    <row r="22" spans="1:6" x14ac:dyDescent="0.25">
      <c r="A22" s="80" t="s">
        <v>163</v>
      </c>
      <c r="B22" s="80" t="s">
        <v>47</v>
      </c>
      <c r="C22" s="80" t="s">
        <v>76</v>
      </c>
      <c r="D22" t="s">
        <v>283</v>
      </c>
      <c r="E22" s="80" t="s">
        <v>97</v>
      </c>
      <c r="F22" s="80">
        <v>2</v>
      </c>
    </row>
    <row r="23" spans="1:6" x14ac:dyDescent="0.25">
      <c r="A23" s="80" t="s">
        <v>163</v>
      </c>
      <c r="B23" s="80" t="s">
        <v>129</v>
      </c>
      <c r="C23" s="80" t="s">
        <v>76</v>
      </c>
      <c r="D23" t="s">
        <v>283</v>
      </c>
      <c r="E23" s="80" t="s">
        <v>130</v>
      </c>
      <c r="F23" s="80">
        <v>1</v>
      </c>
    </row>
    <row r="24" spans="1:6" x14ac:dyDescent="0.25">
      <c r="A24" s="80" t="s">
        <v>163</v>
      </c>
      <c r="B24" s="80" t="s">
        <v>61</v>
      </c>
      <c r="C24" s="80" t="s">
        <v>76</v>
      </c>
      <c r="D24" t="s">
        <v>283</v>
      </c>
      <c r="E24" s="80" t="s">
        <v>97</v>
      </c>
      <c r="F24" s="80">
        <v>6</v>
      </c>
    </row>
    <row r="25" spans="1:6" x14ac:dyDescent="0.25">
      <c r="A25" s="80" t="s">
        <v>163</v>
      </c>
      <c r="B25" s="80" t="s">
        <v>60</v>
      </c>
      <c r="C25" s="80" t="s">
        <v>76</v>
      </c>
      <c r="D25" t="s">
        <v>283</v>
      </c>
      <c r="E25" s="80" t="s">
        <v>97</v>
      </c>
      <c r="F25" s="80">
        <v>3</v>
      </c>
    </row>
    <row r="26" spans="1:6" x14ac:dyDescent="0.25">
      <c r="A26" s="80" t="s">
        <v>163</v>
      </c>
      <c r="B26" s="80" t="s">
        <v>59</v>
      </c>
      <c r="C26" s="80" t="s">
        <v>76</v>
      </c>
      <c r="D26" t="s">
        <v>283</v>
      </c>
      <c r="E26" s="80" t="s">
        <v>97</v>
      </c>
      <c r="F26" s="80">
        <v>20</v>
      </c>
    </row>
    <row r="27" spans="1:6" x14ac:dyDescent="0.25">
      <c r="A27" s="80" t="s">
        <v>163</v>
      </c>
      <c r="B27" s="80" t="s">
        <v>15</v>
      </c>
      <c r="C27" s="80" t="s">
        <v>71</v>
      </c>
      <c r="D27" t="s">
        <v>285</v>
      </c>
      <c r="E27" s="80" t="s">
        <v>96</v>
      </c>
      <c r="F27" s="80">
        <v>7</v>
      </c>
    </row>
    <row r="28" spans="1:6" x14ac:dyDescent="0.25">
      <c r="A28" s="80" t="s">
        <v>163</v>
      </c>
      <c r="B28" s="80" t="s">
        <v>148</v>
      </c>
      <c r="C28" s="80" t="s">
        <v>149</v>
      </c>
      <c r="D28" t="s">
        <v>283</v>
      </c>
      <c r="E28" s="80" t="s">
        <v>150</v>
      </c>
      <c r="F28" s="80">
        <v>11</v>
      </c>
    </row>
    <row r="29" spans="1:6" x14ac:dyDescent="0.25">
      <c r="A29" s="80" t="s">
        <v>163</v>
      </c>
      <c r="B29" s="80" t="s">
        <v>22</v>
      </c>
      <c r="C29" s="80" t="s">
        <v>71</v>
      </c>
      <c r="D29" t="s">
        <v>284</v>
      </c>
      <c r="E29" s="80" t="s">
        <v>99</v>
      </c>
      <c r="F29" s="80">
        <v>3000</v>
      </c>
    </row>
    <row r="30" spans="1:6" x14ac:dyDescent="0.25">
      <c r="A30" s="80" t="s">
        <v>163</v>
      </c>
      <c r="B30" s="80" t="s">
        <v>81</v>
      </c>
      <c r="C30" s="80" t="s">
        <v>76</v>
      </c>
      <c r="D30" t="s">
        <v>283</v>
      </c>
      <c r="E30" s="80" t="s">
        <v>97</v>
      </c>
      <c r="F30" s="80">
        <v>2</v>
      </c>
    </row>
    <row r="31" spans="1:6" x14ac:dyDescent="0.25">
      <c r="A31" s="80" t="s">
        <v>163</v>
      </c>
      <c r="B31" s="80" t="s">
        <v>51</v>
      </c>
      <c r="C31" s="80" t="s">
        <v>76</v>
      </c>
      <c r="D31" t="s">
        <v>283</v>
      </c>
      <c r="E31" s="80" t="s">
        <v>97</v>
      </c>
      <c r="F31" s="80">
        <v>4</v>
      </c>
    </row>
    <row r="32" spans="1:6" x14ac:dyDescent="0.25">
      <c r="A32" s="80" t="s">
        <v>163</v>
      </c>
      <c r="B32" s="80" t="s">
        <v>53</v>
      </c>
      <c r="C32" s="80" t="s">
        <v>76</v>
      </c>
      <c r="D32" t="s">
        <v>283</v>
      </c>
      <c r="E32" s="80" t="s">
        <v>97</v>
      </c>
      <c r="F32" s="80">
        <v>12</v>
      </c>
    </row>
    <row r="33" spans="1:6" x14ac:dyDescent="0.25">
      <c r="A33" s="80" t="s">
        <v>163</v>
      </c>
      <c r="B33" s="80" t="s">
        <v>156</v>
      </c>
      <c r="C33" s="80" t="s">
        <v>76</v>
      </c>
      <c r="D33" t="s">
        <v>283</v>
      </c>
      <c r="E33" s="80" t="s">
        <v>97</v>
      </c>
      <c r="F33" s="80">
        <v>15</v>
      </c>
    </row>
    <row r="34" spans="1:6" x14ac:dyDescent="0.25">
      <c r="A34" s="80" t="s">
        <v>163</v>
      </c>
      <c r="B34" s="80" t="s">
        <v>49</v>
      </c>
      <c r="C34" s="80" t="s">
        <v>76</v>
      </c>
      <c r="D34" t="s">
        <v>283</v>
      </c>
      <c r="E34" s="80" t="s">
        <v>97</v>
      </c>
      <c r="F34" s="80">
        <v>2</v>
      </c>
    </row>
    <row r="35" spans="1:6" x14ac:dyDescent="0.25">
      <c r="A35" s="80" t="s">
        <v>163</v>
      </c>
      <c r="B35" s="80" t="s">
        <v>50</v>
      </c>
      <c r="C35" s="80" t="s">
        <v>76</v>
      </c>
      <c r="D35" t="s">
        <v>283</v>
      </c>
      <c r="E35" s="80" t="s">
        <v>97</v>
      </c>
      <c r="F35" s="80">
        <v>2</v>
      </c>
    </row>
    <row r="36" spans="1:6" x14ac:dyDescent="0.25">
      <c r="A36" s="80" t="s">
        <v>163</v>
      </c>
      <c r="B36" s="80" t="s">
        <v>48</v>
      </c>
      <c r="C36" s="80" t="s">
        <v>76</v>
      </c>
      <c r="D36" t="s">
        <v>283</v>
      </c>
      <c r="E36" s="80" t="s">
        <v>97</v>
      </c>
      <c r="F36" s="80">
        <v>4</v>
      </c>
    </row>
    <row r="37" spans="1:6" x14ac:dyDescent="0.25">
      <c r="A37" s="80" t="s">
        <v>163</v>
      </c>
      <c r="B37" s="80" t="s">
        <v>155</v>
      </c>
      <c r="C37" s="80" t="s">
        <v>76</v>
      </c>
      <c r="D37" t="s">
        <v>283</v>
      </c>
      <c r="E37" s="80" t="s">
        <v>97</v>
      </c>
      <c r="F37" s="80">
        <v>19</v>
      </c>
    </row>
    <row r="38" spans="1:6" x14ac:dyDescent="0.25">
      <c r="A38" s="80" t="s">
        <v>163</v>
      </c>
      <c r="B38" s="80" t="s">
        <v>52</v>
      </c>
      <c r="C38" s="80" t="s">
        <v>76</v>
      </c>
      <c r="D38" t="s">
        <v>283</v>
      </c>
      <c r="E38" s="80" t="s">
        <v>97</v>
      </c>
      <c r="F38" s="80">
        <v>2</v>
      </c>
    </row>
    <row r="39" spans="1:6" x14ac:dyDescent="0.25">
      <c r="A39" s="80" t="s">
        <v>163</v>
      </c>
      <c r="B39" s="80" t="s">
        <v>137</v>
      </c>
      <c r="C39" s="80" t="s">
        <v>71</v>
      </c>
      <c r="D39" t="s">
        <v>284</v>
      </c>
      <c r="E39" s="80" t="s">
        <v>143</v>
      </c>
      <c r="F39" s="80">
        <v>52</v>
      </c>
    </row>
    <row r="40" spans="1:6" x14ac:dyDescent="0.25">
      <c r="A40" s="80" t="s">
        <v>163</v>
      </c>
      <c r="B40" s="80" t="s">
        <v>20</v>
      </c>
      <c r="C40" s="80" t="s">
        <v>71</v>
      </c>
      <c r="D40" t="s">
        <v>285</v>
      </c>
      <c r="E40" s="80" t="s">
        <v>93</v>
      </c>
      <c r="F40" s="80">
        <v>8</v>
      </c>
    </row>
    <row r="41" spans="1:6" x14ac:dyDescent="0.25">
      <c r="A41" s="80" t="s">
        <v>163</v>
      </c>
      <c r="B41" s="80" t="s">
        <v>139</v>
      </c>
      <c r="C41" s="80" t="s">
        <v>71</v>
      </c>
      <c r="D41" t="s">
        <v>284</v>
      </c>
      <c r="E41" s="80" t="s">
        <v>143</v>
      </c>
      <c r="F41" s="80">
        <v>92</v>
      </c>
    </row>
    <row r="42" spans="1:6" x14ac:dyDescent="0.25">
      <c r="A42" s="80" t="s">
        <v>163</v>
      </c>
      <c r="B42" s="80" t="s">
        <v>138</v>
      </c>
      <c r="C42" s="80" t="s">
        <v>71</v>
      </c>
      <c r="D42" t="s">
        <v>284</v>
      </c>
      <c r="E42" s="80" t="s">
        <v>143</v>
      </c>
      <c r="F42" s="80">
        <v>84</v>
      </c>
    </row>
    <row r="43" spans="1:6" x14ac:dyDescent="0.25">
      <c r="A43" s="80" t="s">
        <v>163</v>
      </c>
      <c r="B43" s="80" t="s">
        <v>135</v>
      </c>
      <c r="C43" s="80" t="s">
        <v>71</v>
      </c>
      <c r="D43" t="s">
        <v>284</v>
      </c>
      <c r="E43" s="80" t="s">
        <v>145</v>
      </c>
      <c r="F43" s="80">
        <v>46</v>
      </c>
    </row>
    <row r="44" spans="1:6" x14ac:dyDescent="0.25">
      <c r="A44" s="80" t="s">
        <v>163</v>
      </c>
      <c r="B44" s="80" t="s">
        <v>82</v>
      </c>
      <c r="C44" s="80" t="s">
        <v>76</v>
      </c>
      <c r="D44" t="s">
        <v>283</v>
      </c>
      <c r="E44" s="80" t="s">
        <v>97</v>
      </c>
      <c r="F44" s="80">
        <v>1</v>
      </c>
    </row>
    <row r="45" spans="1:6" x14ac:dyDescent="0.25">
      <c r="A45" s="80" t="s">
        <v>163</v>
      </c>
      <c r="B45" s="80" t="s">
        <v>23</v>
      </c>
      <c r="C45" s="80" t="s">
        <v>71</v>
      </c>
      <c r="D45" t="s">
        <v>284</v>
      </c>
      <c r="E45" s="80" t="s">
        <v>96</v>
      </c>
      <c r="F45" s="80">
        <v>5</v>
      </c>
    </row>
    <row r="46" spans="1:6" x14ac:dyDescent="0.25">
      <c r="A46" s="80" t="s">
        <v>163</v>
      </c>
      <c r="B46" s="80" t="s">
        <v>29</v>
      </c>
      <c r="C46" s="80" t="s">
        <v>71</v>
      </c>
      <c r="D46" t="s">
        <v>285</v>
      </c>
      <c r="E46" s="80" t="s">
        <v>168</v>
      </c>
      <c r="F46" s="80">
        <v>5</v>
      </c>
    </row>
    <row r="47" spans="1:6" x14ac:dyDescent="0.25">
      <c r="A47" s="80" t="s">
        <v>163</v>
      </c>
      <c r="B47" s="80" t="s">
        <v>27</v>
      </c>
      <c r="C47" s="80" t="s">
        <v>71</v>
      </c>
      <c r="D47" t="s">
        <v>285</v>
      </c>
      <c r="E47" s="80" t="s">
        <v>96</v>
      </c>
      <c r="F47" s="80">
        <v>2</v>
      </c>
    </row>
    <row r="48" spans="1:6" x14ac:dyDescent="0.25">
      <c r="A48" s="80" t="s">
        <v>163</v>
      </c>
      <c r="B48" s="80" t="s">
        <v>17</v>
      </c>
      <c r="C48" s="80" t="s">
        <v>71</v>
      </c>
      <c r="D48" t="s">
        <v>285</v>
      </c>
      <c r="E48" s="80" t="s">
        <v>92</v>
      </c>
      <c r="F48" s="80">
        <v>14</v>
      </c>
    </row>
    <row r="49" spans="1:6" x14ac:dyDescent="0.25">
      <c r="A49" s="80" t="s">
        <v>163</v>
      </c>
      <c r="B49" s="80" t="s">
        <v>28</v>
      </c>
      <c r="C49" s="80" t="s">
        <v>71</v>
      </c>
      <c r="D49" t="s">
        <v>285</v>
      </c>
      <c r="E49" s="80" t="s">
        <v>96</v>
      </c>
      <c r="F49" s="80">
        <v>8</v>
      </c>
    </row>
    <row r="50" spans="1:6" x14ac:dyDescent="0.25">
      <c r="A50" s="80" t="s">
        <v>163</v>
      </c>
      <c r="B50" s="80" t="s">
        <v>83</v>
      </c>
      <c r="C50" s="80" t="s">
        <v>76</v>
      </c>
      <c r="D50" t="s">
        <v>283</v>
      </c>
      <c r="E50" s="80" t="s">
        <v>97</v>
      </c>
      <c r="F50" s="80">
        <v>1</v>
      </c>
    </row>
    <row r="51" spans="1:6" x14ac:dyDescent="0.25">
      <c r="A51" s="80" t="s">
        <v>163</v>
      </c>
      <c r="B51" s="80" t="s">
        <v>25</v>
      </c>
      <c r="C51" s="80" t="s">
        <v>71</v>
      </c>
      <c r="D51" t="s">
        <v>284</v>
      </c>
      <c r="E51" s="80" t="s">
        <v>108</v>
      </c>
      <c r="F51" s="80">
        <v>6400</v>
      </c>
    </row>
    <row r="52" spans="1:6" x14ac:dyDescent="0.25">
      <c r="A52" s="80" t="s">
        <v>163</v>
      </c>
      <c r="B52" s="80" t="s">
        <v>112</v>
      </c>
      <c r="C52" s="80" t="s">
        <v>71</v>
      </c>
      <c r="D52" t="s">
        <v>285</v>
      </c>
      <c r="E52" s="80" t="s">
        <v>96</v>
      </c>
      <c r="F52" s="80">
        <v>4</v>
      </c>
    </row>
    <row r="53" spans="1:6" x14ac:dyDescent="0.25">
      <c r="A53" s="80" t="s">
        <v>163</v>
      </c>
      <c r="B53" s="80" t="s">
        <v>26</v>
      </c>
      <c r="C53" s="80" t="s">
        <v>71</v>
      </c>
      <c r="D53" t="s">
        <v>284</v>
      </c>
      <c r="E53" s="80" t="s">
        <v>108</v>
      </c>
      <c r="F53" s="80">
        <v>1494</v>
      </c>
    </row>
    <row r="54" spans="1:6" x14ac:dyDescent="0.25">
      <c r="A54" s="80" t="s">
        <v>163</v>
      </c>
      <c r="B54" s="80" t="s">
        <v>140</v>
      </c>
      <c r="C54" s="80" t="s">
        <v>142</v>
      </c>
      <c r="D54" t="s">
        <v>283</v>
      </c>
      <c r="E54" s="80" t="s">
        <v>143</v>
      </c>
      <c r="F54" s="80">
        <v>25</v>
      </c>
    </row>
    <row r="55" spans="1:6" x14ac:dyDescent="0.25">
      <c r="A55" s="80" t="s">
        <v>163</v>
      </c>
      <c r="B55" s="80" t="s">
        <v>16</v>
      </c>
      <c r="C55" s="80" t="s">
        <v>71</v>
      </c>
      <c r="D55" t="s">
        <v>285</v>
      </c>
      <c r="E55" s="80" t="s">
        <v>96</v>
      </c>
      <c r="F55" s="80">
        <v>9</v>
      </c>
    </row>
    <row r="56" spans="1:6" x14ac:dyDescent="0.25">
      <c r="A56" s="80" t="s">
        <v>163</v>
      </c>
      <c r="B56" s="80" t="s">
        <v>84</v>
      </c>
      <c r="C56" s="80" t="s">
        <v>76</v>
      </c>
      <c r="D56" t="s">
        <v>283</v>
      </c>
      <c r="E56" s="80" t="s">
        <v>97</v>
      </c>
      <c r="F56" s="80">
        <v>3</v>
      </c>
    </row>
    <row r="57" spans="1:6" x14ac:dyDescent="0.25">
      <c r="A57" s="80" t="s">
        <v>163</v>
      </c>
      <c r="B57" s="80" t="s">
        <v>85</v>
      </c>
      <c r="C57" s="80" t="s">
        <v>76</v>
      </c>
      <c r="D57" t="s">
        <v>283</v>
      </c>
      <c r="E57" s="80" t="s">
        <v>97</v>
      </c>
      <c r="F57" s="80">
        <v>3</v>
      </c>
    </row>
    <row r="58" spans="1:6" x14ac:dyDescent="0.25">
      <c r="A58" s="80" t="s">
        <v>163</v>
      </c>
      <c r="B58" s="80" t="s">
        <v>58</v>
      </c>
      <c r="C58" s="80" t="s">
        <v>76</v>
      </c>
      <c r="D58" t="s">
        <v>283</v>
      </c>
      <c r="E58" s="80" t="s">
        <v>97</v>
      </c>
      <c r="F58" s="80">
        <v>1</v>
      </c>
    </row>
    <row r="59" spans="1:6" x14ac:dyDescent="0.25">
      <c r="A59" s="80" t="s">
        <v>163</v>
      </c>
      <c r="B59" s="80" t="s">
        <v>303</v>
      </c>
      <c r="C59" s="80" t="s">
        <v>76</v>
      </c>
      <c r="D59" t="s">
        <v>283</v>
      </c>
      <c r="E59" s="80" t="s">
        <v>134</v>
      </c>
      <c r="F59" s="80">
        <v>2</v>
      </c>
    </row>
    <row r="60" spans="1:6" x14ac:dyDescent="0.25">
      <c r="A60" s="80" t="s">
        <v>163</v>
      </c>
      <c r="B60" s="80" t="s">
        <v>56</v>
      </c>
      <c r="C60" s="80" t="s">
        <v>76</v>
      </c>
      <c r="D60" t="s">
        <v>283</v>
      </c>
      <c r="E60" s="80" t="s">
        <v>97</v>
      </c>
      <c r="F60" s="80">
        <v>1</v>
      </c>
    </row>
    <row r="61" spans="1:6" x14ac:dyDescent="0.25">
      <c r="A61" s="80" t="s">
        <v>163</v>
      </c>
      <c r="B61" s="80" t="s">
        <v>57</v>
      </c>
      <c r="C61" s="80" t="s">
        <v>76</v>
      </c>
      <c r="D61" t="s">
        <v>283</v>
      </c>
      <c r="E61" s="80" t="s">
        <v>97</v>
      </c>
      <c r="F61" s="80">
        <v>1</v>
      </c>
    </row>
    <row r="62" spans="1:6" x14ac:dyDescent="0.25">
      <c r="A62" s="80" t="s">
        <v>163</v>
      </c>
      <c r="B62" s="80" t="s">
        <v>146</v>
      </c>
      <c r="C62" s="80" t="s">
        <v>76</v>
      </c>
      <c r="D62" t="s">
        <v>283</v>
      </c>
      <c r="E62" s="80" t="s">
        <v>97</v>
      </c>
      <c r="F62" s="80">
        <v>1</v>
      </c>
    </row>
    <row r="63" spans="1:6" x14ac:dyDescent="0.25">
      <c r="A63" s="80" t="s">
        <v>163</v>
      </c>
      <c r="B63" s="80" t="s">
        <v>128</v>
      </c>
      <c r="C63" s="80" t="s">
        <v>76</v>
      </c>
      <c r="D63" t="s">
        <v>283</v>
      </c>
      <c r="E63" s="80" t="s">
        <v>134</v>
      </c>
      <c r="F63" s="80">
        <v>7</v>
      </c>
    </row>
    <row r="64" spans="1:6" x14ac:dyDescent="0.25">
      <c r="A64" s="80" t="s">
        <v>30</v>
      </c>
      <c r="B64" s="80" t="s">
        <v>127</v>
      </c>
      <c r="C64" s="80" t="s">
        <v>76</v>
      </c>
      <c r="E64" s="80" t="s">
        <v>134</v>
      </c>
      <c r="F64" s="80">
        <v>9</v>
      </c>
    </row>
    <row r="65" spans="1:6" x14ac:dyDescent="0.25">
      <c r="A65" s="80" t="s">
        <v>30</v>
      </c>
      <c r="B65" s="80" t="s">
        <v>80</v>
      </c>
      <c r="C65" s="80" t="s">
        <v>76</v>
      </c>
      <c r="E65" s="80" t="s">
        <v>97</v>
      </c>
      <c r="F65" s="80">
        <v>1</v>
      </c>
    </row>
    <row r="66" spans="1:6" x14ac:dyDescent="0.25">
      <c r="A66" s="80" t="s">
        <v>30</v>
      </c>
      <c r="B66" s="80" t="s">
        <v>33</v>
      </c>
      <c r="C66" s="80" t="s">
        <v>76</v>
      </c>
      <c r="E66" s="80" t="s">
        <v>97</v>
      </c>
      <c r="F66" s="80">
        <v>6</v>
      </c>
    </row>
    <row r="67" spans="1:6" x14ac:dyDescent="0.25">
      <c r="A67" s="80" t="s">
        <v>30</v>
      </c>
      <c r="B67" s="80" t="s">
        <v>37</v>
      </c>
      <c r="C67" s="80" t="s">
        <v>76</v>
      </c>
      <c r="E67" s="80" t="s">
        <v>97</v>
      </c>
      <c r="F67" s="80">
        <v>19</v>
      </c>
    </row>
    <row r="68" spans="1:6" x14ac:dyDescent="0.25">
      <c r="A68" s="80" t="s">
        <v>30</v>
      </c>
      <c r="B68" s="80" t="s">
        <v>44</v>
      </c>
      <c r="C68" s="80" t="s">
        <v>76</v>
      </c>
      <c r="E68" s="80" t="s">
        <v>97</v>
      </c>
      <c r="F68" s="80">
        <v>1</v>
      </c>
    </row>
    <row r="69" spans="1:6" x14ac:dyDescent="0.25">
      <c r="A69" s="80" t="s">
        <v>30</v>
      </c>
      <c r="B69" s="80" t="s">
        <v>34</v>
      </c>
      <c r="C69" s="80" t="s">
        <v>76</v>
      </c>
      <c r="E69" s="80" t="s">
        <v>97</v>
      </c>
      <c r="F69" s="80">
        <v>6</v>
      </c>
    </row>
    <row r="70" spans="1:6" x14ac:dyDescent="0.25">
      <c r="A70" s="80" t="s">
        <v>30</v>
      </c>
      <c r="B70" s="80" t="s">
        <v>39</v>
      </c>
      <c r="C70" s="80" t="s">
        <v>76</v>
      </c>
      <c r="E70" s="80" t="s">
        <v>97</v>
      </c>
      <c r="F70" s="80">
        <v>1</v>
      </c>
    </row>
    <row r="71" spans="1:6" x14ac:dyDescent="0.25">
      <c r="A71" s="80" t="s">
        <v>30</v>
      </c>
      <c r="B71" s="80" t="s">
        <v>38</v>
      </c>
      <c r="C71" s="80" t="s">
        <v>76</v>
      </c>
      <c r="E71" s="80" t="s">
        <v>97</v>
      </c>
      <c r="F71" s="80">
        <v>26</v>
      </c>
    </row>
    <row r="72" spans="1:6" x14ac:dyDescent="0.25">
      <c r="A72" s="80" t="s">
        <v>30</v>
      </c>
      <c r="B72" s="80" t="s">
        <v>40</v>
      </c>
      <c r="C72" s="80" t="s">
        <v>76</v>
      </c>
      <c r="E72" s="80" t="s">
        <v>97</v>
      </c>
      <c r="F72" s="80">
        <v>8</v>
      </c>
    </row>
    <row r="73" spans="1:6" x14ac:dyDescent="0.25">
      <c r="A73" s="80" t="s">
        <v>30</v>
      </c>
      <c r="B73" s="80" t="s">
        <v>46</v>
      </c>
      <c r="C73" s="80" t="s">
        <v>76</v>
      </c>
      <c r="E73" s="80" t="s">
        <v>97</v>
      </c>
      <c r="F73" s="80">
        <v>13</v>
      </c>
    </row>
    <row r="74" spans="1:6" x14ac:dyDescent="0.25">
      <c r="A74" s="80" t="s">
        <v>30</v>
      </c>
      <c r="B74" s="80" t="s">
        <v>45</v>
      </c>
      <c r="C74" s="80" t="s">
        <v>76</v>
      </c>
      <c r="E74" s="80" t="s">
        <v>97</v>
      </c>
      <c r="F74" s="80">
        <v>15</v>
      </c>
    </row>
    <row r="75" spans="1:6" x14ac:dyDescent="0.25">
      <c r="A75" s="80" t="s">
        <v>30</v>
      </c>
      <c r="B75" s="80" t="s">
        <v>36</v>
      </c>
      <c r="C75" s="80" t="s">
        <v>76</v>
      </c>
      <c r="E75" s="80" t="s">
        <v>97</v>
      </c>
      <c r="F75" s="80">
        <v>24</v>
      </c>
    </row>
    <row r="76" spans="1:6" x14ac:dyDescent="0.25">
      <c r="A76" s="80" t="s">
        <v>30</v>
      </c>
      <c r="B76" s="80" t="s">
        <v>42</v>
      </c>
      <c r="C76" s="80" t="s">
        <v>76</v>
      </c>
      <c r="E76" s="80" t="s">
        <v>97</v>
      </c>
      <c r="F76" s="80">
        <v>1</v>
      </c>
    </row>
    <row r="77" spans="1:6" x14ac:dyDescent="0.25">
      <c r="A77" s="80" t="s">
        <v>30</v>
      </c>
      <c r="B77" s="80" t="s">
        <v>35</v>
      </c>
      <c r="C77" s="80" t="s">
        <v>76</v>
      </c>
      <c r="E77" s="80" t="s">
        <v>97</v>
      </c>
      <c r="F77" s="80">
        <v>2</v>
      </c>
    </row>
    <row r="78" spans="1:6" x14ac:dyDescent="0.25">
      <c r="A78" s="80" t="s">
        <v>30</v>
      </c>
      <c r="B78" s="80" t="s">
        <v>61</v>
      </c>
      <c r="C78" s="80" t="s">
        <v>76</v>
      </c>
      <c r="E78" s="80" t="s">
        <v>97</v>
      </c>
      <c r="F78" s="80">
        <v>12</v>
      </c>
    </row>
    <row r="79" spans="1:6" x14ac:dyDescent="0.25">
      <c r="A79" s="80" t="s">
        <v>30</v>
      </c>
      <c r="B79" s="80" t="s">
        <v>60</v>
      </c>
      <c r="C79" s="80" t="s">
        <v>76</v>
      </c>
      <c r="E79" s="80" t="s">
        <v>97</v>
      </c>
      <c r="F79" s="80">
        <v>6</v>
      </c>
    </row>
    <row r="80" spans="1:6" x14ac:dyDescent="0.25">
      <c r="A80" s="80" t="s">
        <v>30</v>
      </c>
      <c r="B80" s="80" t="s">
        <v>59</v>
      </c>
      <c r="C80" s="80" t="s">
        <v>76</v>
      </c>
      <c r="E80" s="80" t="s">
        <v>97</v>
      </c>
      <c r="F80" s="80">
        <v>18</v>
      </c>
    </row>
    <row r="81" spans="1:6" x14ac:dyDescent="0.25">
      <c r="A81" s="80" t="s">
        <v>30</v>
      </c>
      <c r="B81" s="80" t="s">
        <v>15</v>
      </c>
      <c r="C81" s="80" t="s">
        <v>71</v>
      </c>
      <c r="E81" s="80" t="s">
        <v>96</v>
      </c>
      <c r="F81" s="80">
        <v>4</v>
      </c>
    </row>
    <row r="82" spans="1:6" x14ac:dyDescent="0.25">
      <c r="A82" s="80" t="s">
        <v>30</v>
      </c>
      <c r="B82" s="80" t="s">
        <v>148</v>
      </c>
      <c r="C82" s="80" t="s">
        <v>149</v>
      </c>
      <c r="E82" s="80" t="s">
        <v>150</v>
      </c>
      <c r="F82" s="80">
        <v>7</v>
      </c>
    </row>
    <row r="83" spans="1:6" x14ac:dyDescent="0.25">
      <c r="A83" s="80" t="s">
        <v>30</v>
      </c>
      <c r="B83" s="80" t="s">
        <v>22</v>
      </c>
      <c r="C83" s="80" t="s">
        <v>71</v>
      </c>
      <c r="E83" s="80" t="s">
        <v>99</v>
      </c>
      <c r="F83" s="80">
        <v>7500</v>
      </c>
    </row>
    <row r="84" spans="1:6" x14ac:dyDescent="0.25">
      <c r="A84" s="80" t="s">
        <v>30</v>
      </c>
      <c r="B84" s="80" t="s">
        <v>81</v>
      </c>
      <c r="C84" s="80" t="s">
        <v>76</v>
      </c>
      <c r="E84" s="80" t="s">
        <v>97</v>
      </c>
      <c r="F84" s="80">
        <v>2</v>
      </c>
    </row>
    <row r="85" spans="1:6" x14ac:dyDescent="0.25">
      <c r="A85" s="80" t="s">
        <v>30</v>
      </c>
      <c r="B85" s="80" t="s">
        <v>53</v>
      </c>
      <c r="C85" s="80" t="s">
        <v>76</v>
      </c>
      <c r="E85" s="80" t="s">
        <v>97</v>
      </c>
      <c r="F85" s="80">
        <v>2</v>
      </c>
    </row>
    <row r="86" spans="1:6" x14ac:dyDescent="0.25">
      <c r="A86" s="80" t="s">
        <v>30</v>
      </c>
      <c r="B86" s="80" t="s">
        <v>156</v>
      </c>
      <c r="C86" s="80" t="s">
        <v>76</v>
      </c>
      <c r="E86" s="80" t="s">
        <v>97</v>
      </c>
      <c r="F86" s="80">
        <v>20</v>
      </c>
    </row>
    <row r="87" spans="1:6" x14ac:dyDescent="0.25">
      <c r="A87" s="80" t="s">
        <v>30</v>
      </c>
      <c r="B87" s="80" t="s">
        <v>49</v>
      </c>
      <c r="C87" s="80" t="s">
        <v>76</v>
      </c>
      <c r="E87" s="80" t="s">
        <v>97</v>
      </c>
      <c r="F87" s="80">
        <v>2</v>
      </c>
    </row>
    <row r="88" spans="1:6" x14ac:dyDescent="0.25">
      <c r="A88" s="80" t="s">
        <v>30</v>
      </c>
      <c r="B88" s="80" t="s">
        <v>155</v>
      </c>
      <c r="C88" s="80" t="s">
        <v>76</v>
      </c>
      <c r="E88" s="80" t="s">
        <v>97</v>
      </c>
      <c r="F88" s="80">
        <v>6</v>
      </c>
    </row>
    <row r="89" spans="1:6" x14ac:dyDescent="0.25">
      <c r="A89" s="80" t="s">
        <v>30</v>
      </c>
      <c r="B89" s="80" t="s">
        <v>137</v>
      </c>
      <c r="C89" s="80" t="s">
        <v>71</v>
      </c>
      <c r="E89" s="80" t="s">
        <v>143</v>
      </c>
      <c r="F89" s="80">
        <v>44</v>
      </c>
    </row>
    <row r="90" spans="1:6" x14ac:dyDescent="0.25">
      <c r="A90" s="80" t="s">
        <v>30</v>
      </c>
      <c r="B90" s="80" t="s">
        <v>20</v>
      </c>
      <c r="C90" s="80" t="s">
        <v>71</v>
      </c>
      <c r="E90" s="80" t="s">
        <v>93</v>
      </c>
      <c r="F90" s="80">
        <v>6</v>
      </c>
    </row>
    <row r="91" spans="1:6" x14ac:dyDescent="0.25">
      <c r="A91" s="80" t="s">
        <v>30</v>
      </c>
      <c r="B91" s="80" t="s">
        <v>139</v>
      </c>
      <c r="C91" s="80" t="s">
        <v>71</v>
      </c>
      <c r="E91" s="80" t="s">
        <v>143</v>
      </c>
      <c r="F91" s="80">
        <v>81</v>
      </c>
    </row>
    <row r="92" spans="1:6" x14ac:dyDescent="0.25">
      <c r="A92" s="80" t="s">
        <v>30</v>
      </c>
      <c r="B92" s="80" t="s">
        <v>138</v>
      </c>
      <c r="C92" s="80" t="s">
        <v>71</v>
      </c>
      <c r="E92" s="80" t="s">
        <v>143</v>
      </c>
      <c r="F92" s="80">
        <v>73</v>
      </c>
    </row>
    <row r="93" spans="1:6" x14ac:dyDescent="0.25">
      <c r="A93" s="80" t="s">
        <v>30</v>
      </c>
      <c r="B93" s="80" t="s">
        <v>135</v>
      </c>
      <c r="C93" s="80" t="s">
        <v>71</v>
      </c>
      <c r="E93" s="80" t="s">
        <v>145</v>
      </c>
      <c r="F93" s="80">
        <v>88</v>
      </c>
    </row>
    <row r="94" spans="1:6" x14ac:dyDescent="0.25">
      <c r="A94" s="80" t="s">
        <v>30</v>
      </c>
      <c r="B94" s="80" t="s">
        <v>121</v>
      </c>
      <c r="C94" s="80" t="s">
        <v>71</v>
      </c>
      <c r="E94" s="80" t="s">
        <v>122</v>
      </c>
      <c r="F94" s="80">
        <v>17</v>
      </c>
    </row>
    <row r="95" spans="1:6" x14ac:dyDescent="0.25">
      <c r="A95" s="80" t="s">
        <v>30</v>
      </c>
      <c r="B95" s="80" t="s">
        <v>82</v>
      </c>
      <c r="C95" s="80" t="s">
        <v>76</v>
      </c>
      <c r="E95" s="80" t="s">
        <v>97</v>
      </c>
      <c r="F95" s="80">
        <v>1</v>
      </c>
    </row>
    <row r="96" spans="1:6" x14ac:dyDescent="0.25">
      <c r="A96" s="80" t="s">
        <v>30</v>
      </c>
      <c r="B96" s="80" t="s">
        <v>23</v>
      </c>
      <c r="C96" s="80" t="s">
        <v>71</v>
      </c>
      <c r="E96" s="80" t="s">
        <v>96</v>
      </c>
      <c r="F96" s="80">
        <v>4</v>
      </c>
    </row>
    <row r="97" spans="1:6" x14ac:dyDescent="0.25">
      <c r="A97" s="80" t="s">
        <v>30</v>
      </c>
      <c r="B97" s="80" t="s">
        <v>29</v>
      </c>
      <c r="C97" s="80" t="s">
        <v>71</v>
      </c>
      <c r="E97" s="80" t="s">
        <v>168</v>
      </c>
      <c r="F97" s="80">
        <v>7</v>
      </c>
    </row>
    <row r="98" spans="1:6" x14ac:dyDescent="0.25">
      <c r="A98" s="80" t="s">
        <v>30</v>
      </c>
      <c r="B98" s="80" t="s">
        <v>24</v>
      </c>
      <c r="C98" s="80" t="s">
        <v>71</v>
      </c>
      <c r="E98" s="80" t="s">
        <v>96</v>
      </c>
      <c r="F98" s="80">
        <v>19</v>
      </c>
    </row>
    <row r="99" spans="1:6" x14ac:dyDescent="0.25">
      <c r="A99" s="80" t="s">
        <v>30</v>
      </c>
      <c r="B99" s="80" t="s">
        <v>27</v>
      </c>
      <c r="C99" s="80" t="s">
        <v>71</v>
      </c>
      <c r="E99" s="80" t="s">
        <v>96</v>
      </c>
      <c r="F99" s="80">
        <v>8</v>
      </c>
    </row>
    <row r="100" spans="1:6" x14ac:dyDescent="0.25">
      <c r="A100" s="80" t="s">
        <v>30</v>
      </c>
      <c r="B100" s="80" t="s">
        <v>17</v>
      </c>
      <c r="C100" s="80" t="s">
        <v>71</v>
      </c>
      <c r="E100" s="80" t="s">
        <v>92</v>
      </c>
      <c r="F100" s="80">
        <v>19</v>
      </c>
    </row>
    <row r="101" spans="1:6" x14ac:dyDescent="0.25">
      <c r="A101" s="80" t="s">
        <v>30</v>
      </c>
      <c r="B101" s="80" t="s">
        <v>28</v>
      </c>
      <c r="C101" s="80" t="s">
        <v>71</v>
      </c>
      <c r="E101" s="80" t="s">
        <v>96</v>
      </c>
      <c r="F101" s="80">
        <v>7</v>
      </c>
    </row>
    <row r="102" spans="1:6" x14ac:dyDescent="0.25">
      <c r="A102" s="80" t="s">
        <v>30</v>
      </c>
      <c r="B102" s="80" t="s">
        <v>83</v>
      </c>
      <c r="C102" s="80" t="s">
        <v>76</v>
      </c>
      <c r="E102" s="80" t="s">
        <v>97</v>
      </c>
      <c r="F102" s="80">
        <v>1</v>
      </c>
    </row>
    <row r="103" spans="1:6" x14ac:dyDescent="0.25">
      <c r="A103" s="80" t="s">
        <v>30</v>
      </c>
      <c r="B103" s="80" t="s">
        <v>25</v>
      </c>
      <c r="C103" s="80" t="s">
        <v>71</v>
      </c>
      <c r="E103" s="80" t="s">
        <v>108</v>
      </c>
      <c r="F103" s="80">
        <v>2200</v>
      </c>
    </row>
    <row r="104" spans="1:6" x14ac:dyDescent="0.25">
      <c r="A104" s="80" t="s">
        <v>30</v>
      </c>
      <c r="B104" s="80" t="s">
        <v>112</v>
      </c>
      <c r="C104" s="80" t="s">
        <v>71</v>
      </c>
      <c r="E104" s="80" t="s">
        <v>96</v>
      </c>
      <c r="F104" s="80">
        <v>6</v>
      </c>
    </row>
    <row r="105" spans="1:6" x14ac:dyDescent="0.25">
      <c r="A105" s="80" t="s">
        <v>30</v>
      </c>
      <c r="B105" s="80" t="s">
        <v>26</v>
      </c>
      <c r="C105" s="80" t="s">
        <v>71</v>
      </c>
      <c r="E105" s="80" t="s">
        <v>108</v>
      </c>
      <c r="F105" s="80">
        <v>660</v>
      </c>
    </row>
    <row r="106" spans="1:6" x14ac:dyDescent="0.25">
      <c r="A106" s="80" t="s">
        <v>30</v>
      </c>
      <c r="B106" s="80" t="s">
        <v>140</v>
      </c>
      <c r="C106" s="80" t="s">
        <v>142</v>
      </c>
      <c r="E106" s="80" t="s">
        <v>143</v>
      </c>
      <c r="F106" s="80">
        <v>23</v>
      </c>
    </row>
    <row r="107" spans="1:6" x14ac:dyDescent="0.25">
      <c r="A107" s="80" t="s">
        <v>30</v>
      </c>
      <c r="B107" s="80" t="s">
        <v>8</v>
      </c>
      <c r="C107" s="80" t="s">
        <v>71</v>
      </c>
      <c r="E107" s="80" t="s">
        <v>108</v>
      </c>
      <c r="F107" s="80">
        <v>12000</v>
      </c>
    </row>
    <row r="108" spans="1:6" x14ac:dyDescent="0.25">
      <c r="A108" s="80" t="s">
        <v>30</v>
      </c>
      <c r="B108" s="80" t="s">
        <v>16</v>
      </c>
      <c r="C108" s="80" t="s">
        <v>71</v>
      </c>
      <c r="E108" s="80" t="s">
        <v>96</v>
      </c>
      <c r="F108" s="80">
        <v>2</v>
      </c>
    </row>
    <row r="109" spans="1:6" x14ac:dyDescent="0.25">
      <c r="A109" s="80" t="s">
        <v>30</v>
      </c>
      <c r="B109" s="80" t="s">
        <v>84</v>
      </c>
      <c r="C109" s="80" t="s">
        <v>76</v>
      </c>
      <c r="E109" s="80" t="s">
        <v>97</v>
      </c>
      <c r="F109" s="80">
        <v>3</v>
      </c>
    </row>
    <row r="110" spans="1:6" x14ac:dyDescent="0.25">
      <c r="A110" s="80" t="s">
        <v>30</v>
      </c>
      <c r="B110" s="80" t="s">
        <v>85</v>
      </c>
      <c r="C110" s="80" t="s">
        <v>76</v>
      </c>
      <c r="E110" s="80" t="s">
        <v>97</v>
      </c>
      <c r="F110" s="80">
        <v>3</v>
      </c>
    </row>
    <row r="111" spans="1:6" x14ac:dyDescent="0.25">
      <c r="A111" s="80" t="s">
        <v>30</v>
      </c>
      <c r="B111" s="80" t="s">
        <v>58</v>
      </c>
      <c r="C111" s="80" t="s">
        <v>76</v>
      </c>
      <c r="E111" s="80" t="s">
        <v>97</v>
      </c>
      <c r="F111" s="80">
        <v>1</v>
      </c>
    </row>
    <row r="112" spans="1:6" x14ac:dyDescent="0.25">
      <c r="A112" s="80" t="s">
        <v>30</v>
      </c>
      <c r="B112" s="80" t="s">
        <v>56</v>
      </c>
      <c r="C112" s="80" t="s">
        <v>76</v>
      </c>
      <c r="E112" s="80" t="s">
        <v>97</v>
      </c>
      <c r="F112" s="80">
        <v>1</v>
      </c>
    </row>
    <row r="113" spans="1:6" x14ac:dyDescent="0.25">
      <c r="A113" s="80" t="s">
        <v>30</v>
      </c>
      <c r="B113" s="80" t="s">
        <v>57</v>
      </c>
      <c r="C113" s="80" t="s">
        <v>76</v>
      </c>
      <c r="E113" s="80" t="s">
        <v>97</v>
      </c>
      <c r="F113" s="80">
        <v>1</v>
      </c>
    </row>
    <row r="114" spans="1:6" x14ac:dyDescent="0.25">
      <c r="A114" s="80" t="s">
        <v>30</v>
      </c>
      <c r="B114" s="80" t="s">
        <v>146</v>
      </c>
      <c r="C114" s="80" t="s">
        <v>76</v>
      </c>
      <c r="E114" s="80" t="s">
        <v>97</v>
      </c>
      <c r="F114" s="80">
        <v>1</v>
      </c>
    </row>
    <row r="115" spans="1:6" x14ac:dyDescent="0.25">
      <c r="A115" s="80" t="s">
        <v>30</v>
      </c>
      <c r="B115" s="80" t="s">
        <v>128</v>
      </c>
      <c r="C115" s="80" t="s">
        <v>76</v>
      </c>
      <c r="E115" s="80" t="s">
        <v>134</v>
      </c>
      <c r="F115" s="80">
        <v>6</v>
      </c>
    </row>
    <row r="116" spans="1:6" x14ac:dyDescent="0.25">
      <c r="A116" s="80" t="s">
        <v>30</v>
      </c>
      <c r="B116" s="80" t="s">
        <v>125</v>
      </c>
      <c r="C116" s="80" t="s">
        <v>71</v>
      </c>
      <c r="E116" s="80" t="s">
        <v>126</v>
      </c>
      <c r="F116" s="80">
        <v>2</v>
      </c>
    </row>
    <row r="117" spans="1:6" x14ac:dyDescent="0.25">
      <c r="A117" s="80" t="s">
        <v>30</v>
      </c>
      <c r="B117" s="80" t="s">
        <v>14</v>
      </c>
      <c r="C117" s="80" t="s">
        <v>71</v>
      </c>
      <c r="E117" s="80" t="s">
        <v>108</v>
      </c>
      <c r="F117" s="80">
        <v>1225</v>
      </c>
    </row>
    <row r="118" spans="1:6" x14ac:dyDescent="0.25">
      <c r="A118" s="80" t="s">
        <v>30</v>
      </c>
      <c r="B118" s="80" t="s">
        <v>12</v>
      </c>
      <c r="C118" s="80" t="s">
        <v>71</v>
      </c>
      <c r="E118" s="80" t="s">
        <v>108</v>
      </c>
      <c r="F118" s="80">
        <v>7000</v>
      </c>
    </row>
    <row r="119" spans="1:6" x14ac:dyDescent="0.25">
      <c r="A119" s="80" t="s">
        <v>30</v>
      </c>
      <c r="B119" s="80" t="s">
        <v>127</v>
      </c>
      <c r="C119" s="80" t="s">
        <v>76</v>
      </c>
      <c r="D119" t="s">
        <v>283</v>
      </c>
      <c r="E119" s="80" t="s">
        <v>134</v>
      </c>
      <c r="F119" s="80">
        <v>9</v>
      </c>
    </row>
    <row r="120" spans="1:6" x14ac:dyDescent="0.25">
      <c r="A120" s="80" t="s">
        <v>30</v>
      </c>
      <c r="B120" s="80" t="s">
        <v>80</v>
      </c>
      <c r="C120" s="80" t="s">
        <v>76</v>
      </c>
      <c r="D120" t="s">
        <v>283</v>
      </c>
      <c r="E120" s="80" t="s">
        <v>97</v>
      </c>
      <c r="F120" s="80">
        <v>1</v>
      </c>
    </row>
    <row r="121" spans="1:6" x14ac:dyDescent="0.25">
      <c r="A121" s="80" t="s">
        <v>30</v>
      </c>
      <c r="B121" s="80" t="s">
        <v>33</v>
      </c>
      <c r="C121" s="80" t="s">
        <v>76</v>
      </c>
      <c r="D121" t="s">
        <v>283</v>
      </c>
      <c r="E121" s="80" t="s">
        <v>97</v>
      </c>
      <c r="F121" s="80">
        <v>6</v>
      </c>
    </row>
    <row r="122" spans="1:6" x14ac:dyDescent="0.25">
      <c r="A122" s="80" t="s">
        <v>30</v>
      </c>
      <c r="B122" s="80" t="s">
        <v>37</v>
      </c>
      <c r="C122" s="80" t="s">
        <v>76</v>
      </c>
      <c r="D122" t="s">
        <v>283</v>
      </c>
      <c r="E122" s="80" t="s">
        <v>97</v>
      </c>
      <c r="F122" s="80">
        <v>19</v>
      </c>
    </row>
    <row r="123" spans="1:6" x14ac:dyDescent="0.25">
      <c r="A123" s="80" t="s">
        <v>30</v>
      </c>
      <c r="B123" s="80" t="s">
        <v>44</v>
      </c>
      <c r="C123" s="80" t="s">
        <v>76</v>
      </c>
      <c r="D123" t="s">
        <v>283</v>
      </c>
      <c r="E123" s="80" t="s">
        <v>97</v>
      </c>
      <c r="F123" s="80">
        <v>1</v>
      </c>
    </row>
    <row r="124" spans="1:6" x14ac:dyDescent="0.25">
      <c r="A124" s="80" t="s">
        <v>30</v>
      </c>
      <c r="B124" s="80" t="s">
        <v>34</v>
      </c>
      <c r="C124" s="80" t="s">
        <v>76</v>
      </c>
      <c r="D124" t="s">
        <v>283</v>
      </c>
      <c r="E124" s="80" t="s">
        <v>97</v>
      </c>
      <c r="F124" s="80">
        <v>6</v>
      </c>
    </row>
    <row r="125" spans="1:6" x14ac:dyDescent="0.25">
      <c r="A125" s="80" t="s">
        <v>30</v>
      </c>
      <c r="B125" s="80" t="s">
        <v>39</v>
      </c>
      <c r="C125" s="80" t="s">
        <v>76</v>
      </c>
      <c r="D125" t="s">
        <v>283</v>
      </c>
      <c r="E125" s="80" t="s">
        <v>97</v>
      </c>
      <c r="F125" s="80">
        <v>1</v>
      </c>
    </row>
    <row r="126" spans="1:6" x14ac:dyDescent="0.25">
      <c r="A126" s="80" t="s">
        <v>30</v>
      </c>
      <c r="B126" s="80" t="s">
        <v>38</v>
      </c>
      <c r="C126" s="80" t="s">
        <v>76</v>
      </c>
      <c r="D126" t="s">
        <v>283</v>
      </c>
      <c r="E126" s="80" t="s">
        <v>97</v>
      </c>
      <c r="F126" s="80">
        <v>26</v>
      </c>
    </row>
    <row r="127" spans="1:6" x14ac:dyDescent="0.25">
      <c r="A127" s="80" t="s">
        <v>30</v>
      </c>
      <c r="B127" s="80" t="s">
        <v>40</v>
      </c>
      <c r="C127" s="80" t="s">
        <v>76</v>
      </c>
      <c r="D127" t="s">
        <v>283</v>
      </c>
      <c r="E127" s="80" t="s">
        <v>97</v>
      </c>
      <c r="F127" s="80">
        <v>8</v>
      </c>
    </row>
    <row r="128" spans="1:6" x14ac:dyDescent="0.25">
      <c r="A128" s="80" t="s">
        <v>30</v>
      </c>
      <c r="B128" s="80" t="s">
        <v>46</v>
      </c>
      <c r="C128" s="80" t="s">
        <v>76</v>
      </c>
      <c r="D128" t="s">
        <v>283</v>
      </c>
      <c r="E128" s="80" t="s">
        <v>97</v>
      </c>
      <c r="F128" s="80">
        <v>13</v>
      </c>
    </row>
    <row r="129" spans="1:6" x14ac:dyDescent="0.25">
      <c r="A129" s="80" t="s">
        <v>30</v>
      </c>
      <c r="B129" s="80" t="s">
        <v>45</v>
      </c>
      <c r="C129" s="80" t="s">
        <v>76</v>
      </c>
      <c r="D129" t="s">
        <v>283</v>
      </c>
      <c r="E129" s="80" t="s">
        <v>97</v>
      </c>
      <c r="F129" s="80">
        <v>15</v>
      </c>
    </row>
    <row r="130" spans="1:6" x14ac:dyDescent="0.25">
      <c r="A130" s="80" t="s">
        <v>30</v>
      </c>
      <c r="B130" s="80" t="s">
        <v>36</v>
      </c>
      <c r="C130" s="80" t="s">
        <v>76</v>
      </c>
      <c r="D130" t="s">
        <v>283</v>
      </c>
      <c r="E130" s="80" t="s">
        <v>97</v>
      </c>
      <c r="F130" s="80">
        <v>24</v>
      </c>
    </row>
    <row r="131" spans="1:6" x14ac:dyDescent="0.25">
      <c r="A131" s="80" t="s">
        <v>30</v>
      </c>
      <c r="B131" s="80" t="s">
        <v>42</v>
      </c>
      <c r="C131" s="80" t="s">
        <v>76</v>
      </c>
      <c r="D131" t="s">
        <v>283</v>
      </c>
      <c r="E131" s="80" t="s">
        <v>97</v>
      </c>
      <c r="F131" s="80">
        <v>1</v>
      </c>
    </row>
    <row r="132" spans="1:6" x14ac:dyDescent="0.25">
      <c r="A132" s="80" t="s">
        <v>30</v>
      </c>
      <c r="B132" s="80" t="s">
        <v>35</v>
      </c>
      <c r="C132" s="80" t="s">
        <v>76</v>
      </c>
      <c r="D132" t="s">
        <v>283</v>
      </c>
      <c r="E132" s="80" t="s">
        <v>97</v>
      </c>
      <c r="F132" s="80">
        <v>2</v>
      </c>
    </row>
    <row r="133" spans="1:6" x14ac:dyDescent="0.25">
      <c r="A133" s="80" t="s">
        <v>30</v>
      </c>
      <c r="B133" s="80" t="s">
        <v>61</v>
      </c>
      <c r="C133" s="80" t="s">
        <v>76</v>
      </c>
      <c r="D133" t="s">
        <v>283</v>
      </c>
      <c r="E133" s="80" t="s">
        <v>97</v>
      </c>
      <c r="F133" s="80">
        <v>12</v>
      </c>
    </row>
    <row r="134" spans="1:6" x14ac:dyDescent="0.25">
      <c r="A134" s="80" t="s">
        <v>30</v>
      </c>
      <c r="B134" s="80" t="s">
        <v>60</v>
      </c>
      <c r="C134" s="80" t="s">
        <v>76</v>
      </c>
      <c r="D134" t="s">
        <v>283</v>
      </c>
      <c r="E134" s="80" t="s">
        <v>97</v>
      </c>
      <c r="F134" s="80">
        <v>6</v>
      </c>
    </row>
    <row r="135" spans="1:6" x14ac:dyDescent="0.25">
      <c r="A135" s="80" t="s">
        <v>30</v>
      </c>
      <c r="B135" s="80" t="s">
        <v>59</v>
      </c>
      <c r="C135" s="80" t="s">
        <v>76</v>
      </c>
      <c r="D135" t="s">
        <v>283</v>
      </c>
      <c r="E135" s="80" t="s">
        <v>97</v>
      </c>
      <c r="F135" s="80">
        <v>18</v>
      </c>
    </row>
    <row r="136" spans="1:6" x14ac:dyDescent="0.25">
      <c r="A136" s="80" t="s">
        <v>30</v>
      </c>
      <c r="B136" s="80" t="s">
        <v>15</v>
      </c>
      <c r="C136" s="80" t="s">
        <v>71</v>
      </c>
      <c r="D136" t="s">
        <v>285</v>
      </c>
      <c r="E136" s="80" t="s">
        <v>96</v>
      </c>
      <c r="F136" s="80">
        <v>4</v>
      </c>
    </row>
    <row r="137" spans="1:6" x14ac:dyDescent="0.25">
      <c r="A137" s="80" t="s">
        <v>30</v>
      </c>
      <c r="B137" s="80" t="s">
        <v>148</v>
      </c>
      <c r="C137" s="80" t="s">
        <v>149</v>
      </c>
      <c r="D137" t="s">
        <v>283</v>
      </c>
      <c r="E137" s="80" t="s">
        <v>150</v>
      </c>
      <c r="F137" s="80">
        <v>7</v>
      </c>
    </row>
    <row r="138" spans="1:6" x14ac:dyDescent="0.25">
      <c r="A138" s="80" t="s">
        <v>30</v>
      </c>
      <c r="B138" s="80" t="s">
        <v>22</v>
      </c>
      <c r="C138" s="80" t="s">
        <v>71</v>
      </c>
      <c r="D138" t="s">
        <v>284</v>
      </c>
      <c r="E138" s="80" t="s">
        <v>99</v>
      </c>
      <c r="F138" s="80">
        <v>7500</v>
      </c>
    </row>
    <row r="139" spans="1:6" x14ac:dyDescent="0.25">
      <c r="A139" s="80" t="s">
        <v>30</v>
      </c>
      <c r="B139" s="80" t="s">
        <v>81</v>
      </c>
      <c r="C139" s="80" t="s">
        <v>76</v>
      </c>
      <c r="D139" t="s">
        <v>283</v>
      </c>
      <c r="E139" s="80" t="s">
        <v>97</v>
      </c>
      <c r="F139" s="80">
        <v>2</v>
      </c>
    </row>
    <row r="140" spans="1:6" x14ac:dyDescent="0.25">
      <c r="A140" s="80" t="s">
        <v>30</v>
      </c>
      <c r="B140" s="80" t="s">
        <v>53</v>
      </c>
      <c r="C140" s="80" t="s">
        <v>76</v>
      </c>
      <c r="D140" t="s">
        <v>283</v>
      </c>
      <c r="E140" s="80" t="s">
        <v>97</v>
      </c>
      <c r="F140" s="80">
        <v>2</v>
      </c>
    </row>
    <row r="141" spans="1:6" x14ac:dyDescent="0.25">
      <c r="A141" s="80" t="s">
        <v>30</v>
      </c>
      <c r="B141" s="80" t="s">
        <v>156</v>
      </c>
      <c r="C141" s="80" t="s">
        <v>76</v>
      </c>
      <c r="D141" t="s">
        <v>283</v>
      </c>
      <c r="E141" s="80" t="s">
        <v>97</v>
      </c>
      <c r="F141" s="80">
        <v>20</v>
      </c>
    </row>
    <row r="142" spans="1:6" x14ac:dyDescent="0.25">
      <c r="A142" s="80" t="s">
        <v>30</v>
      </c>
      <c r="B142" s="80" t="s">
        <v>49</v>
      </c>
      <c r="C142" s="80" t="s">
        <v>76</v>
      </c>
      <c r="D142" t="s">
        <v>283</v>
      </c>
      <c r="E142" s="80" t="s">
        <v>97</v>
      </c>
      <c r="F142" s="80">
        <v>2</v>
      </c>
    </row>
    <row r="143" spans="1:6" x14ac:dyDescent="0.25">
      <c r="A143" s="80" t="s">
        <v>30</v>
      </c>
      <c r="B143" s="80" t="s">
        <v>155</v>
      </c>
      <c r="C143" s="80" t="s">
        <v>76</v>
      </c>
      <c r="D143" t="s">
        <v>283</v>
      </c>
      <c r="E143" s="80" t="s">
        <v>97</v>
      </c>
      <c r="F143" s="80">
        <v>6</v>
      </c>
    </row>
    <row r="144" spans="1:6" x14ac:dyDescent="0.25">
      <c r="A144" s="80" t="s">
        <v>30</v>
      </c>
      <c r="B144" s="80" t="s">
        <v>137</v>
      </c>
      <c r="C144" s="80" t="s">
        <v>71</v>
      </c>
      <c r="D144" t="s">
        <v>284</v>
      </c>
      <c r="E144" s="80" t="s">
        <v>143</v>
      </c>
      <c r="F144" s="80">
        <v>44</v>
      </c>
    </row>
    <row r="145" spans="1:6" x14ac:dyDescent="0.25">
      <c r="A145" s="80" t="s">
        <v>30</v>
      </c>
      <c r="B145" s="80" t="s">
        <v>20</v>
      </c>
      <c r="C145" s="80" t="s">
        <v>71</v>
      </c>
      <c r="D145" t="s">
        <v>285</v>
      </c>
      <c r="E145" s="80" t="s">
        <v>93</v>
      </c>
      <c r="F145" s="80">
        <v>6</v>
      </c>
    </row>
    <row r="146" spans="1:6" x14ac:dyDescent="0.25">
      <c r="A146" s="80" t="s">
        <v>30</v>
      </c>
      <c r="B146" s="80" t="s">
        <v>139</v>
      </c>
      <c r="C146" s="80" t="s">
        <v>71</v>
      </c>
      <c r="D146" t="s">
        <v>284</v>
      </c>
      <c r="E146" s="80" t="s">
        <v>143</v>
      </c>
      <c r="F146" s="80">
        <v>81</v>
      </c>
    </row>
    <row r="147" spans="1:6" x14ac:dyDescent="0.25">
      <c r="A147" s="80" t="s">
        <v>30</v>
      </c>
      <c r="B147" s="80" t="s">
        <v>138</v>
      </c>
      <c r="C147" s="80" t="s">
        <v>71</v>
      </c>
      <c r="D147" t="s">
        <v>284</v>
      </c>
      <c r="E147" s="80" t="s">
        <v>143</v>
      </c>
      <c r="F147" s="80">
        <v>73</v>
      </c>
    </row>
    <row r="148" spans="1:6" x14ac:dyDescent="0.25">
      <c r="A148" s="80" t="s">
        <v>30</v>
      </c>
      <c r="B148" s="80" t="s">
        <v>135</v>
      </c>
      <c r="C148" s="80" t="s">
        <v>71</v>
      </c>
      <c r="D148" t="s">
        <v>284</v>
      </c>
      <c r="E148" s="80" t="s">
        <v>145</v>
      </c>
      <c r="F148" s="80">
        <v>88</v>
      </c>
    </row>
    <row r="149" spans="1:6" x14ac:dyDescent="0.25">
      <c r="A149" s="80" t="s">
        <v>30</v>
      </c>
      <c r="B149" s="80" t="s">
        <v>121</v>
      </c>
      <c r="C149" s="80" t="s">
        <v>71</v>
      </c>
      <c r="D149" t="s">
        <v>284</v>
      </c>
      <c r="E149" s="80" t="s">
        <v>122</v>
      </c>
      <c r="F149" s="80">
        <v>17</v>
      </c>
    </row>
    <row r="150" spans="1:6" x14ac:dyDescent="0.25">
      <c r="A150" s="80" t="s">
        <v>30</v>
      </c>
      <c r="B150" s="80" t="s">
        <v>82</v>
      </c>
      <c r="C150" s="80" t="s">
        <v>76</v>
      </c>
      <c r="D150" t="s">
        <v>283</v>
      </c>
      <c r="E150" s="80" t="s">
        <v>97</v>
      </c>
      <c r="F150" s="80">
        <v>1</v>
      </c>
    </row>
    <row r="151" spans="1:6" x14ac:dyDescent="0.25">
      <c r="A151" s="80" t="s">
        <v>30</v>
      </c>
      <c r="B151" s="80" t="s">
        <v>23</v>
      </c>
      <c r="C151" s="80" t="s">
        <v>71</v>
      </c>
      <c r="D151" t="s">
        <v>284</v>
      </c>
      <c r="E151" s="80" t="s">
        <v>96</v>
      </c>
      <c r="F151" s="80">
        <v>4</v>
      </c>
    </row>
    <row r="152" spans="1:6" x14ac:dyDescent="0.25">
      <c r="A152" s="80" t="s">
        <v>30</v>
      </c>
      <c r="B152" s="80" t="s">
        <v>29</v>
      </c>
      <c r="C152" s="80" t="s">
        <v>71</v>
      </c>
      <c r="D152" t="s">
        <v>285</v>
      </c>
      <c r="E152" s="80" t="s">
        <v>168</v>
      </c>
      <c r="F152" s="80">
        <v>7</v>
      </c>
    </row>
    <row r="153" spans="1:6" x14ac:dyDescent="0.25">
      <c r="A153" s="80" t="s">
        <v>30</v>
      </c>
      <c r="B153" s="80" t="s">
        <v>24</v>
      </c>
      <c r="C153" s="80" t="s">
        <v>71</v>
      </c>
      <c r="D153" t="s">
        <v>284</v>
      </c>
      <c r="E153" s="80" t="s">
        <v>96</v>
      </c>
      <c r="F153" s="80">
        <v>19</v>
      </c>
    </row>
    <row r="154" spans="1:6" x14ac:dyDescent="0.25">
      <c r="A154" s="80" t="s">
        <v>30</v>
      </c>
      <c r="B154" s="80" t="s">
        <v>27</v>
      </c>
      <c r="C154" s="80" t="s">
        <v>71</v>
      </c>
      <c r="D154" t="s">
        <v>285</v>
      </c>
      <c r="E154" s="80" t="s">
        <v>96</v>
      </c>
      <c r="F154" s="80">
        <v>8</v>
      </c>
    </row>
    <row r="155" spans="1:6" x14ac:dyDescent="0.25">
      <c r="A155" s="80" t="s">
        <v>30</v>
      </c>
      <c r="B155" s="80" t="s">
        <v>17</v>
      </c>
      <c r="C155" s="80" t="s">
        <v>71</v>
      </c>
      <c r="D155" t="s">
        <v>285</v>
      </c>
      <c r="E155" s="80" t="s">
        <v>92</v>
      </c>
      <c r="F155" s="80">
        <v>19</v>
      </c>
    </row>
    <row r="156" spans="1:6" x14ac:dyDescent="0.25">
      <c r="A156" s="80" t="s">
        <v>30</v>
      </c>
      <c r="B156" s="80" t="s">
        <v>28</v>
      </c>
      <c r="C156" s="80" t="s">
        <v>71</v>
      </c>
      <c r="D156" t="s">
        <v>285</v>
      </c>
      <c r="E156" s="80" t="s">
        <v>96</v>
      </c>
      <c r="F156" s="80">
        <v>7</v>
      </c>
    </row>
    <row r="157" spans="1:6" x14ac:dyDescent="0.25">
      <c r="A157" s="80" t="s">
        <v>30</v>
      </c>
      <c r="B157" s="80" t="s">
        <v>83</v>
      </c>
      <c r="C157" s="80" t="s">
        <v>76</v>
      </c>
      <c r="D157" t="s">
        <v>283</v>
      </c>
      <c r="E157" s="80" t="s">
        <v>97</v>
      </c>
      <c r="F157" s="80">
        <v>1</v>
      </c>
    </row>
    <row r="158" spans="1:6" x14ac:dyDescent="0.25">
      <c r="A158" s="80" t="s">
        <v>30</v>
      </c>
      <c r="B158" s="80" t="s">
        <v>25</v>
      </c>
      <c r="C158" s="80" t="s">
        <v>71</v>
      </c>
      <c r="D158" t="s">
        <v>284</v>
      </c>
      <c r="E158" s="80" t="s">
        <v>108</v>
      </c>
      <c r="F158" s="80">
        <v>2200</v>
      </c>
    </row>
    <row r="159" spans="1:6" x14ac:dyDescent="0.25">
      <c r="A159" s="80" t="s">
        <v>30</v>
      </c>
      <c r="B159" s="80" t="s">
        <v>112</v>
      </c>
      <c r="C159" s="80" t="s">
        <v>71</v>
      </c>
      <c r="D159" t="s">
        <v>285</v>
      </c>
      <c r="E159" s="80" t="s">
        <v>96</v>
      </c>
      <c r="F159" s="80">
        <v>6</v>
      </c>
    </row>
    <row r="160" spans="1:6" x14ac:dyDescent="0.25">
      <c r="A160" s="80" t="s">
        <v>30</v>
      </c>
      <c r="B160" s="80" t="s">
        <v>26</v>
      </c>
      <c r="C160" s="80" t="s">
        <v>71</v>
      </c>
      <c r="D160" t="s">
        <v>284</v>
      </c>
      <c r="E160" s="80" t="s">
        <v>108</v>
      </c>
      <c r="F160" s="80">
        <v>660</v>
      </c>
    </row>
    <row r="161" spans="1:6" x14ac:dyDescent="0.25">
      <c r="A161" s="80" t="s">
        <v>30</v>
      </c>
      <c r="B161" s="80" t="s">
        <v>140</v>
      </c>
      <c r="C161" s="80" t="s">
        <v>142</v>
      </c>
      <c r="D161" t="s">
        <v>283</v>
      </c>
      <c r="E161" s="80" t="s">
        <v>143</v>
      </c>
      <c r="F161" s="80">
        <v>23</v>
      </c>
    </row>
    <row r="162" spans="1:6" x14ac:dyDescent="0.25">
      <c r="A162" s="80" t="s">
        <v>30</v>
      </c>
      <c r="B162" s="80" t="s">
        <v>8</v>
      </c>
      <c r="C162" s="80" t="s">
        <v>71</v>
      </c>
      <c r="D162" t="s">
        <v>284</v>
      </c>
      <c r="E162" s="80" t="s">
        <v>108</v>
      </c>
      <c r="F162" s="80">
        <v>12000</v>
      </c>
    </row>
    <row r="163" spans="1:6" x14ac:dyDescent="0.25">
      <c r="A163" s="80" t="s">
        <v>30</v>
      </c>
      <c r="B163" s="80" t="s">
        <v>16</v>
      </c>
      <c r="C163" s="80" t="s">
        <v>71</v>
      </c>
      <c r="D163" t="s">
        <v>285</v>
      </c>
      <c r="E163" s="80" t="s">
        <v>96</v>
      </c>
      <c r="F163" s="80">
        <v>2</v>
      </c>
    </row>
    <row r="164" spans="1:6" x14ac:dyDescent="0.25">
      <c r="A164" s="80" t="s">
        <v>30</v>
      </c>
      <c r="B164" s="80" t="s">
        <v>84</v>
      </c>
      <c r="C164" s="80" t="s">
        <v>76</v>
      </c>
      <c r="D164" t="s">
        <v>283</v>
      </c>
      <c r="E164" s="80" t="s">
        <v>97</v>
      </c>
      <c r="F164" s="80">
        <v>3</v>
      </c>
    </row>
    <row r="165" spans="1:6" x14ac:dyDescent="0.25">
      <c r="A165" s="80" t="s">
        <v>30</v>
      </c>
      <c r="B165" s="80" t="s">
        <v>85</v>
      </c>
      <c r="C165" s="80" t="s">
        <v>76</v>
      </c>
      <c r="D165" t="s">
        <v>283</v>
      </c>
      <c r="E165" s="80" t="s">
        <v>97</v>
      </c>
      <c r="F165" s="80">
        <v>3</v>
      </c>
    </row>
    <row r="166" spans="1:6" x14ac:dyDescent="0.25">
      <c r="A166" s="80" t="s">
        <v>30</v>
      </c>
      <c r="B166" s="80" t="s">
        <v>58</v>
      </c>
      <c r="C166" s="80" t="s">
        <v>76</v>
      </c>
      <c r="D166" t="s">
        <v>283</v>
      </c>
      <c r="E166" s="80" t="s">
        <v>97</v>
      </c>
      <c r="F166" s="80">
        <v>1</v>
      </c>
    </row>
    <row r="167" spans="1:6" x14ac:dyDescent="0.25">
      <c r="A167" s="80" t="s">
        <v>30</v>
      </c>
      <c r="B167" s="80" t="s">
        <v>56</v>
      </c>
      <c r="C167" s="80" t="s">
        <v>76</v>
      </c>
      <c r="D167" t="s">
        <v>283</v>
      </c>
      <c r="E167" s="80" t="s">
        <v>97</v>
      </c>
      <c r="F167" s="80">
        <v>1</v>
      </c>
    </row>
    <row r="168" spans="1:6" x14ac:dyDescent="0.25">
      <c r="A168" s="80" t="s">
        <v>30</v>
      </c>
      <c r="B168" s="80" t="s">
        <v>57</v>
      </c>
      <c r="C168" s="80" t="s">
        <v>76</v>
      </c>
      <c r="D168" t="s">
        <v>283</v>
      </c>
      <c r="E168" s="80" t="s">
        <v>97</v>
      </c>
      <c r="F168" s="80">
        <v>1</v>
      </c>
    </row>
    <row r="169" spans="1:6" x14ac:dyDescent="0.25">
      <c r="A169" s="80" t="s">
        <v>30</v>
      </c>
      <c r="B169" s="80" t="s">
        <v>146</v>
      </c>
      <c r="C169" s="80" t="s">
        <v>76</v>
      </c>
      <c r="D169" t="s">
        <v>283</v>
      </c>
      <c r="E169" s="80" t="s">
        <v>97</v>
      </c>
      <c r="F169" s="80">
        <v>1</v>
      </c>
    </row>
    <row r="170" spans="1:6" x14ac:dyDescent="0.25">
      <c r="A170" s="80" t="s">
        <v>30</v>
      </c>
      <c r="B170" s="80" t="s">
        <v>128</v>
      </c>
      <c r="C170" s="80" t="s">
        <v>76</v>
      </c>
      <c r="D170" t="s">
        <v>283</v>
      </c>
      <c r="E170" s="80" t="s">
        <v>134</v>
      </c>
      <c r="F170" s="80">
        <v>6</v>
      </c>
    </row>
    <row r="171" spans="1:6" x14ac:dyDescent="0.25">
      <c r="A171" s="80" t="s">
        <v>30</v>
      </c>
      <c r="B171" s="80" t="s">
        <v>125</v>
      </c>
      <c r="C171" s="80" t="s">
        <v>71</v>
      </c>
      <c r="D171" t="s">
        <v>284</v>
      </c>
      <c r="E171" s="80" t="s">
        <v>126</v>
      </c>
      <c r="F171" s="80">
        <v>2</v>
      </c>
    </row>
    <row r="172" spans="1:6" x14ac:dyDescent="0.25">
      <c r="A172" s="80" t="s">
        <v>30</v>
      </c>
      <c r="B172" s="80" t="s">
        <v>14</v>
      </c>
      <c r="C172" s="80" t="s">
        <v>71</v>
      </c>
      <c r="D172" t="s">
        <v>284</v>
      </c>
      <c r="E172" s="80" t="s">
        <v>108</v>
      </c>
      <c r="F172" s="80">
        <v>1225</v>
      </c>
    </row>
    <row r="173" spans="1:6" x14ac:dyDescent="0.25">
      <c r="A173" s="80" t="s">
        <v>30</v>
      </c>
      <c r="B173" s="80" t="s">
        <v>12</v>
      </c>
      <c r="C173" s="80" t="s">
        <v>71</v>
      </c>
      <c r="D173" t="s">
        <v>284</v>
      </c>
      <c r="E173" s="80" t="s">
        <v>108</v>
      </c>
      <c r="F173" s="80">
        <v>7000</v>
      </c>
    </row>
    <row r="174" spans="1:6" x14ac:dyDescent="0.25">
      <c r="A174" s="80" t="s">
        <v>308</v>
      </c>
      <c r="B174" s="80" t="s">
        <v>127</v>
      </c>
      <c r="C174" s="80" t="s">
        <v>76</v>
      </c>
      <c r="E174" s="80" t="s">
        <v>134</v>
      </c>
      <c r="F174" s="80">
        <v>9</v>
      </c>
    </row>
    <row r="175" spans="1:6" x14ac:dyDescent="0.25">
      <c r="A175" s="80" t="s">
        <v>308</v>
      </c>
      <c r="B175" s="80" t="s">
        <v>33</v>
      </c>
      <c r="C175" s="80" t="s">
        <v>76</v>
      </c>
      <c r="E175" s="80" t="s">
        <v>97</v>
      </c>
      <c r="F175" s="80">
        <v>6</v>
      </c>
    </row>
    <row r="176" spans="1:6" x14ac:dyDescent="0.25">
      <c r="A176" s="80" t="s">
        <v>308</v>
      </c>
      <c r="B176" s="80" t="s">
        <v>37</v>
      </c>
      <c r="C176" s="80" t="s">
        <v>76</v>
      </c>
      <c r="E176" s="80" t="s">
        <v>97</v>
      </c>
      <c r="F176" s="80">
        <v>13</v>
      </c>
    </row>
    <row r="177" spans="1:6" x14ac:dyDescent="0.25">
      <c r="A177" s="80" t="s">
        <v>308</v>
      </c>
      <c r="B177" s="80" t="s">
        <v>34</v>
      </c>
      <c r="C177" s="80" t="s">
        <v>76</v>
      </c>
      <c r="E177" s="80" t="s">
        <v>97</v>
      </c>
      <c r="F177" s="80">
        <v>13</v>
      </c>
    </row>
    <row r="178" spans="1:6" x14ac:dyDescent="0.25">
      <c r="A178" s="80" t="s">
        <v>308</v>
      </c>
      <c r="B178" s="80" t="s">
        <v>32</v>
      </c>
      <c r="C178" s="80" t="s">
        <v>76</v>
      </c>
      <c r="E178" s="80" t="s">
        <v>97</v>
      </c>
      <c r="F178" s="80">
        <v>11</v>
      </c>
    </row>
    <row r="179" spans="1:6" x14ac:dyDescent="0.25">
      <c r="A179" s="80" t="s">
        <v>308</v>
      </c>
      <c r="B179" s="80" t="s">
        <v>39</v>
      </c>
      <c r="C179" s="80" t="s">
        <v>76</v>
      </c>
      <c r="E179" s="80" t="s">
        <v>97</v>
      </c>
      <c r="F179" s="80">
        <v>13</v>
      </c>
    </row>
    <row r="180" spans="1:6" x14ac:dyDescent="0.25">
      <c r="A180" s="80" t="s">
        <v>308</v>
      </c>
      <c r="B180" s="80" t="s">
        <v>38</v>
      </c>
      <c r="C180" s="80" t="s">
        <v>76</v>
      </c>
      <c r="E180" s="80" t="s">
        <v>97</v>
      </c>
      <c r="F180" s="80">
        <v>16</v>
      </c>
    </row>
    <row r="181" spans="1:6" x14ac:dyDescent="0.25">
      <c r="A181" s="80" t="s">
        <v>308</v>
      </c>
      <c r="B181" s="80" t="s">
        <v>40</v>
      </c>
      <c r="C181" s="80" t="s">
        <v>76</v>
      </c>
      <c r="E181" s="80" t="s">
        <v>97</v>
      </c>
      <c r="F181" s="80">
        <v>1</v>
      </c>
    </row>
    <row r="182" spans="1:6" x14ac:dyDescent="0.25">
      <c r="A182" s="80" t="s">
        <v>308</v>
      </c>
      <c r="B182" s="80" t="s">
        <v>45</v>
      </c>
      <c r="C182" s="80" t="s">
        <v>76</v>
      </c>
      <c r="E182" s="80" t="s">
        <v>97</v>
      </c>
      <c r="F182" s="80">
        <v>27</v>
      </c>
    </row>
    <row r="183" spans="1:6" x14ac:dyDescent="0.25">
      <c r="A183" s="80" t="s">
        <v>308</v>
      </c>
      <c r="B183" s="80" t="s">
        <v>36</v>
      </c>
      <c r="C183" s="80" t="s">
        <v>76</v>
      </c>
      <c r="E183" s="80" t="s">
        <v>97</v>
      </c>
      <c r="F183" s="80">
        <v>4</v>
      </c>
    </row>
    <row r="184" spans="1:6" x14ac:dyDescent="0.25">
      <c r="A184" s="80" t="s">
        <v>308</v>
      </c>
      <c r="B184" s="80" t="s">
        <v>35</v>
      </c>
      <c r="C184" s="80" t="s">
        <v>76</v>
      </c>
      <c r="E184" s="80" t="s">
        <v>97</v>
      </c>
      <c r="F184" s="80">
        <v>6</v>
      </c>
    </row>
    <row r="185" spans="1:6" x14ac:dyDescent="0.25">
      <c r="A185" s="80" t="s">
        <v>308</v>
      </c>
      <c r="B185" s="80" t="s">
        <v>60</v>
      </c>
      <c r="C185" s="80" t="s">
        <v>76</v>
      </c>
      <c r="E185" s="80" t="s">
        <v>97</v>
      </c>
      <c r="F185" s="80">
        <v>20</v>
      </c>
    </row>
    <row r="186" spans="1:6" x14ac:dyDescent="0.25">
      <c r="A186" s="80" t="s">
        <v>308</v>
      </c>
      <c r="B186" s="80" t="s">
        <v>59</v>
      </c>
      <c r="C186" s="80" t="s">
        <v>76</v>
      </c>
      <c r="E186" s="80" t="s">
        <v>97</v>
      </c>
      <c r="F186" s="80">
        <v>55</v>
      </c>
    </row>
    <row r="187" spans="1:6" x14ac:dyDescent="0.25">
      <c r="A187" s="80" t="s">
        <v>308</v>
      </c>
      <c r="B187" s="80" t="s">
        <v>15</v>
      </c>
      <c r="C187" s="80" t="s">
        <v>71</v>
      </c>
      <c r="E187" s="80" t="s">
        <v>96</v>
      </c>
      <c r="F187" s="80">
        <v>14</v>
      </c>
    </row>
    <row r="188" spans="1:6" x14ac:dyDescent="0.25">
      <c r="A188" s="80" t="s">
        <v>308</v>
      </c>
      <c r="B188" s="80" t="s">
        <v>22</v>
      </c>
      <c r="C188" s="80" t="s">
        <v>71</v>
      </c>
      <c r="E188" s="80" t="s">
        <v>99</v>
      </c>
      <c r="F188" s="80">
        <v>7500</v>
      </c>
    </row>
    <row r="189" spans="1:6" x14ac:dyDescent="0.25">
      <c r="A189" s="80" t="s">
        <v>308</v>
      </c>
      <c r="B189" s="80" t="s">
        <v>81</v>
      </c>
      <c r="C189" s="80" t="s">
        <v>76</v>
      </c>
      <c r="E189" s="80" t="s">
        <v>97</v>
      </c>
      <c r="F189" s="80">
        <v>2</v>
      </c>
    </row>
    <row r="190" spans="1:6" x14ac:dyDescent="0.25">
      <c r="A190" s="80" t="s">
        <v>308</v>
      </c>
      <c r="B190" s="80" t="s">
        <v>51</v>
      </c>
      <c r="C190" s="80" t="s">
        <v>76</v>
      </c>
      <c r="E190" s="80" t="s">
        <v>97</v>
      </c>
      <c r="F190" s="80">
        <v>11</v>
      </c>
    </row>
    <row r="191" spans="1:6" x14ac:dyDescent="0.25">
      <c r="A191" s="80" t="s">
        <v>308</v>
      </c>
      <c r="B191" s="80" t="s">
        <v>156</v>
      </c>
      <c r="C191" s="80" t="s">
        <v>76</v>
      </c>
      <c r="E191" s="80" t="s">
        <v>97</v>
      </c>
      <c r="F191" s="80">
        <v>23</v>
      </c>
    </row>
    <row r="192" spans="1:6" x14ac:dyDescent="0.25">
      <c r="A192" s="80" t="s">
        <v>308</v>
      </c>
      <c r="B192" s="80" t="s">
        <v>50</v>
      </c>
      <c r="C192" s="80" t="s">
        <v>76</v>
      </c>
      <c r="E192" s="80" t="s">
        <v>97</v>
      </c>
      <c r="F192" s="80">
        <v>4</v>
      </c>
    </row>
    <row r="193" spans="1:6" x14ac:dyDescent="0.25">
      <c r="A193" s="80" t="s">
        <v>308</v>
      </c>
      <c r="B193" s="80" t="s">
        <v>48</v>
      </c>
      <c r="C193" s="80" t="s">
        <v>76</v>
      </c>
      <c r="E193" s="80" t="s">
        <v>97</v>
      </c>
      <c r="F193" s="80">
        <v>2</v>
      </c>
    </row>
    <row r="194" spans="1:6" x14ac:dyDescent="0.25">
      <c r="A194" s="80" t="s">
        <v>308</v>
      </c>
      <c r="B194" s="80" t="s">
        <v>155</v>
      </c>
      <c r="C194" s="80" t="s">
        <v>76</v>
      </c>
      <c r="E194" s="80" t="s">
        <v>97</v>
      </c>
      <c r="F194" s="80">
        <v>13</v>
      </c>
    </row>
    <row r="195" spans="1:6" x14ac:dyDescent="0.25">
      <c r="A195" s="80" t="s">
        <v>308</v>
      </c>
      <c r="B195" s="80" t="s">
        <v>137</v>
      </c>
      <c r="C195" s="80" t="s">
        <v>71</v>
      </c>
      <c r="E195" s="80" t="s">
        <v>143</v>
      </c>
      <c r="F195" s="80">
        <v>31</v>
      </c>
    </row>
    <row r="196" spans="1:6" x14ac:dyDescent="0.25">
      <c r="A196" s="80" t="s">
        <v>308</v>
      </c>
      <c r="B196" s="80" t="s">
        <v>20</v>
      </c>
      <c r="C196" s="80" t="s">
        <v>71</v>
      </c>
      <c r="E196" s="80" t="s">
        <v>93</v>
      </c>
      <c r="F196" s="80">
        <v>4</v>
      </c>
    </row>
    <row r="197" spans="1:6" x14ac:dyDescent="0.25">
      <c r="A197" s="80" t="s">
        <v>308</v>
      </c>
      <c r="B197" s="80" t="s">
        <v>139</v>
      </c>
      <c r="C197" s="80" t="s">
        <v>71</v>
      </c>
      <c r="E197" s="80" t="s">
        <v>143</v>
      </c>
      <c r="F197" s="80">
        <v>66</v>
      </c>
    </row>
    <row r="198" spans="1:6" x14ac:dyDescent="0.25">
      <c r="A198" s="80" t="s">
        <v>308</v>
      </c>
      <c r="B198" s="80" t="s">
        <v>138</v>
      </c>
      <c r="C198" s="80" t="s">
        <v>71</v>
      </c>
      <c r="E198" s="80" t="s">
        <v>143</v>
      </c>
      <c r="F198" s="80">
        <v>47</v>
      </c>
    </row>
    <row r="199" spans="1:6" x14ac:dyDescent="0.25">
      <c r="A199" s="80" t="s">
        <v>308</v>
      </c>
      <c r="B199" s="80" t="s">
        <v>135</v>
      </c>
      <c r="C199" s="80" t="s">
        <v>71</v>
      </c>
      <c r="E199" s="80" t="s">
        <v>145</v>
      </c>
      <c r="F199" s="80">
        <v>41</v>
      </c>
    </row>
    <row r="200" spans="1:6" x14ac:dyDescent="0.25">
      <c r="A200" s="80" t="s">
        <v>308</v>
      </c>
      <c r="B200" s="80" t="s">
        <v>121</v>
      </c>
      <c r="C200" s="80" t="s">
        <v>71</v>
      </c>
      <c r="E200" s="80" t="s">
        <v>122</v>
      </c>
      <c r="F200" s="80">
        <v>6</v>
      </c>
    </row>
    <row r="201" spans="1:6" x14ac:dyDescent="0.25">
      <c r="A201" s="80" t="s">
        <v>308</v>
      </c>
      <c r="B201" s="80" t="s">
        <v>82</v>
      </c>
      <c r="C201" s="80" t="s">
        <v>76</v>
      </c>
      <c r="E201" s="80" t="s">
        <v>97</v>
      </c>
      <c r="F201" s="80">
        <v>1</v>
      </c>
    </row>
    <row r="202" spans="1:6" x14ac:dyDescent="0.25">
      <c r="A202" s="80" t="s">
        <v>308</v>
      </c>
      <c r="B202" s="80" t="s">
        <v>23</v>
      </c>
      <c r="C202" s="80" t="s">
        <v>71</v>
      </c>
      <c r="E202" s="80" t="s">
        <v>96</v>
      </c>
      <c r="F202" s="80">
        <v>5</v>
      </c>
    </row>
    <row r="203" spans="1:6" x14ac:dyDescent="0.25">
      <c r="A203" s="80" t="s">
        <v>308</v>
      </c>
      <c r="B203" s="80" t="s">
        <v>29</v>
      </c>
      <c r="C203" s="80" t="s">
        <v>71</v>
      </c>
      <c r="E203" s="80" t="s">
        <v>168</v>
      </c>
      <c r="F203" s="80">
        <v>15</v>
      </c>
    </row>
    <row r="204" spans="1:6" x14ac:dyDescent="0.25">
      <c r="A204" s="80" t="s">
        <v>308</v>
      </c>
      <c r="B204" s="80" t="s">
        <v>24</v>
      </c>
      <c r="C204" s="80" t="s">
        <v>71</v>
      </c>
      <c r="E204" s="80" t="s">
        <v>96</v>
      </c>
      <c r="F204" s="80">
        <v>11</v>
      </c>
    </row>
    <row r="205" spans="1:6" x14ac:dyDescent="0.25">
      <c r="A205" s="80" t="s">
        <v>308</v>
      </c>
      <c r="B205" s="80" t="s">
        <v>17</v>
      </c>
      <c r="C205" s="80" t="s">
        <v>71</v>
      </c>
      <c r="E205" s="80" t="s">
        <v>92</v>
      </c>
      <c r="F205" s="80">
        <v>8</v>
      </c>
    </row>
    <row r="206" spans="1:6" x14ac:dyDescent="0.25">
      <c r="A206" s="80" t="s">
        <v>308</v>
      </c>
      <c r="B206" s="80" t="s">
        <v>28</v>
      </c>
      <c r="C206" s="80" t="s">
        <v>71</v>
      </c>
      <c r="E206" s="80" t="s">
        <v>96</v>
      </c>
      <c r="F206" s="80">
        <v>7</v>
      </c>
    </row>
    <row r="207" spans="1:6" x14ac:dyDescent="0.25">
      <c r="A207" s="80" t="s">
        <v>308</v>
      </c>
      <c r="B207" s="80" t="s">
        <v>83</v>
      </c>
      <c r="C207" s="80" t="s">
        <v>76</v>
      </c>
      <c r="E207" s="80" t="s">
        <v>97</v>
      </c>
      <c r="F207" s="80">
        <v>1</v>
      </c>
    </row>
    <row r="208" spans="1:6" x14ac:dyDescent="0.25">
      <c r="A208" s="80" t="s">
        <v>308</v>
      </c>
      <c r="B208" s="80" t="s">
        <v>25</v>
      </c>
      <c r="C208" s="80" t="s">
        <v>71</v>
      </c>
      <c r="E208" s="80" t="s">
        <v>108</v>
      </c>
      <c r="F208" s="80">
        <v>4800</v>
      </c>
    </row>
    <row r="209" spans="1:6" x14ac:dyDescent="0.25">
      <c r="A209" s="80" t="s">
        <v>308</v>
      </c>
      <c r="B209" s="80" t="s">
        <v>112</v>
      </c>
      <c r="C209" s="80" t="s">
        <v>71</v>
      </c>
      <c r="E209" s="80" t="s">
        <v>96</v>
      </c>
      <c r="F209" s="80">
        <v>3</v>
      </c>
    </row>
    <row r="210" spans="1:6" x14ac:dyDescent="0.25">
      <c r="A210" s="80" t="s">
        <v>308</v>
      </c>
      <c r="B210" s="80" t="s">
        <v>26</v>
      </c>
      <c r="C210" s="80" t="s">
        <v>71</v>
      </c>
      <c r="E210" s="80" t="s">
        <v>108</v>
      </c>
      <c r="F210" s="80">
        <v>3000</v>
      </c>
    </row>
    <row r="211" spans="1:6" x14ac:dyDescent="0.25">
      <c r="A211" s="80" t="s">
        <v>308</v>
      </c>
      <c r="B211" s="80" t="s">
        <v>140</v>
      </c>
      <c r="C211" s="80" t="s">
        <v>142</v>
      </c>
      <c r="E211" s="80" t="s">
        <v>143</v>
      </c>
      <c r="F211" s="80">
        <v>20</v>
      </c>
    </row>
    <row r="212" spans="1:6" x14ac:dyDescent="0.25">
      <c r="A212" s="80" t="s">
        <v>308</v>
      </c>
      <c r="B212" s="80" t="s">
        <v>8</v>
      </c>
      <c r="C212" s="80" t="s">
        <v>71</v>
      </c>
      <c r="E212" s="80" t="s">
        <v>108</v>
      </c>
      <c r="F212" s="80">
        <v>7660</v>
      </c>
    </row>
    <row r="213" spans="1:6" x14ac:dyDescent="0.25">
      <c r="A213" s="80" t="s">
        <v>308</v>
      </c>
      <c r="B213" s="80" t="s">
        <v>16</v>
      </c>
      <c r="C213" s="80" t="s">
        <v>71</v>
      </c>
      <c r="E213" s="80" t="s">
        <v>96</v>
      </c>
      <c r="F213" s="80">
        <v>10</v>
      </c>
    </row>
    <row r="214" spans="1:6" x14ac:dyDescent="0.25">
      <c r="A214" s="80" t="s">
        <v>308</v>
      </c>
      <c r="B214" s="80" t="s">
        <v>84</v>
      </c>
      <c r="C214" s="80" t="s">
        <v>76</v>
      </c>
      <c r="E214" s="80" t="s">
        <v>97</v>
      </c>
      <c r="F214" s="80">
        <v>3</v>
      </c>
    </row>
    <row r="215" spans="1:6" x14ac:dyDescent="0.25">
      <c r="A215" s="80" t="s">
        <v>308</v>
      </c>
      <c r="B215" s="80" t="s">
        <v>85</v>
      </c>
      <c r="C215" s="80" t="s">
        <v>76</v>
      </c>
      <c r="E215" s="80" t="s">
        <v>97</v>
      </c>
      <c r="F215" s="80">
        <v>3</v>
      </c>
    </row>
    <row r="216" spans="1:6" x14ac:dyDescent="0.25">
      <c r="A216" s="80" t="s">
        <v>308</v>
      </c>
      <c r="B216" s="80" t="s">
        <v>58</v>
      </c>
      <c r="C216" s="80" t="s">
        <v>76</v>
      </c>
      <c r="E216" s="80" t="s">
        <v>97</v>
      </c>
      <c r="F216" s="80">
        <v>1</v>
      </c>
    </row>
    <row r="217" spans="1:6" x14ac:dyDescent="0.25">
      <c r="A217" s="80" t="s">
        <v>308</v>
      </c>
      <c r="B217" s="80" t="s">
        <v>56</v>
      </c>
      <c r="C217" s="80" t="s">
        <v>76</v>
      </c>
      <c r="E217" s="80" t="s">
        <v>97</v>
      </c>
      <c r="F217" s="80">
        <v>1</v>
      </c>
    </row>
    <row r="218" spans="1:6" x14ac:dyDescent="0.25">
      <c r="A218" s="80" t="s">
        <v>308</v>
      </c>
      <c r="B218" s="80" t="s">
        <v>57</v>
      </c>
      <c r="C218" s="80" t="s">
        <v>76</v>
      </c>
      <c r="E218" s="80" t="s">
        <v>97</v>
      </c>
      <c r="F218" s="80">
        <v>1</v>
      </c>
    </row>
    <row r="219" spans="1:6" x14ac:dyDescent="0.25">
      <c r="A219" s="80" t="s">
        <v>308</v>
      </c>
      <c r="B219" s="80" t="s">
        <v>146</v>
      </c>
      <c r="C219" s="80" t="s">
        <v>76</v>
      </c>
      <c r="E219" s="80" t="s">
        <v>97</v>
      </c>
      <c r="F219" s="80">
        <v>1</v>
      </c>
    </row>
    <row r="220" spans="1:6" x14ac:dyDescent="0.25">
      <c r="A220" s="80" t="s">
        <v>308</v>
      </c>
      <c r="B220" s="80" t="s">
        <v>128</v>
      </c>
      <c r="C220" s="80" t="s">
        <v>76</v>
      </c>
      <c r="E220" s="80" t="s">
        <v>134</v>
      </c>
      <c r="F220" s="80">
        <v>6</v>
      </c>
    </row>
    <row r="221" spans="1:6" x14ac:dyDescent="0.25">
      <c r="A221" s="80" t="s">
        <v>308</v>
      </c>
      <c r="B221" s="80" t="s">
        <v>125</v>
      </c>
      <c r="C221" s="80" t="s">
        <v>71</v>
      </c>
      <c r="E221" s="80" t="s">
        <v>126</v>
      </c>
      <c r="F221" s="80">
        <v>1</v>
      </c>
    </row>
    <row r="222" spans="1:6" x14ac:dyDescent="0.25">
      <c r="A222" s="80" t="s">
        <v>308</v>
      </c>
      <c r="B222" s="80" t="s">
        <v>14</v>
      </c>
      <c r="C222" s="80" t="s">
        <v>71</v>
      </c>
      <c r="E222" s="80" t="s">
        <v>108</v>
      </c>
      <c r="F222" s="80">
        <v>505</v>
      </c>
    </row>
    <row r="223" spans="1:6" x14ac:dyDescent="0.25">
      <c r="A223" s="80" t="s">
        <v>308</v>
      </c>
      <c r="B223" s="80" t="s">
        <v>12</v>
      </c>
      <c r="C223" s="80" t="s">
        <v>71</v>
      </c>
      <c r="E223" s="80" t="s">
        <v>108</v>
      </c>
      <c r="F223" s="80">
        <v>4445</v>
      </c>
    </row>
    <row r="224" spans="1:6" x14ac:dyDescent="0.25">
      <c r="A224" s="80" t="s">
        <v>308</v>
      </c>
      <c r="B224" s="80" t="s">
        <v>55</v>
      </c>
      <c r="C224" s="80" t="s">
        <v>76</v>
      </c>
      <c r="E224" s="80" t="s">
        <v>97</v>
      </c>
      <c r="F224" s="80">
        <v>11</v>
      </c>
    </row>
    <row r="225" spans="1:6" x14ac:dyDescent="0.25">
      <c r="A225" s="80" t="s">
        <v>308</v>
      </c>
      <c r="B225" s="80" t="s">
        <v>310</v>
      </c>
      <c r="C225" s="80" t="s">
        <v>309</v>
      </c>
      <c r="E225" s="80" t="s">
        <v>97</v>
      </c>
      <c r="F225" s="80">
        <v>6</v>
      </c>
    </row>
    <row r="226" spans="1:6" x14ac:dyDescent="0.25">
      <c r="A226" s="80" t="s">
        <v>308</v>
      </c>
      <c r="B226" s="80" t="s">
        <v>129</v>
      </c>
      <c r="C226" s="80" t="s">
        <v>76</v>
      </c>
      <c r="E226" s="80" t="s">
        <v>130</v>
      </c>
      <c r="F226" s="80">
        <v>40</v>
      </c>
    </row>
    <row r="227" spans="1:6" x14ac:dyDescent="0.25">
      <c r="A227" s="80" t="s">
        <v>308</v>
      </c>
      <c r="B227" s="80" t="s">
        <v>80</v>
      </c>
      <c r="C227" s="80" t="s">
        <v>76</v>
      </c>
      <c r="E227" s="80" t="s">
        <v>97</v>
      </c>
      <c r="F227" s="80">
        <v>1</v>
      </c>
    </row>
    <row r="228" spans="1:6" x14ac:dyDescent="0.25">
      <c r="A228" s="80" t="s">
        <v>308</v>
      </c>
      <c r="B228" s="80" t="s">
        <v>148</v>
      </c>
      <c r="C228" s="80" t="s">
        <v>149</v>
      </c>
      <c r="E228" s="80" t="s">
        <v>150</v>
      </c>
      <c r="F228" s="80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E824-F82D-4804-BCB3-828CD63A40D2}">
  <dimension ref="A2:AP327"/>
  <sheetViews>
    <sheetView topLeftCell="I1" zoomScale="40" zoomScaleNormal="40" workbookViewId="0">
      <selection activeCell="S24" sqref="S24"/>
    </sheetView>
  </sheetViews>
  <sheetFormatPr defaultRowHeight="15" x14ac:dyDescent="0.25"/>
  <cols>
    <col min="1" max="1" width="18" bestFit="1" customWidth="1"/>
    <col min="2" max="2" width="20.85546875" bestFit="1" customWidth="1"/>
    <col min="3" max="3" width="22.28515625" bestFit="1" customWidth="1"/>
    <col min="4" max="4" width="40.5703125" bestFit="1" customWidth="1"/>
    <col min="5" max="5" width="13.7109375" bestFit="1" customWidth="1"/>
    <col min="6" max="6" width="47" bestFit="1" customWidth="1"/>
    <col min="7" max="7" width="49.140625" bestFit="1" customWidth="1"/>
    <col min="8" max="8" width="50.140625" bestFit="1" customWidth="1"/>
    <col min="9" max="9" width="50.5703125" bestFit="1" customWidth="1"/>
    <col min="10" max="10" width="51.5703125" bestFit="1" customWidth="1"/>
    <col min="11" max="11" width="29.42578125" bestFit="1" customWidth="1"/>
    <col min="12" max="12" width="36.5703125" bestFit="1" customWidth="1"/>
    <col min="13" max="13" width="25.5703125" bestFit="1" customWidth="1"/>
    <col min="14" max="14" width="29.42578125" bestFit="1" customWidth="1"/>
    <col min="15" max="15" width="24.140625" bestFit="1" customWidth="1"/>
    <col min="16" max="16" width="25.5703125" bestFit="1" customWidth="1"/>
    <col min="17" max="17" width="37.7109375" bestFit="1" customWidth="1"/>
    <col min="18" max="18" width="39.85546875" bestFit="1" customWidth="1"/>
    <col min="19" max="19" width="40.85546875" bestFit="1" customWidth="1"/>
    <col min="20" max="20" width="41.28515625" bestFit="1" customWidth="1"/>
    <col min="21" max="21" width="49.85546875" bestFit="1" customWidth="1"/>
    <col min="22" max="22" width="43" bestFit="1" customWidth="1"/>
    <col min="23" max="23" width="58" bestFit="1" customWidth="1"/>
    <col min="24" max="24" width="59.140625" bestFit="1" customWidth="1"/>
    <col min="25" max="25" width="59.42578125" bestFit="1" customWidth="1"/>
    <col min="26" max="26" width="60.5703125" bestFit="1" customWidth="1"/>
    <col min="27" max="27" width="29.42578125" bestFit="1" customWidth="1"/>
    <col min="28" max="29" width="32.7109375" bestFit="1" customWidth="1"/>
    <col min="30" max="31" width="34.140625" bestFit="1" customWidth="1"/>
  </cols>
  <sheetData>
    <row r="2" spans="1:42" s="5" customFormat="1" ht="28.5" x14ac:dyDescent="0.45">
      <c r="A2" s="6" t="s">
        <v>164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42" ht="15.75" thickBot="1" x14ac:dyDescent="0.3"/>
    <row r="4" spans="1:42" ht="27" thickBot="1" x14ac:dyDescent="0.45">
      <c r="F4" s="26" t="s">
        <v>107</v>
      </c>
      <c r="G4" s="72"/>
      <c r="H4" s="72"/>
      <c r="I4" s="27"/>
      <c r="J4" s="28"/>
      <c r="K4" s="26" t="s">
        <v>98</v>
      </c>
      <c r="L4" s="28"/>
      <c r="M4" s="26"/>
      <c r="N4" s="26" t="s">
        <v>1</v>
      </c>
      <c r="O4" s="74"/>
      <c r="P4" s="30"/>
      <c r="Q4" s="26" t="s">
        <v>105</v>
      </c>
      <c r="R4" s="29"/>
      <c r="S4" s="68"/>
      <c r="T4" s="71"/>
      <c r="U4" s="69"/>
      <c r="V4" s="48" t="s">
        <v>106</v>
      </c>
      <c r="W4" s="73"/>
      <c r="X4" s="50"/>
      <c r="Y4" s="73"/>
      <c r="Z4" s="50"/>
      <c r="AA4" s="72" t="s">
        <v>103</v>
      </c>
      <c r="AB4" s="68"/>
      <c r="AC4" s="50"/>
      <c r="AD4" s="68"/>
      <c r="AE4" s="50"/>
    </row>
    <row r="5" spans="1:42" s="1" customFormat="1" x14ac:dyDescent="0.25">
      <c r="A5" s="36" t="s">
        <v>4</v>
      </c>
      <c r="B5" s="37" t="s">
        <v>3</v>
      </c>
      <c r="C5" t="s">
        <v>282</v>
      </c>
      <c r="D5" s="37" t="s">
        <v>5</v>
      </c>
      <c r="E5" s="38" t="s">
        <v>94</v>
      </c>
      <c r="F5" s="39" t="s">
        <v>120</v>
      </c>
      <c r="G5" s="76" t="s">
        <v>293</v>
      </c>
      <c r="H5" s="76" t="s">
        <v>294</v>
      </c>
      <c r="I5" s="40" t="s">
        <v>295</v>
      </c>
      <c r="J5" s="41" t="s">
        <v>296</v>
      </c>
      <c r="K5" s="42" t="s">
        <v>86</v>
      </c>
      <c r="L5" s="43" t="s">
        <v>87</v>
      </c>
      <c r="M5" s="44" t="s">
        <v>88</v>
      </c>
      <c r="N5" s="42" t="s">
        <v>162</v>
      </c>
      <c r="O5" s="43" t="s">
        <v>100</v>
      </c>
      <c r="P5" s="44" t="s">
        <v>101</v>
      </c>
      <c r="Q5" s="42" t="s">
        <v>89</v>
      </c>
      <c r="R5" s="45" t="s">
        <v>301</v>
      </c>
      <c r="S5" s="45" t="s">
        <v>302</v>
      </c>
      <c r="T5" s="45" t="s">
        <v>277</v>
      </c>
      <c r="U5" s="41" t="s">
        <v>278</v>
      </c>
      <c r="V5" s="46" t="s">
        <v>115</v>
      </c>
      <c r="W5" s="49" t="s">
        <v>299</v>
      </c>
      <c r="X5" s="49" t="s">
        <v>300</v>
      </c>
      <c r="Y5" s="49" t="s">
        <v>297</v>
      </c>
      <c r="Z5" s="49" t="s">
        <v>298</v>
      </c>
      <c r="AA5" s="39" t="s">
        <v>104</v>
      </c>
      <c r="AB5" s="45" t="s">
        <v>292</v>
      </c>
      <c r="AC5" s="41" t="s">
        <v>289</v>
      </c>
      <c r="AD5" s="45" t="s">
        <v>290</v>
      </c>
      <c r="AE5" s="41" t="s">
        <v>291</v>
      </c>
      <c r="AI5" s="79" t="s">
        <v>167</v>
      </c>
      <c r="AJ5" s="79"/>
      <c r="AK5" s="79"/>
      <c r="AL5" s="79"/>
      <c r="AM5" s="79"/>
      <c r="AN5" s="79"/>
      <c r="AO5" s="79"/>
      <c r="AP5" s="32"/>
    </row>
    <row r="6" spans="1:42" hidden="1" x14ac:dyDescent="0.25">
      <c r="A6" s="84" t="s">
        <v>308</v>
      </c>
      <c r="B6" s="34" t="s">
        <v>76</v>
      </c>
      <c r="C6" s="80" t="s">
        <v>283</v>
      </c>
      <c r="D6" s="34" t="s">
        <v>127</v>
      </c>
      <c r="E6" s="35" t="s">
        <v>134</v>
      </c>
      <c r="F6" s="85" cm="1">
        <f t="array" ref="F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9</v>
      </c>
      <c r="G6" s="86" cm="1">
        <f t="array" ref="G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920</v>
      </c>
      <c r="H6" s="86">
        <f>IF(RAPPORT_FINAL[[#This Row],[INVENTAIRE_PREC.Prix_vente]]="","",RAPPORT_FINAL[[#This Row],[INVENTAIRE_PREC.Quantite]]*RAPPORT_FINAL[[#This Row],[INVENTAIRE_PREC.Prix_cout]])</f>
        <v>8280</v>
      </c>
      <c r="I6" s="83" cm="1">
        <f t="array" ref="I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</v>
      </c>
      <c r="J6" s="88">
        <f>IF(RAPPORT_FINAL[[#This Row],[INVENTAIRE_PREC.Prix_vente]]="","",RAPPORT_FINAL[[#This Row],[INVENTAIRE_PREC.Quantite]]*RAPPORT_FINAL[[#This Row],[INVENTAIRE_PREC.Prix_vente]])</f>
        <v>13500</v>
      </c>
      <c r="K6" s="24"/>
      <c r="L6" s="11"/>
      <c r="M6" s="25"/>
      <c r="N6" s="24"/>
      <c r="O6" s="11"/>
      <c r="P6" s="25"/>
      <c r="Q6" s="85">
        <v>9</v>
      </c>
      <c r="R6" s="86" cm="1">
        <f t="array" ref="R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920</v>
      </c>
      <c r="S6" s="86">
        <f>RAPPORT_FINAL[[#This Row],[INVENTAIRE.Quantite]]*RAPPORT_FINAL[[#This Row],[INVENTAIRE.Prix_cout]]</f>
        <v>8280</v>
      </c>
      <c r="T6" s="83" cm="1">
        <f t="array" ref="T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</v>
      </c>
      <c r="U6" s="88">
        <f>IF(OR(RAPPORT_FINAL[[#This Row],[INVENTAIRE.Quantite]]="",RAPPORT_FINAL[[#This Row],[INVENTAIRE.Prix_vente]]=""),"",RAPPORT_FINAL[[#This Row],[INVENTAIRE.Quantite]]*RAPPORT_FINAL[[#This Row],[INVENTAIRE.Prix_vente]])</f>
        <v>13500</v>
      </c>
      <c r="V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9</v>
      </c>
      <c r="W6" s="24">
        <f>RAPPORT_FINAL[[#This Row],[INVENTAIRE.Prix_cout]]</f>
        <v>920</v>
      </c>
      <c r="X6" s="85">
        <f>RAPPORT_FINAL[[#This Row],[INVENTAIRE_THEORIQUE]]*RAPPORT_FINAL[[#This Row],[INVENTAIRE_THEORIQUE.Prix_cout]]</f>
        <v>8280</v>
      </c>
      <c r="Y6" s="85">
        <f>RAPPORT_FINAL[[#This Row],[INVENTAIRE.Prix_vente]]</f>
        <v>1500</v>
      </c>
      <c r="Z6" s="85">
        <f>RAPPORT_FINAL[[#This Row],[INVENTAIRE_THEORIQUE]]*RAPPORT_FINAL[[#This Row],[INVENTAIRE_THEORIQUE.Prix_vente]]</f>
        <v>13500</v>
      </c>
      <c r="AA6" s="85">
        <f>RAPPORT_FINAL[[#This Row],[INVENTAIRE.Quantite]]-RAPPORT_FINAL[[#This Row],[INVENTAIRE_THEORIQUE]]</f>
        <v>0</v>
      </c>
      <c r="AB6" s="90">
        <f>IFERROR(RAPPORT_FINAL[[#This Row],[ECART.Total_cout]]/RAPPORT_FINAL[[#This Row],[ECART.Quantite]],0)</f>
        <v>0</v>
      </c>
      <c r="AC6" s="91">
        <f>IFERROR(RAPPORT_FINAL[[#This Row],[ECART.Quantite]]*RAPPORT_FINAL[[#This Row],[INVENTAIRE.Prix_cout]],"")</f>
        <v>0</v>
      </c>
      <c r="AD6" s="83">
        <f>IFERROR(RAPPORT_FINAL[[#This Row],[ECART.Total_vente]]/RAPPORT_FINAL[[#This Row],[ECART.Quantite]],0)</f>
        <v>0</v>
      </c>
      <c r="AE6" s="92">
        <f>IFERROR(RAPPORT_FINAL[[#This Row],[ECART.Quantite]]*RAPPORT_FINAL[[#This Row],[INVENTAIRE.Prix_vente]],"")</f>
        <v>0</v>
      </c>
      <c r="AI6" s="79"/>
      <c r="AJ6" s="79"/>
      <c r="AK6" s="79"/>
      <c r="AL6" s="79"/>
      <c r="AM6" s="79"/>
      <c r="AN6" s="79"/>
      <c r="AO6" s="79"/>
      <c r="AP6" s="33"/>
    </row>
    <row r="7" spans="1:42" hidden="1" x14ac:dyDescent="0.25">
      <c r="A7" s="81" t="s">
        <v>308</v>
      </c>
      <c r="B7" s="3" t="s">
        <v>76</v>
      </c>
      <c r="C7" s="80" t="s">
        <v>283</v>
      </c>
      <c r="D7" s="3" t="s">
        <v>35</v>
      </c>
      <c r="E7" s="31" t="s">
        <v>97</v>
      </c>
      <c r="F7" s="85" cm="1">
        <f t="array" ref="F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7" s="80" cm="1">
        <f t="array" ref="G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600</v>
      </c>
      <c r="H7" s="80">
        <f>IF(RAPPORT_FINAL[[#This Row],[INVENTAIRE_PREC.Prix_vente]]="","",RAPPORT_FINAL[[#This Row],[INVENTAIRE_PREC.Quantite]]*RAPPORT_FINAL[[#This Row],[INVENTAIRE_PREC.Prix_cout]])</f>
        <v>1200</v>
      </c>
      <c r="I7" s="83" cm="1">
        <f t="array" ref="I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7" s="88">
        <f>IF(RAPPORT_FINAL[[#This Row],[INVENTAIRE_PREC.Prix_vente]]="","",RAPPORT_FINAL[[#This Row],[INVENTAIRE_PREC.Quantite]]*RAPPORT_FINAL[[#This Row],[INVENTAIRE_PREC.Prix_vente]])</f>
        <v>2000</v>
      </c>
      <c r="K7" s="24">
        <v>6</v>
      </c>
      <c r="L7" s="11">
        <v>650</v>
      </c>
      <c r="M7" s="25">
        <v>3900</v>
      </c>
      <c r="N7" s="24">
        <v>2</v>
      </c>
      <c r="O7" s="11">
        <v>1000</v>
      </c>
      <c r="P7" s="25">
        <v>2000</v>
      </c>
      <c r="Q7" s="85">
        <v>6</v>
      </c>
      <c r="R7" s="80" cm="1">
        <f t="array" ref="R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637.5</v>
      </c>
      <c r="S7" s="80">
        <f>RAPPORT_FINAL[[#This Row],[INVENTAIRE.Quantite]]*RAPPORT_FINAL[[#This Row],[INVENTAIRE.Prix_cout]]</f>
        <v>3825</v>
      </c>
      <c r="T7" s="83" cm="1">
        <f t="array" ref="T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7" s="88">
        <f>IF(OR(RAPPORT_FINAL[[#This Row],[INVENTAIRE.Quantite]]="",RAPPORT_FINAL[[#This Row],[INVENTAIRE.Prix_vente]]=""),"",RAPPORT_FINAL[[#This Row],[INVENTAIRE.Quantite]]*RAPPORT_FINAL[[#This Row],[INVENTAIRE.Prix_vente]])</f>
        <v>6000</v>
      </c>
      <c r="V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7" s="24">
        <f>RAPPORT_FINAL[[#This Row],[INVENTAIRE.Prix_cout]]</f>
        <v>637.5</v>
      </c>
      <c r="X7" s="85">
        <f>RAPPORT_FINAL[[#This Row],[INVENTAIRE_THEORIQUE]]*RAPPORT_FINAL[[#This Row],[INVENTAIRE_THEORIQUE.Prix_cout]]</f>
        <v>3825</v>
      </c>
      <c r="Y7" s="85">
        <f>RAPPORT_FINAL[[#This Row],[INVENTAIRE.Prix_vente]]</f>
        <v>1000</v>
      </c>
      <c r="Z7" s="85">
        <f>RAPPORT_FINAL[[#This Row],[INVENTAIRE_THEORIQUE]]*RAPPORT_FINAL[[#This Row],[INVENTAIRE_THEORIQUE.Prix_vente]]</f>
        <v>6000</v>
      </c>
      <c r="AA7" s="85">
        <f>RAPPORT_FINAL[[#This Row],[INVENTAIRE.Quantite]]-RAPPORT_FINAL[[#This Row],[INVENTAIRE_THEORIQUE]]</f>
        <v>0</v>
      </c>
      <c r="AB7" s="90">
        <f>IFERROR(RAPPORT_FINAL[[#This Row],[ECART.Total_cout]]/RAPPORT_FINAL[[#This Row],[ECART.Quantite]],0)</f>
        <v>0</v>
      </c>
      <c r="AC7" s="91">
        <f>IFERROR(RAPPORT_FINAL[[#This Row],[ECART.Quantite]]*RAPPORT_FINAL[[#This Row],[INVENTAIRE.Prix_cout]],"")</f>
        <v>0</v>
      </c>
      <c r="AD7" s="83">
        <f>IFERROR(RAPPORT_FINAL[[#This Row],[ECART.Total_vente]]/RAPPORT_FINAL[[#This Row],[ECART.Quantite]],0)</f>
        <v>0</v>
      </c>
      <c r="AE7" s="92">
        <f>IFERROR(RAPPORT_FINAL[[#This Row],[ECART.Quantite]]*RAPPORT_FINAL[[#This Row],[INVENTAIRE.Prix_vente]],"")</f>
        <v>0</v>
      </c>
      <c r="AI7" s="79"/>
      <c r="AJ7" s="79"/>
      <c r="AK7" s="79"/>
      <c r="AL7" s="79"/>
      <c r="AM7" s="79"/>
      <c r="AN7" s="79"/>
      <c r="AO7" s="79"/>
      <c r="AP7" s="33"/>
    </row>
    <row r="8" spans="1:42" x14ac:dyDescent="0.25">
      <c r="A8" s="81" t="s">
        <v>308</v>
      </c>
      <c r="B8" s="3" t="s">
        <v>76</v>
      </c>
      <c r="C8" s="80" t="s">
        <v>283</v>
      </c>
      <c r="D8" s="3" t="s">
        <v>42</v>
      </c>
      <c r="E8" s="31" t="s">
        <v>97</v>
      </c>
      <c r="F8" s="85" cm="1">
        <f t="array" ref="F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8" s="80" cm="1">
        <f t="array" ref="G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608.33000000000004</v>
      </c>
      <c r="H8" s="80">
        <f>IF(RAPPORT_FINAL[[#This Row],[INVENTAIRE_PREC.Prix_vente]]="","",RAPPORT_FINAL[[#This Row],[INVENTAIRE_PREC.Quantite]]*RAPPORT_FINAL[[#This Row],[INVENTAIRE_PREC.Prix_cout]])</f>
        <v>608.33000000000004</v>
      </c>
      <c r="I8" s="83" cm="1">
        <f t="array" ref="I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8" s="88">
        <f>IF(RAPPORT_FINAL[[#This Row],[INVENTAIRE_PREC.Prix_vente]]="","",RAPPORT_FINAL[[#This Row],[INVENTAIRE_PREC.Quantite]]*RAPPORT_FINAL[[#This Row],[INVENTAIRE_PREC.Prix_vente]])</f>
        <v>1000</v>
      </c>
      <c r="K8" s="24"/>
      <c r="L8" s="11"/>
      <c r="M8" s="25"/>
      <c r="N8" s="24">
        <v>1</v>
      </c>
      <c r="O8" s="11">
        <v>1000</v>
      </c>
      <c r="P8" s="25">
        <v>1000</v>
      </c>
      <c r="Q8" s="85">
        <v>0</v>
      </c>
      <c r="R8" s="80" cm="1">
        <f t="array" ref="R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608.33000000000004</v>
      </c>
      <c r="S8" s="80">
        <f>RAPPORT_FINAL[[#This Row],[INVENTAIRE.Quantite]]*RAPPORT_FINAL[[#This Row],[INVENTAIRE.Prix_cout]]</f>
        <v>0</v>
      </c>
      <c r="T8" s="83" cm="1">
        <f t="array" ref="T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8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8" s="24">
        <f>RAPPORT_FINAL[[#This Row],[INVENTAIRE.Prix_cout]]</f>
        <v>608.33000000000004</v>
      </c>
      <c r="X8" s="85">
        <f>RAPPORT_FINAL[[#This Row],[INVENTAIRE_THEORIQUE]]*RAPPORT_FINAL[[#This Row],[INVENTAIRE_THEORIQUE.Prix_cout]]</f>
        <v>0</v>
      </c>
      <c r="Y8" s="85">
        <f>RAPPORT_FINAL[[#This Row],[INVENTAIRE.Prix_vente]]</f>
        <v>1000</v>
      </c>
      <c r="Z8" s="85">
        <f>RAPPORT_FINAL[[#This Row],[INVENTAIRE_THEORIQUE]]*RAPPORT_FINAL[[#This Row],[INVENTAIRE_THEORIQUE.Prix_vente]]</f>
        <v>0</v>
      </c>
      <c r="AA8" s="85">
        <f>RAPPORT_FINAL[[#This Row],[INVENTAIRE.Quantite]]-RAPPORT_FINAL[[#This Row],[INVENTAIRE_THEORIQUE]]</f>
        <v>0</v>
      </c>
      <c r="AB8" s="90">
        <f>IFERROR(RAPPORT_FINAL[[#This Row],[ECART.Total_cout]]/RAPPORT_FINAL[[#This Row],[ECART.Quantite]],0)</f>
        <v>0</v>
      </c>
      <c r="AC8" s="91">
        <f>IFERROR(RAPPORT_FINAL[[#This Row],[ECART.Quantite]]*RAPPORT_FINAL[[#This Row],[INVENTAIRE.Prix_cout]],"")</f>
        <v>0</v>
      </c>
      <c r="AD8" s="83">
        <f>IFERROR(RAPPORT_FINAL[[#This Row],[ECART.Total_vente]]/RAPPORT_FINAL[[#This Row],[ECART.Quantite]],0)</f>
        <v>0</v>
      </c>
      <c r="AE8" s="92">
        <f>IFERROR(RAPPORT_FINAL[[#This Row],[ECART.Quantite]]*RAPPORT_FINAL[[#This Row],[INVENTAIRE.Prix_vente]],"")</f>
        <v>0</v>
      </c>
      <c r="AI8" s="79"/>
      <c r="AJ8" s="79"/>
      <c r="AK8" s="79"/>
      <c r="AL8" s="79"/>
      <c r="AM8" s="79"/>
      <c r="AN8" s="79"/>
      <c r="AO8" s="79"/>
      <c r="AP8" s="33"/>
    </row>
    <row r="9" spans="1:42" hidden="1" x14ac:dyDescent="0.25">
      <c r="A9" s="81" t="s">
        <v>308</v>
      </c>
      <c r="B9" s="3" t="s">
        <v>76</v>
      </c>
      <c r="C9" s="80" t="s">
        <v>283</v>
      </c>
      <c r="D9" s="3" t="s">
        <v>156</v>
      </c>
      <c r="E9" s="31" t="s">
        <v>97</v>
      </c>
      <c r="F9" s="85" cm="1">
        <f t="array" ref="F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20</v>
      </c>
      <c r="G9" s="80" cm="1">
        <f t="array" ref="G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473.61296296296291</v>
      </c>
      <c r="H9" s="80">
        <f>IF(RAPPORT_FINAL[[#This Row],[INVENTAIRE_PREC.Prix_vente]]="","",RAPPORT_FINAL[[#This Row],[INVENTAIRE_PREC.Quantite]]*RAPPORT_FINAL[[#This Row],[INVENTAIRE_PREC.Prix_cout]])</f>
        <v>9472.2592592592591</v>
      </c>
      <c r="I9" s="83" cm="1">
        <f t="array" ref="I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9" s="88">
        <f>IF(RAPPORT_FINAL[[#This Row],[INVENTAIRE_PREC.Prix_vente]]="","",RAPPORT_FINAL[[#This Row],[INVENTAIRE_PREC.Quantite]]*RAPPORT_FINAL[[#This Row],[INVENTAIRE_PREC.Prix_vente]])</f>
        <v>16000</v>
      </c>
      <c r="K9" s="24">
        <v>24</v>
      </c>
      <c r="L9" s="11">
        <v>516.66666666666663</v>
      </c>
      <c r="M9" s="25">
        <v>12400</v>
      </c>
      <c r="N9" s="24">
        <v>21</v>
      </c>
      <c r="O9" s="11">
        <v>723.80952380952385</v>
      </c>
      <c r="P9" s="25">
        <v>15200</v>
      </c>
      <c r="Q9" s="85">
        <v>23</v>
      </c>
      <c r="R9" s="80" cm="1">
        <f t="array" ref="R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497.09680134680133</v>
      </c>
      <c r="S9" s="80">
        <f>RAPPORT_FINAL[[#This Row],[INVENTAIRE.Quantite]]*RAPPORT_FINAL[[#This Row],[INVENTAIRE.Prix_cout]]</f>
        <v>11433.22643097643</v>
      </c>
      <c r="T9" s="83" cm="1">
        <f t="array" ref="T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9" s="88">
        <f>IF(OR(RAPPORT_FINAL[[#This Row],[INVENTAIRE.Quantite]]="",RAPPORT_FINAL[[#This Row],[INVENTAIRE.Prix_vente]]=""),"",RAPPORT_FINAL[[#This Row],[INVENTAIRE.Quantite]]*RAPPORT_FINAL[[#This Row],[INVENTAIRE.Prix_vente]])</f>
        <v>18400</v>
      </c>
      <c r="V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23</v>
      </c>
      <c r="W9" s="24">
        <f>RAPPORT_FINAL[[#This Row],[INVENTAIRE.Prix_cout]]</f>
        <v>497.09680134680133</v>
      </c>
      <c r="X9" s="85">
        <f>RAPPORT_FINAL[[#This Row],[INVENTAIRE_THEORIQUE]]*RAPPORT_FINAL[[#This Row],[INVENTAIRE_THEORIQUE.Prix_cout]]</f>
        <v>11433.22643097643</v>
      </c>
      <c r="Y9" s="85">
        <f>RAPPORT_FINAL[[#This Row],[INVENTAIRE.Prix_vente]]</f>
        <v>800</v>
      </c>
      <c r="Z9" s="85">
        <f>RAPPORT_FINAL[[#This Row],[INVENTAIRE_THEORIQUE]]*RAPPORT_FINAL[[#This Row],[INVENTAIRE_THEORIQUE.Prix_vente]]</f>
        <v>18400</v>
      </c>
      <c r="AA9" s="85">
        <f>RAPPORT_FINAL[[#This Row],[INVENTAIRE.Quantite]]-RAPPORT_FINAL[[#This Row],[INVENTAIRE_THEORIQUE]]</f>
        <v>0</v>
      </c>
      <c r="AB9" s="90">
        <f>IFERROR(RAPPORT_FINAL[[#This Row],[ECART.Total_cout]]/RAPPORT_FINAL[[#This Row],[ECART.Quantite]],0)</f>
        <v>0</v>
      </c>
      <c r="AC9" s="91">
        <f>IFERROR(RAPPORT_FINAL[[#This Row],[ECART.Quantite]]*RAPPORT_FINAL[[#This Row],[INVENTAIRE.Prix_cout]],"")</f>
        <v>0</v>
      </c>
      <c r="AD9" s="83">
        <f>IFERROR(RAPPORT_FINAL[[#This Row],[ECART.Total_vente]]/RAPPORT_FINAL[[#This Row],[ECART.Quantite]],0)</f>
        <v>0</v>
      </c>
      <c r="AE9" s="92">
        <f>IFERROR(RAPPORT_FINAL[[#This Row],[ECART.Quantite]]*RAPPORT_FINAL[[#This Row],[INVENTAIRE.Prix_vente]],"")</f>
        <v>0</v>
      </c>
      <c r="AI9" s="79"/>
      <c r="AJ9" s="79"/>
      <c r="AK9" s="79"/>
      <c r="AL9" s="79"/>
      <c r="AM9" s="79"/>
      <c r="AN9" s="79"/>
      <c r="AO9" s="79"/>
      <c r="AP9" s="33"/>
    </row>
    <row r="10" spans="1:42" hidden="1" x14ac:dyDescent="0.25">
      <c r="A10" s="81" t="s">
        <v>308</v>
      </c>
      <c r="B10" s="3" t="s">
        <v>76</v>
      </c>
      <c r="C10" s="80" t="s">
        <v>283</v>
      </c>
      <c r="D10" s="3" t="s">
        <v>36</v>
      </c>
      <c r="E10" s="31" t="s">
        <v>97</v>
      </c>
      <c r="F10" s="85" cm="1">
        <f t="array" ref="F1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24</v>
      </c>
      <c r="G10" s="80" cm="1">
        <f t="array" ref="G1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731.66771428571428</v>
      </c>
      <c r="H10" s="80">
        <f>IF(RAPPORT_FINAL[[#This Row],[INVENTAIRE_PREC.Prix_vente]]="","",RAPPORT_FINAL[[#This Row],[INVENTAIRE_PREC.Quantite]]*RAPPORT_FINAL[[#This Row],[INVENTAIRE_PREC.Prix_cout]])</f>
        <v>17560.025142857143</v>
      </c>
      <c r="I10" s="83" cm="1">
        <f t="array" ref="I1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0" s="88">
        <f>IF(RAPPORT_FINAL[[#This Row],[INVENTAIRE_PREC.Prix_vente]]="","",RAPPORT_FINAL[[#This Row],[INVENTAIRE_PREC.Quantite]]*RAPPORT_FINAL[[#This Row],[INVENTAIRE_PREC.Prix_vente]])</f>
        <v>24000</v>
      </c>
      <c r="K10" s="24"/>
      <c r="L10" s="11"/>
      <c r="M10" s="25"/>
      <c r="N10" s="24">
        <v>20</v>
      </c>
      <c r="O10" s="11">
        <v>1000</v>
      </c>
      <c r="P10" s="25">
        <v>20000</v>
      </c>
      <c r="Q10" s="85">
        <v>4</v>
      </c>
      <c r="R10" s="80" cm="1">
        <f t="array" ref="R1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731.66771428571428</v>
      </c>
      <c r="S10" s="80">
        <f>RAPPORT_FINAL[[#This Row],[INVENTAIRE.Quantite]]*RAPPORT_FINAL[[#This Row],[INVENTAIRE.Prix_cout]]</f>
        <v>2926.6708571428571</v>
      </c>
      <c r="T10" s="83" cm="1">
        <f t="array" ref="T1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0" s="88">
        <f>IF(OR(RAPPORT_FINAL[[#This Row],[INVENTAIRE.Quantite]]="",RAPPORT_FINAL[[#This Row],[INVENTAIRE.Prix_vente]]=""),"",RAPPORT_FINAL[[#This Row],[INVENTAIRE.Quantite]]*RAPPORT_FINAL[[#This Row],[INVENTAIRE.Prix_vente]])</f>
        <v>4000</v>
      </c>
      <c r="V1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4</v>
      </c>
      <c r="W10" s="24">
        <f>RAPPORT_FINAL[[#This Row],[INVENTAIRE.Prix_cout]]</f>
        <v>731.66771428571428</v>
      </c>
      <c r="X10" s="85">
        <f>RAPPORT_FINAL[[#This Row],[INVENTAIRE_THEORIQUE]]*RAPPORT_FINAL[[#This Row],[INVENTAIRE_THEORIQUE.Prix_cout]]</f>
        <v>2926.6708571428571</v>
      </c>
      <c r="Y10" s="85">
        <f>RAPPORT_FINAL[[#This Row],[INVENTAIRE.Prix_vente]]</f>
        <v>1000</v>
      </c>
      <c r="Z10" s="85">
        <f>RAPPORT_FINAL[[#This Row],[INVENTAIRE_THEORIQUE]]*RAPPORT_FINAL[[#This Row],[INVENTAIRE_THEORIQUE.Prix_vente]]</f>
        <v>4000</v>
      </c>
      <c r="AA10" s="85">
        <f>RAPPORT_FINAL[[#This Row],[INVENTAIRE.Quantite]]-RAPPORT_FINAL[[#This Row],[INVENTAIRE_THEORIQUE]]</f>
        <v>0</v>
      </c>
      <c r="AB10" s="90">
        <f>IFERROR(RAPPORT_FINAL[[#This Row],[ECART.Total_cout]]/RAPPORT_FINAL[[#This Row],[ECART.Quantite]],0)</f>
        <v>0</v>
      </c>
      <c r="AC10" s="91">
        <f>IFERROR(RAPPORT_FINAL[[#This Row],[ECART.Quantite]]*RAPPORT_FINAL[[#This Row],[INVENTAIRE.Prix_cout]],"")</f>
        <v>0</v>
      </c>
      <c r="AD10" s="83">
        <f>IFERROR(RAPPORT_FINAL[[#This Row],[ECART.Total_vente]]/RAPPORT_FINAL[[#This Row],[ECART.Quantite]],0)</f>
        <v>0</v>
      </c>
      <c r="AE10" s="92">
        <f>IFERROR(RAPPORT_FINAL[[#This Row],[ECART.Quantite]]*RAPPORT_FINAL[[#This Row],[INVENTAIRE.Prix_vente]],"")</f>
        <v>0</v>
      </c>
      <c r="AI10" s="79"/>
      <c r="AJ10" s="79"/>
      <c r="AK10" s="79"/>
      <c r="AL10" s="79"/>
      <c r="AM10" s="79"/>
      <c r="AN10" s="79"/>
      <c r="AO10" s="79"/>
      <c r="AP10" s="33"/>
    </row>
    <row r="11" spans="1:42" hidden="1" x14ac:dyDescent="0.25">
      <c r="A11" s="81" t="s">
        <v>308</v>
      </c>
      <c r="B11" s="3" t="s">
        <v>76</v>
      </c>
      <c r="C11" s="80" t="s">
        <v>283</v>
      </c>
      <c r="D11" s="3" t="s">
        <v>45</v>
      </c>
      <c r="E11" s="31" t="s">
        <v>97</v>
      </c>
      <c r="F11" s="85" cm="1">
        <f t="array" ref="F1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15</v>
      </c>
      <c r="G11" s="80" cm="1">
        <f t="array" ref="G1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562.5</v>
      </c>
      <c r="H11" s="80">
        <f>IF(RAPPORT_FINAL[[#This Row],[INVENTAIRE_PREC.Prix_vente]]="","",RAPPORT_FINAL[[#This Row],[INVENTAIRE_PREC.Quantite]]*RAPPORT_FINAL[[#This Row],[INVENTAIRE_PREC.Prix_cout]])</f>
        <v>8437.5</v>
      </c>
      <c r="I11" s="83" cm="1">
        <f t="array" ref="I1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1" s="88">
        <f>IF(RAPPORT_FINAL[[#This Row],[INVENTAIRE_PREC.Prix_vente]]="","",RAPPORT_FINAL[[#This Row],[INVENTAIRE_PREC.Quantite]]*RAPPORT_FINAL[[#This Row],[INVENTAIRE_PREC.Prix_vente]])</f>
        <v>15000</v>
      </c>
      <c r="K11" s="24">
        <v>24</v>
      </c>
      <c r="L11" s="11">
        <v>604.16666666666663</v>
      </c>
      <c r="M11" s="25">
        <v>14500</v>
      </c>
      <c r="N11" s="24">
        <v>13</v>
      </c>
      <c r="O11" s="11">
        <v>1000</v>
      </c>
      <c r="P11" s="25">
        <v>13000</v>
      </c>
      <c r="Q11" s="85">
        <v>27</v>
      </c>
      <c r="R11" s="80" cm="1">
        <f t="array" ref="R1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588.14102564102564</v>
      </c>
      <c r="S11" s="80">
        <f>RAPPORT_FINAL[[#This Row],[INVENTAIRE.Quantite]]*RAPPORT_FINAL[[#This Row],[INVENTAIRE.Prix_cout]]</f>
        <v>15879.807692307691</v>
      </c>
      <c r="T11" s="83" cm="1">
        <f t="array" ref="T1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1" s="88">
        <f>IF(OR(RAPPORT_FINAL[[#This Row],[INVENTAIRE.Quantite]]="",RAPPORT_FINAL[[#This Row],[INVENTAIRE.Prix_vente]]=""),"",RAPPORT_FINAL[[#This Row],[INVENTAIRE.Quantite]]*RAPPORT_FINAL[[#This Row],[INVENTAIRE.Prix_vente]])</f>
        <v>27000</v>
      </c>
      <c r="V1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26</v>
      </c>
      <c r="W11" s="24">
        <f>RAPPORT_FINAL[[#This Row],[INVENTAIRE.Prix_cout]]</f>
        <v>588.14102564102564</v>
      </c>
      <c r="X11" s="85">
        <f>RAPPORT_FINAL[[#This Row],[INVENTAIRE_THEORIQUE]]*RAPPORT_FINAL[[#This Row],[INVENTAIRE_THEORIQUE.Prix_cout]]</f>
        <v>15291.666666666666</v>
      </c>
      <c r="Y11" s="85">
        <f>RAPPORT_FINAL[[#This Row],[INVENTAIRE.Prix_vente]]</f>
        <v>1000</v>
      </c>
      <c r="Z11" s="85">
        <f>RAPPORT_FINAL[[#This Row],[INVENTAIRE_THEORIQUE]]*RAPPORT_FINAL[[#This Row],[INVENTAIRE_THEORIQUE.Prix_vente]]</f>
        <v>26000</v>
      </c>
      <c r="AA11" s="85">
        <f>RAPPORT_FINAL[[#This Row],[INVENTAIRE.Quantite]]-RAPPORT_FINAL[[#This Row],[INVENTAIRE_THEORIQUE]]</f>
        <v>1</v>
      </c>
      <c r="AB11" s="90">
        <f>IFERROR(RAPPORT_FINAL[[#This Row],[ECART.Total_cout]]/RAPPORT_FINAL[[#This Row],[ECART.Quantite]],0)</f>
        <v>588.14102564102564</v>
      </c>
      <c r="AC11" s="91">
        <f>IFERROR(RAPPORT_FINAL[[#This Row],[ECART.Quantite]]*RAPPORT_FINAL[[#This Row],[INVENTAIRE.Prix_cout]],"")</f>
        <v>588.14102564102564</v>
      </c>
      <c r="AD11" s="83">
        <f>IFERROR(RAPPORT_FINAL[[#This Row],[ECART.Total_vente]]/RAPPORT_FINAL[[#This Row],[ECART.Quantite]],0)</f>
        <v>1000</v>
      </c>
      <c r="AE11" s="92">
        <f>IFERROR(RAPPORT_FINAL[[#This Row],[ECART.Quantite]]*RAPPORT_FINAL[[#This Row],[INVENTAIRE.Prix_vente]],"")</f>
        <v>1000</v>
      </c>
      <c r="AI11" s="79"/>
      <c r="AJ11" s="79"/>
      <c r="AK11" s="79"/>
      <c r="AL11" s="79"/>
      <c r="AM11" s="79"/>
      <c r="AN11" s="79"/>
      <c r="AO11" s="79"/>
      <c r="AP11" s="33"/>
    </row>
    <row r="12" spans="1:42" hidden="1" x14ac:dyDescent="0.25">
      <c r="A12" s="81" t="s">
        <v>308</v>
      </c>
      <c r="B12" s="3" t="s">
        <v>76</v>
      </c>
      <c r="C12" s="80" t="s">
        <v>283</v>
      </c>
      <c r="D12" s="3" t="s">
        <v>51</v>
      </c>
      <c r="E12" s="31" t="s">
        <v>97</v>
      </c>
      <c r="F12" s="85" cm="1">
        <f t="array" ref="F1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2" s="80" cm="1">
        <f t="array" ref="G1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416.67</v>
      </c>
      <c r="H12" s="80">
        <f>IF(RAPPORT_FINAL[[#This Row],[INVENTAIRE_PREC.Prix_vente]]="","",RAPPORT_FINAL[[#This Row],[INVENTAIRE_PREC.Quantite]]*RAPPORT_FINAL[[#This Row],[INVENTAIRE_PREC.Prix_cout]])</f>
        <v>0</v>
      </c>
      <c r="I12" s="83" cm="1">
        <f t="array" ref="I1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12" s="88">
        <f>IF(RAPPORT_FINAL[[#This Row],[INVENTAIRE_PREC.Prix_vente]]="","",RAPPORT_FINAL[[#This Row],[INVENTAIRE_PREC.Quantite]]*RAPPORT_FINAL[[#This Row],[INVENTAIRE_PREC.Prix_vente]])</f>
        <v>0</v>
      </c>
      <c r="K12" s="24">
        <v>12</v>
      </c>
      <c r="L12" s="11">
        <v>416.66666666666669</v>
      </c>
      <c r="M12" s="25">
        <v>5000</v>
      </c>
      <c r="N12" s="24">
        <v>1</v>
      </c>
      <c r="O12" s="11">
        <v>800</v>
      </c>
      <c r="P12" s="25">
        <v>800</v>
      </c>
      <c r="Q12" s="85">
        <v>11</v>
      </c>
      <c r="R12" s="80" cm="1">
        <f t="array" ref="R1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416.66666666666669</v>
      </c>
      <c r="S12" s="80">
        <f>RAPPORT_FINAL[[#This Row],[INVENTAIRE.Quantite]]*RAPPORT_FINAL[[#This Row],[INVENTAIRE.Prix_cout]]</f>
        <v>4583.3333333333339</v>
      </c>
      <c r="T12" s="83" cm="1">
        <f t="array" ref="T1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12" s="88">
        <f>IF(OR(RAPPORT_FINAL[[#This Row],[INVENTAIRE.Quantite]]="",RAPPORT_FINAL[[#This Row],[INVENTAIRE.Prix_vente]]=""),"",RAPPORT_FINAL[[#This Row],[INVENTAIRE.Quantite]]*RAPPORT_FINAL[[#This Row],[INVENTAIRE.Prix_vente]])</f>
        <v>8800</v>
      </c>
      <c r="V1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11</v>
      </c>
      <c r="W12" s="24">
        <f>RAPPORT_FINAL[[#This Row],[INVENTAIRE.Prix_cout]]</f>
        <v>416.66666666666669</v>
      </c>
      <c r="X12" s="85">
        <f>RAPPORT_FINAL[[#This Row],[INVENTAIRE_THEORIQUE]]*RAPPORT_FINAL[[#This Row],[INVENTAIRE_THEORIQUE.Prix_cout]]</f>
        <v>4583.3333333333339</v>
      </c>
      <c r="Y12" s="85">
        <f>RAPPORT_FINAL[[#This Row],[INVENTAIRE.Prix_vente]]</f>
        <v>800</v>
      </c>
      <c r="Z12" s="85">
        <f>RAPPORT_FINAL[[#This Row],[INVENTAIRE_THEORIQUE]]*RAPPORT_FINAL[[#This Row],[INVENTAIRE_THEORIQUE.Prix_vente]]</f>
        <v>8800</v>
      </c>
      <c r="AA12" s="85">
        <f>RAPPORT_FINAL[[#This Row],[INVENTAIRE.Quantite]]-RAPPORT_FINAL[[#This Row],[INVENTAIRE_THEORIQUE]]</f>
        <v>0</v>
      </c>
      <c r="AB12" s="90">
        <f>IFERROR(RAPPORT_FINAL[[#This Row],[ECART.Total_cout]]/RAPPORT_FINAL[[#This Row],[ECART.Quantite]],0)</f>
        <v>0</v>
      </c>
      <c r="AC12" s="91">
        <f>IFERROR(RAPPORT_FINAL[[#This Row],[ECART.Quantite]]*RAPPORT_FINAL[[#This Row],[INVENTAIRE.Prix_cout]],"")</f>
        <v>0</v>
      </c>
      <c r="AD12" s="83">
        <f>IFERROR(RAPPORT_FINAL[[#This Row],[ECART.Total_vente]]/RAPPORT_FINAL[[#This Row],[ECART.Quantite]],0)</f>
        <v>0</v>
      </c>
      <c r="AE12" s="92">
        <f>IFERROR(RAPPORT_FINAL[[#This Row],[ECART.Quantite]]*RAPPORT_FINAL[[#This Row],[INVENTAIRE.Prix_vente]],"")</f>
        <v>0</v>
      </c>
      <c r="AI12" s="79"/>
      <c r="AJ12" s="79"/>
      <c r="AK12" s="79"/>
      <c r="AL12" s="79"/>
      <c r="AM12" s="79"/>
      <c r="AN12" s="79"/>
      <c r="AO12" s="79"/>
      <c r="AP12" s="33"/>
    </row>
    <row r="13" spans="1:42" x14ac:dyDescent="0.25">
      <c r="A13" s="81" t="s">
        <v>308</v>
      </c>
      <c r="B13" s="3" t="s">
        <v>76</v>
      </c>
      <c r="C13" s="80" t="s">
        <v>283</v>
      </c>
      <c r="D13" s="3" t="s">
        <v>41</v>
      </c>
      <c r="E13" s="31" t="s">
        <v>97</v>
      </c>
      <c r="F13" s="85" cm="1">
        <f t="array" ref="F1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3" s="80" cm="1">
        <f t="array" ref="G1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600</v>
      </c>
      <c r="H13" s="80">
        <f>IF(RAPPORT_FINAL[[#This Row],[INVENTAIRE_PREC.Prix_vente]]="","",RAPPORT_FINAL[[#This Row],[INVENTAIRE_PREC.Quantite]]*RAPPORT_FINAL[[#This Row],[INVENTAIRE_PREC.Prix_cout]])</f>
        <v>0</v>
      </c>
      <c r="I13" s="83" cm="1">
        <f t="array" ref="I1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3" s="88">
        <f>IF(RAPPORT_FINAL[[#This Row],[INVENTAIRE_PREC.Prix_vente]]="","",RAPPORT_FINAL[[#This Row],[INVENTAIRE_PREC.Quantite]]*RAPPORT_FINAL[[#This Row],[INVENTAIRE_PREC.Prix_vente]])</f>
        <v>0</v>
      </c>
      <c r="K13" s="24"/>
      <c r="L13" s="11"/>
      <c r="M13" s="25"/>
      <c r="N13" s="24"/>
      <c r="O13" s="11"/>
      <c r="P13" s="25"/>
      <c r="Q13" s="85">
        <v>0</v>
      </c>
      <c r="R13" s="80" cm="1">
        <f t="array" ref="R1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13" s="80">
        <f>RAPPORT_FINAL[[#This Row],[INVENTAIRE.Quantite]]*RAPPORT_FINAL[[#This Row],[INVENTAIRE.Prix_cout]]</f>
        <v>0</v>
      </c>
      <c r="T13" s="83" cm="1">
        <f t="array" ref="T1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3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13" s="24">
        <f>RAPPORT_FINAL[[#This Row],[INVENTAIRE.Prix_cout]]</f>
        <v>0</v>
      </c>
      <c r="X13" s="85">
        <f>RAPPORT_FINAL[[#This Row],[INVENTAIRE_THEORIQUE]]*RAPPORT_FINAL[[#This Row],[INVENTAIRE_THEORIQUE.Prix_cout]]</f>
        <v>0</v>
      </c>
      <c r="Y13" s="85">
        <f>RAPPORT_FINAL[[#This Row],[INVENTAIRE.Prix_vente]]</f>
        <v>1000</v>
      </c>
      <c r="Z13" s="85">
        <f>RAPPORT_FINAL[[#This Row],[INVENTAIRE_THEORIQUE]]*RAPPORT_FINAL[[#This Row],[INVENTAIRE_THEORIQUE.Prix_vente]]</f>
        <v>0</v>
      </c>
      <c r="AA13" s="85">
        <f>RAPPORT_FINAL[[#This Row],[INVENTAIRE.Quantite]]-RAPPORT_FINAL[[#This Row],[INVENTAIRE_THEORIQUE]]</f>
        <v>0</v>
      </c>
      <c r="AB13" s="90">
        <f>IFERROR(RAPPORT_FINAL[[#This Row],[ECART.Total_cout]]/RAPPORT_FINAL[[#This Row],[ECART.Quantite]],0)</f>
        <v>0</v>
      </c>
      <c r="AC13" s="91">
        <f>IFERROR(RAPPORT_FINAL[[#This Row],[ECART.Quantite]]*RAPPORT_FINAL[[#This Row],[INVENTAIRE.Prix_cout]],"")</f>
        <v>0</v>
      </c>
      <c r="AD13" s="83">
        <f>IFERROR(RAPPORT_FINAL[[#This Row],[ECART.Total_vente]]/RAPPORT_FINAL[[#This Row],[ECART.Quantite]],0)</f>
        <v>0</v>
      </c>
      <c r="AE13" s="92">
        <f>IFERROR(RAPPORT_FINAL[[#This Row],[ECART.Quantite]]*RAPPORT_FINAL[[#This Row],[INVENTAIRE.Prix_vente]],"")</f>
        <v>0</v>
      </c>
      <c r="AI13" s="79"/>
      <c r="AJ13" s="79"/>
      <c r="AK13" s="79"/>
      <c r="AL13" s="79"/>
      <c r="AM13" s="79"/>
      <c r="AN13" s="79"/>
      <c r="AO13" s="79"/>
      <c r="AP13" s="33"/>
    </row>
    <row r="14" spans="1:42" x14ac:dyDescent="0.25">
      <c r="A14" s="81" t="s">
        <v>308</v>
      </c>
      <c r="B14" s="3" t="s">
        <v>76</v>
      </c>
      <c r="C14" s="80" t="s">
        <v>283</v>
      </c>
      <c r="D14" s="3" t="s">
        <v>46</v>
      </c>
      <c r="E14" s="31" t="s">
        <v>97</v>
      </c>
      <c r="F14" s="85" cm="1">
        <f t="array" ref="F1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13</v>
      </c>
      <c r="G14" s="80" cm="1">
        <f t="array" ref="G1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800</v>
      </c>
      <c r="H14" s="80">
        <f>IF(RAPPORT_FINAL[[#This Row],[INVENTAIRE_PREC.Prix_vente]]="","",RAPPORT_FINAL[[#This Row],[INVENTAIRE_PREC.Quantite]]*RAPPORT_FINAL[[#This Row],[INVENTAIRE_PREC.Prix_cout]])</f>
        <v>10400</v>
      </c>
      <c r="I14" s="83" cm="1">
        <f t="array" ref="I1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4" s="88">
        <f>IF(RAPPORT_FINAL[[#This Row],[INVENTAIRE_PREC.Prix_vente]]="","",RAPPORT_FINAL[[#This Row],[INVENTAIRE_PREC.Quantite]]*RAPPORT_FINAL[[#This Row],[INVENTAIRE_PREC.Prix_vente]])</f>
        <v>13000</v>
      </c>
      <c r="K14" s="24"/>
      <c r="L14" s="11"/>
      <c r="M14" s="25"/>
      <c r="N14" s="24">
        <v>13</v>
      </c>
      <c r="O14" s="11">
        <v>1000</v>
      </c>
      <c r="P14" s="25">
        <v>13000</v>
      </c>
      <c r="Q14" s="85">
        <v>0</v>
      </c>
      <c r="R14" s="80" cm="1">
        <f t="array" ref="R1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800</v>
      </c>
      <c r="S14" s="80">
        <f>RAPPORT_FINAL[[#This Row],[INVENTAIRE.Quantite]]*RAPPORT_FINAL[[#This Row],[INVENTAIRE.Prix_cout]]</f>
        <v>0</v>
      </c>
      <c r="T14" s="83" cm="1">
        <f t="array" ref="T1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4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14" s="24">
        <f>RAPPORT_FINAL[[#This Row],[INVENTAIRE.Prix_cout]]</f>
        <v>800</v>
      </c>
      <c r="X14" s="85">
        <f>RAPPORT_FINAL[[#This Row],[INVENTAIRE_THEORIQUE]]*RAPPORT_FINAL[[#This Row],[INVENTAIRE_THEORIQUE.Prix_cout]]</f>
        <v>0</v>
      </c>
      <c r="Y14" s="85">
        <f>RAPPORT_FINAL[[#This Row],[INVENTAIRE.Prix_vente]]</f>
        <v>1000</v>
      </c>
      <c r="Z14" s="85">
        <f>RAPPORT_FINAL[[#This Row],[INVENTAIRE_THEORIQUE]]*RAPPORT_FINAL[[#This Row],[INVENTAIRE_THEORIQUE.Prix_vente]]</f>
        <v>0</v>
      </c>
      <c r="AA14" s="85">
        <f>RAPPORT_FINAL[[#This Row],[INVENTAIRE.Quantite]]-RAPPORT_FINAL[[#This Row],[INVENTAIRE_THEORIQUE]]</f>
        <v>0</v>
      </c>
      <c r="AB14" s="90">
        <f>IFERROR(RAPPORT_FINAL[[#This Row],[ECART.Total_cout]]/RAPPORT_FINAL[[#This Row],[ECART.Quantite]],0)</f>
        <v>0</v>
      </c>
      <c r="AC14" s="91">
        <f>IFERROR(RAPPORT_FINAL[[#This Row],[ECART.Quantite]]*RAPPORT_FINAL[[#This Row],[INVENTAIRE.Prix_cout]],"")</f>
        <v>0</v>
      </c>
      <c r="AD14" s="83">
        <f>IFERROR(RAPPORT_FINAL[[#This Row],[ECART.Total_vente]]/RAPPORT_FINAL[[#This Row],[ECART.Quantite]],0)</f>
        <v>0</v>
      </c>
      <c r="AE14" s="92">
        <f>IFERROR(RAPPORT_FINAL[[#This Row],[ECART.Quantite]]*RAPPORT_FINAL[[#This Row],[INVENTAIRE.Prix_vente]],"")</f>
        <v>0</v>
      </c>
      <c r="AI14" s="79"/>
      <c r="AJ14" s="79"/>
      <c r="AK14" s="79"/>
      <c r="AL14" s="79"/>
      <c r="AM14" s="79"/>
      <c r="AN14" s="79"/>
      <c r="AO14" s="79"/>
      <c r="AP14" s="33"/>
    </row>
    <row r="15" spans="1:42" hidden="1" x14ac:dyDescent="0.25">
      <c r="A15" s="81" t="s">
        <v>308</v>
      </c>
      <c r="B15" s="3" t="s">
        <v>76</v>
      </c>
      <c r="C15" s="80" t="s">
        <v>283</v>
      </c>
      <c r="D15" s="3" t="s">
        <v>40</v>
      </c>
      <c r="E15" s="31" t="s">
        <v>97</v>
      </c>
      <c r="F15" s="85" cm="1">
        <f t="array" ref="F1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8</v>
      </c>
      <c r="G15" s="80" cm="1">
        <f t="array" ref="G1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741.67</v>
      </c>
      <c r="H15" s="80">
        <f>IF(RAPPORT_FINAL[[#This Row],[INVENTAIRE_PREC.Prix_vente]]="","",RAPPORT_FINAL[[#This Row],[INVENTAIRE_PREC.Quantite]]*RAPPORT_FINAL[[#This Row],[INVENTAIRE_PREC.Prix_cout]])</f>
        <v>5933.36</v>
      </c>
      <c r="I15" s="83" cm="1">
        <f t="array" ref="I1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5" s="88">
        <f>IF(RAPPORT_FINAL[[#This Row],[INVENTAIRE_PREC.Prix_vente]]="","",RAPPORT_FINAL[[#This Row],[INVENTAIRE_PREC.Quantite]]*RAPPORT_FINAL[[#This Row],[INVENTAIRE_PREC.Prix_vente]])</f>
        <v>8000</v>
      </c>
      <c r="K15" s="24"/>
      <c r="L15" s="11"/>
      <c r="M15" s="25"/>
      <c r="N15" s="24">
        <v>7</v>
      </c>
      <c r="O15" s="11">
        <v>1000</v>
      </c>
      <c r="P15" s="25">
        <v>7000</v>
      </c>
      <c r="Q15" s="85">
        <v>1</v>
      </c>
      <c r="R15" s="80" cm="1">
        <f t="array" ref="R1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741.67</v>
      </c>
      <c r="S15" s="80">
        <f>RAPPORT_FINAL[[#This Row],[INVENTAIRE.Quantite]]*RAPPORT_FINAL[[#This Row],[INVENTAIRE.Prix_cout]]</f>
        <v>741.67</v>
      </c>
      <c r="T15" s="83" cm="1">
        <f t="array" ref="T1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5" s="88">
        <f>IF(OR(RAPPORT_FINAL[[#This Row],[INVENTAIRE.Quantite]]="",RAPPORT_FINAL[[#This Row],[INVENTAIRE.Prix_vente]]=""),"",RAPPORT_FINAL[[#This Row],[INVENTAIRE.Quantite]]*RAPPORT_FINAL[[#This Row],[INVENTAIRE.Prix_vente]])</f>
        <v>1000</v>
      </c>
      <c r="V1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5" s="24">
        <f>RAPPORT_FINAL[[#This Row],[INVENTAIRE.Prix_cout]]</f>
        <v>741.67</v>
      </c>
      <c r="X15" s="85">
        <f>RAPPORT_FINAL[[#This Row],[INVENTAIRE_THEORIQUE]]*RAPPORT_FINAL[[#This Row],[INVENTAIRE_THEORIQUE.Prix_cout]]</f>
        <v>741.67</v>
      </c>
      <c r="Y15" s="85">
        <f>RAPPORT_FINAL[[#This Row],[INVENTAIRE.Prix_vente]]</f>
        <v>1000</v>
      </c>
      <c r="Z15" s="85">
        <f>RAPPORT_FINAL[[#This Row],[INVENTAIRE_THEORIQUE]]*RAPPORT_FINAL[[#This Row],[INVENTAIRE_THEORIQUE.Prix_vente]]</f>
        <v>1000</v>
      </c>
      <c r="AA15" s="85">
        <f>RAPPORT_FINAL[[#This Row],[INVENTAIRE.Quantite]]-RAPPORT_FINAL[[#This Row],[INVENTAIRE_THEORIQUE]]</f>
        <v>0</v>
      </c>
      <c r="AB15" s="90">
        <f>IFERROR(RAPPORT_FINAL[[#This Row],[ECART.Total_cout]]/RAPPORT_FINAL[[#This Row],[ECART.Quantite]],0)</f>
        <v>0</v>
      </c>
      <c r="AC15" s="91">
        <f>IFERROR(RAPPORT_FINAL[[#This Row],[ECART.Quantite]]*RAPPORT_FINAL[[#This Row],[INVENTAIRE.Prix_cout]],"")</f>
        <v>0</v>
      </c>
      <c r="AD15" s="83">
        <f>IFERROR(RAPPORT_FINAL[[#This Row],[ECART.Total_vente]]/RAPPORT_FINAL[[#This Row],[ECART.Quantite]],0)</f>
        <v>0</v>
      </c>
      <c r="AE15" s="92">
        <f>IFERROR(RAPPORT_FINAL[[#This Row],[ECART.Quantite]]*RAPPORT_FINAL[[#This Row],[INVENTAIRE.Prix_vente]],"")</f>
        <v>0</v>
      </c>
      <c r="AI15" s="79"/>
      <c r="AJ15" s="79"/>
      <c r="AK15" s="79"/>
      <c r="AL15" s="79"/>
      <c r="AM15" s="79"/>
      <c r="AN15" s="79"/>
      <c r="AO15" s="79"/>
      <c r="AP15" s="33"/>
    </row>
    <row r="16" spans="1:42" hidden="1" x14ac:dyDescent="0.25">
      <c r="A16" s="81" t="s">
        <v>308</v>
      </c>
      <c r="B16" s="3" t="s">
        <v>76</v>
      </c>
      <c r="C16" s="80" t="s">
        <v>283</v>
      </c>
      <c r="D16" s="3" t="s">
        <v>55</v>
      </c>
      <c r="E16" s="31" t="s">
        <v>97</v>
      </c>
      <c r="F16" s="85" cm="1">
        <f t="array" ref="F1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6" s="80" cm="1">
        <f t="array" ref="G1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16" s="80">
        <f>IF(RAPPORT_FINAL[[#This Row],[INVENTAIRE_PREC.Prix_vente]]="","",RAPPORT_FINAL[[#This Row],[INVENTAIRE_PREC.Quantite]]*RAPPORT_FINAL[[#This Row],[INVENTAIRE_PREC.Prix_cout]])</f>
        <v>0</v>
      </c>
      <c r="I16" s="83" cm="1">
        <f t="array" ref="I1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16" s="88">
        <f>IF(RAPPORT_FINAL[[#This Row],[INVENTAIRE_PREC.Prix_vente]]="","",RAPPORT_FINAL[[#This Row],[INVENTAIRE_PREC.Quantite]]*RAPPORT_FINAL[[#This Row],[INVENTAIRE_PREC.Prix_vente]])</f>
        <v>0</v>
      </c>
      <c r="K16" s="24">
        <v>11</v>
      </c>
      <c r="L16" s="11">
        <v>363.63636363636363</v>
      </c>
      <c r="M16" s="25">
        <v>4000</v>
      </c>
      <c r="N16" s="24"/>
      <c r="O16" s="11"/>
      <c r="P16" s="25"/>
      <c r="Q16" s="85">
        <v>11</v>
      </c>
      <c r="R16" s="80" cm="1">
        <f t="array" ref="R1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363.63636363636363</v>
      </c>
      <c r="S16" s="80">
        <f>RAPPORT_FINAL[[#This Row],[INVENTAIRE.Quantite]]*RAPPORT_FINAL[[#This Row],[INVENTAIRE.Prix_cout]]</f>
        <v>4000</v>
      </c>
      <c r="T16" s="83" cm="1">
        <f t="array" ref="T1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16" s="88">
        <f>IF(OR(RAPPORT_FINAL[[#This Row],[INVENTAIRE.Quantite]]="",RAPPORT_FINAL[[#This Row],[INVENTAIRE.Prix_vente]]=""),"",RAPPORT_FINAL[[#This Row],[INVENTAIRE.Quantite]]*RAPPORT_FINAL[[#This Row],[INVENTAIRE.Prix_vente]])</f>
        <v>8800</v>
      </c>
      <c r="V1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11</v>
      </c>
      <c r="W16" s="24">
        <f>RAPPORT_FINAL[[#This Row],[INVENTAIRE.Prix_cout]]</f>
        <v>363.63636363636363</v>
      </c>
      <c r="X16" s="85">
        <f>RAPPORT_FINAL[[#This Row],[INVENTAIRE_THEORIQUE]]*RAPPORT_FINAL[[#This Row],[INVENTAIRE_THEORIQUE.Prix_cout]]</f>
        <v>4000</v>
      </c>
      <c r="Y16" s="85">
        <f>RAPPORT_FINAL[[#This Row],[INVENTAIRE.Prix_vente]]</f>
        <v>800</v>
      </c>
      <c r="Z16" s="85">
        <f>RAPPORT_FINAL[[#This Row],[INVENTAIRE_THEORIQUE]]*RAPPORT_FINAL[[#This Row],[INVENTAIRE_THEORIQUE.Prix_vente]]</f>
        <v>8800</v>
      </c>
      <c r="AA16" s="85">
        <f>RAPPORT_FINAL[[#This Row],[INVENTAIRE.Quantite]]-RAPPORT_FINAL[[#This Row],[INVENTAIRE_THEORIQUE]]</f>
        <v>0</v>
      </c>
      <c r="AB16" s="90">
        <f>IFERROR(RAPPORT_FINAL[[#This Row],[ECART.Total_cout]]/RAPPORT_FINAL[[#This Row],[ECART.Quantite]],0)</f>
        <v>0</v>
      </c>
      <c r="AC16" s="91">
        <f>IFERROR(RAPPORT_FINAL[[#This Row],[ECART.Quantite]]*RAPPORT_FINAL[[#This Row],[INVENTAIRE.Prix_cout]],"")</f>
        <v>0</v>
      </c>
      <c r="AD16" s="83">
        <f>IFERROR(RAPPORT_FINAL[[#This Row],[ECART.Total_vente]]/RAPPORT_FINAL[[#This Row],[ECART.Quantite]],0)</f>
        <v>0</v>
      </c>
      <c r="AE16" s="92">
        <f>IFERROR(RAPPORT_FINAL[[#This Row],[ECART.Quantite]]*RAPPORT_FINAL[[#This Row],[INVENTAIRE.Prix_vente]],"")</f>
        <v>0</v>
      </c>
      <c r="AI16" s="79"/>
      <c r="AJ16" s="79"/>
      <c r="AK16" s="79"/>
      <c r="AL16" s="79"/>
      <c r="AM16" s="79"/>
      <c r="AN16" s="79"/>
      <c r="AO16" s="79"/>
      <c r="AP16" s="33"/>
    </row>
    <row r="17" spans="1:42" hidden="1" x14ac:dyDescent="0.25">
      <c r="A17" s="81" t="s">
        <v>308</v>
      </c>
      <c r="B17" s="3" t="s">
        <v>76</v>
      </c>
      <c r="C17" s="80" t="s">
        <v>283</v>
      </c>
      <c r="D17" s="3" t="s">
        <v>38</v>
      </c>
      <c r="E17" s="31" t="s">
        <v>97</v>
      </c>
      <c r="F17" s="85" cm="1">
        <f t="array" ref="F1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26</v>
      </c>
      <c r="G17" s="80" cm="1">
        <f t="array" ref="G1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632.19606060606066</v>
      </c>
      <c r="H17" s="80">
        <f>IF(RAPPORT_FINAL[[#This Row],[INVENTAIRE_PREC.Prix_vente]]="","",RAPPORT_FINAL[[#This Row],[INVENTAIRE_PREC.Quantite]]*RAPPORT_FINAL[[#This Row],[INVENTAIRE_PREC.Prix_cout]])</f>
        <v>16437.097575757576</v>
      </c>
      <c r="I17" s="83" cm="1">
        <f t="array" ref="I1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7" s="88">
        <f>IF(RAPPORT_FINAL[[#This Row],[INVENTAIRE_PREC.Prix_vente]]="","",RAPPORT_FINAL[[#This Row],[INVENTAIRE_PREC.Quantite]]*RAPPORT_FINAL[[#This Row],[INVENTAIRE_PREC.Prix_vente]])</f>
        <v>26000</v>
      </c>
      <c r="K17" s="24"/>
      <c r="L17" s="11"/>
      <c r="M17" s="25"/>
      <c r="N17" s="24">
        <v>9</v>
      </c>
      <c r="O17" s="11">
        <v>1000</v>
      </c>
      <c r="P17" s="25">
        <v>9000</v>
      </c>
      <c r="Q17" s="85">
        <v>16</v>
      </c>
      <c r="R17" s="80" cm="1">
        <f t="array" ref="R1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632.19606060606066</v>
      </c>
      <c r="S17" s="80">
        <f>RAPPORT_FINAL[[#This Row],[INVENTAIRE.Quantite]]*RAPPORT_FINAL[[#This Row],[INVENTAIRE.Prix_cout]]</f>
        <v>10115.13696969697</v>
      </c>
      <c r="T17" s="83" cm="1">
        <f t="array" ref="T1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7" s="88">
        <f>IF(OR(RAPPORT_FINAL[[#This Row],[INVENTAIRE.Quantite]]="",RAPPORT_FINAL[[#This Row],[INVENTAIRE.Prix_vente]]=""),"",RAPPORT_FINAL[[#This Row],[INVENTAIRE.Quantite]]*RAPPORT_FINAL[[#This Row],[INVENTAIRE.Prix_vente]])</f>
        <v>16000</v>
      </c>
      <c r="V1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17</v>
      </c>
      <c r="W17" s="24">
        <f>RAPPORT_FINAL[[#This Row],[INVENTAIRE.Prix_cout]]</f>
        <v>632.19606060606066</v>
      </c>
      <c r="X17" s="85">
        <f>RAPPORT_FINAL[[#This Row],[INVENTAIRE_THEORIQUE]]*RAPPORT_FINAL[[#This Row],[INVENTAIRE_THEORIQUE.Prix_cout]]</f>
        <v>10747.333030303031</v>
      </c>
      <c r="Y17" s="85">
        <f>RAPPORT_FINAL[[#This Row],[INVENTAIRE.Prix_vente]]</f>
        <v>1000</v>
      </c>
      <c r="Z17" s="85">
        <f>RAPPORT_FINAL[[#This Row],[INVENTAIRE_THEORIQUE]]*RAPPORT_FINAL[[#This Row],[INVENTAIRE_THEORIQUE.Prix_vente]]</f>
        <v>17000</v>
      </c>
      <c r="AA17" s="85">
        <f>RAPPORT_FINAL[[#This Row],[INVENTAIRE.Quantite]]-RAPPORT_FINAL[[#This Row],[INVENTAIRE_THEORIQUE]]</f>
        <v>-1</v>
      </c>
      <c r="AB17" s="90">
        <f>IFERROR(RAPPORT_FINAL[[#This Row],[ECART.Total_cout]]/RAPPORT_FINAL[[#This Row],[ECART.Quantite]],0)</f>
        <v>632.19606060606066</v>
      </c>
      <c r="AC17" s="91">
        <f>IFERROR(RAPPORT_FINAL[[#This Row],[ECART.Quantite]]*RAPPORT_FINAL[[#This Row],[INVENTAIRE.Prix_cout]],"")</f>
        <v>-632.19606060606066</v>
      </c>
      <c r="AD17" s="83">
        <f>IFERROR(RAPPORT_FINAL[[#This Row],[ECART.Total_vente]]/RAPPORT_FINAL[[#This Row],[ECART.Quantite]],0)</f>
        <v>1000</v>
      </c>
      <c r="AE17" s="92">
        <f>IFERROR(RAPPORT_FINAL[[#This Row],[ECART.Quantite]]*RAPPORT_FINAL[[#This Row],[INVENTAIRE.Prix_vente]],"")</f>
        <v>-1000</v>
      </c>
      <c r="AI17" s="79"/>
      <c r="AJ17" s="79"/>
      <c r="AK17" s="79"/>
      <c r="AL17" s="79"/>
      <c r="AM17" s="79"/>
      <c r="AN17" s="79"/>
      <c r="AO17" s="79"/>
      <c r="AP17" s="33"/>
    </row>
    <row r="18" spans="1:42" hidden="1" x14ac:dyDescent="0.25">
      <c r="A18" s="81" t="s">
        <v>308</v>
      </c>
      <c r="B18" s="3" t="s">
        <v>76</v>
      </c>
      <c r="C18" s="80" t="s">
        <v>283</v>
      </c>
      <c r="D18" s="3" t="s">
        <v>129</v>
      </c>
      <c r="E18" s="31" t="s">
        <v>130</v>
      </c>
      <c r="F18" s="85" cm="1">
        <f t="array" ref="F1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8" s="80" cm="1">
        <f t="array" ref="G1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175</v>
      </c>
      <c r="H18" s="80">
        <f>IF(RAPPORT_FINAL[[#This Row],[INVENTAIRE_PREC.Prix_vente]]="","",RAPPORT_FINAL[[#This Row],[INVENTAIRE_PREC.Quantite]]*RAPPORT_FINAL[[#This Row],[INVENTAIRE_PREC.Prix_cout]])</f>
        <v>0</v>
      </c>
      <c r="I18" s="83" cm="1">
        <f t="array" ref="I1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200</v>
      </c>
      <c r="J18" s="88">
        <f>IF(RAPPORT_FINAL[[#This Row],[INVENTAIRE_PREC.Prix_vente]]="","",RAPPORT_FINAL[[#This Row],[INVENTAIRE_PREC.Quantite]]*RAPPORT_FINAL[[#This Row],[INVENTAIRE_PREC.Prix_vente]])</f>
        <v>0</v>
      </c>
      <c r="K18" s="24">
        <v>40</v>
      </c>
      <c r="L18" s="11">
        <v>125</v>
      </c>
      <c r="M18" s="25">
        <v>5000</v>
      </c>
      <c r="N18" s="24"/>
      <c r="O18" s="11"/>
      <c r="P18" s="25"/>
      <c r="Q18" s="85">
        <v>40</v>
      </c>
      <c r="R18" s="80" cm="1">
        <f t="array" ref="R1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125</v>
      </c>
      <c r="S18" s="80">
        <f>RAPPORT_FINAL[[#This Row],[INVENTAIRE.Quantite]]*RAPPORT_FINAL[[#This Row],[INVENTAIRE.Prix_cout]]</f>
        <v>5000</v>
      </c>
      <c r="T18" s="83" cm="1">
        <f t="array" ref="T1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200</v>
      </c>
      <c r="U18" s="88">
        <f>IF(OR(RAPPORT_FINAL[[#This Row],[INVENTAIRE.Quantite]]="",RAPPORT_FINAL[[#This Row],[INVENTAIRE.Prix_vente]]=""),"",RAPPORT_FINAL[[#This Row],[INVENTAIRE.Quantite]]*RAPPORT_FINAL[[#This Row],[INVENTAIRE.Prix_vente]])</f>
        <v>8000</v>
      </c>
      <c r="V1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40</v>
      </c>
      <c r="W18" s="24">
        <f>RAPPORT_FINAL[[#This Row],[INVENTAIRE.Prix_cout]]</f>
        <v>125</v>
      </c>
      <c r="X18" s="85">
        <f>RAPPORT_FINAL[[#This Row],[INVENTAIRE_THEORIQUE]]*RAPPORT_FINAL[[#This Row],[INVENTAIRE_THEORIQUE.Prix_cout]]</f>
        <v>5000</v>
      </c>
      <c r="Y18" s="85">
        <f>RAPPORT_FINAL[[#This Row],[INVENTAIRE.Prix_vente]]</f>
        <v>200</v>
      </c>
      <c r="Z18" s="85">
        <f>RAPPORT_FINAL[[#This Row],[INVENTAIRE_THEORIQUE]]*RAPPORT_FINAL[[#This Row],[INVENTAIRE_THEORIQUE.Prix_vente]]</f>
        <v>8000</v>
      </c>
      <c r="AA18" s="85">
        <f>RAPPORT_FINAL[[#This Row],[INVENTAIRE.Quantite]]-RAPPORT_FINAL[[#This Row],[INVENTAIRE_THEORIQUE]]</f>
        <v>0</v>
      </c>
      <c r="AB18" s="90">
        <f>IFERROR(RAPPORT_FINAL[[#This Row],[ECART.Total_cout]]/RAPPORT_FINAL[[#This Row],[ECART.Quantite]],0)</f>
        <v>0</v>
      </c>
      <c r="AC18" s="91">
        <f>IFERROR(RAPPORT_FINAL[[#This Row],[ECART.Quantite]]*RAPPORT_FINAL[[#This Row],[INVENTAIRE.Prix_cout]],"")</f>
        <v>0</v>
      </c>
      <c r="AD18" s="83">
        <f>IFERROR(RAPPORT_FINAL[[#This Row],[ECART.Total_vente]]/RAPPORT_FINAL[[#This Row],[ECART.Quantite]],0)</f>
        <v>0</v>
      </c>
      <c r="AE18" s="92">
        <f>IFERROR(RAPPORT_FINAL[[#This Row],[ECART.Quantite]]*RAPPORT_FINAL[[#This Row],[INVENTAIRE.Prix_vente]],"")</f>
        <v>0</v>
      </c>
      <c r="AI18" s="79"/>
      <c r="AJ18" s="79"/>
      <c r="AK18" s="79"/>
      <c r="AL18" s="79"/>
      <c r="AM18" s="79"/>
      <c r="AN18" s="79"/>
      <c r="AO18" s="79"/>
      <c r="AP18" s="33"/>
    </row>
    <row r="19" spans="1:42" hidden="1" x14ac:dyDescent="0.25">
      <c r="A19" s="81" t="s">
        <v>308</v>
      </c>
      <c r="B19" s="3" t="s">
        <v>76</v>
      </c>
      <c r="C19" s="80" t="s">
        <v>283</v>
      </c>
      <c r="D19" s="3" t="s">
        <v>39</v>
      </c>
      <c r="E19" s="31" t="s">
        <v>97</v>
      </c>
      <c r="F19" s="85" cm="1">
        <f t="array" ref="F1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19" s="80" cm="1">
        <f t="array" ref="G1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983.33000000000015</v>
      </c>
      <c r="H19" s="80">
        <f>IF(RAPPORT_FINAL[[#This Row],[INVENTAIRE_PREC.Prix_vente]]="","",RAPPORT_FINAL[[#This Row],[INVENTAIRE_PREC.Quantite]]*RAPPORT_FINAL[[#This Row],[INVENTAIRE_PREC.Prix_cout]])</f>
        <v>983.33000000000015</v>
      </c>
      <c r="I19" s="83" cm="1">
        <f t="array" ref="I1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</v>
      </c>
      <c r="J19" s="88">
        <f>IF(RAPPORT_FINAL[[#This Row],[INVENTAIRE_PREC.Prix_vente]]="","",RAPPORT_FINAL[[#This Row],[INVENTAIRE_PREC.Quantite]]*RAPPORT_FINAL[[#This Row],[INVENTAIRE_PREC.Prix_vente]])</f>
        <v>1500</v>
      </c>
      <c r="K19" s="24">
        <v>12</v>
      </c>
      <c r="L19" s="11">
        <v>1083.3333333333333</v>
      </c>
      <c r="M19" s="25">
        <v>13000</v>
      </c>
      <c r="N19" s="24"/>
      <c r="O19" s="11"/>
      <c r="P19" s="25"/>
      <c r="Q19" s="85">
        <v>13</v>
      </c>
      <c r="R19" s="80" cm="1">
        <f t="array" ref="R1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1075.6407692307691</v>
      </c>
      <c r="S19" s="80">
        <f>RAPPORT_FINAL[[#This Row],[INVENTAIRE.Quantite]]*RAPPORT_FINAL[[#This Row],[INVENTAIRE.Prix_cout]]</f>
        <v>13983.329999999998</v>
      </c>
      <c r="T19" s="83" cm="1">
        <f t="array" ref="T1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</v>
      </c>
      <c r="U19" s="88">
        <f>IF(OR(RAPPORT_FINAL[[#This Row],[INVENTAIRE.Quantite]]="",RAPPORT_FINAL[[#This Row],[INVENTAIRE.Prix_vente]]=""),"",RAPPORT_FINAL[[#This Row],[INVENTAIRE.Quantite]]*RAPPORT_FINAL[[#This Row],[INVENTAIRE.Prix_vente]])</f>
        <v>19500</v>
      </c>
      <c r="V1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13</v>
      </c>
      <c r="W19" s="24">
        <f>RAPPORT_FINAL[[#This Row],[INVENTAIRE.Prix_cout]]</f>
        <v>1075.6407692307691</v>
      </c>
      <c r="X19" s="85">
        <f>RAPPORT_FINAL[[#This Row],[INVENTAIRE_THEORIQUE]]*RAPPORT_FINAL[[#This Row],[INVENTAIRE_THEORIQUE.Prix_cout]]</f>
        <v>13983.329999999998</v>
      </c>
      <c r="Y19" s="85">
        <f>RAPPORT_FINAL[[#This Row],[INVENTAIRE.Prix_vente]]</f>
        <v>1500</v>
      </c>
      <c r="Z19" s="85">
        <f>RAPPORT_FINAL[[#This Row],[INVENTAIRE_THEORIQUE]]*RAPPORT_FINAL[[#This Row],[INVENTAIRE_THEORIQUE.Prix_vente]]</f>
        <v>19500</v>
      </c>
      <c r="AA19" s="85">
        <f>RAPPORT_FINAL[[#This Row],[INVENTAIRE.Quantite]]-RAPPORT_FINAL[[#This Row],[INVENTAIRE_THEORIQUE]]</f>
        <v>0</v>
      </c>
      <c r="AB19" s="90">
        <f>IFERROR(RAPPORT_FINAL[[#This Row],[ECART.Total_cout]]/RAPPORT_FINAL[[#This Row],[ECART.Quantite]],0)</f>
        <v>0</v>
      </c>
      <c r="AC19" s="91">
        <f>IFERROR(RAPPORT_FINAL[[#This Row],[ECART.Quantite]]*RAPPORT_FINAL[[#This Row],[INVENTAIRE.Prix_cout]],"")</f>
        <v>0</v>
      </c>
      <c r="AD19" s="83">
        <f>IFERROR(RAPPORT_FINAL[[#This Row],[ECART.Total_vente]]/RAPPORT_FINAL[[#This Row],[ECART.Quantite]],0)</f>
        <v>0</v>
      </c>
      <c r="AE19" s="92">
        <f>IFERROR(RAPPORT_FINAL[[#This Row],[ECART.Quantite]]*RAPPORT_FINAL[[#This Row],[INVENTAIRE.Prix_vente]],"")</f>
        <v>0</v>
      </c>
      <c r="AI19" s="79"/>
      <c r="AJ19" s="79"/>
      <c r="AK19" s="79"/>
      <c r="AL19" s="79"/>
      <c r="AM19" s="79"/>
      <c r="AN19" s="79"/>
      <c r="AO19" s="79"/>
      <c r="AP19" s="33"/>
    </row>
    <row r="20" spans="1:42" hidden="1" x14ac:dyDescent="0.25">
      <c r="A20" s="81" t="s">
        <v>308</v>
      </c>
      <c r="B20" s="3" t="s">
        <v>76</v>
      </c>
      <c r="C20" s="80" t="s">
        <v>283</v>
      </c>
      <c r="D20" s="3" t="s">
        <v>32</v>
      </c>
      <c r="E20" s="31" t="s">
        <v>97</v>
      </c>
      <c r="F20" s="85" cm="1">
        <f t="array" ref="F2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0" s="80" cm="1">
        <f t="array" ref="G2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458.33</v>
      </c>
      <c r="H20" s="80">
        <f>IF(RAPPORT_FINAL[[#This Row],[INVENTAIRE_PREC.Prix_vente]]="","",RAPPORT_FINAL[[#This Row],[INVENTAIRE_PREC.Quantite]]*RAPPORT_FINAL[[#This Row],[INVENTAIRE_PREC.Prix_cout]])</f>
        <v>0</v>
      </c>
      <c r="I20" s="83" cm="1">
        <f t="array" ref="I2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20" s="88">
        <f>IF(RAPPORT_FINAL[[#This Row],[INVENTAIRE_PREC.Prix_vente]]="","",RAPPORT_FINAL[[#This Row],[INVENTAIRE_PREC.Quantite]]*RAPPORT_FINAL[[#This Row],[INVENTAIRE_PREC.Prix_vente]])</f>
        <v>0</v>
      </c>
      <c r="K20" s="24">
        <v>12</v>
      </c>
      <c r="L20" s="11">
        <v>500</v>
      </c>
      <c r="M20" s="25">
        <v>6000</v>
      </c>
      <c r="N20" s="24">
        <v>1</v>
      </c>
      <c r="O20" s="11">
        <v>1000</v>
      </c>
      <c r="P20" s="25">
        <v>1000</v>
      </c>
      <c r="Q20" s="85">
        <v>11</v>
      </c>
      <c r="R20" s="80" cm="1">
        <f t="array" ref="R2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500</v>
      </c>
      <c r="S20" s="80">
        <f>RAPPORT_FINAL[[#This Row],[INVENTAIRE.Quantite]]*RAPPORT_FINAL[[#This Row],[INVENTAIRE.Prix_cout]]</f>
        <v>5500</v>
      </c>
      <c r="T20" s="83" cm="1">
        <f t="array" ref="T2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0" s="88">
        <f>IF(OR(RAPPORT_FINAL[[#This Row],[INVENTAIRE.Quantite]]="",RAPPORT_FINAL[[#This Row],[INVENTAIRE.Prix_vente]]=""),"",RAPPORT_FINAL[[#This Row],[INVENTAIRE.Quantite]]*RAPPORT_FINAL[[#This Row],[INVENTAIRE.Prix_vente]])</f>
        <v>11000</v>
      </c>
      <c r="V2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11</v>
      </c>
      <c r="W20" s="24">
        <f>RAPPORT_FINAL[[#This Row],[INVENTAIRE.Prix_cout]]</f>
        <v>500</v>
      </c>
      <c r="X20" s="85">
        <f>RAPPORT_FINAL[[#This Row],[INVENTAIRE_THEORIQUE]]*RAPPORT_FINAL[[#This Row],[INVENTAIRE_THEORIQUE.Prix_cout]]</f>
        <v>5500</v>
      </c>
      <c r="Y20" s="85">
        <f>RAPPORT_FINAL[[#This Row],[INVENTAIRE.Prix_vente]]</f>
        <v>1000</v>
      </c>
      <c r="Z20" s="85">
        <f>RAPPORT_FINAL[[#This Row],[INVENTAIRE_THEORIQUE]]*RAPPORT_FINAL[[#This Row],[INVENTAIRE_THEORIQUE.Prix_vente]]</f>
        <v>11000</v>
      </c>
      <c r="AA20" s="85">
        <f>RAPPORT_FINAL[[#This Row],[INVENTAIRE.Quantite]]-RAPPORT_FINAL[[#This Row],[INVENTAIRE_THEORIQUE]]</f>
        <v>0</v>
      </c>
      <c r="AB20" s="90">
        <f>IFERROR(RAPPORT_FINAL[[#This Row],[ECART.Total_cout]]/RAPPORT_FINAL[[#This Row],[ECART.Quantite]],0)</f>
        <v>0</v>
      </c>
      <c r="AC20" s="91">
        <f>IFERROR(RAPPORT_FINAL[[#This Row],[ECART.Quantite]]*RAPPORT_FINAL[[#This Row],[INVENTAIRE.Prix_cout]],"")</f>
        <v>0</v>
      </c>
      <c r="AD20" s="83">
        <f>IFERROR(RAPPORT_FINAL[[#This Row],[ECART.Total_vente]]/RAPPORT_FINAL[[#This Row],[ECART.Quantite]],0)</f>
        <v>0</v>
      </c>
      <c r="AE20" s="92">
        <f>IFERROR(RAPPORT_FINAL[[#This Row],[ECART.Quantite]]*RAPPORT_FINAL[[#This Row],[INVENTAIRE.Prix_vente]],"")</f>
        <v>0</v>
      </c>
      <c r="AI20" s="79"/>
      <c r="AJ20" s="79"/>
      <c r="AK20" s="79"/>
      <c r="AL20" s="79"/>
      <c r="AM20" s="79"/>
      <c r="AN20" s="79"/>
      <c r="AO20" s="79"/>
      <c r="AP20" s="33"/>
    </row>
    <row r="21" spans="1:42" hidden="1" x14ac:dyDescent="0.25">
      <c r="A21" s="81" t="s">
        <v>308</v>
      </c>
      <c r="B21" s="3" t="s">
        <v>76</v>
      </c>
      <c r="C21" s="80" t="s">
        <v>283</v>
      </c>
      <c r="D21" s="3" t="s">
        <v>155</v>
      </c>
      <c r="E21" s="31" t="s">
        <v>97</v>
      </c>
      <c r="F21" s="85" cm="1">
        <f t="array" ref="F2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6</v>
      </c>
      <c r="G21" s="80" cm="1">
        <f t="array" ref="G2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333.33</v>
      </c>
      <c r="H21" s="80">
        <f>IF(RAPPORT_FINAL[[#This Row],[INVENTAIRE_PREC.Prix_vente]]="","",RAPPORT_FINAL[[#This Row],[INVENTAIRE_PREC.Quantite]]*RAPPORT_FINAL[[#This Row],[INVENTAIRE_PREC.Prix_cout]])</f>
        <v>1999.98</v>
      </c>
      <c r="I21" s="83" cm="1">
        <f t="array" ref="I2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21" s="88">
        <f>IF(RAPPORT_FINAL[[#This Row],[INVENTAIRE_PREC.Prix_vente]]="","",RAPPORT_FINAL[[#This Row],[INVENTAIRE_PREC.Quantite]]*RAPPORT_FINAL[[#This Row],[INVENTAIRE_PREC.Prix_vente]])</f>
        <v>4800</v>
      </c>
      <c r="K21" s="24">
        <v>13</v>
      </c>
      <c r="L21" s="11">
        <v>403.84615384615387</v>
      </c>
      <c r="M21" s="25">
        <v>5250</v>
      </c>
      <c r="N21" s="24">
        <v>4</v>
      </c>
      <c r="O21" s="11">
        <v>800</v>
      </c>
      <c r="P21" s="25">
        <v>3200</v>
      </c>
      <c r="Q21" s="85">
        <v>13</v>
      </c>
      <c r="R21" s="80" cm="1">
        <f t="array" ref="R2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381.5778947368421</v>
      </c>
      <c r="S21" s="80">
        <f>RAPPORT_FINAL[[#This Row],[INVENTAIRE.Quantite]]*RAPPORT_FINAL[[#This Row],[INVENTAIRE.Prix_cout]]</f>
        <v>4960.5126315789475</v>
      </c>
      <c r="T21" s="83" cm="1">
        <f t="array" ref="T2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21" s="88">
        <f>IF(OR(RAPPORT_FINAL[[#This Row],[INVENTAIRE.Quantite]]="",RAPPORT_FINAL[[#This Row],[INVENTAIRE.Prix_vente]]=""),"",RAPPORT_FINAL[[#This Row],[INVENTAIRE.Quantite]]*RAPPORT_FINAL[[#This Row],[INVENTAIRE.Prix_vente]])</f>
        <v>10400</v>
      </c>
      <c r="V2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15</v>
      </c>
      <c r="W21" s="24">
        <f>RAPPORT_FINAL[[#This Row],[INVENTAIRE.Prix_cout]]</f>
        <v>381.5778947368421</v>
      </c>
      <c r="X21" s="85">
        <f>RAPPORT_FINAL[[#This Row],[INVENTAIRE_THEORIQUE]]*RAPPORT_FINAL[[#This Row],[INVENTAIRE_THEORIQUE.Prix_cout]]</f>
        <v>5723.6684210526319</v>
      </c>
      <c r="Y21" s="85">
        <f>RAPPORT_FINAL[[#This Row],[INVENTAIRE.Prix_vente]]</f>
        <v>800</v>
      </c>
      <c r="Z21" s="85">
        <f>RAPPORT_FINAL[[#This Row],[INVENTAIRE_THEORIQUE]]*RAPPORT_FINAL[[#This Row],[INVENTAIRE_THEORIQUE.Prix_vente]]</f>
        <v>12000</v>
      </c>
      <c r="AA21" s="85">
        <f>RAPPORT_FINAL[[#This Row],[INVENTAIRE.Quantite]]-RAPPORT_FINAL[[#This Row],[INVENTAIRE_THEORIQUE]]</f>
        <v>-2</v>
      </c>
      <c r="AB21" s="90">
        <f>IFERROR(RAPPORT_FINAL[[#This Row],[ECART.Total_cout]]/RAPPORT_FINAL[[#This Row],[ECART.Quantite]],0)</f>
        <v>381.5778947368421</v>
      </c>
      <c r="AC21" s="91">
        <f>IFERROR(RAPPORT_FINAL[[#This Row],[ECART.Quantite]]*RAPPORT_FINAL[[#This Row],[INVENTAIRE.Prix_cout]],"")</f>
        <v>-763.15578947368419</v>
      </c>
      <c r="AD21" s="83">
        <f>IFERROR(RAPPORT_FINAL[[#This Row],[ECART.Total_vente]]/RAPPORT_FINAL[[#This Row],[ECART.Quantite]],0)</f>
        <v>800</v>
      </c>
      <c r="AE21" s="92">
        <f>IFERROR(RAPPORT_FINAL[[#This Row],[ECART.Quantite]]*RAPPORT_FINAL[[#This Row],[INVENTAIRE.Prix_vente]],"")</f>
        <v>-1600</v>
      </c>
      <c r="AI21" s="79"/>
      <c r="AJ21" s="79"/>
      <c r="AK21" s="79"/>
      <c r="AL21" s="79"/>
      <c r="AM21" s="79"/>
      <c r="AN21" s="79"/>
      <c r="AO21" s="79"/>
      <c r="AP21" s="33"/>
    </row>
    <row r="22" spans="1:42" x14ac:dyDescent="0.25">
      <c r="A22" s="81" t="s">
        <v>308</v>
      </c>
      <c r="B22" s="3" t="s">
        <v>76</v>
      </c>
      <c r="C22" s="80" t="s">
        <v>283</v>
      </c>
      <c r="D22" s="3" t="s">
        <v>47</v>
      </c>
      <c r="E22" s="31" t="s">
        <v>97</v>
      </c>
      <c r="F22" s="85" cm="1">
        <f t="array" ref="F2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2" s="80" cm="1">
        <f t="array" ref="G2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600</v>
      </c>
      <c r="H22" s="80">
        <f>IF(RAPPORT_FINAL[[#This Row],[INVENTAIRE_PREC.Prix_vente]]="","",RAPPORT_FINAL[[#This Row],[INVENTAIRE_PREC.Quantite]]*RAPPORT_FINAL[[#This Row],[INVENTAIRE_PREC.Prix_cout]])</f>
        <v>0</v>
      </c>
      <c r="I22" s="83" cm="1">
        <f t="array" ref="I2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22" s="88">
        <f>IF(RAPPORT_FINAL[[#This Row],[INVENTAIRE_PREC.Prix_vente]]="","",RAPPORT_FINAL[[#This Row],[INVENTAIRE_PREC.Quantite]]*RAPPORT_FINAL[[#This Row],[INVENTAIRE_PREC.Prix_vente]])</f>
        <v>0</v>
      </c>
      <c r="K22" s="24"/>
      <c r="L22" s="11"/>
      <c r="M22" s="25"/>
      <c r="N22" s="24"/>
      <c r="O22" s="11"/>
      <c r="P22" s="25"/>
      <c r="Q22" s="85">
        <v>0</v>
      </c>
      <c r="R22" s="80" cm="1">
        <f t="array" ref="R2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22" s="80">
        <f>RAPPORT_FINAL[[#This Row],[INVENTAIRE.Quantite]]*RAPPORT_FINAL[[#This Row],[INVENTAIRE.Prix_cout]]</f>
        <v>0</v>
      </c>
      <c r="T22" s="83" cm="1">
        <f t="array" ref="T2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2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2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2" s="24">
        <f>RAPPORT_FINAL[[#This Row],[INVENTAIRE.Prix_cout]]</f>
        <v>0</v>
      </c>
      <c r="X22" s="85">
        <f>RAPPORT_FINAL[[#This Row],[INVENTAIRE_THEORIQUE]]*RAPPORT_FINAL[[#This Row],[INVENTAIRE_THEORIQUE.Prix_cout]]</f>
        <v>0</v>
      </c>
      <c r="Y22" s="85">
        <f>RAPPORT_FINAL[[#This Row],[INVENTAIRE.Prix_vente]]</f>
        <v>1000</v>
      </c>
      <c r="Z22" s="85">
        <f>RAPPORT_FINAL[[#This Row],[INVENTAIRE_THEORIQUE]]*RAPPORT_FINAL[[#This Row],[INVENTAIRE_THEORIQUE.Prix_vente]]</f>
        <v>0</v>
      </c>
      <c r="AA22" s="85">
        <f>RAPPORT_FINAL[[#This Row],[INVENTAIRE.Quantite]]-RAPPORT_FINAL[[#This Row],[INVENTAIRE_THEORIQUE]]</f>
        <v>0</v>
      </c>
      <c r="AB22" s="90">
        <f>IFERROR(RAPPORT_FINAL[[#This Row],[ECART.Total_cout]]/RAPPORT_FINAL[[#This Row],[ECART.Quantite]],0)</f>
        <v>0</v>
      </c>
      <c r="AC22" s="91">
        <f>IFERROR(RAPPORT_FINAL[[#This Row],[ECART.Quantite]]*RAPPORT_FINAL[[#This Row],[INVENTAIRE.Prix_cout]],"")</f>
        <v>0</v>
      </c>
      <c r="AD22" s="83">
        <f>IFERROR(RAPPORT_FINAL[[#This Row],[ECART.Total_vente]]/RAPPORT_FINAL[[#This Row],[ECART.Quantite]],0)</f>
        <v>0</v>
      </c>
      <c r="AE22" s="92">
        <f>IFERROR(RAPPORT_FINAL[[#This Row],[ECART.Quantite]]*RAPPORT_FINAL[[#This Row],[INVENTAIRE.Prix_vente]],"")</f>
        <v>0</v>
      </c>
      <c r="AI22" s="79"/>
      <c r="AJ22" s="79"/>
      <c r="AK22" s="79"/>
      <c r="AL22" s="79"/>
      <c r="AM22" s="79"/>
      <c r="AN22" s="79"/>
      <c r="AO22" s="79"/>
      <c r="AP22" s="33"/>
    </row>
    <row r="23" spans="1:42" x14ac:dyDescent="0.25">
      <c r="A23" s="81" t="s">
        <v>308</v>
      </c>
      <c r="B23" s="3" t="s">
        <v>76</v>
      </c>
      <c r="C23" s="80" t="s">
        <v>283</v>
      </c>
      <c r="D23" s="3" t="s">
        <v>61</v>
      </c>
      <c r="E23" s="31" t="s">
        <v>97</v>
      </c>
      <c r="F23" s="85" cm="1">
        <f t="array" ref="F2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12</v>
      </c>
      <c r="G23" s="80" cm="1">
        <f t="array" ref="G2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166.66777777777779</v>
      </c>
      <c r="H23" s="80">
        <f>IF(RAPPORT_FINAL[[#This Row],[INVENTAIRE_PREC.Prix_vente]]="","",RAPPORT_FINAL[[#This Row],[INVENTAIRE_PREC.Quantite]]*RAPPORT_FINAL[[#This Row],[INVENTAIRE_PREC.Prix_cout]])</f>
        <v>2000.0133333333333</v>
      </c>
      <c r="I23" s="83" cm="1">
        <f t="array" ref="I2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350</v>
      </c>
      <c r="J23" s="88">
        <f>IF(RAPPORT_FINAL[[#This Row],[INVENTAIRE_PREC.Prix_vente]]="","",RAPPORT_FINAL[[#This Row],[INVENTAIRE_PREC.Quantite]]*RAPPORT_FINAL[[#This Row],[INVENTAIRE_PREC.Prix_vente]])</f>
        <v>4200</v>
      </c>
      <c r="K23" s="24"/>
      <c r="L23" s="11"/>
      <c r="M23" s="25"/>
      <c r="N23" s="24">
        <v>11</v>
      </c>
      <c r="O23" s="11">
        <v>350</v>
      </c>
      <c r="P23" s="25">
        <v>3850</v>
      </c>
      <c r="Q23" s="85">
        <v>0</v>
      </c>
      <c r="R23" s="80" cm="1">
        <f t="array" ref="R2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166.66777777777779</v>
      </c>
      <c r="S23" s="80">
        <f>RAPPORT_FINAL[[#This Row],[INVENTAIRE.Quantite]]*RAPPORT_FINAL[[#This Row],[INVENTAIRE.Prix_cout]]</f>
        <v>0</v>
      </c>
      <c r="T23" s="83" cm="1">
        <f t="array" ref="T2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</v>
      </c>
      <c r="U23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2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23" s="24">
        <f>RAPPORT_FINAL[[#This Row],[INVENTAIRE.Prix_cout]]</f>
        <v>166.66777777777779</v>
      </c>
      <c r="X23" s="85">
        <f>RAPPORT_FINAL[[#This Row],[INVENTAIRE_THEORIQUE]]*RAPPORT_FINAL[[#This Row],[INVENTAIRE_THEORIQUE.Prix_cout]]</f>
        <v>166.66777777777779</v>
      </c>
      <c r="Y23" s="85">
        <f>RAPPORT_FINAL[[#This Row],[INVENTAIRE.Prix_vente]]</f>
        <v>350</v>
      </c>
      <c r="Z23" s="85">
        <f>RAPPORT_FINAL[[#This Row],[INVENTAIRE_THEORIQUE]]*RAPPORT_FINAL[[#This Row],[INVENTAIRE_THEORIQUE.Prix_vente]]</f>
        <v>350</v>
      </c>
      <c r="AA23" s="85">
        <f>RAPPORT_FINAL[[#This Row],[INVENTAIRE.Quantite]]-RAPPORT_FINAL[[#This Row],[INVENTAIRE_THEORIQUE]]</f>
        <v>-1</v>
      </c>
      <c r="AB23" s="90">
        <f>IFERROR(RAPPORT_FINAL[[#This Row],[ECART.Total_cout]]/RAPPORT_FINAL[[#This Row],[ECART.Quantite]],0)</f>
        <v>166.66777777777779</v>
      </c>
      <c r="AC23" s="91">
        <f>IFERROR(RAPPORT_FINAL[[#This Row],[ECART.Quantite]]*RAPPORT_FINAL[[#This Row],[INVENTAIRE.Prix_cout]],"")</f>
        <v>-166.66777777777779</v>
      </c>
      <c r="AD23" s="83">
        <f>IFERROR(RAPPORT_FINAL[[#This Row],[ECART.Total_vente]]/RAPPORT_FINAL[[#This Row],[ECART.Quantite]],0)</f>
        <v>350</v>
      </c>
      <c r="AE23" s="92">
        <f>IFERROR(RAPPORT_FINAL[[#This Row],[ECART.Quantite]]*RAPPORT_FINAL[[#This Row],[INVENTAIRE.Prix_vente]],"")</f>
        <v>-350</v>
      </c>
      <c r="AI23" s="33"/>
      <c r="AJ23" s="33"/>
      <c r="AK23" s="33"/>
      <c r="AL23" s="33"/>
      <c r="AM23" s="33"/>
      <c r="AN23" s="33"/>
      <c r="AO23" s="33"/>
      <c r="AP23" s="33"/>
    </row>
    <row r="24" spans="1:42" hidden="1" x14ac:dyDescent="0.25">
      <c r="A24" s="81" t="s">
        <v>308</v>
      </c>
      <c r="B24" s="3" t="s">
        <v>76</v>
      </c>
      <c r="C24" s="80" t="s">
        <v>283</v>
      </c>
      <c r="D24" s="3" t="s">
        <v>81</v>
      </c>
      <c r="E24" s="31" t="s">
        <v>97</v>
      </c>
      <c r="F24" s="85" cm="1">
        <f t="array" ref="F2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24" s="80" cm="1">
        <f t="array" ref="G2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2350</v>
      </c>
      <c r="H24" s="80">
        <f>IF(RAPPORT_FINAL[[#This Row],[INVENTAIRE_PREC.Prix_vente]]="","",RAPPORT_FINAL[[#This Row],[INVENTAIRE_PREC.Quantite]]*RAPPORT_FINAL[[#This Row],[INVENTAIRE_PREC.Prix_cout]])</f>
        <v>4700</v>
      </c>
      <c r="I24" s="83" cm="1">
        <f t="array" ref="I2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2500</v>
      </c>
      <c r="J24" s="88">
        <f>IF(RAPPORT_FINAL[[#This Row],[INVENTAIRE_PREC.Prix_vente]]="","",RAPPORT_FINAL[[#This Row],[INVENTAIRE_PREC.Quantite]]*RAPPORT_FINAL[[#This Row],[INVENTAIRE_PREC.Prix_vente]])</f>
        <v>5000</v>
      </c>
      <c r="K24" s="24"/>
      <c r="L24" s="11"/>
      <c r="M24" s="25"/>
      <c r="N24" s="24"/>
      <c r="O24" s="11"/>
      <c r="P24" s="25"/>
      <c r="Q24" s="85">
        <v>2</v>
      </c>
      <c r="R24" s="80" cm="1">
        <f t="array" ref="R2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2350</v>
      </c>
      <c r="S24" s="80">
        <f>RAPPORT_FINAL[[#This Row],[INVENTAIRE.Quantite]]*RAPPORT_FINAL[[#This Row],[INVENTAIRE.Prix_cout]]</f>
        <v>4700</v>
      </c>
      <c r="T24" s="83" cm="1">
        <f t="array" ref="T2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</v>
      </c>
      <c r="U24" s="88">
        <f>IF(OR(RAPPORT_FINAL[[#This Row],[INVENTAIRE.Quantite]]="",RAPPORT_FINAL[[#This Row],[INVENTAIRE.Prix_vente]]=""),"",RAPPORT_FINAL[[#This Row],[INVENTAIRE.Quantite]]*RAPPORT_FINAL[[#This Row],[INVENTAIRE.Prix_vente]])</f>
        <v>5000</v>
      </c>
      <c r="V2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24" s="24">
        <f>RAPPORT_FINAL[[#This Row],[INVENTAIRE.Prix_cout]]</f>
        <v>2350</v>
      </c>
      <c r="X24" s="85">
        <f>RAPPORT_FINAL[[#This Row],[INVENTAIRE_THEORIQUE]]*RAPPORT_FINAL[[#This Row],[INVENTAIRE_THEORIQUE.Prix_cout]]</f>
        <v>4700</v>
      </c>
      <c r="Y24" s="85">
        <f>RAPPORT_FINAL[[#This Row],[INVENTAIRE.Prix_vente]]</f>
        <v>2500</v>
      </c>
      <c r="Z24" s="85">
        <f>RAPPORT_FINAL[[#This Row],[INVENTAIRE_THEORIQUE]]*RAPPORT_FINAL[[#This Row],[INVENTAIRE_THEORIQUE.Prix_vente]]</f>
        <v>5000</v>
      </c>
      <c r="AA24" s="85">
        <f>RAPPORT_FINAL[[#This Row],[INVENTAIRE.Quantite]]-RAPPORT_FINAL[[#This Row],[INVENTAIRE_THEORIQUE]]</f>
        <v>0</v>
      </c>
      <c r="AB24" s="90">
        <f>IFERROR(RAPPORT_FINAL[[#This Row],[ECART.Total_cout]]/RAPPORT_FINAL[[#This Row],[ECART.Quantite]],0)</f>
        <v>0</v>
      </c>
      <c r="AC24" s="91">
        <f>IFERROR(RAPPORT_FINAL[[#This Row],[ECART.Quantite]]*RAPPORT_FINAL[[#This Row],[INVENTAIRE.Prix_cout]],"")</f>
        <v>0</v>
      </c>
      <c r="AD24" s="83">
        <f>IFERROR(RAPPORT_FINAL[[#This Row],[ECART.Total_vente]]/RAPPORT_FINAL[[#This Row],[ECART.Quantite]],0)</f>
        <v>0</v>
      </c>
      <c r="AE24" s="92">
        <f>IFERROR(RAPPORT_FINAL[[#This Row],[ECART.Quantite]]*RAPPORT_FINAL[[#This Row],[INVENTAIRE.Prix_vente]],"")</f>
        <v>0</v>
      </c>
      <c r="AI24" s="33"/>
      <c r="AJ24" s="33"/>
      <c r="AK24" s="33"/>
      <c r="AL24" s="33"/>
      <c r="AM24" s="33"/>
      <c r="AN24" s="33"/>
      <c r="AO24" s="33"/>
      <c r="AP24" s="33"/>
    </row>
    <row r="25" spans="1:42" hidden="1" x14ac:dyDescent="0.25">
      <c r="A25" s="81" t="s">
        <v>308</v>
      </c>
      <c r="B25" s="3" t="s">
        <v>76</v>
      </c>
      <c r="C25" s="80" t="s">
        <v>283</v>
      </c>
      <c r="D25" s="3" t="s">
        <v>128</v>
      </c>
      <c r="E25" s="31" t="s">
        <v>134</v>
      </c>
      <c r="F25" s="85" cm="1">
        <f t="array" ref="F2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6</v>
      </c>
      <c r="G25" s="80" cm="1">
        <f t="array" ref="G2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635.41999999999996</v>
      </c>
      <c r="H25" s="80">
        <f>IF(RAPPORT_FINAL[[#This Row],[INVENTAIRE_PREC.Prix_vente]]="","",RAPPORT_FINAL[[#This Row],[INVENTAIRE_PREC.Quantite]]*RAPPORT_FINAL[[#This Row],[INVENTAIRE_PREC.Prix_cout]])</f>
        <v>3812.5199999999995</v>
      </c>
      <c r="I25" s="83" cm="1">
        <f t="array" ref="I2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</v>
      </c>
      <c r="J25" s="88">
        <f>IF(RAPPORT_FINAL[[#This Row],[INVENTAIRE_PREC.Prix_vente]]="","",RAPPORT_FINAL[[#This Row],[INVENTAIRE_PREC.Quantite]]*RAPPORT_FINAL[[#This Row],[INVENTAIRE_PREC.Prix_vente]])</f>
        <v>9000</v>
      </c>
      <c r="K25" s="24"/>
      <c r="L25" s="11"/>
      <c r="M25" s="25"/>
      <c r="N25" s="24"/>
      <c r="O25" s="11"/>
      <c r="P25" s="25"/>
      <c r="Q25" s="85">
        <v>6</v>
      </c>
      <c r="R25" s="80" cm="1">
        <f t="array" ref="R2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635.41999999999996</v>
      </c>
      <c r="S25" s="80">
        <f>RAPPORT_FINAL[[#This Row],[INVENTAIRE.Quantite]]*RAPPORT_FINAL[[#This Row],[INVENTAIRE.Prix_cout]]</f>
        <v>3812.5199999999995</v>
      </c>
      <c r="T25" s="83" cm="1">
        <f t="array" ref="T2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</v>
      </c>
      <c r="U25" s="88">
        <f>IF(OR(RAPPORT_FINAL[[#This Row],[INVENTAIRE.Quantite]]="",RAPPORT_FINAL[[#This Row],[INVENTAIRE.Prix_vente]]=""),"",RAPPORT_FINAL[[#This Row],[INVENTAIRE.Quantite]]*RAPPORT_FINAL[[#This Row],[INVENTAIRE.Prix_vente]])</f>
        <v>9000</v>
      </c>
      <c r="V2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25" s="24">
        <f>RAPPORT_FINAL[[#This Row],[INVENTAIRE.Prix_cout]]</f>
        <v>635.41999999999996</v>
      </c>
      <c r="X25" s="85">
        <f>RAPPORT_FINAL[[#This Row],[INVENTAIRE_THEORIQUE]]*RAPPORT_FINAL[[#This Row],[INVENTAIRE_THEORIQUE.Prix_cout]]</f>
        <v>3812.5199999999995</v>
      </c>
      <c r="Y25" s="85">
        <f>RAPPORT_FINAL[[#This Row],[INVENTAIRE.Prix_vente]]</f>
        <v>1500</v>
      </c>
      <c r="Z25" s="85">
        <f>RAPPORT_FINAL[[#This Row],[INVENTAIRE_THEORIQUE]]*RAPPORT_FINAL[[#This Row],[INVENTAIRE_THEORIQUE.Prix_vente]]</f>
        <v>9000</v>
      </c>
      <c r="AA25" s="85">
        <f>RAPPORT_FINAL[[#This Row],[INVENTAIRE.Quantite]]-RAPPORT_FINAL[[#This Row],[INVENTAIRE_THEORIQUE]]</f>
        <v>0</v>
      </c>
      <c r="AB25" s="90">
        <f>IFERROR(RAPPORT_FINAL[[#This Row],[ECART.Total_cout]]/RAPPORT_FINAL[[#This Row],[ECART.Quantite]],0)</f>
        <v>0</v>
      </c>
      <c r="AC25" s="91">
        <f>IFERROR(RAPPORT_FINAL[[#This Row],[ECART.Quantite]]*RAPPORT_FINAL[[#This Row],[INVENTAIRE.Prix_cout]],"")</f>
        <v>0</v>
      </c>
      <c r="AD25" s="83">
        <f>IFERROR(RAPPORT_FINAL[[#This Row],[ECART.Total_vente]]/RAPPORT_FINAL[[#This Row],[ECART.Quantite]],0)</f>
        <v>0</v>
      </c>
      <c r="AE25" s="92">
        <f>IFERROR(RAPPORT_FINAL[[#This Row],[ECART.Quantite]]*RAPPORT_FINAL[[#This Row],[INVENTAIRE.Prix_vente]],"")</f>
        <v>0</v>
      </c>
      <c r="AI25" s="33"/>
      <c r="AJ25" s="33"/>
      <c r="AK25" s="33"/>
      <c r="AL25" s="33"/>
      <c r="AM25" s="33"/>
      <c r="AN25" s="33"/>
      <c r="AO25" s="33"/>
      <c r="AP25" s="33"/>
    </row>
    <row r="26" spans="1:42" hidden="1" x14ac:dyDescent="0.25">
      <c r="A26" s="81" t="s">
        <v>308</v>
      </c>
      <c r="B26" s="3" t="s">
        <v>76</v>
      </c>
      <c r="C26" s="80" t="s">
        <v>283</v>
      </c>
      <c r="D26" s="3" t="s">
        <v>146</v>
      </c>
      <c r="E26" s="31" t="s">
        <v>97</v>
      </c>
      <c r="F26" s="85" cm="1">
        <f t="array" ref="F2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26" s="80" cm="1">
        <f t="array" ref="G2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11200</v>
      </c>
      <c r="H26" s="80">
        <f>IF(RAPPORT_FINAL[[#This Row],[INVENTAIRE_PREC.Prix_vente]]="","",RAPPORT_FINAL[[#This Row],[INVENTAIRE_PREC.Quantite]]*RAPPORT_FINAL[[#This Row],[INVENTAIRE_PREC.Prix_cout]])</f>
        <v>11200</v>
      </c>
      <c r="I26" s="83" cm="1">
        <f t="array" ref="I2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25000</v>
      </c>
      <c r="J26" s="88">
        <f>IF(RAPPORT_FINAL[[#This Row],[INVENTAIRE_PREC.Prix_vente]]="","",RAPPORT_FINAL[[#This Row],[INVENTAIRE_PREC.Quantite]]*RAPPORT_FINAL[[#This Row],[INVENTAIRE_PREC.Prix_vente]])</f>
        <v>25000</v>
      </c>
      <c r="K26" s="24"/>
      <c r="L26" s="11"/>
      <c r="M26" s="25"/>
      <c r="N26" s="24"/>
      <c r="O26" s="11"/>
      <c r="P26" s="25"/>
      <c r="Q26" s="85">
        <v>1</v>
      </c>
      <c r="R26" s="80" cm="1">
        <f t="array" ref="R2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11200</v>
      </c>
      <c r="S26" s="80">
        <f>RAPPORT_FINAL[[#This Row],[INVENTAIRE.Quantite]]*RAPPORT_FINAL[[#This Row],[INVENTAIRE.Prix_cout]]</f>
        <v>11200</v>
      </c>
      <c r="T26" s="83" cm="1">
        <f t="array" ref="T2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25000</v>
      </c>
      <c r="U26" s="88">
        <f>IF(OR(RAPPORT_FINAL[[#This Row],[INVENTAIRE.Quantite]]="",RAPPORT_FINAL[[#This Row],[INVENTAIRE.Prix_vente]]=""),"",RAPPORT_FINAL[[#This Row],[INVENTAIRE.Quantite]]*RAPPORT_FINAL[[#This Row],[INVENTAIRE.Prix_vente]])</f>
        <v>25000</v>
      </c>
      <c r="V2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26" s="24">
        <f>RAPPORT_FINAL[[#This Row],[INVENTAIRE.Prix_cout]]</f>
        <v>11200</v>
      </c>
      <c r="X26" s="85">
        <f>RAPPORT_FINAL[[#This Row],[INVENTAIRE_THEORIQUE]]*RAPPORT_FINAL[[#This Row],[INVENTAIRE_THEORIQUE.Prix_cout]]</f>
        <v>11200</v>
      </c>
      <c r="Y26" s="85">
        <f>RAPPORT_FINAL[[#This Row],[INVENTAIRE.Prix_vente]]</f>
        <v>25000</v>
      </c>
      <c r="Z26" s="85">
        <f>RAPPORT_FINAL[[#This Row],[INVENTAIRE_THEORIQUE]]*RAPPORT_FINAL[[#This Row],[INVENTAIRE_THEORIQUE.Prix_vente]]</f>
        <v>25000</v>
      </c>
      <c r="AA26" s="85">
        <f>RAPPORT_FINAL[[#This Row],[INVENTAIRE.Quantite]]-RAPPORT_FINAL[[#This Row],[INVENTAIRE_THEORIQUE]]</f>
        <v>0</v>
      </c>
      <c r="AB26" s="90">
        <f>IFERROR(RAPPORT_FINAL[[#This Row],[ECART.Total_cout]]/RAPPORT_FINAL[[#This Row],[ECART.Quantite]],0)</f>
        <v>0</v>
      </c>
      <c r="AC26" s="91">
        <f>IFERROR(RAPPORT_FINAL[[#This Row],[ECART.Quantite]]*RAPPORT_FINAL[[#This Row],[INVENTAIRE.Prix_cout]],"")</f>
        <v>0</v>
      </c>
      <c r="AD26" s="83">
        <f>IFERROR(RAPPORT_FINAL[[#This Row],[ECART.Total_vente]]/RAPPORT_FINAL[[#This Row],[ECART.Quantite]],0)</f>
        <v>0</v>
      </c>
      <c r="AE26" s="92">
        <f>IFERROR(RAPPORT_FINAL[[#This Row],[ECART.Quantite]]*RAPPORT_FINAL[[#This Row],[INVENTAIRE.Prix_vente]],"")</f>
        <v>0</v>
      </c>
      <c r="AI26" s="33"/>
      <c r="AJ26" s="33"/>
      <c r="AK26" s="33"/>
      <c r="AL26" s="33"/>
      <c r="AM26" s="33"/>
      <c r="AN26" s="33"/>
      <c r="AO26" s="33"/>
      <c r="AP26" s="33"/>
    </row>
    <row r="27" spans="1:42" hidden="1" x14ac:dyDescent="0.25">
      <c r="A27" s="81" t="s">
        <v>308</v>
      </c>
      <c r="B27" s="3" t="s">
        <v>76</v>
      </c>
      <c r="C27" s="80" t="s">
        <v>283</v>
      </c>
      <c r="D27" s="3" t="s">
        <v>57</v>
      </c>
      <c r="E27" s="31" t="s">
        <v>97</v>
      </c>
      <c r="F27" s="85" cm="1">
        <f t="array" ref="F2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27" s="80" cm="1">
        <f t="array" ref="G2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17375</v>
      </c>
      <c r="H27" s="80">
        <f>IF(RAPPORT_FINAL[[#This Row],[INVENTAIRE_PREC.Prix_vente]]="","",RAPPORT_FINAL[[#This Row],[INVENTAIRE_PREC.Quantite]]*RAPPORT_FINAL[[#This Row],[INVENTAIRE_PREC.Prix_cout]])</f>
        <v>17375</v>
      </c>
      <c r="I27" s="83" cm="1">
        <f t="array" ref="I2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25000</v>
      </c>
      <c r="J27" s="88">
        <f>IF(RAPPORT_FINAL[[#This Row],[INVENTAIRE_PREC.Prix_vente]]="","",RAPPORT_FINAL[[#This Row],[INVENTAIRE_PREC.Quantite]]*RAPPORT_FINAL[[#This Row],[INVENTAIRE_PREC.Prix_vente]])</f>
        <v>25000</v>
      </c>
      <c r="K27" s="24"/>
      <c r="L27" s="11"/>
      <c r="M27" s="25"/>
      <c r="N27" s="24"/>
      <c r="O27" s="11"/>
      <c r="P27" s="25"/>
      <c r="Q27" s="85">
        <v>1</v>
      </c>
      <c r="R27" s="80" cm="1">
        <f t="array" ref="R2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17375</v>
      </c>
      <c r="S27" s="80">
        <f>RAPPORT_FINAL[[#This Row],[INVENTAIRE.Quantite]]*RAPPORT_FINAL[[#This Row],[INVENTAIRE.Prix_cout]]</f>
        <v>17375</v>
      </c>
      <c r="T27" s="83" cm="1">
        <f t="array" ref="T2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25000</v>
      </c>
      <c r="U27" s="88">
        <f>IF(OR(RAPPORT_FINAL[[#This Row],[INVENTAIRE.Quantite]]="",RAPPORT_FINAL[[#This Row],[INVENTAIRE.Prix_vente]]=""),"",RAPPORT_FINAL[[#This Row],[INVENTAIRE.Quantite]]*RAPPORT_FINAL[[#This Row],[INVENTAIRE.Prix_vente]])</f>
        <v>25000</v>
      </c>
      <c r="V2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27" s="24">
        <f>RAPPORT_FINAL[[#This Row],[INVENTAIRE.Prix_cout]]</f>
        <v>17375</v>
      </c>
      <c r="X27" s="85">
        <f>RAPPORT_FINAL[[#This Row],[INVENTAIRE_THEORIQUE]]*RAPPORT_FINAL[[#This Row],[INVENTAIRE_THEORIQUE.Prix_cout]]</f>
        <v>17375</v>
      </c>
      <c r="Y27" s="85">
        <f>RAPPORT_FINAL[[#This Row],[INVENTAIRE.Prix_vente]]</f>
        <v>25000</v>
      </c>
      <c r="Z27" s="85">
        <f>RAPPORT_FINAL[[#This Row],[INVENTAIRE_THEORIQUE]]*RAPPORT_FINAL[[#This Row],[INVENTAIRE_THEORIQUE.Prix_vente]]</f>
        <v>25000</v>
      </c>
      <c r="AA27" s="85">
        <f>RAPPORT_FINAL[[#This Row],[INVENTAIRE.Quantite]]-RAPPORT_FINAL[[#This Row],[INVENTAIRE_THEORIQUE]]</f>
        <v>0</v>
      </c>
      <c r="AB27" s="90">
        <f>IFERROR(RAPPORT_FINAL[[#This Row],[ECART.Total_cout]]/RAPPORT_FINAL[[#This Row],[ECART.Quantite]],0)</f>
        <v>0</v>
      </c>
      <c r="AC27" s="91">
        <f>IFERROR(RAPPORT_FINAL[[#This Row],[ECART.Quantite]]*RAPPORT_FINAL[[#This Row],[INVENTAIRE.Prix_cout]],"")</f>
        <v>0</v>
      </c>
      <c r="AD27" s="83">
        <f>IFERROR(RAPPORT_FINAL[[#This Row],[ECART.Total_vente]]/RAPPORT_FINAL[[#This Row],[ECART.Quantite]],0)</f>
        <v>0</v>
      </c>
      <c r="AE27" s="92">
        <f>IFERROR(RAPPORT_FINAL[[#This Row],[ECART.Quantite]]*RAPPORT_FINAL[[#This Row],[INVENTAIRE.Prix_vente]],"")</f>
        <v>0</v>
      </c>
      <c r="AI27" s="33"/>
      <c r="AJ27" s="33"/>
      <c r="AK27" s="33"/>
      <c r="AL27" s="33"/>
      <c r="AM27" s="33"/>
      <c r="AN27" s="33"/>
      <c r="AO27" s="33"/>
      <c r="AP27" s="33"/>
    </row>
    <row r="28" spans="1:42" hidden="1" x14ac:dyDescent="0.25">
      <c r="A28" s="81" t="s">
        <v>308</v>
      </c>
      <c r="B28" s="3" t="s">
        <v>76</v>
      </c>
      <c r="C28" s="80" t="s">
        <v>283</v>
      </c>
      <c r="D28" s="3" t="s">
        <v>56</v>
      </c>
      <c r="E28" s="31" t="s">
        <v>97</v>
      </c>
      <c r="F28" s="85" cm="1">
        <f t="array" ref="F2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28" s="80" cm="1">
        <f t="array" ref="G2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9200</v>
      </c>
      <c r="H28" s="80">
        <f>IF(RAPPORT_FINAL[[#This Row],[INVENTAIRE_PREC.Prix_vente]]="","",RAPPORT_FINAL[[#This Row],[INVENTAIRE_PREC.Quantite]]*RAPPORT_FINAL[[#This Row],[INVENTAIRE_PREC.Prix_cout]])</f>
        <v>9200</v>
      </c>
      <c r="I28" s="83" cm="1">
        <f t="array" ref="I2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15000</v>
      </c>
      <c r="J28" s="88">
        <f>IF(RAPPORT_FINAL[[#This Row],[INVENTAIRE_PREC.Prix_vente]]="","",RAPPORT_FINAL[[#This Row],[INVENTAIRE_PREC.Quantite]]*RAPPORT_FINAL[[#This Row],[INVENTAIRE_PREC.Prix_vente]])</f>
        <v>15000</v>
      </c>
      <c r="K28" s="24"/>
      <c r="L28" s="11"/>
      <c r="M28" s="25"/>
      <c r="N28" s="24"/>
      <c r="O28" s="11"/>
      <c r="P28" s="25"/>
      <c r="Q28" s="85">
        <v>1</v>
      </c>
      <c r="R28" s="80" cm="1">
        <f t="array" ref="R2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9200</v>
      </c>
      <c r="S28" s="80">
        <f>RAPPORT_FINAL[[#This Row],[INVENTAIRE.Quantite]]*RAPPORT_FINAL[[#This Row],[INVENTAIRE.Prix_cout]]</f>
        <v>9200</v>
      </c>
      <c r="T28" s="83" cm="1">
        <f t="array" ref="T2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15000</v>
      </c>
      <c r="U28" s="88">
        <f>IF(OR(RAPPORT_FINAL[[#This Row],[INVENTAIRE.Quantite]]="",RAPPORT_FINAL[[#This Row],[INVENTAIRE.Prix_vente]]=""),"",RAPPORT_FINAL[[#This Row],[INVENTAIRE.Quantite]]*RAPPORT_FINAL[[#This Row],[INVENTAIRE.Prix_vente]])</f>
        <v>15000</v>
      </c>
      <c r="V2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28" s="24">
        <f>RAPPORT_FINAL[[#This Row],[INVENTAIRE.Prix_cout]]</f>
        <v>9200</v>
      </c>
      <c r="X28" s="85">
        <f>RAPPORT_FINAL[[#This Row],[INVENTAIRE_THEORIQUE]]*RAPPORT_FINAL[[#This Row],[INVENTAIRE_THEORIQUE.Prix_cout]]</f>
        <v>9200</v>
      </c>
      <c r="Y28" s="85">
        <f>RAPPORT_FINAL[[#This Row],[INVENTAIRE.Prix_vente]]</f>
        <v>15000</v>
      </c>
      <c r="Z28" s="85">
        <f>RAPPORT_FINAL[[#This Row],[INVENTAIRE_THEORIQUE]]*RAPPORT_FINAL[[#This Row],[INVENTAIRE_THEORIQUE.Prix_vente]]</f>
        <v>15000</v>
      </c>
      <c r="AA28" s="85">
        <f>RAPPORT_FINAL[[#This Row],[INVENTAIRE.Quantite]]-RAPPORT_FINAL[[#This Row],[INVENTAIRE_THEORIQUE]]</f>
        <v>0</v>
      </c>
      <c r="AB28" s="90">
        <f>IFERROR(RAPPORT_FINAL[[#This Row],[ECART.Total_cout]]/RAPPORT_FINAL[[#This Row],[ECART.Quantite]],0)</f>
        <v>0</v>
      </c>
      <c r="AC28" s="91">
        <f>IFERROR(RAPPORT_FINAL[[#This Row],[ECART.Quantite]]*RAPPORT_FINAL[[#This Row],[INVENTAIRE.Prix_cout]],"")</f>
        <v>0</v>
      </c>
      <c r="AD28" s="83">
        <f>IFERROR(RAPPORT_FINAL[[#This Row],[ECART.Total_vente]]/RAPPORT_FINAL[[#This Row],[ECART.Quantite]],0)</f>
        <v>0</v>
      </c>
      <c r="AE28" s="92">
        <f>IFERROR(RAPPORT_FINAL[[#This Row],[ECART.Quantite]]*RAPPORT_FINAL[[#This Row],[INVENTAIRE.Prix_vente]],"")</f>
        <v>0</v>
      </c>
      <c r="AI28" s="33"/>
      <c r="AJ28" s="33"/>
      <c r="AK28" s="33"/>
      <c r="AL28" s="33"/>
      <c r="AM28" s="33"/>
      <c r="AN28" s="33"/>
      <c r="AO28" s="33"/>
      <c r="AP28" s="33"/>
    </row>
    <row r="29" spans="1:42" x14ac:dyDescent="0.25">
      <c r="A29" s="81" t="s">
        <v>308</v>
      </c>
      <c r="B29" s="3" t="s">
        <v>76</v>
      </c>
      <c r="C29" s="80" t="s">
        <v>283</v>
      </c>
      <c r="D29" s="3" t="s">
        <v>303</v>
      </c>
      <c r="E29" s="31" t="s">
        <v>134</v>
      </c>
      <c r="F29" s="85" cm="1">
        <f t="array" ref="F2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9" s="80" cm="1">
        <f t="array" ref="G2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748</v>
      </c>
      <c r="H29" s="80">
        <f>IF(RAPPORT_FINAL[[#This Row],[INVENTAIRE_PREC.Prix_vente]]="","",RAPPORT_FINAL[[#This Row],[INVENTAIRE_PREC.Quantite]]*RAPPORT_FINAL[[#This Row],[INVENTAIRE_PREC.Prix_cout]])</f>
        <v>0</v>
      </c>
      <c r="I29" s="83" cm="1">
        <f t="array" ref="I2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</v>
      </c>
      <c r="J29" s="88">
        <f>IF(RAPPORT_FINAL[[#This Row],[INVENTAIRE_PREC.Prix_vente]]="","",RAPPORT_FINAL[[#This Row],[INVENTAIRE_PREC.Quantite]]*RAPPORT_FINAL[[#This Row],[INVENTAIRE_PREC.Prix_vente]])</f>
        <v>0</v>
      </c>
      <c r="K29" s="24"/>
      <c r="L29" s="11"/>
      <c r="M29" s="25"/>
      <c r="N29" s="24"/>
      <c r="O29" s="11"/>
      <c r="P29" s="25"/>
      <c r="Q29" s="85">
        <v>0</v>
      </c>
      <c r="R29" s="80" cm="1">
        <f t="array" ref="R2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29" s="80">
        <f>RAPPORT_FINAL[[#This Row],[INVENTAIRE.Quantite]]*RAPPORT_FINAL[[#This Row],[INVENTAIRE.Prix_cout]]</f>
        <v>0</v>
      </c>
      <c r="T29" s="83" cm="1">
        <f t="array" ref="T2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</v>
      </c>
      <c r="U29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2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9" s="24">
        <f>RAPPORT_FINAL[[#This Row],[INVENTAIRE.Prix_cout]]</f>
        <v>0</v>
      </c>
      <c r="X29" s="85">
        <f>RAPPORT_FINAL[[#This Row],[INVENTAIRE_THEORIQUE]]*RAPPORT_FINAL[[#This Row],[INVENTAIRE_THEORIQUE.Prix_cout]]</f>
        <v>0</v>
      </c>
      <c r="Y29" s="85">
        <f>RAPPORT_FINAL[[#This Row],[INVENTAIRE.Prix_vente]]</f>
        <v>1500</v>
      </c>
      <c r="Z29" s="85">
        <f>RAPPORT_FINAL[[#This Row],[INVENTAIRE_THEORIQUE]]*RAPPORT_FINAL[[#This Row],[INVENTAIRE_THEORIQUE.Prix_vente]]</f>
        <v>0</v>
      </c>
      <c r="AA29" s="85">
        <f>RAPPORT_FINAL[[#This Row],[INVENTAIRE.Quantite]]-RAPPORT_FINAL[[#This Row],[INVENTAIRE_THEORIQUE]]</f>
        <v>0</v>
      </c>
      <c r="AB29" s="90">
        <f>IFERROR(RAPPORT_FINAL[[#This Row],[ECART.Total_cout]]/RAPPORT_FINAL[[#This Row],[ECART.Quantite]],0)</f>
        <v>0</v>
      </c>
      <c r="AC29" s="91">
        <f>IFERROR(RAPPORT_FINAL[[#This Row],[ECART.Quantite]]*RAPPORT_FINAL[[#This Row],[INVENTAIRE.Prix_cout]],"")</f>
        <v>0</v>
      </c>
      <c r="AD29" s="83">
        <f>IFERROR(RAPPORT_FINAL[[#This Row],[ECART.Total_vente]]/RAPPORT_FINAL[[#This Row],[ECART.Quantite]],0)</f>
        <v>0</v>
      </c>
      <c r="AE29" s="92">
        <f>IFERROR(RAPPORT_FINAL[[#This Row],[ECART.Quantite]]*RAPPORT_FINAL[[#This Row],[INVENTAIRE.Prix_vente]],"")</f>
        <v>0</v>
      </c>
      <c r="AI29" s="33"/>
      <c r="AJ29" s="33"/>
      <c r="AK29" s="33"/>
      <c r="AL29" s="33"/>
      <c r="AM29" s="33"/>
      <c r="AN29" s="33"/>
      <c r="AO29" s="33"/>
      <c r="AP29" s="33"/>
    </row>
    <row r="30" spans="1:42" hidden="1" x14ac:dyDescent="0.25">
      <c r="A30" s="81" t="s">
        <v>308</v>
      </c>
      <c r="B30" s="3" t="s">
        <v>76</v>
      </c>
      <c r="C30" s="80" t="s">
        <v>283</v>
      </c>
      <c r="D30" s="3" t="s">
        <v>58</v>
      </c>
      <c r="E30" s="31" t="s">
        <v>97</v>
      </c>
      <c r="F30" s="85" cm="1">
        <f t="array" ref="F3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30" s="80" cm="1">
        <f t="array" ref="G3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2300</v>
      </c>
      <c r="H30" s="80">
        <f>IF(RAPPORT_FINAL[[#This Row],[INVENTAIRE_PREC.Prix_vente]]="","",RAPPORT_FINAL[[#This Row],[INVENTAIRE_PREC.Quantite]]*RAPPORT_FINAL[[#This Row],[INVENTAIRE_PREC.Prix_cout]])</f>
        <v>2300</v>
      </c>
      <c r="I30" s="83" cm="1">
        <f t="array" ref="I3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5000</v>
      </c>
      <c r="J30" s="88">
        <f>IF(RAPPORT_FINAL[[#This Row],[INVENTAIRE_PREC.Prix_vente]]="","",RAPPORT_FINAL[[#This Row],[INVENTAIRE_PREC.Quantite]]*RAPPORT_FINAL[[#This Row],[INVENTAIRE_PREC.Prix_vente]])</f>
        <v>5000</v>
      </c>
      <c r="K30" s="24"/>
      <c r="L30" s="11"/>
      <c r="M30" s="25"/>
      <c r="N30" s="24"/>
      <c r="O30" s="11"/>
      <c r="P30" s="25"/>
      <c r="Q30" s="85">
        <v>1</v>
      </c>
      <c r="R30" s="80" cm="1">
        <f t="array" ref="R3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2300</v>
      </c>
      <c r="S30" s="80">
        <f>RAPPORT_FINAL[[#This Row],[INVENTAIRE.Quantite]]*RAPPORT_FINAL[[#This Row],[INVENTAIRE.Prix_cout]]</f>
        <v>2300</v>
      </c>
      <c r="T30" s="83" cm="1">
        <f t="array" ref="T3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5000</v>
      </c>
      <c r="U30" s="88">
        <f>IF(OR(RAPPORT_FINAL[[#This Row],[INVENTAIRE.Quantite]]="",RAPPORT_FINAL[[#This Row],[INVENTAIRE.Prix_vente]]=""),"",RAPPORT_FINAL[[#This Row],[INVENTAIRE.Quantite]]*RAPPORT_FINAL[[#This Row],[INVENTAIRE.Prix_vente]])</f>
        <v>5000</v>
      </c>
      <c r="V3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30" s="24">
        <f>RAPPORT_FINAL[[#This Row],[INVENTAIRE.Prix_cout]]</f>
        <v>2300</v>
      </c>
      <c r="X30" s="85">
        <f>RAPPORT_FINAL[[#This Row],[INVENTAIRE_THEORIQUE]]*RAPPORT_FINAL[[#This Row],[INVENTAIRE_THEORIQUE.Prix_cout]]</f>
        <v>2300</v>
      </c>
      <c r="Y30" s="85">
        <f>RAPPORT_FINAL[[#This Row],[INVENTAIRE.Prix_vente]]</f>
        <v>5000</v>
      </c>
      <c r="Z30" s="85">
        <f>RAPPORT_FINAL[[#This Row],[INVENTAIRE_THEORIQUE]]*RAPPORT_FINAL[[#This Row],[INVENTAIRE_THEORIQUE.Prix_vente]]</f>
        <v>5000</v>
      </c>
      <c r="AA30" s="85">
        <f>RAPPORT_FINAL[[#This Row],[INVENTAIRE.Quantite]]-RAPPORT_FINAL[[#This Row],[INVENTAIRE_THEORIQUE]]</f>
        <v>0</v>
      </c>
      <c r="AB30" s="90">
        <f>IFERROR(RAPPORT_FINAL[[#This Row],[ECART.Total_cout]]/RAPPORT_FINAL[[#This Row],[ECART.Quantite]],0)</f>
        <v>0</v>
      </c>
      <c r="AC30" s="91">
        <f>IFERROR(RAPPORT_FINAL[[#This Row],[ECART.Quantite]]*RAPPORT_FINAL[[#This Row],[INVENTAIRE.Prix_cout]],"")</f>
        <v>0</v>
      </c>
      <c r="AD30" s="83">
        <f>IFERROR(RAPPORT_FINAL[[#This Row],[ECART.Total_vente]]/RAPPORT_FINAL[[#This Row],[ECART.Quantite]],0)</f>
        <v>0</v>
      </c>
      <c r="AE30" s="92">
        <f>IFERROR(RAPPORT_FINAL[[#This Row],[ECART.Quantite]]*RAPPORT_FINAL[[#This Row],[INVENTAIRE.Prix_vente]],"")</f>
        <v>0</v>
      </c>
      <c r="AI30" s="33"/>
      <c r="AJ30" s="33"/>
      <c r="AK30" s="33"/>
      <c r="AL30" s="33"/>
      <c r="AM30" s="33"/>
      <c r="AN30" s="33"/>
      <c r="AO30" s="33"/>
      <c r="AP30" s="33"/>
    </row>
    <row r="31" spans="1:42" hidden="1" x14ac:dyDescent="0.25">
      <c r="A31" s="81" t="s">
        <v>308</v>
      </c>
      <c r="B31" s="3" t="s">
        <v>76</v>
      </c>
      <c r="C31" s="80" t="s">
        <v>283</v>
      </c>
      <c r="D31" s="3" t="s">
        <v>85</v>
      </c>
      <c r="E31" s="31" t="s">
        <v>97</v>
      </c>
      <c r="F31" s="85" cm="1">
        <f t="array" ref="F3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3</v>
      </c>
      <c r="G31" s="80" cm="1">
        <f t="array" ref="G3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3000</v>
      </c>
      <c r="H31" s="80">
        <f>IF(RAPPORT_FINAL[[#This Row],[INVENTAIRE_PREC.Prix_vente]]="","",RAPPORT_FINAL[[#This Row],[INVENTAIRE_PREC.Quantite]]*RAPPORT_FINAL[[#This Row],[INVENTAIRE_PREC.Prix_cout]])</f>
        <v>9000</v>
      </c>
      <c r="I31" s="83" cm="1">
        <f t="array" ref="I3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6500</v>
      </c>
      <c r="J31" s="88">
        <f>IF(RAPPORT_FINAL[[#This Row],[INVENTAIRE_PREC.Prix_vente]]="","",RAPPORT_FINAL[[#This Row],[INVENTAIRE_PREC.Quantite]]*RAPPORT_FINAL[[#This Row],[INVENTAIRE_PREC.Prix_vente]])</f>
        <v>19500</v>
      </c>
      <c r="K31" s="24"/>
      <c r="L31" s="11"/>
      <c r="M31" s="25"/>
      <c r="N31" s="24"/>
      <c r="O31" s="11"/>
      <c r="P31" s="25"/>
      <c r="Q31" s="85">
        <v>3</v>
      </c>
      <c r="R31" s="80" cm="1">
        <f t="array" ref="R3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3000</v>
      </c>
      <c r="S31" s="80">
        <f>RAPPORT_FINAL[[#This Row],[INVENTAIRE.Quantite]]*RAPPORT_FINAL[[#This Row],[INVENTAIRE.Prix_cout]]</f>
        <v>9000</v>
      </c>
      <c r="T31" s="83" cm="1">
        <f t="array" ref="T3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6500</v>
      </c>
      <c r="U31" s="88">
        <f>IF(OR(RAPPORT_FINAL[[#This Row],[INVENTAIRE.Quantite]]="",RAPPORT_FINAL[[#This Row],[INVENTAIRE.Prix_vente]]=""),"",RAPPORT_FINAL[[#This Row],[INVENTAIRE.Quantite]]*RAPPORT_FINAL[[#This Row],[INVENTAIRE.Prix_vente]])</f>
        <v>19500</v>
      </c>
      <c r="V3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3</v>
      </c>
      <c r="W31" s="24">
        <f>RAPPORT_FINAL[[#This Row],[INVENTAIRE.Prix_cout]]</f>
        <v>3000</v>
      </c>
      <c r="X31" s="85">
        <f>RAPPORT_FINAL[[#This Row],[INVENTAIRE_THEORIQUE]]*RAPPORT_FINAL[[#This Row],[INVENTAIRE_THEORIQUE.Prix_cout]]</f>
        <v>9000</v>
      </c>
      <c r="Y31" s="85">
        <f>RAPPORT_FINAL[[#This Row],[INVENTAIRE.Prix_vente]]</f>
        <v>6500</v>
      </c>
      <c r="Z31" s="85">
        <f>RAPPORT_FINAL[[#This Row],[INVENTAIRE_THEORIQUE]]*RAPPORT_FINAL[[#This Row],[INVENTAIRE_THEORIQUE.Prix_vente]]</f>
        <v>19500</v>
      </c>
      <c r="AA31" s="85">
        <f>RAPPORT_FINAL[[#This Row],[INVENTAIRE.Quantite]]-RAPPORT_FINAL[[#This Row],[INVENTAIRE_THEORIQUE]]</f>
        <v>0</v>
      </c>
      <c r="AB31" s="90">
        <f>IFERROR(RAPPORT_FINAL[[#This Row],[ECART.Total_cout]]/RAPPORT_FINAL[[#This Row],[ECART.Quantite]],0)</f>
        <v>0</v>
      </c>
      <c r="AC31" s="91">
        <f>IFERROR(RAPPORT_FINAL[[#This Row],[ECART.Quantite]]*RAPPORT_FINAL[[#This Row],[INVENTAIRE.Prix_cout]],"")</f>
        <v>0</v>
      </c>
      <c r="AD31" s="83">
        <f>IFERROR(RAPPORT_FINAL[[#This Row],[ECART.Total_vente]]/RAPPORT_FINAL[[#This Row],[ECART.Quantite]],0)</f>
        <v>0</v>
      </c>
      <c r="AE31" s="92">
        <f>IFERROR(RAPPORT_FINAL[[#This Row],[ECART.Quantite]]*RAPPORT_FINAL[[#This Row],[INVENTAIRE.Prix_vente]],"")</f>
        <v>0</v>
      </c>
    </row>
    <row r="32" spans="1:42" hidden="1" x14ac:dyDescent="0.25">
      <c r="A32" s="81" t="s">
        <v>308</v>
      </c>
      <c r="B32" s="3" t="s">
        <v>76</v>
      </c>
      <c r="C32" s="80" t="s">
        <v>283</v>
      </c>
      <c r="D32" s="3" t="s">
        <v>84</v>
      </c>
      <c r="E32" s="31" t="s">
        <v>97</v>
      </c>
      <c r="F32" s="85" cm="1">
        <f t="array" ref="F3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3</v>
      </c>
      <c r="G32" s="80" cm="1">
        <f t="array" ref="G3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3000</v>
      </c>
      <c r="H32" s="80">
        <f>IF(RAPPORT_FINAL[[#This Row],[INVENTAIRE_PREC.Prix_vente]]="","",RAPPORT_FINAL[[#This Row],[INVENTAIRE_PREC.Quantite]]*RAPPORT_FINAL[[#This Row],[INVENTAIRE_PREC.Prix_cout]])</f>
        <v>9000</v>
      </c>
      <c r="I32" s="83" cm="1">
        <f t="array" ref="I3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7000</v>
      </c>
      <c r="J32" s="88">
        <f>IF(RAPPORT_FINAL[[#This Row],[INVENTAIRE_PREC.Prix_vente]]="","",RAPPORT_FINAL[[#This Row],[INVENTAIRE_PREC.Quantite]]*RAPPORT_FINAL[[#This Row],[INVENTAIRE_PREC.Prix_vente]])</f>
        <v>21000</v>
      </c>
      <c r="K32" s="24"/>
      <c r="L32" s="11"/>
      <c r="M32" s="25"/>
      <c r="N32" s="24"/>
      <c r="O32" s="11"/>
      <c r="P32" s="25"/>
      <c r="Q32" s="85">
        <v>3</v>
      </c>
      <c r="R32" s="80" cm="1">
        <f t="array" ref="R3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3000</v>
      </c>
      <c r="S32" s="80">
        <f>RAPPORT_FINAL[[#This Row],[INVENTAIRE.Quantite]]*RAPPORT_FINAL[[#This Row],[INVENTAIRE.Prix_cout]]</f>
        <v>9000</v>
      </c>
      <c r="T32" s="83" cm="1">
        <f t="array" ref="T3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7000</v>
      </c>
      <c r="U32" s="88">
        <f>IF(OR(RAPPORT_FINAL[[#This Row],[INVENTAIRE.Quantite]]="",RAPPORT_FINAL[[#This Row],[INVENTAIRE.Prix_vente]]=""),"",RAPPORT_FINAL[[#This Row],[INVENTAIRE.Quantite]]*RAPPORT_FINAL[[#This Row],[INVENTAIRE.Prix_vente]])</f>
        <v>21000</v>
      </c>
      <c r="V3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3</v>
      </c>
      <c r="W32" s="24">
        <f>RAPPORT_FINAL[[#This Row],[INVENTAIRE.Prix_cout]]</f>
        <v>3000</v>
      </c>
      <c r="X32" s="85">
        <f>RAPPORT_FINAL[[#This Row],[INVENTAIRE_THEORIQUE]]*RAPPORT_FINAL[[#This Row],[INVENTAIRE_THEORIQUE.Prix_cout]]</f>
        <v>9000</v>
      </c>
      <c r="Y32" s="85">
        <f>RAPPORT_FINAL[[#This Row],[INVENTAIRE.Prix_vente]]</f>
        <v>7000</v>
      </c>
      <c r="Z32" s="85">
        <f>RAPPORT_FINAL[[#This Row],[INVENTAIRE_THEORIQUE]]*RAPPORT_FINAL[[#This Row],[INVENTAIRE_THEORIQUE.Prix_vente]]</f>
        <v>21000</v>
      </c>
      <c r="AA32" s="85">
        <f>RAPPORT_FINAL[[#This Row],[INVENTAIRE.Quantite]]-RAPPORT_FINAL[[#This Row],[INVENTAIRE_THEORIQUE]]</f>
        <v>0</v>
      </c>
      <c r="AB32" s="90">
        <f>IFERROR(RAPPORT_FINAL[[#This Row],[ECART.Total_cout]]/RAPPORT_FINAL[[#This Row],[ECART.Quantite]],0)</f>
        <v>0</v>
      </c>
      <c r="AC32" s="91">
        <f>IFERROR(RAPPORT_FINAL[[#This Row],[ECART.Quantite]]*RAPPORT_FINAL[[#This Row],[INVENTAIRE.Prix_cout]],"")</f>
        <v>0</v>
      </c>
      <c r="AD32" s="83">
        <f>IFERROR(RAPPORT_FINAL[[#This Row],[ECART.Total_vente]]/RAPPORT_FINAL[[#This Row],[ECART.Quantite]],0)</f>
        <v>0</v>
      </c>
      <c r="AE32" s="92">
        <f>IFERROR(RAPPORT_FINAL[[#This Row],[ECART.Quantite]]*RAPPORT_FINAL[[#This Row],[INVENTAIRE.Prix_vente]],"")</f>
        <v>0</v>
      </c>
    </row>
    <row r="33" spans="1:31" x14ac:dyDescent="0.25">
      <c r="A33" s="81" t="s">
        <v>308</v>
      </c>
      <c r="B33" s="3" t="s">
        <v>76</v>
      </c>
      <c r="C33" s="80" t="s">
        <v>283</v>
      </c>
      <c r="D33" s="3" t="s">
        <v>83</v>
      </c>
      <c r="E33" s="31" t="s">
        <v>97</v>
      </c>
      <c r="F33" s="85" cm="1">
        <f t="array" ref="F3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33" s="80" cm="1">
        <f t="array" ref="G3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33" s="80">
        <f>IF(RAPPORT_FINAL[[#This Row],[INVENTAIRE_PREC.Prix_vente]]="","",RAPPORT_FINAL[[#This Row],[INVENTAIRE_PREC.Quantite]]*RAPPORT_FINAL[[#This Row],[INVENTAIRE_PREC.Prix_cout]])</f>
        <v>0</v>
      </c>
      <c r="I33" s="83" cm="1">
        <f t="array" ref="I3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33" s="88">
        <f>IF(RAPPORT_FINAL[[#This Row],[INVENTAIRE_PREC.Prix_vente]]="","",RAPPORT_FINAL[[#This Row],[INVENTAIRE_PREC.Quantite]]*RAPPORT_FINAL[[#This Row],[INVENTAIRE_PREC.Prix_vente]])</f>
        <v>0</v>
      </c>
      <c r="K33" s="24"/>
      <c r="L33" s="11"/>
      <c r="M33" s="25"/>
      <c r="N33" s="24"/>
      <c r="O33" s="11"/>
      <c r="P33" s="25"/>
      <c r="Q33" s="85">
        <v>1</v>
      </c>
      <c r="R33" s="80" cm="1">
        <f t="array" ref="R3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3" s="80">
        <f>RAPPORT_FINAL[[#This Row],[INVENTAIRE.Quantite]]*RAPPORT_FINAL[[#This Row],[INVENTAIRE.Prix_cout]]</f>
        <v>0</v>
      </c>
      <c r="T33" s="83" cm="1">
        <f t="array" ref="T3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0</v>
      </c>
      <c r="U33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33" s="24">
        <f>RAPPORT_FINAL[[#This Row],[INVENTAIRE.Prix_cout]]</f>
        <v>0</v>
      </c>
      <c r="X33" s="85">
        <f>RAPPORT_FINAL[[#This Row],[INVENTAIRE_THEORIQUE]]*RAPPORT_FINAL[[#This Row],[INVENTAIRE_THEORIQUE.Prix_cout]]</f>
        <v>0</v>
      </c>
      <c r="Y33" s="85">
        <f>RAPPORT_FINAL[[#This Row],[INVENTAIRE.Prix_vente]]</f>
        <v>0</v>
      </c>
      <c r="Z33" s="85">
        <f>RAPPORT_FINAL[[#This Row],[INVENTAIRE_THEORIQUE]]*RAPPORT_FINAL[[#This Row],[INVENTAIRE_THEORIQUE.Prix_vente]]</f>
        <v>0</v>
      </c>
      <c r="AA33" s="85">
        <f>RAPPORT_FINAL[[#This Row],[INVENTAIRE.Quantite]]-RAPPORT_FINAL[[#This Row],[INVENTAIRE_THEORIQUE]]</f>
        <v>0</v>
      </c>
      <c r="AB33" s="90">
        <f>IFERROR(RAPPORT_FINAL[[#This Row],[ECART.Total_cout]]/RAPPORT_FINAL[[#This Row],[ECART.Quantite]],0)</f>
        <v>0</v>
      </c>
      <c r="AC33" s="91">
        <f>IFERROR(RAPPORT_FINAL[[#This Row],[ECART.Quantite]]*RAPPORT_FINAL[[#This Row],[INVENTAIRE.Prix_cout]],"")</f>
        <v>0</v>
      </c>
      <c r="AD33" s="83">
        <f>IFERROR(RAPPORT_FINAL[[#This Row],[ECART.Total_vente]]/RAPPORT_FINAL[[#This Row],[ECART.Quantite]],0)</f>
        <v>0</v>
      </c>
      <c r="AE33" s="92">
        <f>IFERROR(RAPPORT_FINAL[[#This Row],[ECART.Quantite]]*RAPPORT_FINAL[[#This Row],[INVENTAIRE.Prix_vente]],"")</f>
        <v>0</v>
      </c>
    </row>
    <row r="34" spans="1:31" hidden="1" x14ac:dyDescent="0.25">
      <c r="A34" s="81" t="s">
        <v>308</v>
      </c>
      <c r="B34" s="3" t="s">
        <v>76</v>
      </c>
      <c r="C34" s="80" t="s">
        <v>283</v>
      </c>
      <c r="D34" s="3" t="s">
        <v>82</v>
      </c>
      <c r="E34" s="31" t="s">
        <v>97</v>
      </c>
      <c r="F34" s="85" cm="1">
        <f t="array" ref="F3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34" s="80" cm="1">
        <f t="array" ref="G3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6800</v>
      </c>
      <c r="H34" s="80">
        <f>IF(RAPPORT_FINAL[[#This Row],[INVENTAIRE_PREC.Prix_vente]]="","",RAPPORT_FINAL[[#This Row],[INVENTAIRE_PREC.Quantite]]*RAPPORT_FINAL[[#This Row],[INVENTAIRE_PREC.Prix_cout]])</f>
        <v>6800</v>
      </c>
      <c r="I34" s="83" cm="1">
        <f t="array" ref="I3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10000</v>
      </c>
      <c r="J34" s="88">
        <f>IF(RAPPORT_FINAL[[#This Row],[INVENTAIRE_PREC.Prix_vente]]="","",RAPPORT_FINAL[[#This Row],[INVENTAIRE_PREC.Quantite]]*RAPPORT_FINAL[[#This Row],[INVENTAIRE_PREC.Prix_vente]])</f>
        <v>10000</v>
      </c>
      <c r="K34" s="24"/>
      <c r="L34" s="11"/>
      <c r="M34" s="25"/>
      <c r="N34" s="24"/>
      <c r="O34" s="11"/>
      <c r="P34" s="25"/>
      <c r="Q34" s="85">
        <v>1</v>
      </c>
      <c r="R34" s="80" cm="1">
        <f t="array" ref="R3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6800</v>
      </c>
      <c r="S34" s="80">
        <f>RAPPORT_FINAL[[#This Row],[INVENTAIRE.Quantite]]*RAPPORT_FINAL[[#This Row],[INVENTAIRE.Prix_cout]]</f>
        <v>6800</v>
      </c>
      <c r="T34" s="83" cm="1">
        <f t="array" ref="T3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10000</v>
      </c>
      <c r="U34" s="88">
        <f>IF(OR(RAPPORT_FINAL[[#This Row],[INVENTAIRE.Quantite]]="",RAPPORT_FINAL[[#This Row],[INVENTAIRE.Prix_vente]]=""),"",RAPPORT_FINAL[[#This Row],[INVENTAIRE.Quantite]]*RAPPORT_FINAL[[#This Row],[INVENTAIRE.Prix_vente]])</f>
        <v>10000</v>
      </c>
      <c r="V3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34" s="24">
        <f>RAPPORT_FINAL[[#This Row],[INVENTAIRE.Prix_cout]]</f>
        <v>6800</v>
      </c>
      <c r="X34" s="85">
        <f>RAPPORT_FINAL[[#This Row],[INVENTAIRE_THEORIQUE]]*RAPPORT_FINAL[[#This Row],[INVENTAIRE_THEORIQUE.Prix_cout]]</f>
        <v>6800</v>
      </c>
      <c r="Y34" s="85">
        <f>RAPPORT_FINAL[[#This Row],[INVENTAIRE.Prix_vente]]</f>
        <v>10000</v>
      </c>
      <c r="Z34" s="85">
        <f>RAPPORT_FINAL[[#This Row],[INVENTAIRE_THEORIQUE]]*RAPPORT_FINAL[[#This Row],[INVENTAIRE_THEORIQUE.Prix_vente]]</f>
        <v>10000</v>
      </c>
      <c r="AA34" s="85">
        <f>RAPPORT_FINAL[[#This Row],[INVENTAIRE.Quantite]]-RAPPORT_FINAL[[#This Row],[INVENTAIRE_THEORIQUE]]</f>
        <v>0</v>
      </c>
      <c r="AB34" s="90">
        <f>IFERROR(RAPPORT_FINAL[[#This Row],[ECART.Total_cout]]/RAPPORT_FINAL[[#This Row],[ECART.Quantite]],0)</f>
        <v>0</v>
      </c>
      <c r="AC34" s="91">
        <f>IFERROR(RAPPORT_FINAL[[#This Row],[ECART.Quantite]]*RAPPORT_FINAL[[#This Row],[INVENTAIRE.Prix_cout]],"")</f>
        <v>0</v>
      </c>
      <c r="AD34" s="83">
        <f>IFERROR(RAPPORT_FINAL[[#This Row],[ECART.Total_vente]]/RAPPORT_FINAL[[#This Row],[ECART.Quantite]],0)</f>
        <v>0</v>
      </c>
      <c r="AE34" s="92">
        <f>IFERROR(RAPPORT_FINAL[[#This Row],[ECART.Quantite]]*RAPPORT_FINAL[[#This Row],[INVENTAIRE.Prix_vente]],"")</f>
        <v>0</v>
      </c>
    </row>
    <row r="35" spans="1:31" x14ac:dyDescent="0.25">
      <c r="A35" s="81" t="s">
        <v>308</v>
      </c>
      <c r="B35" s="3" t="s">
        <v>76</v>
      </c>
      <c r="C35" s="80" t="s">
        <v>283</v>
      </c>
      <c r="D35" s="3" t="s">
        <v>52</v>
      </c>
      <c r="E35" s="31" t="s">
        <v>97</v>
      </c>
      <c r="F35" s="85" cm="1">
        <f t="array" ref="F3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35" s="80" cm="1">
        <f t="array" ref="G3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416.67</v>
      </c>
      <c r="H35" s="80">
        <f>IF(RAPPORT_FINAL[[#This Row],[INVENTAIRE_PREC.Prix_vente]]="","",RAPPORT_FINAL[[#This Row],[INVENTAIRE_PREC.Quantite]]*RAPPORT_FINAL[[#This Row],[INVENTAIRE_PREC.Prix_cout]])</f>
        <v>0</v>
      </c>
      <c r="I35" s="83" cm="1">
        <f t="array" ref="I3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35" s="88">
        <f>IF(RAPPORT_FINAL[[#This Row],[INVENTAIRE_PREC.Prix_vente]]="","",RAPPORT_FINAL[[#This Row],[INVENTAIRE_PREC.Quantite]]*RAPPORT_FINAL[[#This Row],[INVENTAIRE_PREC.Prix_vente]])</f>
        <v>0</v>
      </c>
      <c r="K35" s="24"/>
      <c r="L35" s="11"/>
      <c r="M35" s="25"/>
      <c r="N35" s="24"/>
      <c r="O35" s="11"/>
      <c r="P35" s="25"/>
      <c r="Q35" s="85">
        <v>0</v>
      </c>
      <c r="R35" s="80" cm="1">
        <f t="array" ref="R3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5" s="80">
        <f>RAPPORT_FINAL[[#This Row],[INVENTAIRE.Quantite]]*RAPPORT_FINAL[[#This Row],[INVENTAIRE.Prix_cout]]</f>
        <v>0</v>
      </c>
      <c r="T35" s="83" cm="1">
        <f t="array" ref="T3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35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5" s="24">
        <f>RAPPORT_FINAL[[#This Row],[INVENTAIRE.Prix_cout]]</f>
        <v>0</v>
      </c>
      <c r="X35" s="85">
        <f>RAPPORT_FINAL[[#This Row],[INVENTAIRE_THEORIQUE]]*RAPPORT_FINAL[[#This Row],[INVENTAIRE_THEORIQUE.Prix_cout]]</f>
        <v>0</v>
      </c>
      <c r="Y35" s="85">
        <f>RAPPORT_FINAL[[#This Row],[INVENTAIRE.Prix_vente]]</f>
        <v>800</v>
      </c>
      <c r="Z35" s="85">
        <f>RAPPORT_FINAL[[#This Row],[INVENTAIRE_THEORIQUE]]*RAPPORT_FINAL[[#This Row],[INVENTAIRE_THEORIQUE.Prix_vente]]</f>
        <v>0</v>
      </c>
      <c r="AA35" s="85">
        <f>RAPPORT_FINAL[[#This Row],[INVENTAIRE.Quantite]]-RAPPORT_FINAL[[#This Row],[INVENTAIRE_THEORIQUE]]</f>
        <v>0</v>
      </c>
      <c r="AB35" s="90">
        <f>IFERROR(RAPPORT_FINAL[[#This Row],[ECART.Total_cout]]/RAPPORT_FINAL[[#This Row],[ECART.Quantite]],0)</f>
        <v>0</v>
      </c>
      <c r="AC35" s="91">
        <f>IFERROR(RAPPORT_FINAL[[#This Row],[ECART.Quantite]]*RAPPORT_FINAL[[#This Row],[INVENTAIRE.Prix_cout]],"")</f>
        <v>0</v>
      </c>
      <c r="AD35" s="83">
        <f>IFERROR(RAPPORT_FINAL[[#This Row],[ECART.Total_vente]]/RAPPORT_FINAL[[#This Row],[ECART.Quantite]],0)</f>
        <v>0</v>
      </c>
      <c r="AE35" s="92">
        <f>IFERROR(RAPPORT_FINAL[[#This Row],[ECART.Quantite]]*RAPPORT_FINAL[[#This Row],[INVENTAIRE.Prix_vente]],"")</f>
        <v>0</v>
      </c>
    </row>
    <row r="36" spans="1:31" hidden="1" x14ac:dyDescent="0.25">
      <c r="A36" s="81" t="s">
        <v>308</v>
      </c>
      <c r="B36" s="3" t="s">
        <v>76</v>
      </c>
      <c r="C36" s="80" t="s">
        <v>283</v>
      </c>
      <c r="D36" s="3" t="s">
        <v>50</v>
      </c>
      <c r="E36" s="31" t="s">
        <v>97</v>
      </c>
      <c r="F36" s="85" cm="1">
        <f t="array" ref="F3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36" s="80" cm="1">
        <f t="array" ref="G3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333.33</v>
      </c>
      <c r="H36" s="80">
        <f>IF(RAPPORT_FINAL[[#This Row],[INVENTAIRE_PREC.Prix_vente]]="","",RAPPORT_FINAL[[#This Row],[INVENTAIRE_PREC.Quantite]]*RAPPORT_FINAL[[#This Row],[INVENTAIRE_PREC.Prix_cout]])</f>
        <v>0</v>
      </c>
      <c r="I36" s="83" cm="1">
        <f t="array" ref="I3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36" s="88">
        <f>IF(RAPPORT_FINAL[[#This Row],[INVENTAIRE_PREC.Prix_vente]]="","",RAPPORT_FINAL[[#This Row],[INVENTAIRE_PREC.Quantite]]*RAPPORT_FINAL[[#This Row],[INVENTAIRE_PREC.Prix_vente]])</f>
        <v>0</v>
      </c>
      <c r="K36" s="24"/>
      <c r="L36" s="11"/>
      <c r="M36" s="25"/>
      <c r="N36" s="24"/>
      <c r="O36" s="11"/>
      <c r="P36" s="25"/>
      <c r="Q36" s="85">
        <v>4</v>
      </c>
      <c r="R36" s="80" cm="1">
        <f t="array" ref="R3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6" s="80">
        <f>RAPPORT_FINAL[[#This Row],[INVENTAIRE.Quantite]]*RAPPORT_FINAL[[#This Row],[INVENTAIRE.Prix_cout]]</f>
        <v>0</v>
      </c>
      <c r="T36" s="83" cm="1">
        <f t="array" ref="T3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36" s="88">
        <f>IF(OR(RAPPORT_FINAL[[#This Row],[INVENTAIRE.Quantite]]="",RAPPORT_FINAL[[#This Row],[INVENTAIRE.Prix_vente]]=""),"",RAPPORT_FINAL[[#This Row],[INVENTAIRE.Quantite]]*RAPPORT_FINAL[[#This Row],[INVENTAIRE.Prix_vente]])</f>
        <v>3200</v>
      </c>
      <c r="V3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6" s="24">
        <f>RAPPORT_FINAL[[#This Row],[INVENTAIRE.Prix_cout]]</f>
        <v>0</v>
      </c>
      <c r="X36" s="85">
        <f>RAPPORT_FINAL[[#This Row],[INVENTAIRE_THEORIQUE]]*RAPPORT_FINAL[[#This Row],[INVENTAIRE_THEORIQUE.Prix_cout]]</f>
        <v>0</v>
      </c>
      <c r="Y36" s="85">
        <f>RAPPORT_FINAL[[#This Row],[INVENTAIRE.Prix_vente]]</f>
        <v>800</v>
      </c>
      <c r="Z36" s="85">
        <f>RAPPORT_FINAL[[#This Row],[INVENTAIRE_THEORIQUE]]*RAPPORT_FINAL[[#This Row],[INVENTAIRE_THEORIQUE.Prix_vente]]</f>
        <v>0</v>
      </c>
      <c r="AA36" s="85">
        <f>RAPPORT_FINAL[[#This Row],[INVENTAIRE.Quantite]]-RAPPORT_FINAL[[#This Row],[INVENTAIRE_THEORIQUE]]</f>
        <v>4</v>
      </c>
      <c r="AB36" s="90">
        <f>IFERROR(RAPPORT_FINAL[[#This Row],[ECART.Total_cout]]/RAPPORT_FINAL[[#This Row],[ECART.Quantite]],0)</f>
        <v>0</v>
      </c>
      <c r="AC36" s="91">
        <f>IFERROR(RAPPORT_FINAL[[#This Row],[ECART.Quantite]]*RAPPORT_FINAL[[#This Row],[INVENTAIRE.Prix_cout]],"")</f>
        <v>0</v>
      </c>
      <c r="AD36" s="83">
        <f>IFERROR(RAPPORT_FINAL[[#This Row],[ECART.Total_vente]]/RAPPORT_FINAL[[#This Row],[ECART.Quantite]],0)</f>
        <v>800</v>
      </c>
      <c r="AE36" s="92">
        <f>IFERROR(RAPPORT_FINAL[[#This Row],[ECART.Quantite]]*RAPPORT_FINAL[[#This Row],[INVENTAIRE.Prix_vente]],"")</f>
        <v>3200</v>
      </c>
    </row>
    <row r="37" spans="1:31" x14ac:dyDescent="0.25">
      <c r="A37" s="81" t="s">
        <v>308</v>
      </c>
      <c r="B37" s="3" t="s">
        <v>76</v>
      </c>
      <c r="C37" s="80" t="s">
        <v>283</v>
      </c>
      <c r="D37" s="3" t="s">
        <v>49</v>
      </c>
      <c r="E37" s="31" t="s">
        <v>97</v>
      </c>
      <c r="F37" s="85" cm="1">
        <f t="array" ref="F3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37" s="80" cm="1">
        <f t="array" ref="G3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291.67</v>
      </c>
      <c r="H37" s="80">
        <f>IF(RAPPORT_FINAL[[#This Row],[INVENTAIRE_PREC.Prix_vente]]="","",RAPPORT_FINAL[[#This Row],[INVENTAIRE_PREC.Quantite]]*RAPPORT_FINAL[[#This Row],[INVENTAIRE_PREC.Prix_cout]])</f>
        <v>583.34</v>
      </c>
      <c r="I37" s="83" cm="1">
        <f t="array" ref="I3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37" s="88">
        <f>IF(RAPPORT_FINAL[[#This Row],[INVENTAIRE_PREC.Prix_vente]]="","",RAPPORT_FINAL[[#This Row],[INVENTAIRE_PREC.Quantite]]*RAPPORT_FINAL[[#This Row],[INVENTAIRE_PREC.Prix_vente]])</f>
        <v>1600</v>
      </c>
      <c r="K37" s="24"/>
      <c r="L37" s="11"/>
      <c r="M37" s="25"/>
      <c r="N37" s="24">
        <v>2</v>
      </c>
      <c r="O37" s="11">
        <v>800</v>
      </c>
      <c r="P37" s="25">
        <v>1600</v>
      </c>
      <c r="Q37" s="85">
        <v>0</v>
      </c>
      <c r="R37" s="80" cm="1">
        <f t="array" ref="R3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291.67</v>
      </c>
      <c r="S37" s="80">
        <f>RAPPORT_FINAL[[#This Row],[INVENTAIRE.Quantite]]*RAPPORT_FINAL[[#This Row],[INVENTAIRE.Prix_cout]]</f>
        <v>0</v>
      </c>
      <c r="T37" s="83" cm="1">
        <f t="array" ref="T3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37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7" s="24">
        <f>RAPPORT_FINAL[[#This Row],[INVENTAIRE.Prix_cout]]</f>
        <v>291.67</v>
      </c>
      <c r="X37" s="85">
        <f>RAPPORT_FINAL[[#This Row],[INVENTAIRE_THEORIQUE]]*RAPPORT_FINAL[[#This Row],[INVENTAIRE_THEORIQUE.Prix_cout]]</f>
        <v>0</v>
      </c>
      <c r="Y37" s="85">
        <f>RAPPORT_FINAL[[#This Row],[INVENTAIRE.Prix_vente]]</f>
        <v>800</v>
      </c>
      <c r="Z37" s="85">
        <f>RAPPORT_FINAL[[#This Row],[INVENTAIRE_THEORIQUE]]*RAPPORT_FINAL[[#This Row],[INVENTAIRE_THEORIQUE.Prix_vente]]</f>
        <v>0</v>
      </c>
      <c r="AA37" s="85">
        <f>RAPPORT_FINAL[[#This Row],[INVENTAIRE.Quantite]]-RAPPORT_FINAL[[#This Row],[INVENTAIRE_THEORIQUE]]</f>
        <v>0</v>
      </c>
      <c r="AB37" s="90">
        <f>IFERROR(RAPPORT_FINAL[[#This Row],[ECART.Total_cout]]/RAPPORT_FINAL[[#This Row],[ECART.Quantite]],0)</f>
        <v>0</v>
      </c>
      <c r="AC37" s="91">
        <f>IFERROR(RAPPORT_FINAL[[#This Row],[ECART.Quantite]]*RAPPORT_FINAL[[#This Row],[INVENTAIRE.Prix_cout]],"")</f>
        <v>0</v>
      </c>
      <c r="AD37" s="83">
        <f>IFERROR(RAPPORT_FINAL[[#This Row],[ECART.Total_vente]]/RAPPORT_FINAL[[#This Row],[ECART.Quantite]],0)</f>
        <v>0</v>
      </c>
      <c r="AE37" s="92">
        <f>IFERROR(RAPPORT_FINAL[[#This Row],[ECART.Quantite]]*RAPPORT_FINAL[[#This Row],[INVENTAIRE.Prix_vente]],"")</f>
        <v>0</v>
      </c>
    </row>
    <row r="38" spans="1:31" x14ac:dyDescent="0.25">
      <c r="A38" s="81" t="s">
        <v>308</v>
      </c>
      <c r="B38" s="3" t="s">
        <v>76</v>
      </c>
      <c r="C38" s="80" t="s">
        <v>283</v>
      </c>
      <c r="D38" s="3" t="s">
        <v>54</v>
      </c>
      <c r="E38" s="31" t="s">
        <v>97</v>
      </c>
      <c r="F38" s="85" cm="1">
        <f t="array" ref="F3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38" s="80" cm="1">
        <f t="array" ref="G3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38" s="80">
        <f>IF(RAPPORT_FINAL[[#This Row],[INVENTAIRE_PREC.Prix_vente]]="","",RAPPORT_FINAL[[#This Row],[INVENTAIRE_PREC.Quantite]]*RAPPORT_FINAL[[#This Row],[INVENTAIRE_PREC.Prix_cout]])</f>
        <v>0</v>
      </c>
      <c r="I38" s="83" cm="1">
        <f t="array" ref="I3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38" s="88">
        <f>IF(RAPPORT_FINAL[[#This Row],[INVENTAIRE_PREC.Prix_vente]]="","",RAPPORT_FINAL[[#This Row],[INVENTAIRE_PREC.Quantite]]*RAPPORT_FINAL[[#This Row],[INVENTAIRE_PREC.Prix_vente]])</f>
        <v>0</v>
      </c>
      <c r="K38" s="24"/>
      <c r="L38" s="11"/>
      <c r="M38" s="25"/>
      <c r="N38" s="24"/>
      <c r="O38" s="11"/>
      <c r="P38" s="25"/>
      <c r="Q38" s="85">
        <v>0</v>
      </c>
      <c r="R38" s="80" cm="1">
        <f t="array" ref="R3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8" s="80">
        <f>RAPPORT_FINAL[[#This Row],[INVENTAIRE.Quantite]]*RAPPORT_FINAL[[#This Row],[INVENTAIRE.Prix_cout]]</f>
        <v>0</v>
      </c>
      <c r="T38" s="83" cm="1">
        <f t="array" ref="T3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38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8" s="24">
        <f>RAPPORT_FINAL[[#This Row],[INVENTAIRE.Prix_cout]]</f>
        <v>0</v>
      </c>
      <c r="X38" s="85">
        <f>RAPPORT_FINAL[[#This Row],[INVENTAIRE_THEORIQUE]]*RAPPORT_FINAL[[#This Row],[INVENTAIRE_THEORIQUE.Prix_cout]]</f>
        <v>0</v>
      </c>
      <c r="Y38" s="85">
        <f>RAPPORT_FINAL[[#This Row],[INVENTAIRE.Prix_vente]]</f>
        <v>800</v>
      </c>
      <c r="Z38" s="85">
        <f>RAPPORT_FINAL[[#This Row],[INVENTAIRE_THEORIQUE]]*RAPPORT_FINAL[[#This Row],[INVENTAIRE_THEORIQUE.Prix_vente]]</f>
        <v>0</v>
      </c>
      <c r="AA38" s="85">
        <f>RAPPORT_FINAL[[#This Row],[INVENTAIRE.Quantite]]-RAPPORT_FINAL[[#This Row],[INVENTAIRE_THEORIQUE]]</f>
        <v>0</v>
      </c>
      <c r="AB38" s="90">
        <f>IFERROR(RAPPORT_FINAL[[#This Row],[ECART.Total_cout]]/RAPPORT_FINAL[[#This Row],[ECART.Quantite]],0)</f>
        <v>0</v>
      </c>
      <c r="AC38" s="91">
        <f>IFERROR(RAPPORT_FINAL[[#This Row],[ECART.Quantite]]*RAPPORT_FINAL[[#This Row],[INVENTAIRE.Prix_cout]],"")</f>
        <v>0</v>
      </c>
      <c r="AD38" s="83">
        <f>IFERROR(RAPPORT_FINAL[[#This Row],[ECART.Total_vente]]/RAPPORT_FINAL[[#This Row],[ECART.Quantite]],0)</f>
        <v>0</v>
      </c>
      <c r="AE38" s="92">
        <f>IFERROR(RAPPORT_FINAL[[#This Row],[ECART.Quantite]]*RAPPORT_FINAL[[#This Row],[INVENTAIRE.Prix_vente]],"")</f>
        <v>0</v>
      </c>
    </row>
    <row r="39" spans="1:31" x14ac:dyDescent="0.25">
      <c r="A39" s="81" t="s">
        <v>308</v>
      </c>
      <c r="B39" s="3" t="s">
        <v>76</v>
      </c>
      <c r="C39" s="80" t="s">
        <v>283</v>
      </c>
      <c r="D39" s="3" t="s">
        <v>53</v>
      </c>
      <c r="E39" s="31" t="s">
        <v>97</v>
      </c>
      <c r="F39" s="85" cm="1">
        <f t="array" ref="F3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39" s="80" cm="1">
        <f t="array" ref="G3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562.5</v>
      </c>
      <c r="H39" s="80">
        <f>IF(RAPPORT_FINAL[[#This Row],[INVENTAIRE_PREC.Prix_vente]]="","",RAPPORT_FINAL[[#This Row],[INVENTAIRE_PREC.Quantite]]*RAPPORT_FINAL[[#This Row],[INVENTAIRE_PREC.Prix_cout]])</f>
        <v>1125</v>
      </c>
      <c r="I39" s="83" cm="1">
        <f t="array" ref="I3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39" s="88">
        <f>IF(RAPPORT_FINAL[[#This Row],[INVENTAIRE_PREC.Prix_vente]]="","",RAPPORT_FINAL[[#This Row],[INVENTAIRE_PREC.Quantite]]*RAPPORT_FINAL[[#This Row],[INVENTAIRE_PREC.Prix_vente]])</f>
        <v>2000</v>
      </c>
      <c r="K39" s="24"/>
      <c r="L39" s="11"/>
      <c r="M39" s="25"/>
      <c r="N39" s="24">
        <v>5</v>
      </c>
      <c r="O39" s="11">
        <v>1000</v>
      </c>
      <c r="P39" s="25">
        <v>5000</v>
      </c>
      <c r="Q39" s="85">
        <v>0</v>
      </c>
      <c r="R39" s="80" cm="1">
        <f t="array" ref="R3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562.5</v>
      </c>
      <c r="S39" s="80">
        <f>RAPPORT_FINAL[[#This Row],[INVENTAIRE.Quantite]]*RAPPORT_FINAL[[#This Row],[INVENTAIRE.Prix_cout]]</f>
        <v>0</v>
      </c>
      <c r="T39" s="83" cm="1">
        <f t="array" ref="T3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39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-3</v>
      </c>
      <c r="W39" s="24">
        <f>RAPPORT_FINAL[[#This Row],[INVENTAIRE.Prix_cout]]</f>
        <v>562.5</v>
      </c>
      <c r="X39" s="85">
        <f>RAPPORT_FINAL[[#This Row],[INVENTAIRE_THEORIQUE]]*RAPPORT_FINAL[[#This Row],[INVENTAIRE_THEORIQUE.Prix_cout]]</f>
        <v>-1687.5</v>
      </c>
      <c r="Y39" s="85">
        <f>RAPPORT_FINAL[[#This Row],[INVENTAIRE.Prix_vente]]</f>
        <v>1000</v>
      </c>
      <c r="Z39" s="85">
        <f>RAPPORT_FINAL[[#This Row],[INVENTAIRE_THEORIQUE]]*RAPPORT_FINAL[[#This Row],[INVENTAIRE_THEORIQUE.Prix_vente]]</f>
        <v>-3000</v>
      </c>
      <c r="AA39" s="85">
        <f>RAPPORT_FINAL[[#This Row],[INVENTAIRE.Quantite]]-RAPPORT_FINAL[[#This Row],[INVENTAIRE_THEORIQUE]]</f>
        <v>3</v>
      </c>
      <c r="AB39" s="90">
        <f>IFERROR(RAPPORT_FINAL[[#This Row],[ECART.Total_cout]]/RAPPORT_FINAL[[#This Row],[ECART.Quantite]],0)</f>
        <v>562.5</v>
      </c>
      <c r="AC39" s="91">
        <f>IFERROR(RAPPORT_FINAL[[#This Row],[ECART.Quantite]]*RAPPORT_FINAL[[#This Row],[INVENTAIRE.Prix_cout]],"")</f>
        <v>1687.5</v>
      </c>
      <c r="AD39" s="83">
        <f>IFERROR(RAPPORT_FINAL[[#This Row],[ECART.Total_vente]]/RAPPORT_FINAL[[#This Row],[ECART.Quantite]],0)</f>
        <v>1000</v>
      </c>
      <c r="AE39" s="92">
        <f>IFERROR(RAPPORT_FINAL[[#This Row],[ECART.Quantite]]*RAPPORT_FINAL[[#This Row],[INVENTAIRE.Prix_vente]],"")</f>
        <v>3000</v>
      </c>
    </row>
    <row r="40" spans="1:31" hidden="1" x14ac:dyDescent="0.25">
      <c r="A40" s="81" t="s">
        <v>308</v>
      </c>
      <c r="B40" s="3" t="s">
        <v>76</v>
      </c>
      <c r="C40" s="80" t="s">
        <v>283</v>
      </c>
      <c r="D40" s="3" t="s">
        <v>34</v>
      </c>
      <c r="E40" s="31" t="s">
        <v>97</v>
      </c>
      <c r="F40" s="85" cm="1">
        <f t="array" ref="F4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6</v>
      </c>
      <c r="G40" s="80" cm="1">
        <f t="array" ref="G4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633.33333333333337</v>
      </c>
      <c r="H40" s="80">
        <f>IF(RAPPORT_FINAL[[#This Row],[INVENTAIRE_PREC.Prix_vente]]="","",RAPPORT_FINAL[[#This Row],[INVENTAIRE_PREC.Quantite]]*RAPPORT_FINAL[[#This Row],[INVENTAIRE_PREC.Prix_cout]])</f>
        <v>3800</v>
      </c>
      <c r="I40" s="83" cm="1">
        <f t="array" ref="I4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40" s="88">
        <f>IF(RAPPORT_FINAL[[#This Row],[INVENTAIRE_PREC.Prix_vente]]="","",RAPPORT_FINAL[[#This Row],[INVENTAIRE_PREC.Quantite]]*RAPPORT_FINAL[[#This Row],[INVENTAIRE_PREC.Prix_vente]])</f>
        <v>6000</v>
      </c>
      <c r="K40" s="24">
        <v>12</v>
      </c>
      <c r="L40" s="11">
        <v>650</v>
      </c>
      <c r="M40" s="25">
        <v>7800</v>
      </c>
      <c r="N40" s="24">
        <v>5</v>
      </c>
      <c r="O40" s="11">
        <v>1000</v>
      </c>
      <c r="P40" s="25">
        <v>5000</v>
      </c>
      <c r="Q40" s="85">
        <v>13</v>
      </c>
      <c r="R40" s="80" cm="1">
        <f t="array" ref="R4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644.44444444444446</v>
      </c>
      <c r="S40" s="80">
        <f>RAPPORT_FINAL[[#This Row],[INVENTAIRE.Quantite]]*RAPPORT_FINAL[[#This Row],[INVENTAIRE.Prix_cout]]</f>
        <v>8377.7777777777774</v>
      </c>
      <c r="T40" s="83" cm="1">
        <f t="array" ref="T4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40" s="88">
        <f>IF(OR(RAPPORT_FINAL[[#This Row],[INVENTAIRE.Quantite]]="",RAPPORT_FINAL[[#This Row],[INVENTAIRE.Prix_vente]]=""),"",RAPPORT_FINAL[[#This Row],[INVENTAIRE.Quantite]]*RAPPORT_FINAL[[#This Row],[INVENTAIRE.Prix_vente]])</f>
        <v>13000</v>
      </c>
      <c r="V4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13</v>
      </c>
      <c r="W40" s="24">
        <f>RAPPORT_FINAL[[#This Row],[INVENTAIRE.Prix_cout]]</f>
        <v>644.44444444444446</v>
      </c>
      <c r="X40" s="85">
        <f>RAPPORT_FINAL[[#This Row],[INVENTAIRE_THEORIQUE]]*RAPPORT_FINAL[[#This Row],[INVENTAIRE_THEORIQUE.Prix_cout]]</f>
        <v>8377.7777777777774</v>
      </c>
      <c r="Y40" s="85">
        <f>RAPPORT_FINAL[[#This Row],[INVENTAIRE.Prix_vente]]</f>
        <v>1000</v>
      </c>
      <c r="Z40" s="85">
        <f>RAPPORT_FINAL[[#This Row],[INVENTAIRE_THEORIQUE]]*RAPPORT_FINAL[[#This Row],[INVENTAIRE_THEORIQUE.Prix_vente]]</f>
        <v>13000</v>
      </c>
      <c r="AA40" s="85">
        <f>RAPPORT_FINAL[[#This Row],[INVENTAIRE.Quantite]]-RAPPORT_FINAL[[#This Row],[INVENTAIRE_THEORIQUE]]</f>
        <v>0</v>
      </c>
      <c r="AB40" s="90">
        <f>IFERROR(RAPPORT_FINAL[[#This Row],[ECART.Total_cout]]/RAPPORT_FINAL[[#This Row],[ECART.Quantite]],0)</f>
        <v>0</v>
      </c>
      <c r="AC40" s="91">
        <f>IFERROR(RAPPORT_FINAL[[#This Row],[ECART.Quantite]]*RAPPORT_FINAL[[#This Row],[INVENTAIRE.Prix_cout]],"")</f>
        <v>0</v>
      </c>
      <c r="AD40" s="83">
        <f>IFERROR(RAPPORT_FINAL[[#This Row],[ECART.Total_vente]]/RAPPORT_FINAL[[#This Row],[ECART.Quantite]],0)</f>
        <v>0</v>
      </c>
      <c r="AE40" s="92">
        <f>IFERROR(RAPPORT_FINAL[[#This Row],[ECART.Quantite]]*RAPPORT_FINAL[[#This Row],[INVENTAIRE.Prix_vente]],"")</f>
        <v>0</v>
      </c>
    </row>
    <row r="41" spans="1:31" x14ac:dyDescent="0.25">
      <c r="A41" s="81" t="s">
        <v>308</v>
      </c>
      <c r="B41" s="3" t="s">
        <v>76</v>
      </c>
      <c r="C41" s="80" t="s">
        <v>283</v>
      </c>
      <c r="D41" s="3" t="s">
        <v>44</v>
      </c>
      <c r="E41" s="31" t="s">
        <v>97</v>
      </c>
      <c r="F41" s="85" cm="1">
        <f t="array" ref="F4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41" s="80" cm="1">
        <f t="array" ref="G4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600</v>
      </c>
      <c r="H41" s="80">
        <f>IF(RAPPORT_FINAL[[#This Row],[INVENTAIRE_PREC.Prix_vente]]="","",RAPPORT_FINAL[[#This Row],[INVENTAIRE_PREC.Quantite]]*RAPPORT_FINAL[[#This Row],[INVENTAIRE_PREC.Prix_cout]])</f>
        <v>600</v>
      </c>
      <c r="I41" s="83" cm="1">
        <f t="array" ref="I4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41" s="88">
        <f>IF(RAPPORT_FINAL[[#This Row],[INVENTAIRE_PREC.Prix_vente]]="","",RAPPORT_FINAL[[#This Row],[INVENTAIRE_PREC.Quantite]]*RAPPORT_FINAL[[#This Row],[INVENTAIRE_PREC.Prix_vente]])</f>
        <v>1000</v>
      </c>
      <c r="K41" s="24"/>
      <c r="L41" s="11"/>
      <c r="M41" s="25"/>
      <c r="N41" s="24">
        <v>1</v>
      </c>
      <c r="O41" s="11">
        <v>1000</v>
      </c>
      <c r="P41" s="25">
        <v>1000</v>
      </c>
      <c r="Q41" s="85">
        <v>0</v>
      </c>
      <c r="R41" s="80" cm="1">
        <f t="array" ref="R4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600</v>
      </c>
      <c r="S41" s="80">
        <f>RAPPORT_FINAL[[#This Row],[INVENTAIRE.Quantite]]*RAPPORT_FINAL[[#This Row],[INVENTAIRE.Prix_cout]]</f>
        <v>0</v>
      </c>
      <c r="T41" s="83" cm="1">
        <f t="array" ref="T4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41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4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41" s="24">
        <f>RAPPORT_FINAL[[#This Row],[INVENTAIRE.Prix_cout]]</f>
        <v>600</v>
      </c>
      <c r="X41" s="85">
        <f>RAPPORT_FINAL[[#This Row],[INVENTAIRE_THEORIQUE]]*RAPPORT_FINAL[[#This Row],[INVENTAIRE_THEORIQUE.Prix_cout]]</f>
        <v>0</v>
      </c>
      <c r="Y41" s="85">
        <f>RAPPORT_FINAL[[#This Row],[INVENTAIRE.Prix_vente]]</f>
        <v>1000</v>
      </c>
      <c r="Z41" s="85">
        <f>RAPPORT_FINAL[[#This Row],[INVENTAIRE_THEORIQUE]]*RAPPORT_FINAL[[#This Row],[INVENTAIRE_THEORIQUE.Prix_vente]]</f>
        <v>0</v>
      </c>
      <c r="AA41" s="85">
        <f>RAPPORT_FINAL[[#This Row],[INVENTAIRE.Quantite]]-RAPPORT_FINAL[[#This Row],[INVENTAIRE_THEORIQUE]]</f>
        <v>0</v>
      </c>
      <c r="AB41" s="90">
        <f>IFERROR(RAPPORT_FINAL[[#This Row],[ECART.Total_cout]]/RAPPORT_FINAL[[#This Row],[ECART.Quantite]],0)</f>
        <v>0</v>
      </c>
      <c r="AC41" s="91">
        <f>IFERROR(RAPPORT_FINAL[[#This Row],[ECART.Quantite]]*RAPPORT_FINAL[[#This Row],[INVENTAIRE.Prix_cout]],"")</f>
        <v>0</v>
      </c>
      <c r="AD41" s="83">
        <f>IFERROR(RAPPORT_FINAL[[#This Row],[ECART.Total_vente]]/RAPPORT_FINAL[[#This Row],[ECART.Quantite]],0)</f>
        <v>0</v>
      </c>
      <c r="AE41" s="92">
        <f>IFERROR(RAPPORT_FINAL[[#This Row],[ECART.Quantite]]*RAPPORT_FINAL[[#This Row],[INVENTAIRE.Prix_vente]],"")</f>
        <v>0</v>
      </c>
    </row>
    <row r="42" spans="1:31" hidden="1" x14ac:dyDescent="0.25">
      <c r="A42" s="81" t="s">
        <v>308</v>
      </c>
      <c r="B42" s="3" t="s">
        <v>76</v>
      </c>
      <c r="C42" s="80" t="s">
        <v>283</v>
      </c>
      <c r="D42" s="3" t="s">
        <v>48</v>
      </c>
      <c r="E42" s="31" t="s">
        <v>97</v>
      </c>
      <c r="F42" s="85" cm="1">
        <f t="array" ref="F4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42" s="80" cm="1">
        <f t="array" ref="G4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291.67</v>
      </c>
      <c r="H42" s="80">
        <f>IF(RAPPORT_FINAL[[#This Row],[INVENTAIRE_PREC.Prix_vente]]="","",RAPPORT_FINAL[[#This Row],[INVENTAIRE_PREC.Quantite]]*RAPPORT_FINAL[[#This Row],[INVENTAIRE_PREC.Prix_cout]])</f>
        <v>0</v>
      </c>
      <c r="I42" s="83" cm="1">
        <f t="array" ref="I4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42" s="88">
        <f>IF(RAPPORT_FINAL[[#This Row],[INVENTAIRE_PREC.Prix_vente]]="","",RAPPORT_FINAL[[#This Row],[INVENTAIRE_PREC.Quantite]]*RAPPORT_FINAL[[#This Row],[INVENTAIRE_PREC.Prix_vente]])</f>
        <v>0</v>
      </c>
      <c r="K42" s="24">
        <v>2</v>
      </c>
      <c r="L42" s="11">
        <v>350</v>
      </c>
      <c r="M42" s="25">
        <v>700</v>
      </c>
      <c r="N42" s="24"/>
      <c r="O42" s="11"/>
      <c r="P42" s="25"/>
      <c r="Q42" s="85">
        <v>2</v>
      </c>
      <c r="R42" s="80" cm="1">
        <f t="array" ref="R4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350</v>
      </c>
      <c r="S42" s="80">
        <f>RAPPORT_FINAL[[#This Row],[INVENTAIRE.Quantite]]*RAPPORT_FINAL[[#This Row],[INVENTAIRE.Prix_cout]]</f>
        <v>700</v>
      </c>
      <c r="T42" s="83" cm="1">
        <f t="array" ref="T4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42" s="88">
        <f>IF(OR(RAPPORT_FINAL[[#This Row],[INVENTAIRE.Quantite]]="",RAPPORT_FINAL[[#This Row],[INVENTAIRE.Prix_vente]]=""),"",RAPPORT_FINAL[[#This Row],[INVENTAIRE.Quantite]]*RAPPORT_FINAL[[#This Row],[INVENTAIRE.Prix_vente]])</f>
        <v>1600</v>
      </c>
      <c r="V4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42" s="24">
        <f>RAPPORT_FINAL[[#This Row],[INVENTAIRE.Prix_cout]]</f>
        <v>350</v>
      </c>
      <c r="X42" s="85">
        <f>RAPPORT_FINAL[[#This Row],[INVENTAIRE_THEORIQUE]]*RAPPORT_FINAL[[#This Row],[INVENTAIRE_THEORIQUE.Prix_cout]]</f>
        <v>700</v>
      </c>
      <c r="Y42" s="85">
        <f>RAPPORT_FINAL[[#This Row],[INVENTAIRE.Prix_vente]]</f>
        <v>800</v>
      </c>
      <c r="Z42" s="85">
        <f>RAPPORT_FINAL[[#This Row],[INVENTAIRE_THEORIQUE]]*RAPPORT_FINAL[[#This Row],[INVENTAIRE_THEORIQUE.Prix_vente]]</f>
        <v>1600</v>
      </c>
      <c r="AA42" s="85">
        <f>RAPPORT_FINAL[[#This Row],[INVENTAIRE.Quantite]]-RAPPORT_FINAL[[#This Row],[INVENTAIRE_THEORIQUE]]</f>
        <v>0</v>
      </c>
      <c r="AB42" s="90">
        <f>IFERROR(RAPPORT_FINAL[[#This Row],[ECART.Total_cout]]/RAPPORT_FINAL[[#This Row],[ECART.Quantite]],0)</f>
        <v>0</v>
      </c>
      <c r="AC42" s="91">
        <f>IFERROR(RAPPORT_FINAL[[#This Row],[ECART.Quantite]]*RAPPORT_FINAL[[#This Row],[INVENTAIRE.Prix_cout]],"")</f>
        <v>0</v>
      </c>
      <c r="AD42" s="83">
        <f>IFERROR(RAPPORT_FINAL[[#This Row],[ECART.Total_vente]]/RAPPORT_FINAL[[#This Row],[ECART.Quantite]],0)</f>
        <v>0</v>
      </c>
      <c r="AE42" s="92">
        <f>IFERROR(RAPPORT_FINAL[[#This Row],[ECART.Quantite]]*RAPPORT_FINAL[[#This Row],[INVENTAIRE.Prix_vente]],"")</f>
        <v>0</v>
      </c>
    </row>
    <row r="43" spans="1:31" hidden="1" x14ac:dyDescent="0.25">
      <c r="A43" s="81" t="s">
        <v>308</v>
      </c>
      <c r="B43" s="3" t="s">
        <v>76</v>
      </c>
      <c r="C43" s="80" t="s">
        <v>283</v>
      </c>
      <c r="D43" s="3" t="s">
        <v>80</v>
      </c>
      <c r="E43" s="31" t="s">
        <v>97</v>
      </c>
      <c r="F43" s="85" cm="1">
        <f t="array" ref="F4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43" s="80" cm="1">
        <f t="array" ref="G4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9850</v>
      </c>
      <c r="H43" s="80">
        <f>IF(RAPPORT_FINAL[[#This Row],[INVENTAIRE_PREC.Prix_vente]]="","",RAPPORT_FINAL[[#This Row],[INVENTAIRE_PREC.Quantite]]*RAPPORT_FINAL[[#This Row],[INVENTAIRE_PREC.Prix_cout]])</f>
        <v>9850</v>
      </c>
      <c r="I43" s="83" cm="1">
        <f t="array" ref="I4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15000</v>
      </c>
      <c r="J43" s="88">
        <f>IF(RAPPORT_FINAL[[#This Row],[INVENTAIRE_PREC.Prix_vente]]="","",RAPPORT_FINAL[[#This Row],[INVENTAIRE_PREC.Quantite]]*RAPPORT_FINAL[[#This Row],[INVENTAIRE_PREC.Prix_vente]])</f>
        <v>15000</v>
      </c>
      <c r="K43" s="24"/>
      <c r="L43" s="11"/>
      <c r="M43" s="25"/>
      <c r="N43" s="24"/>
      <c r="O43" s="11"/>
      <c r="P43" s="25"/>
      <c r="Q43" s="85">
        <v>1</v>
      </c>
      <c r="R43" s="80" cm="1">
        <f t="array" ref="R4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9850</v>
      </c>
      <c r="S43" s="80">
        <f>RAPPORT_FINAL[[#This Row],[INVENTAIRE.Quantite]]*RAPPORT_FINAL[[#This Row],[INVENTAIRE.Prix_cout]]</f>
        <v>9850</v>
      </c>
      <c r="T43" s="83" cm="1">
        <f t="array" ref="T4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15000</v>
      </c>
      <c r="U43" s="88">
        <f>IF(OR(RAPPORT_FINAL[[#This Row],[INVENTAIRE.Quantite]]="",RAPPORT_FINAL[[#This Row],[INVENTAIRE.Prix_vente]]=""),"",RAPPORT_FINAL[[#This Row],[INVENTAIRE.Quantite]]*RAPPORT_FINAL[[#This Row],[INVENTAIRE.Prix_vente]])</f>
        <v>15000</v>
      </c>
      <c r="V4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43" s="24">
        <f>RAPPORT_FINAL[[#This Row],[INVENTAIRE.Prix_cout]]</f>
        <v>9850</v>
      </c>
      <c r="X43" s="85">
        <f>RAPPORT_FINAL[[#This Row],[INVENTAIRE_THEORIQUE]]*RAPPORT_FINAL[[#This Row],[INVENTAIRE_THEORIQUE.Prix_cout]]</f>
        <v>9850</v>
      </c>
      <c r="Y43" s="85">
        <f>RAPPORT_FINAL[[#This Row],[INVENTAIRE.Prix_vente]]</f>
        <v>15000</v>
      </c>
      <c r="Z43" s="85">
        <f>RAPPORT_FINAL[[#This Row],[INVENTAIRE_THEORIQUE]]*RAPPORT_FINAL[[#This Row],[INVENTAIRE_THEORIQUE.Prix_vente]]</f>
        <v>15000</v>
      </c>
      <c r="AA43" s="85">
        <f>RAPPORT_FINAL[[#This Row],[INVENTAIRE.Quantite]]-RAPPORT_FINAL[[#This Row],[INVENTAIRE_THEORIQUE]]</f>
        <v>0</v>
      </c>
      <c r="AB43" s="90">
        <f>IFERROR(RAPPORT_FINAL[[#This Row],[ECART.Total_cout]]/RAPPORT_FINAL[[#This Row],[ECART.Quantite]],0)</f>
        <v>0</v>
      </c>
      <c r="AC43" s="91">
        <f>IFERROR(RAPPORT_FINAL[[#This Row],[ECART.Quantite]]*RAPPORT_FINAL[[#This Row],[INVENTAIRE.Prix_cout]],"")</f>
        <v>0</v>
      </c>
      <c r="AD43" s="83">
        <f>IFERROR(RAPPORT_FINAL[[#This Row],[ECART.Total_vente]]/RAPPORT_FINAL[[#This Row],[ECART.Quantite]],0)</f>
        <v>0</v>
      </c>
      <c r="AE43" s="92">
        <f>IFERROR(RAPPORT_FINAL[[#This Row],[ECART.Quantite]]*RAPPORT_FINAL[[#This Row],[INVENTAIRE.Prix_vente]],"")</f>
        <v>0</v>
      </c>
    </row>
    <row r="44" spans="1:31" hidden="1" x14ac:dyDescent="0.25">
      <c r="A44" s="81" t="s">
        <v>308</v>
      </c>
      <c r="B44" s="3" t="s">
        <v>76</v>
      </c>
      <c r="C44" s="80" t="s">
        <v>283</v>
      </c>
      <c r="D44" s="3" t="s">
        <v>60</v>
      </c>
      <c r="E44" s="31" t="s">
        <v>97</v>
      </c>
      <c r="F44" s="85" cm="1">
        <f t="array" ref="F4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6</v>
      </c>
      <c r="G44" s="80" cm="1">
        <f t="array" ref="G4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242.42424242424244</v>
      </c>
      <c r="H44" s="80">
        <f>IF(RAPPORT_FINAL[[#This Row],[INVENTAIRE_PREC.Prix_vente]]="","",RAPPORT_FINAL[[#This Row],[INVENTAIRE_PREC.Quantite]]*RAPPORT_FINAL[[#This Row],[INVENTAIRE_PREC.Prix_cout]])</f>
        <v>1454.5454545454545</v>
      </c>
      <c r="I44" s="83" cm="1">
        <f t="array" ref="I4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44" s="88">
        <f>IF(RAPPORT_FINAL[[#This Row],[INVENTAIRE_PREC.Prix_vente]]="","",RAPPORT_FINAL[[#This Row],[INVENTAIRE_PREC.Quantite]]*RAPPORT_FINAL[[#This Row],[INVENTAIRE_PREC.Prix_vente]])</f>
        <v>4800</v>
      </c>
      <c r="K44" s="24">
        <v>36</v>
      </c>
      <c r="L44" s="11">
        <v>250</v>
      </c>
      <c r="M44" s="25">
        <v>9000</v>
      </c>
      <c r="N44" s="24">
        <v>22</v>
      </c>
      <c r="O44" s="11">
        <v>800</v>
      </c>
      <c r="P44" s="25">
        <v>17600</v>
      </c>
      <c r="Q44" s="85">
        <v>20</v>
      </c>
      <c r="R44" s="80" cm="1">
        <f t="array" ref="R4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248.9177489177489</v>
      </c>
      <c r="S44" s="80">
        <f>RAPPORT_FINAL[[#This Row],[INVENTAIRE.Quantite]]*RAPPORT_FINAL[[#This Row],[INVENTAIRE.Prix_cout]]</f>
        <v>4978.3549783549779</v>
      </c>
      <c r="T44" s="83" cm="1">
        <f t="array" ref="T4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44" s="88">
        <f>IF(OR(RAPPORT_FINAL[[#This Row],[INVENTAIRE.Quantite]]="",RAPPORT_FINAL[[#This Row],[INVENTAIRE.Prix_vente]]=""),"",RAPPORT_FINAL[[#This Row],[INVENTAIRE.Quantite]]*RAPPORT_FINAL[[#This Row],[INVENTAIRE.Prix_vente]])</f>
        <v>16000</v>
      </c>
      <c r="V4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20</v>
      </c>
      <c r="W44" s="24">
        <f>RAPPORT_FINAL[[#This Row],[INVENTAIRE.Prix_cout]]</f>
        <v>248.9177489177489</v>
      </c>
      <c r="X44" s="85">
        <f>RAPPORT_FINAL[[#This Row],[INVENTAIRE_THEORIQUE]]*RAPPORT_FINAL[[#This Row],[INVENTAIRE_THEORIQUE.Prix_cout]]</f>
        <v>4978.3549783549779</v>
      </c>
      <c r="Y44" s="85">
        <f>RAPPORT_FINAL[[#This Row],[INVENTAIRE.Prix_vente]]</f>
        <v>800</v>
      </c>
      <c r="Z44" s="85">
        <f>RAPPORT_FINAL[[#This Row],[INVENTAIRE_THEORIQUE]]*RAPPORT_FINAL[[#This Row],[INVENTAIRE_THEORIQUE.Prix_vente]]</f>
        <v>16000</v>
      </c>
      <c r="AA44" s="85">
        <f>RAPPORT_FINAL[[#This Row],[INVENTAIRE.Quantite]]-RAPPORT_FINAL[[#This Row],[INVENTAIRE_THEORIQUE]]</f>
        <v>0</v>
      </c>
      <c r="AB44" s="90">
        <f>IFERROR(RAPPORT_FINAL[[#This Row],[ECART.Total_cout]]/RAPPORT_FINAL[[#This Row],[ECART.Quantite]],0)</f>
        <v>0</v>
      </c>
      <c r="AC44" s="91">
        <f>IFERROR(RAPPORT_FINAL[[#This Row],[ECART.Quantite]]*RAPPORT_FINAL[[#This Row],[INVENTAIRE.Prix_cout]],"")</f>
        <v>0</v>
      </c>
      <c r="AD44" s="83">
        <f>IFERROR(RAPPORT_FINAL[[#This Row],[ECART.Total_vente]]/RAPPORT_FINAL[[#This Row],[ECART.Quantite]],0)</f>
        <v>0</v>
      </c>
      <c r="AE44" s="92">
        <f>IFERROR(RAPPORT_FINAL[[#This Row],[ECART.Quantite]]*RAPPORT_FINAL[[#This Row],[INVENTAIRE.Prix_vente]],"")</f>
        <v>0</v>
      </c>
    </row>
    <row r="45" spans="1:31" hidden="1" x14ac:dyDescent="0.25">
      <c r="A45" s="81" t="s">
        <v>308</v>
      </c>
      <c r="B45" s="3" t="s">
        <v>76</v>
      </c>
      <c r="C45" s="80" t="s">
        <v>283</v>
      </c>
      <c r="D45" s="3" t="s">
        <v>33</v>
      </c>
      <c r="E45" s="31" t="s">
        <v>97</v>
      </c>
      <c r="F45" s="85" cm="1">
        <f t="array" ref="F4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6</v>
      </c>
      <c r="G45" s="80" cm="1">
        <f t="array" ref="G4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633.33333333333337</v>
      </c>
      <c r="H45" s="80">
        <f>IF(RAPPORT_FINAL[[#This Row],[INVENTAIRE_PREC.Prix_vente]]="","",RAPPORT_FINAL[[#This Row],[INVENTAIRE_PREC.Quantite]]*RAPPORT_FINAL[[#This Row],[INVENTAIRE_PREC.Prix_cout]])</f>
        <v>3800</v>
      </c>
      <c r="I45" s="83" cm="1">
        <f t="array" ref="I4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45" s="88">
        <f>IF(RAPPORT_FINAL[[#This Row],[INVENTAIRE_PREC.Prix_vente]]="","",RAPPORT_FINAL[[#This Row],[INVENTAIRE_PREC.Quantite]]*RAPPORT_FINAL[[#This Row],[INVENTAIRE_PREC.Prix_vente]])</f>
        <v>6000</v>
      </c>
      <c r="K45" s="24">
        <v>6</v>
      </c>
      <c r="L45" s="11">
        <v>650</v>
      </c>
      <c r="M45" s="25">
        <v>3900</v>
      </c>
      <c r="N45" s="24">
        <v>5</v>
      </c>
      <c r="O45" s="11">
        <v>1000</v>
      </c>
      <c r="P45" s="25">
        <v>5000</v>
      </c>
      <c r="Q45" s="85">
        <v>6</v>
      </c>
      <c r="R45" s="80" cm="1">
        <f t="array" ref="R4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641.66666666666663</v>
      </c>
      <c r="S45" s="80">
        <f>RAPPORT_FINAL[[#This Row],[INVENTAIRE.Quantite]]*RAPPORT_FINAL[[#This Row],[INVENTAIRE.Prix_cout]]</f>
        <v>3850</v>
      </c>
      <c r="T45" s="83" cm="1">
        <f t="array" ref="T4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45" s="88">
        <f>IF(OR(RAPPORT_FINAL[[#This Row],[INVENTAIRE.Quantite]]="",RAPPORT_FINAL[[#This Row],[INVENTAIRE.Prix_vente]]=""),"",RAPPORT_FINAL[[#This Row],[INVENTAIRE.Quantite]]*RAPPORT_FINAL[[#This Row],[INVENTAIRE.Prix_vente]])</f>
        <v>6000</v>
      </c>
      <c r="V4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</v>
      </c>
      <c r="W45" s="24">
        <f>RAPPORT_FINAL[[#This Row],[INVENTAIRE.Prix_cout]]</f>
        <v>641.66666666666663</v>
      </c>
      <c r="X45" s="85">
        <f>RAPPORT_FINAL[[#This Row],[INVENTAIRE_THEORIQUE]]*RAPPORT_FINAL[[#This Row],[INVENTAIRE_THEORIQUE.Prix_cout]]</f>
        <v>4491.6666666666661</v>
      </c>
      <c r="Y45" s="85">
        <f>RAPPORT_FINAL[[#This Row],[INVENTAIRE.Prix_vente]]</f>
        <v>1000</v>
      </c>
      <c r="Z45" s="85">
        <f>RAPPORT_FINAL[[#This Row],[INVENTAIRE_THEORIQUE]]*RAPPORT_FINAL[[#This Row],[INVENTAIRE_THEORIQUE.Prix_vente]]</f>
        <v>7000</v>
      </c>
      <c r="AA45" s="85">
        <f>RAPPORT_FINAL[[#This Row],[INVENTAIRE.Quantite]]-RAPPORT_FINAL[[#This Row],[INVENTAIRE_THEORIQUE]]</f>
        <v>-1</v>
      </c>
      <c r="AB45" s="90">
        <f>IFERROR(RAPPORT_FINAL[[#This Row],[ECART.Total_cout]]/RAPPORT_FINAL[[#This Row],[ECART.Quantite]],0)</f>
        <v>641.66666666666663</v>
      </c>
      <c r="AC45" s="91">
        <f>IFERROR(RAPPORT_FINAL[[#This Row],[ECART.Quantite]]*RAPPORT_FINAL[[#This Row],[INVENTAIRE.Prix_cout]],"")</f>
        <v>-641.66666666666663</v>
      </c>
      <c r="AD45" s="83">
        <f>IFERROR(RAPPORT_FINAL[[#This Row],[ECART.Total_vente]]/RAPPORT_FINAL[[#This Row],[ECART.Quantite]],0)</f>
        <v>1000</v>
      </c>
      <c r="AE45" s="92">
        <f>IFERROR(RAPPORT_FINAL[[#This Row],[ECART.Quantite]]*RAPPORT_FINAL[[#This Row],[INVENTAIRE.Prix_vente]],"")</f>
        <v>-1000</v>
      </c>
    </row>
    <row r="46" spans="1:31" hidden="1" x14ac:dyDescent="0.25">
      <c r="A46" s="81" t="s">
        <v>308</v>
      </c>
      <c r="B46" s="3" t="s">
        <v>76</v>
      </c>
      <c r="C46" s="80" t="s">
        <v>283</v>
      </c>
      <c r="D46" s="3" t="s">
        <v>59</v>
      </c>
      <c r="E46" s="31" t="s">
        <v>97</v>
      </c>
      <c r="F46" s="85" cm="1">
        <f t="array" ref="F4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18</v>
      </c>
      <c r="G46" s="80" cm="1">
        <f t="array" ref="G4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200.43684210526317</v>
      </c>
      <c r="H46" s="80">
        <f>IF(RAPPORT_FINAL[[#This Row],[INVENTAIRE_PREC.Prix_vente]]="","",RAPPORT_FINAL[[#This Row],[INVENTAIRE_PREC.Quantite]]*RAPPORT_FINAL[[#This Row],[INVENTAIRE_PREC.Prix_cout]])</f>
        <v>3607.863157894737</v>
      </c>
      <c r="I46" s="83" cm="1">
        <f t="array" ref="I4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500</v>
      </c>
      <c r="J46" s="88">
        <f>IF(RAPPORT_FINAL[[#This Row],[INVENTAIRE_PREC.Prix_vente]]="","",RAPPORT_FINAL[[#This Row],[INVENTAIRE_PREC.Quantite]]*RAPPORT_FINAL[[#This Row],[INVENTAIRE_PREC.Prix_vente]])</f>
        <v>9000</v>
      </c>
      <c r="K46" s="24">
        <v>60</v>
      </c>
      <c r="L46" s="11">
        <v>250</v>
      </c>
      <c r="M46" s="25">
        <v>15000</v>
      </c>
      <c r="N46" s="24">
        <v>23</v>
      </c>
      <c r="O46" s="11">
        <v>500</v>
      </c>
      <c r="P46" s="25">
        <v>11500</v>
      </c>
      <c r="Q46" s="85">
        <v>55</v>
      </c>
      <c r="R46" s="80" cm="1">
        <f t="array" ref="R4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238.56234817813768</v>
      </c>
      <c r="S46" s="80">
        <f>RAPPORT_FINAL[[#This Row],[INVENTAIRE.Quantite]]*RAPPORT_FINAL[[#This Row],[INVENTAIRE.Prix_cout]]</f>
        <v>13120.929149797572</v>
      </c>
      <c r="T46" s="83" cm="1">
        <f t="array" ref="T4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46" s="88">
        <f>IF(OR(RAPPORT_FINAL[[#This Row],[INVENTAIRE.Quantite]]="",RAPPORT_FINAL[[#This Row],[INVENTAIRE.Prix_vente]]=""),"",RAPPORT_FINAL[[#This Row],[INVENTAIRE.Quantite]]*RAPPORT_FINAL[[#This Row],[INVENTAIRE.Prix_vente]])</f>
        <v>27500</v>
      </c>
      <c r="V4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55</v>
      </c>
      <c r="W46" s="24">
        <f>RAPPORT_FINAL[[#This Row],[INVENTAIRE.Prix_cout]]</f>
        <v>238.56234817813768</v>
      </c>
      <c r="X46" s="85">
        <f>RAPPORT_FINAL[[#This Row],[INVENTAIRE_THEORIQUE]]*RAPPORT_FINAL[[#This Row],[INVENTAIRE_THEORIQUE.Prix_cout]]</f>
        <v>13120.929149797572</v>
      </c>
      <c r="Y46" s="85">
        <f>RAPPORT_FINAL[[#This Row],[INVENTAIRE.Prix_vente]]</f>
        <v>500</v>
      </c>
      <c r="Z46" s="85">
        <f>RAPPORT_FINAL[[#This Row],[INVENTAIRE_THEORIQUE]]*RAPPORT_FINAL[[#This Row],[INVENTAIRE_THEORIQUE.Prix_vente]]</f>
        <v>27500</v>
      </c>
      <c r="AA46" s="85">
        <f>RAPPORT_FINAL[[#This Row],[INVENTAIRE.Quantite]]-RAPPORT_FINAL[[#This Row],[INVENTAIRE_THEORIQUE]]</f>
        <v>0</v>
      </c>
      <c r="AB46" s="90">
        <f>IFERROR(RAPPORT_FINAL[[#This Row],[ECART.Total_cout]]/RAPPORT_FINAL[[#This Row],[ECART.Quantite]],0)</f>
        <v>0</v>
      </c>
      <c r="AC46" s="91">
        <f>IFERROR(RAPPORT_FINAL[[#This Row],[ECART.Quantite]]*RAPPORT_FINAL[[#This Row],[INVENTAIRE.Prix_cout]],"")</f>
        <v>0</v>
      </c>
      <c r="AD46" s="83">
        <f>IFERROR(RAPPORT_FINAL[[#This Row],[ECART.Total_vente]]/RAPPORT_FINAL[[#This Row],[ECART.Quantite]],0)</f>
        <v>0</v>
      </c>
      <c r="AE46" s="92">
        <f>IFERROR(RAPPORT_FINAL[[#This Row],[ECART.Quantite]]*RAPPORT_FINAL[[#This Row],[INVENTAIRE.Prix_vente]],"")</f>
        <v>0</v>
      </c>
    </row>
    <row r="47" spans="1:31" hidden="1" x14ac:dyDescent="0.25">
      <c r="A47" s="81" t="s">
        <v>308</v>
      </c>
      <c r="B47" s="3" t="s">
        <v>76</v>
      </c>
      <c r="C47" s="80" t="s">
        <v>283</v>
      </c>
      <c r="D47" s="3" t="s">
        <v>37</v>
      </c>
      <c r="E47" s="31" t="s">
        <v>97</v>
      </c>
      <c r="F47" s="85" cm="1">
        <f t="array" ref="F4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19</v>
      </c>
      <c r="G47" s="80" cm="1">
        <f t="array" ref="G4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432.60869565217394</v>
      </c>
      <c r="H47" s="80">
        <f>IF(RAPPORT_FINAL[[#This Row],[INVENTAIRE_PREC.Prix_vente]]="","",RAPPORT_FINAL[[#This Row],[INVENTAIRE_PREC.Quantite]]*RAPPORT_FINAL[[#This Row],[INVENTAIRE_PREC.Prix_cout]])</f>
        <v>8219.565217391304</v>
      </c>
      <c r="I47" s="83" cm="1">
        <f t="array" ref="I4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47" s="88">
        <f>IF(RAPPORT_FINAL[[#This Row],[INVENTAIRE_PREC.Prix_vente]]="","",RAPPORT_FINAL[[#This Row],[INVENTAIRE_PREC.Quantite]]*RAPPORT_FINAL[[#This Row],[INVENTAIRE_PREC.Prix_vente]])</f>
        <v>19000</v>
      </c>
      <c r="K47" s="24"/>
      <c r="L47" s="11"/>
      <c r="M47" s="25"/>
      <c r="N47" s="24">
        <v>6</v>
      </c>
      <c r="O47" s="11">
        <v>1000</v>
      </c>
      <c r="P47" s="25">
        <v>6000</v>
      </c>
      <c r="Q47" s="85">
        <v>13</v>
      </c>
      <c r="R47" s="80" cm="1">
        <f t="array" ref="R4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432.60869565217388</v>
      </c>
      <c r="S47" s="80">
        <f>RAPPORT_FINAL[[#This Row],[INVENTAIRE.Quantite]]*RAPPORT_FINAL[[#This Row],[INVENTAIRE.Prix_cout]]</f>
        <v>5623.9130434782601</v>
      </c>
      <c r="T47" s="83" cm="1">
        <f t="array" ref="T4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47" s="88">
        <f>IF(OR(RAPPORT_FINAL[[#This Row],[INVENTAIRE.Quantite]]="",RAPPORT_FINAL[[#This Row],[INVENTAIRE.Prix_vente]]=""),"",RAPPORT_FINAL[[#This Row],[INVENTAIRE.Quantite]]*RAPPORT_FINAL[[#This Row],[INVENTAIRE.Prix_vente]])</f>
        <v>13000</v>
      </c>
      <c r="V4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13</v>
      </c>
      <c r="W47" s="24">
        <f>RAPPORT_FINAL[[#This Row],[INVENTAIRE.Prix_cout]]</f>
        <v>432.60869565217388</v>
      </c>
      <c r="X47" s="85">
        <f>RAPPORT_FINAL[[#This Row],[INVENTAIRE_THEORIQUE]]*RAPPORT_FINAL[[#This Row],[INVENTAIRE_THEORIQUE.Prix_cout]]</f>
        <v>5623.9130434782601</v>
      </c>
      <c r="Y47" s="85">
        <f>RAPPORT_FINAL[[#This Row],[INVENTAIRE.Prix_vente]]</f>
        <v>1000</v>
      </c>
      <c r="Z47" s="85">
        <f>RAPPORT_FINAL[[#This Row],[INVENTAIRE_THEORIQUE]]*RAPPORT_FINAL[[#This Row],[INVENTAIRE_THEORIQUE.Prix_vente]]</f>
        <v>13000</v>
      </c>
      <c r="AA47" s="85">
        <f>RAPPORT_FINAL[[#This Row],[INVENTAIRE.Quantite]]-RAPPORT_FINAL[[#This Row],[INVENTAIRE_THEORIQUE]]</f>
        <v>0</v>
      </c>
      <c r="AB47" s="90">
        <f>IFERROR(RAPPORT_FINAL[[#This Row],[ECART.Total_cout]]/RAPPORT_FINAL[[#This Row],[ECART.Quantite]],0)</f>
        <v>0</v>
      </c>
      <c r="AC47" s="91">
        <f>IFERROR(RAPPORT_FINAL[[#This Row],[ECART.Quantite]]*RAPPORT_FINAL[[#This Row],[INVENTAIRE.Prix_cout]],"")</f>
        <v>0</v>
      </c>
      <c r="AD47" s="83">
        <f>IFERROR(RAPPORT_FINAL[[#This Row],[ECART.Total_vente]]/RAPPORT_FINAL[[#This Row],[ECART.Quantite]],0)</f>
        <v>0</v>
      </c>
      <c r="AE47" s="92">
        <f>IFERROR(RAPPORT_FINAL[[#This Row],[ECART.Quantite]]*RAPPORT_FINAL[[#This Row],[INVENTAIRE.Prix_vente]],"")</f>
        <v>0</v>
      </c>
    </row>
    <row r="48" spans="1:31" x14ac:dyDescent="0.25">
      <c r="A48" s="81" t="s">
        <v>308</v>
      </c>
      <c r="B48" s="3" t="s">
        <v>76</v>
      </c>
      <c r="C48" s="80" t="s">
        <v>283</v>
      </c>
      <c r="D48" s="3" t="s">
        <v>43</v>
      </c>
      <c r="E48" s="31" t="s">
        <v>97</v>
      </c>
      <c r="F48" s="85" cm="1">
        <f t="array" ref="F4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48" s="80" cm="1">
        <f t="array" ref="G4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600</v>
      </c>
      <c r="H48" s="80">
        <f>IF(RAPPORT_FINAL[[#This Row],[INVENTAIRE_PREC.Prix_vente]]="","",RAPPORT_FINAL[[#This Row],[INVENTAIRE_PREC.Quantite]]*RAPPORT_FINAL[[#This Row],[INVENTAIRE_PREC.Prix_cout]])</f>
        <v>0</v>
      </c>
      <c r="I48" s="83" cm="1">
        <f t="array" ref="I4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48" s="88">
        <f>IF(RAPPORT_FINAL[[#This Row],[INVENTAIRE_PREC.Prix_vente]]="","",RAPPORT_FINAL[[#This Row],[INVENTAIRE_PREC.Quantite]]*RAPPORT_FINAL[[#This Row],[INVENTAIRE_PREC.Prix_vente]])</f>
        <v>0</v>
      </c>
      <c r="K48" s="24"/>
      <c r="L48" s="11"/>
      <c r="M48" s="25"/>
      <c r="N48" s="24"/>
      <c r="O48" s="11"/>
      <c r="P48" s="25"/>
      <c r="Q48" s="85">
        <v>0</v>
      </c>
      <c r="R48" s="80" cm="1">
        <f t="array" ref="R4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48" s="80">
        <f>RAPPORT_FINAL[[#This Row],[INVENTAIRE.Quantite]]*RAPPORT_FINAL[[#This Row],[INVENTAIRE.Prix_cout]]</f>
        <v>0</v>
      </c>
      <c r="T48" s="83" cm="1">
        <f t="array" ref="T4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48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4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48" s="24">
        <f>RAPPORT_FINAL[[#This Row],[INVENTAIRE.Prix_cout]]</f>
        <v>0</v>
      </c>
      <c r="X48" s="85">
        <f>RAPPORT_FINAL[[#This Row],[INVENTAIRE_THEORIQUE]]*RAPPORT_FINAL[[#This Row],[INVENTAIRE_THEORIQUE.Prix_cout]]</f>
        <v>0</v>
      </c>
      <c r="Y48" s="85">
        <f>RAPPORT_FINAL[[#This Row],[INVENTAIRE.Prix_vente]]</f>
        <v>1000</v>
      </c>
      <c r="Z48" s="85">
        <f>RAPPORT_FINAL[[#This Row],[INVENTAIRE_THEORIQUE]]*RAPPORT_FINAL[[#This Row],[INVENTAIRE_THEORIQUE.Prix_vente]]</f>
        <v>0</v>
      </c>
      <c r="AA48" s="85">
        <f>RAPPORT_FINAL[[#This Row],[INVENTAIRE.Quantite]]-RAPPORT_FINAL[[#This Row],[INVENTAIRE_THEORIQUE]]</f>
        <v>0</v>
      </c>
      <c r="AB48" s="90">
        <f>IFERROR(RAPPORT_FINAL[[#This Row],[ECART.Total_cout]]/RAPPORT_FINAL[[#This Row],[ECART.Quantite]],0)</f>
        <v>0</v>
      </c>
      <c r="AC48" s="91">
        <f>IFERROR(RAPPORT_FINAL[[#This Row],[ECART.Quantite]]*RAPPORT_FINAL[[#This Row],[INVENTAIRE.Prix_cout]],"")</f>
        <v>0</v>
      </c>
      <c r="AD48" s="83">
        <f>IFERROR(RAPPORT_FINAL[[#This Row],[ECART.Total_vente]]/RAPPORT_FINAL[[#This Row],[ECART.Quantite]],0)</f>
        <v>0</v>
      </c>
      <c r="AE48" s="92">
        <f>IFERROR(RAPPORT_FINAL[[#This Row],[ECART.Quantite]]*RAPPORT_FINAL[[#This Row],[INVENTAIRE.Prix_vente]],"")</f>
        <v>0</v>
      </c>
    </row>
    <row r="49" spans="1:31" hidden="1" x14ac:dyDescent="0.25">
      <c r="A49" s="81" t="s">
        <v>308</v>
      </c>
      <c r="B49" s="3" t="s">
        <v>149</v>
      </c>
      <c r="C49" s="80" t="s">
        <v>283</v>
      </c>
      <c r="D49" s="3" t="s">
        <v>148</v>
      </c>
      <c r="E49" s="31" t="s">
        <v>150</v>
      </c>
      <c r="F49" s="85" cm="1">
        <f t="array" ref="F4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7</v>
      </c>
      <c r="G49" s="80" cm="1">
        <f t="array" ref="G4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80</v>
      </c>
      <c r="H49" s="80">
        <f>IF(RAPPORT_FINAL[[#This Row],[INVENTAIRE_PREC.Prix_vente]]="","",RAPPORT_FINAL[[#This Row],[INVENTAIRE_PREC.Quantite]]*RAPPORT_FINAL[[#This Row],[INVENTAIRE_PREC.Prix_cout]])</f>
        <v>560</v>
      </c>
      <c r="I49" s="83" cm="1">
        <f t="array" ref="I4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500</v>
      </c>
      <c r="J49" s="88">
        <f>IF(RAPPORT_FINAL[[#This Row],[INVENTAIRE_PREC.Prix_vente]]="","",RAPPORT_FINAL[[#This Row],[INVENTAIRE_PREC.Quantite]]*RAPPORT_FINAL[[#This Row],[INVENTAIRE_PREC.Prix_vente]])</f>
        <v>3500</v>
      </c>
      <c r="K49" s="24"/>
      <c r="L49" s="11"/>
      <c r="M49" s="25"/>
      <c r="N49" s="24"/>
      <c r="O49" s="11"/>
      <c r="P49" s="25"/>
      <c r="Q49" s="85">
        <v>7</v>
      </c>
      <c r="R49" s="80" cm="1">
        <f t="array" ref="R4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80</v>
      </c>
      <c r="S49" s="80">
        <f>RAPPORT_FINAL[[#This Row],[INVENTAIRE.Quantite]]*RAPPORT_FINAL[[#This Row],[INVENTAIRE.Prix_cout]]</f>
        <v>560</v>
      </c>
      <c r="T49" s="83" cm="1">
        <f t="array" ref="T4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49" s="88">
        <f>IF(OR(RAPPORT_FINAL[[#This Row],[INVENTAIRE.Quantite]]="",RAPPORT_FINAL[[#This Row],[INVENTAIRE.Prix_vente]]=""),"",RAPPORT_FINAL[[#This Row],[INVENTAIRE.Quantite]]*RAPPORT_FINAL[[#This Row],[INVENTAIRE.Prix_vente]])</f>
        <v>3500</v>
      </c>
      <c r="V4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</v>
      </c>
      <c r="W49" s="24">
        <f>RAPPORT_FINAL[[#This Row],[INVENTAIRE.Prix_cout]]</f>
        <v>80</v>
      </c>
      <c r="X49" s="85">
        <f>RAPPORT_FINAL[[#This Row],[INVENTAIRE_THEORIQUE]]*RAPPORT_FINAL[[#This Row],[INVENTAIRE_THEORIQUE.Prix_cout]]</f>
        <v>560</v>
      </c>
      <c r="Y49" s="85">
        <f>RAPPORT_FINAL[[#This Row],[INVENTAIRE.Prix_vente]]</f>
        <v>500</v>
      </c>
      <c r="Z49" s="85">
        <f>RAPPORT_FINAL[[#This Row],[INVENTAIRE_THEORIQUE]]*RAPPORT_FINAL[[#This Row],[INVENTAIRE_THEORIQUE.Prix_vente]]</f>
        <v>3500</v>
      </c>
      <c r="AA49" s="85">
        <f>RAPPORT_FINAL[[#This Row],[INVENTAIRE.Quantite]]-RAPPORT_FINAL[[#This Row],[INVENTAIRE_THEORIQUE]]</f>
        <v>0</v>
      </c>
      <c r="AB49" s="90">
        <f>IFERROR(RAPPORT_FINAL[[#This Row],[ECART.Total_cout]]/RAPPORT_FINAL[[#This Row],[ECART.Quantite]],0)</f>
        <v>0</v>
      </c>
      <c r="AC49" s="91">
        <f>IFERROR(RAPPORT_FINAL[[#This Row],[ECART.Quantite]]*RAPPORT_FINAL[[#This Row],[INVENTAIRE.Prix_cout]],"")</f>
        <v>0</v>
      </c>
      <c r="AD49" s="83">
        <f>IFERROR(RAPPORT_FINAL[[#This Row],[ECART.Total_vente]]/RAPPORT_FINAL[[#This Row],[ECART.Quantite]],0)</f>
        <v>0</v>
      </c>
      <c r="AE49" s="92">
        <f>IFERROR(RAPPORT_FINAL[[#This Row],[ECART.Quantite]]*RAPPORT_FINAL[[#This Row],[INVENTAIRE.Prix_vente]],"")</f>
        <v>0</v>
      </c>
    </row>
    <row r="50" spans="1:31" hidden="1" x14ac:dyDescent="0.25">
      <c r="A50" s="81" t="s">
        <v>308</v>
      </c>
      <c r="B50" s="3" t="s">
        <v>71</v>
      </c>
      <c r="C50" s="80" t="s">
        <v>285</v>
      </c>
      <c r="D50" s="3" t="s">
        <v>16</v>
      </c>
      <c r="E50" s="31" t="s">
        <v>96</v>
      </c>
      <c r="F50" s="85" cm="1">
        <f t="array" ref="F5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50" s="80" cm="1">
        <f t="array" ref="G5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954.54999999999984</v>
      </c>
      <c r="H50" s="80">
        <f>IF(RAPPORT_FINAL[[#This Row],[INVENTAIRE_PREC.Prix_vente]]="","",RAPPORT_FINAL[[#This Row],[INVENTAIRE_PREC.Quantite]]*RAPPORT_FINAL[[#This Row],[INVENTAIRE_PREC.Prix_cout]])</f>
        <v>1909.0999999999997</v>
      </c>
      <c r="I50" s="83" cm="1">
        <f t="array" ref="I5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954.54999999999984</v>
      </c>
      <c r="J50" s="88">
        <f>IF(RAPPORT_FINAL[[#This Row],[INVENTAIRE_PREC.Prix_vente]]="","",RAPPORT_FINAL[[#This Row],[INVENTAIRE_PREC.Quantite]]*RAPPORT_FINAL[[#This Row],[INVENTAIRE_PREC.Prix_vente]])</f>
        <v>1909.0999999999997</v>
      </c>
      <c r="K50" s="24">
        <v>10</v>
      </c>
      <c r="L50" s="11">
        <v>1000</v>
      </c>
      <c r="M50" s="25">
        <v>10000</v>
      </c>
      <c r="N50" s="24">
        <v>7</v>
      </c>
      <c r="O50" s="11">
        <v>857.14285714285711</v>
      </c>
      <c r="P50" s="25">
        <v>6000</v>
      </c>
      <c r="Q50" s="85">
        <v>10</v>
      </c>
      <c r="R50" s="80" cm="1">
        <f t="array" ref="R5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992.42500000000007</v>
      </c>
      <c r="S50" s="80">
        <f>RAPPORT_FINAL[[#This Row],[INVENTAIRE.Quantite]]*RAPPORT_FINAL[[#This Row],[INVENTAIRE.Prix_cout]]</f>
        <v>9924.25</v>
      </c>
      <c r="T50" s="83" cm="1">
        <f t="array" ref="T5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50" s="88">
        <f>IF(OR(RAPPORT_FINAL[[#This Row],[INVENTAIRE.Quantite]]="",RAPPORT_FINAL[[#This Row],[INVENTAIRE.Prix_vente]]=""),"",RAPPORT_FINAL[[#This Row],[INVENTAIRE.Quantite]]*RAPPORT_FINAL[[#This Row],[INVENTAIRE.Prix_vente]])</f>
        <v>30000</v>
      </c>
      <c r="V5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5</v>
      </c>
      <c r="W50" s="24">
        <f>RAPPORT_FINAL[[#This Row],[INVENTAIRE.Prix_cout]]</f>
        <v>992.42500000000007</v>
      </c>
      <c r="X50" s="85">
        <f>RAPPORT_FINAL[[#This Row],[INVENTAIRE_THEORIQUE]]*RAPPORT_FINAL[[#This Row],[INVENTAIRE_THEORIQUE.Prix_cout]]</f>
        <v>4962.125</v>
      </c>
      <c r="Y50" s="85">
        <f>RAPPORT_FINAL[[#This Row],[INVENTAIRE.Prix_vente]]</f>
        <v>3000</v>
      </c>
      <c r="Z50" s="85">
        <f>RAPPORT_FINAL[[#This Row],[INVENTAIRE_THEORIQUE]]*RAPPORT_FINAL[[#This Row],[INVENTAIRE_THEORIQUE.Prix_vente]]</f>
        <v>15000</v>
      </c>
      <c r="AA50" s="85">
        <f>RAPPORT_FINAL[[#This Row],[INVENTAIRE.Quantite]]-RAPPORT_FINAL[[#This Row],[INVENTAIRE_THEORIQUE]]</f>
        <v>5</v>
      </c>
      <c r="AB50" s="90">
        <f>IFERROR(RAPPORT_FINAL[[#This Row],[ECART.Total_cout]]/RAPPORT_FINAL[[#This Row],[ECART.Quantite]],0)</f>
        <v>992.42499999999995</v>
      </c>
      <c r="AC50" s="91">
        <f>IFERROR(RAPPORT_FINAL[[#This Row],[ECART.Quantite]]*RAPPORT_FINAL[[#This Row],[INVENTAIRE.Prix_cout]],"")</f>
        <v>4962.125</v>
      </c>
      <c r="AD50" s="83">
        <f>IFERROR(RAPPORT_FINAL[[#This Row],[ECART.Total_vente]]/RAPPORT_FINAL[[#This Row],[ECART.Quantite]],0)</f>
        <v>3000</v>
      </c>
      <c r="AE50" s="92">
        <f>IFERROR(RAPPORT_FINAL[[#This Row],[ECART.Quantite]]*RAPPORT_FINAL[[#This Row],[INVENTAIRE.Prix_vente]],"")</f>
        <v>15000</v>
      </c>
    </row>
    <row r="51" spans="1:31" x14ac:dyDescent="0.25">
      <c r="A51" s="81" t="s">
        <v>308</v>
      </c>
      <c r="B51" s="3" t="s">
        <v>71</v>
      </c>
      <c r="C51" s="80" t="s">
        <v>285</v>
      </c>
      <c r="D51" s="3" t="s">
        <v>27</v>
      </c>
      <c r="E51" s="31" t="s">
        <v>96</v>
      </c>
      <c r="F51" s="85" cm="1">
        <f t="array" ref="F5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8</v>
      </c>
      <c r="G51" s="80" cm="1">
        <f t="array" ref="G5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1150</v>
      </c>
      <c r="H51" s="80">
        <f>IF(RAPPORT_FINAL[[#This Row],[INVENTAIRE_PREC.Prix_vente]]="","",RAPPORT_FINAL[[#This Row],[INVENTAIRE_PREC.Quantite]]*RAPPORT_FINAL[[#This Row],[INVENTAIRE_PREC.Prix_cout]])</f>
        <v>9200</v>
      </c>
      <c r="I51" s="83" cm="1">
        <f t="array" ref="I5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1150</v>
      </c>
      <c r="J51" s="88">
        <f>IF(RAPPORT_FINAL[[#This Row],[INVENTAIRE_PREC.Prix_vente]]="","",RAPPORT_FINAL[[#This Row],[INVENTAIRE_PREC.Quantite]]*RAPPORT_FINAL[[#This Row],[INVENTAIRE_PREC.Prix_vente]])</f>
        <v>9200</v>
      </c>
      <c r="K51" s="24"/>
      <c r="L51" s="11"/>
      <c r="M51" s="25"/>
      <c r="N51" s="24">
        <v>9</v>
      </c>
      <c r="O51" s="11">
        <v>3500</v>
      </c>
      <c r="P51" s="25">
        <v>31500</v>
      </c>
      <c r="Q51" s="85">
        <v>0</v>
      </c>
      <c r="R51" s="80" cm="1">
        <f t="array" ref="R5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1150</v>
      </c>
      <c r="S51" s="80">
        <f>RAPPORT_FINAL[[#This Row],[INVENTAIRE.Quantite]]*RAPPORT_FINAL[[#This Row],[INVENTAIRE.Prix_cout]]</f>
        <v>0</v>
      </c>
      <c r="T51" s="83" cm="1">
        <f t="array" ref="T5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51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5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-1</v>
      </c>
      <c r="W51" s="24">
        <f>RAPPORT_FINAL[[#This Row],[INVENTAIRE.Prix_cout]]</f>
        <v>1150</v>
      </c>
      <c r="X51" s="85">
        <f>RAPPORT_FINAL[[#This Row],[INVENTAIRE_THEORIQUE]]*RAPPORT_FINAL[[#This Row],[INVENTAIRE_THEORIQUE.Prix_cout]]</f>
        <v>-1150</v>
      </c>
      <c r="Y51" s="85">
        <f>RAPPORT_FINAL[[#This Row],[INVENTAIRE.Prix_vente]]</f>
        <v>3500</v>
      </c>
      <c r="Z51" s="85">
        <f>RAPPORT_FINAL[[#This Row],[INVENTAIRE_THEORIQUE]]*RAPPORT_FINAL[[#This Row],[INVENTAIRE_THEORIQUE.Prix_vente]]</f>
        <v>-3500</v>
      </c>
      <c r="AA51" s="85">
        <f>RAPPORT_FINAL[[#This Row],[INVENTAIRE.Quantite]]-RAPPORT_FINAL[[#This Row],[INVENTAIRE_THEORIQUE]]</f>
        <v>1</v>
      </c>
      <c r="AB51" s="90">
        <f>IFERROR(RAPPORT_FINAL[[#This Row],[ECART.Total_cout]]/RAPPORT_FINAL[[#This Row],[ECART.Quantite]],0)</f>
        <v>1150</v>
      </c>
      <c r="AC51" s="91">
        <f>IFERROR(RAPPORT_FINAL[[#This Row],[ECART.Quantite]]*RAPPORT_FINAL[[#This Row],[INVENTAIRE.Prix_cout]],"")</f>
        <v>1150</v>
      </c>
      <c r="AD51" s="83">
        <f>IFERROR(RAPPORT_FINAL[[#This Row],[ECART.Total_vente]]/RAPPORT_FINAL[[#This Row],[ECART.Quantite]],0)</f>
        <v>3500</v>
      </c>
      <c r="AE51" s="92">
        <f>IFERROR(RAPPORT_FINAL[[#This Row],[ECART.Quantite]]*RAPPORT_FINAL[[#This Row],[INVENTAIRE.Prix_vente]],"")</f>
        <v>3500</v>
      </c>
    </row>
    <row r="52" spans="1:31" x14ac:dyDescent="0.25">
      <c r="A52" s="81" t="s">
        <v>308</v>
      </c>
      <c r="B52" s="3" t="s">
        <v>71</v>
      </c>
      <c r="C52" s="80" t="s">
        <v>285</v>
      </c>
      <c r="D52" s="3" t="s">
        <v>27</v>
      </c>
      <c r="E52" s="31" t="s">
        <v>96</v>
      </c>
      <c r="F52" s="85" cm="1">
        <f t="array" ref="F5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8</v>
      </c>
      <c r="G52" s="80" cm="1">
        <f t="array" ref="G5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1150</v>
      </c>
      <c r="H52" s="80">
        <f>IF(RAPPORT_FINAL[[#This Row],[INVENTAIRE_PREC.Prix_vente]]="","",RAPPORT_FINAL[[#This Row],[INVENTAIRE_PREC.Quantite]]*RAPPORT_FINAL[[#This Row],[INVENTAIRE_PREC.Prix_cout]])</f>
        <v>9200</v>
      </c>
      <c r="I52" s="83" cm="1">
        <f t="array" ref="I5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1150</v>
      </c>
      <c r="J52" s="88">
        <f>IF(RAPPORT_FINAL[[#This Row],[INVENTAIRE_PREC.Prix_vente]]="","",RAPPORT_FINAL[[#This Row],[INVENTAIRE_PREC.Quantite]]*RAPPORT_FINAL[[#This Row],[INVENTAIRE_PREC.Prix_vente]])</f>
        <v>9200</v>
      </c>
      <c r="K52" s="24"/>
      <c r="L52" s="11"/>
      <c r="M52" s="25"/>
      <c r="N52" s="24">
        <v>2</v>
      </c>
      <c r="O52" s="11">
        <v>15750</v>
      </c>
      <c r="P52" s="25">
        <v>31500</v>
      </c>
      <c r="Q52" s="85">
        <v>0</v>
      </c>
      <c r="R52" s="80" cm="1">
        <f t="array" ref="R5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1150</v>
      </c>
      <c r="S52" s="80">
        <f>RAPPORT_FINAL[[#This Row],[INVENTAIRE.Quantite]]*RAPPORT_FINAL[[#This Row],[INVENTAIRE.Prix_cout]]</f>
        <v>0</v>
      </c>
      <c r="T52" s="83" cm="1">
        <f t="array" ref="T5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52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5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52" s="24">
        <f>RAPPORT_FINAL[[#This Row],[INVENTAIRE.Prix_cout]]</f>
        <v>1150</v>
      </c>
      <c r="X52" s="85">
        <f>RAPPORT_FINAL[[#This Row],[INVENTAIRE_THEORIQUE]]*RAPPORT_FINAL[[#This Row],[INVENTAIRE_THEORIQUE.Prix_cout]]</f>
        <v>6900</v>
      </c>
      <c r="Y52" s="85">
        <f>RAPPORT_FINAL[[#This Row],[INVENTAIRE.Prix_vente]]</f>
        <v>3500</v>
      </c>
      <c r="Z52" s="85">
        <f>RAPPORT_FINAL[[#This Row],[INVENTAIRE_THEORIQUE]]*RAPPORT_FINAL[[#This Row],[INVENTAIRE_THEORIQUE.Prix_vente]]</f>
        <v>21000</v>
      </c>
      <c r="AA52" s="85">
        <f>RAPPORT_FINAL[[#This Row],[INVENTAIRE.Quantite]]-RAPPORT_FINAL[[#This Row],[INVENTAIRE_THEORIQUE]]</f>
        <v>-6</v>
      </c>
      <c r="AB52" s="90">
        <f>IFERROR(RAPPORT_FINAL[[#This Row],[ECART.Total_cout]]/RAPPORT_FINAL[[#This Row],[ECART.Quantite]],0)</f>
        <v>1150</v>
      </c>
      <c r="AC52" s="91">
        <f>IFERROR(RAPPORT_FINAL[[#This Row],[ECART.Quantite]]*RAPPORT_FINAL[[#This Row],[INVENTAIRE.Prix_cout]],"")</f>
        <v>-6900</v>
      </c>
      <c r="AD52" s="83">
        <f>IFERROR(RAPPORT_FINAL[[#This Row],[ECART.Total_vente]]/RAPPORT_FINAL[[#This Row],[ECART.Quantite]],0)</f>
        <v>3500</v>
      </c>
      <c r="AE52" s="92">
        <f>IFERROR(RAPPORT_FINAL[[#This Row],[ECART.Quantite]]*RAPPORT_FINAL[[#This Row],[INVENTAIRE.Prix_vente]],"")</f>
        <v>-21000</v>
      </c>
    </row>
    <row r="53" spans="1:31" x14ac:dyDescent="0.25">
      <c r="A53" s="81" t="s">
        <v>308</v>
      </c>
      <c r="B53" s="3" t="s">
        <v>71</v>
      </c>
      <c r="C53" s="80" t="s">
        <v>284</v>
      </c>
      <c r="D53" s="3" t="s">
        <v>9</v>
      </c>
      <c r="E53" s="31" t="s">
        <v>108</v>
      </c>
      <c r="F53" s="85" cm="1">
        <f t="array" ref="F5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53" s="80" cm="1">
        <f t="array" ref="G5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53" s="80">
        <f>IF(RAPPORT_FINAL[[#This Row],[INVENTAIRE_PREC.Prix_vente]]="","",RAPPORT_FINAL[[#This Row],[INVENTAIRE_PREC.Quantite]]*RAPPORT_FINAL[[#This Row],[INVENTAIRE_PREC.Prix_cout]])</f>
        <v>0</v>
      </c>
      <c r="I53" s="83" cm="1">
        <f t="array" ref="I5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53" s="88">
        <f>IF(RAPPORT_FINAL[[#This Row],[INVENTAIRE_PREC.Prix_vente]]="","",RAPPORT_FINAL[[#This Row],[INVENTAIRE_PREC.Quantite]]*RAPPORT_FINAL[[#This Row],[INVENTAIRE_PREC.Prix_vente]])</f>
        <v>0</v>
      </c>
      <c r="K53" s="24"/>
      <c r="L53" s="11"/>
      <c r="M53" s="25"/>
      <c r="N53" s="24">
        <v>82.5</v>
      </c>
      <c r="O53" s="11">
        <v>1.67</v>
      </c>
      <c r="P53" s="25">
        <v>137.77499999999998</v>
      </c>
      <c r="Q53" s="85">
        <v>0</v>
      </c>
      <c r="R53" s="80" cm="1">
        <f t="array" ref="R5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53" s="80">
        <f>RAPPORT_FINAL[[#This Row],[INVENTAIRE.Quantite]]*RAPPORT_FINAL[[#This Row],[INVENTAIRE.Prix_cout]]</f>
        <v>0</v>
      </c>
      <c r="T53" s="83" cm="1">
        <f t="array" ref="T5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1.67</v>
      </c>
      <c r="U53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5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-82.5</v>
      </c>
      <c r="W53" s="24">
        <f>RAPPORT_FINAL[[#This Row],[INVENTAIRE.Prix_cout]]</f>
        <v>0</v>
      </c>
      <c r="X53" s="85">
        <f>RAPPORT_FINAL[[#This Row],[INVENTAIRE_THEORIQUE]]*RAPPORT_FINAL[[#This Row],[INVENTAIRE_THEORIQUE.Prix_cout]]</f>
        <v>0</v>
      </c>
      <c r="Y53" s="85">
        <f>RAPPORT_FINAL[[#This Row],[INVENTAIRE.Prix_vente]]</f>
        <v>1.67</v>
      </c>
      <c r="Z53" s="85">
        <f>RAPPORT_FINAL[[#This Row],[INVENTAIRE_THEORIQUE]]*RAPPORT_FINAL[[#This Row],[INVENTAIRE_THEORIQUE.Prix_vente]]</f>
        <v>-137.77500000000001</v>
      </c>
      <c r="AA53" s="85">
        <f>RAPPORT_FINAL[[#This Row],[INVENTAIRE.Quantite]]-RAPPORT_FINAL[[#This Row],[INVENTAIRE_THEORIQUE]]</f>
        <v>82.5</v>
      </c>
      <c r="AB53" s="90">
        <f>IFERROR(RAPPORT_FINAL[[#This Row],[ECART.Total_cout]]/RAPPORT_FINAL[[#This Row],[ECART.Quantite]],0)</f>
        <v>0</v>
      </c>
      <c r="AC53" s="91">
        <f>IFERROR(RAPPORT_FINAL[[#This Row],[ECART.Quantite]]*RAPPORT_FINAL[[#This Row],[INVENTAIRE.Prix_cout]],"")</f>
        <v>0</v>
      </c>
      <c r="AD53" s="83">
        <f>IFERROR(RAPPORT_FINAL[[#This Row],[ECART.Total_vente]]/RAPPORT_FINAL[[#This Row],[ECART.Quantite]],0)</f>
        <v>1.6700000000000002</v>
      </c>
      <c r="AE53" s="92">
        <f>IFERROR(RAPPORT_FINAL[[#This Row],[ECART.Quantite]]*RAPPORT_FINAL[[#This Row],[INVENTAIRE.Prix_vente]],"")</f>
        <v>137.77500000000001</v>
      </c>
    </row>
    <row r="54" spans="1:31" x14ac:dyDescent="0.25">
      <c r="A54" s="81" t="s">
        <v>308</v>
      </c>
      <c r="B54" s="3" t="s">
        <v>71</v>
      </c>
      <c r="C54" s="80" t="s">
        <v>284</v>
      </c>
      <c r="D54" s="3" t="s">
        <v>109</v>
      </c>
      <c r="E54" s="31" t="s">
        <v>96</v>
      </c>
      <c r="F54" s="85" cm="1">
        <f t="array" ref="F5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54" s="80" cm="1">
        <f t="array" ref="G5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54" s="80">
        <f>IF(RAPPORT_FINAL[[#This Row],[INVENTAIRE_PREC.Prix_vente]]="","",RAPPORT_FINAL[[#This Row],[INVENTAIRE_PREC.Quantite]]*RAPPORT_FINAL[[#This Row],[INVENTAIRE_PREC.Prix_cout]])</f>
        <v>0</v>
      </c>
      <c r="I54" s="83" cm="1">
        <f t="array" ref="I5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54" s="88">
        <f>IF(RAPPORT_FINAL[[#This Row],[INVENTAIRE_PREC.Prix_vente]]="","",RAPPORT_FINAL[[#This Row],[INVENTAIRE_PREC.Quantite]]*RAPPORT_FINAL[[#This Row],[INVENTAIRE_PREC.Prix_vente]])</f>
        <v>0</v>
      </c>
      <c r="K54" s="24"/>
      <c r="L54" s="11"/>
      <c r="M54" s="25"/>
      <c r="N54" s="24">
        <v>2</v>
      </c>
      <c r="O54" s="11">
        <v>250</v>
      </c>
      <c r="P54" s="25">
        <v>500</v>
      </c>
      <c r="Q54" s="85">
        <v>0</v>
      </c>
      <c r="R54" s="80" cm="1">
        <f t="array" ref="R5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54" s="80">
        <f>RAPPORT_FINAL[[#This Row],[INVENTAIRE.Quantite]]*RAPPORT_FINAL[[#This Row],[INVENTAIRE.Prix_cout]]</f>
        <v>0</v>
      </c>
      <c r="T54" s="83" cm="1">
        <f t="array" ref="T5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</v>
      </c>
      <c r="U54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5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-2</v>
      </c>
      <c r="W54" s="24">
        <f>RAPPORT_FINAL[[#This Row],[INVENTAIRE.Prix_cout]]</f>
        <v>0</v>
      </c>
      <c r="X54" s="85">
        <f>RAPPORT_FINAL[[#This Row],[INVENTAIRE_THEORIQUE]]*RAPPORT_FINAL[[#This Row],[INVENTAIRE_THEORIQUE.Prix_cout]]</f>
        <v>0</v>
      </c>
      <c r="Y54" s="85">
        <f>RAPPORT_FINAL[[#This Row],[INVENTAIRE.Prix_vente]]</f>
        <v>250</v>
      </c>
      <c r="Z54" s="85">
        <f>RAPPORT_FINAL[[#This Row],[INVENTAIRE_THEORIQUE]]*RAPPORT_FINAL[[#This Row],[INVENTAIRE_THEORIQUE.Prix_vente]]</f>
        <v>-500</v>
      </c>
      <c r="AA54" s="85">
        <f>RAPPORT_FINAL[[#This Row],[INVENTAIRE.Quantite]]-RAPPORT_FINAL[[#This Row],[INVENTAIRE_THEORIQUE]]</f>
        <v>2</v>
      </c>
      <c r="AB54" s="90">
        <f>IFERROR(RAPPORT_FINAL[[#This Row],[ECART.Total_cout]]/RAPPORT_FINAL[[#This Row],[ECART.Quantite]],0)</f>
        <v>0</v>
      </c>
      <c r="AC54" s="91">
        <f>IFERROR(RAPPORT_FINAL[[#This Row],[ECART.Quantite]]*RAPPORT_FINAL[[#This Row],[INVENTAIRE.Prix_cout]],"")</f>
        <v>0</v>
      </c>
      <c r="AD54" s="83">
        <f>IFERROR(RAPPORT_FINAL[[#This Row],[ECART.Total_vente]]/RAPPORT_FINAL[[#This Row],[ECART.Quantite]],0)</f>
        <v>250</v>
      </c>
      <c r="AE54" s="92">
        <f>IFERROR(RAPPORT_FINAL[[#This Row],[ECART.Quantite]]*RAPPORT_FINAL[[#This Row],[INVENTAIRE.Prix_vente]],"")</f>
        <v>500</v>
      </c>
    </row>
    <row r="55" spans="1:31" hidden="1" x14ac:dyDescent="0.25">
      <c r="A55" s="81" t="s">
        <v>308</v>
      </c>
      <c r="B55" s="3" t="s">
        <v>71</v>
      </c>
      <c r="C55" s="80" t="s">
        <v>285</v>
      </c>
      <c r="D55" s="3" t="s">
        <v>15</v>
      </c>
      <c r="E55" s="31" t="s">
        <v>96</v>
      </c>
      <c r="F55" s="85" cm="1">
        <f t="array" ref="F5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</v>
      </c>
      <c r="G55" s="80" cm="1">
        <f t="array" ref="G5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1312.5</v>
      </c>
      <c r="H55" s="80">
        <f>IF(RAPPORT_FINAL[[#This Row],[INVENTAIRE_PREC.Prix_vente]]="","",RAPPORT_FINAL[[#This Row],[INVENTAIRE_PREC.Quantite]]*RAPPORT_FINAL[[#This Row],[INVENTAIRE_PREC.Prix_cout]])</f>
        <v>5250</v>
      </c>
      <c r="I55" s="83" cm="1">
        <f t="array" ref="I5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1312.5</v>
      </c>
      <c r="J55" s="88">
        <f>IF(RAPPORT_FINAL[[#This Row],[INVENTAIRE_PREC.Prix_vente]]="","",RAPPORT_FINAL[[#This Row],[INVENTAIRE_PREC.Quantite]]*RAPPORT_FINAL[[#This Row],[INVENTAIRE_PREC.Prix_vente]])</f>
        <v>5250</v>
      </c>
      <c r="K55" s="24">
        <v>10</v>
      </c>
      <c r="L55" s="11">
        <v>1050</v>
      </c>
      <c r="M55" s="25">
        <v>10500</v>
      </c>
      <c r="N55" s="24">
        <v>1</v>
      </c>
      <c r="O55" s="11">
        <v>3000</v>
      </c>
      <c r="P55" s="25">
        <v>3000</v>
      </c>
      <c r="Q55" s="85">
        <v>14</v>
      </c>
      <c r="R55" s="80" cm="1">
        <f t="array" ref="R5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1125</v>
      </c>
      <c r="S55" s="80">
        <f>RAPPORT_FINAL[[#This Row],[INVENTAIRE.Quantite]]*RAPPORT_FINAL[[#This Row],[INVENTAIRE.Prix_cout]]</f>
        <v>15750</v>
      </c>
      <c r="T55" s="83" cm="1">
        <f t="array" ref="T5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55" s="88">
        <f>IF(OR(RAPPORT_FINAL[[#This Row],[INVENTAIRE.Quantite]]="",RAPPORT_FINAL[[#This Row],[INVENTAIRE.Prix_vente]]=""),"",RAPPORT_FINAL[[#This Row],[INVENTAIRE.Quantite]]*RAPPORT_FINAL[[#This Row],[INVENTAIRE.Prix_vente]])</f>
        <v>42000</v>
      </c>
      <c r="V5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13</v>
      </c>
      <c r="W55" s="24">
        <f>RAPPORT_FINAL[[#This Row],[INVENTAIRE.Prix_cout]]</f>
        <v>1125</v>
      </c>
      <c r="X55" s="85">
        <f>RAPPORT_FINAL[[#This Row],[INVENTAIRE_THEORIQUE]]*RAPPORT_FINAL[[#This Row],[INVENTAIRE_THEORIQUE.Prix_cout]]</f>
        <v>14625</v>
      </c>
      <c r="Y55" s="85">
        <f>RAPPORT_FINAL[[#This Row],[INVENTAIRE.Prix_vente]]</f>
        <v>3000</v>
      </c>
      <c r="Z55" s="85">
        <f>RAPPORT_FINAL[[#This Row],[INVENTAIRE_THEORIQUE]]*RAPPORT_FINAL[[#This Row],[INVENTAIRE_THEORIQUE.Prix_vente]]</f>
        <v>39000</v>
      </c>
      <c r="AA55" s="85">
        <f>RAPPORT_FINAL[[#This Row],[INVENTAIRE.Quantite]]-RAPPORT_FINAL[[#This Row],[INVENTAIRE_THEORIQUE]]</f>
        <v>1</v>
      </c>
      <c r="AB55" s="90">
        <f>IFERROR(RAPPORT_FINAL[[#This Row],[ECART.Total_cout]]/RAPPORT_FINAL[[#This Row],[ECART.Quantite]],0)</f>
        <v>1125</v>
      </c>
      <c r="AC55" s="91">
        <f>IFERROR(RAPPORT_FINAL[[#This Row],[ECART.Quantite]]*RAPPORT_FINAL[[#This Row],[INVENTAIRE.Prix_cout]],"")</f>
        <v>1125</v>
      </c>
      <c r="AD55" s="83">
        <f>IFERROR(RAPPORT_FINAL[[#This Row],[ECART.Total_vente]]/RAPPORT_FINAL[[#This Row],[ECART.Quantite]],0)</f>
        <v>3000</v>
      </c>
      <c r="AE55" s="92">
        <f>IFERROR(RAPPORT_FINAL[[#This Row],[ECART.Quantite]]*RAPPORT_FINAL[[#This Row],[INVENTAIRE.Prix_vente]],"")</f>
        <v>3000</v>
      </c>
    </row>
    <row r="56" spans="1:31" hidden="1" x14ac:dyDescent="0.25">
      <c r="A56" s="81" t="s">
        <v>308</v>
      </c>
      <c r="B56" s="3" t="s">
        <v>71</v>
      </c>
      <c r="C56" s="80" t="s">
        <v>284</v>
      </c>
      <c r="D56" s="3" t="s">
        <v>14</v>
      </c>
      <c r="E56" s="31" t="s">
        <v>108</v>
      </c>
      <c r="F56" s="85" cm="1">
        <f t="array" ref="F5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1225</v>
      </c>
      <c r="G56" s="80" cm="1">
        <f t="array" ref="G5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0.71684587813620071</v>
      </c>
      <c r="H56" s="80">
        <f>IF(RAPPORT_FINAL[[#This Row],[INVENTAIRE_PREC.Prix_vente]]="","",RAPPORT_FINAL[[#This Row],[INVENTAIRE_PREC.Quantite]]*RAPPORT_FINAL[[#This Row],[INVENTAIRE_PREC.Prix_cout]])</f>
        <v>878.13620071684591</v>
      </c>
      <c r="I56" s="83" cm="1">
        <f t="array" ref="I5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0.71684587813620071</v>
      </c>
      <c r="J56" s="88">
        <f>IF(RAPPORT_FINAL[[#This Row],[INVENTAIRE_PREC.Prix_vente]]="","",RAPPORT_FINAL[[#This Row],[INVENTAIRE_PREC.Quantite]]*RAPPORT_FINAL[[#This Row],[INVENTAIRE_PREC.Prix_vente]])</f>
        <v>878.13620071684591</v>
      </c>
      <c r="K56" s="24"/>
      <c r="L56" s="11"/>
      <c r="M56" s="25"/>
      <c r="N56" s="24">
        <v>165</v>
      </c>
      <c r="O56" s="11">
        <v>1</v>
      </c>
      <c r="P56" s="25">
        <v>165</v>
      </c>
      <c r="Q56" s="85">
        <v>505</v>
      </c>
      <c r="R56" s="80" cm="1">
        <f t="array" ref="R5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0.71684587813620071</v>
      </c>
      <c r="S56" s="80">
        <f>RAPPORT_FINAL[[#This Row],[INVENTAIRE.Quantite]]*RAPPORT_FINAL[[#This Row],[INVENTAIRE.Prix_cout]]</f>
        <v>362.00716845878134</v>
      </c>
      <c r="T56" s="83" cm="1">
        <f t="array" ref="T5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</v>
      </c>
      <c r="U56" s="88">
        <f>IF(OR(RAPPORT_FINAL[[#This Row],[INVENTAIRE.Quantite]]="",RAPPORT_FINAL[[#This Row],[INVENTAIRE.Prix_vente]]=""),"",RAPPORT_FINAL[[#This Row],[INVENTAIRE.Quantite]]*RAPPORT_FINAL[[#This Row],[INVENTAIRE.Prix_vente]])</f>
        <v>505</v>
      </c>
      <c r="V5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1060</v>
      </c>
      <c r="W56" s="24">
        <f>RAPPORT_FINAL[[#This Row],[INVENTAIRE.Prix_cout]]</f>
        <v>0.71684587813620071</v>
      </c>
      <c r="X56" s="85">
        <f>RAPPORT_FINAL[[#This Row],[INVENTAIRE_THEORIQUE]]*RAPPORT_FINAL[[#This Row],[INVENTAIRE_THEORIQUE.Prix_cout]]</f>
        <v>759.8566308243727</v>
      </c>
      <c r="Y56" s="85">
        <f>RAPPORT_FINAL[[#This Row],[INVENTAIRE.Prix_vente]]</f>
        <v>1</v>
      </c>
      <c r="Z56" s="85">
        <f>RAPPORT_FINAL[[#This Row],[INVENTAIRE_THEORIQUE]]*RAPPORT_FINAL[[#This Row],[INVENTAIRE_THEORIQUE.Prix_vente]]</f>
        <v>1060</v>
      </c>
      <c r="AA56" s="85">
        <f>RAPPORT_FINAL[[#This Row],[INVENTAIRE.Quantite]]-RAPPORT_FINAL[[#This Row],[INVENTAIRE_THEORIQUE]]</f>
        <v>-555</v>
      </c>
      <c r="AB56" s="90">
        <f>IFERROR(RAPPORT_FINAL[[#This Row],[ECART.Total_cout]]/RAPPORT_FINAL[[#This Row],[ECART.Quantite]],0)</f>
        <v>0.71684587813620071</v>
      </c>
      <c r="AC56" s="91">
        <f>IFERROR(RAPPORT_FINAL[[#This Row],[ECART.Quantite]]*RAPPORT_FINAL[[#This Row],[INVENTAIRE.Prix_cout]],"")</f>
        <v>-397.84946236559142</v>
      </c>
      <c r="AD56" s="83">
        <f>IFERROR(RAPPORT_FINAL[[#This Row],[ECART.Total_vente]]/RAPPORT_FINAL[[#This Row],[ECART.Quantite]],0)</f>
        <v>1</v>
      </c>
      <c r="AE56" s="92">
        <f>IFERROR(RAPPORT_FINAL[[#This Row],[ECART.Quantite]]*RAPPORT_FINAL[[#This Row],[INVENTAIRE.Prix_vente]],"")</f>
        <v>-555</v>
      </c>
    </row>
    <row r="57" spans="1:31" hidden="1" x14ac:dyDescent="0.25">
      <c r="A57" s="81" t="s">
        <v>308</v>
      </c>
      <c r="B57" s="3" t="s">
        <v>71</v>
      </c>
      <c r="C57" s="80" t="s">
        <v>284</v>
      </c>
      <c r="D57" s="3" t="s">
        <v>24</v>
      </c>
      <c r="E57" s="31" t="s">
        <v>96</v>
      </c>
      <c r="F57" s="85" cm="1">
        <f t="array" ref="F5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19</v>
      </c>
      <c r="G57" s="80" cm="1">
        <f t="array" ref="G5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200</v>
      </c>
      <c r="H57" s="80">
        <f>IF(RAPPORT_FINAL[[#This Row],[INVENTAIRE_PREC.Prix_vente]]="","",RAPPORT_FINAL[[#This Row],[INVENTAIRE_PREC.Quantite]]*RAPPORT_FINAL[[#This Row],[INVENTAIRE_PREC.Prix_cout]])</f>
        <v>3800</v>
      </c>
      <c r="I57" s="83" cm="1">
        <f t="array" ref="I5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200</v>
      </c>
      <c r="J57" s="88">
        <f>IF(RAPPORT_FINAL[[#This Row],[INVENTAIRE_PREC.Prix_vente]]="","",RAPPORT_FINAL[[#This Row],[INVENTAIRE_PREC.Quantite]]*RAPPORT_FINAL[[#This Row],[INVENTAIRE_PREC.Prix_vente]])</f>
        <v>3800</v>
      </c>
      <c r="K57" s="24"/>
      <c r="L57" s="11"/>
      <c r="M57" s="25"/>
      <c r="N57" s="24">
        <v>6</v>
      </c>
      <c r="O57" s="11">
        <v>666.66666666666663</v>
      </c>
      <c r="P57" s="25">
        <v>4000</v>
      </c>
      <c r="Q57" s="85">
        <v>11</v>
      </c>
      <c r="R57" s="80" cm="1">
        <f t="array" ref="R5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200</v>
      </c>
      <c r="S57" s="80">
        <f>RAPPORT_FINAL[[#This Row],[INVENTAIRE.Quantite]]*RAPPORT_FINAL[[#This Row],[INVENTAIRE.Prix_cout]]</f>
        <v>2200</v>
      </c>
      <c r="T57" s="83" cm="1">
        <f t="array" ref="T5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57" s="88">
        <f>IF(OR(RAPPORT_FINAL[[#This Row],[INVENTAIRE.Quantite]]="",RAPPORT_FINAL[[#This Row],[INVENTAIRE.Prix_vente]]=""),"",RAPPORT_FINAL[[#This Row],[INVENTAIRE.Quantite]]*RAPPORT_FINAL[[#This Row],[INVENTAIRE.Prix_vente]])</f>
        <v>5500</v>
      </c>
      <c r="V5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13</v>
      </c>
      <c r="W57" s="24">
        <f>RAPPORT_FINAL[[#This Row],[INVENTAIRE.Prix_cout]]</f>
        <v>200</v>
      </c>
      <c r="X57" s="85">
        <f>RAPPORT_FINAL[[#This Row],[INVENTAIRE_THEORIQUE]]*RAPPORT_FINAL[[#This Row],[INVENTAIRE_THEORIQUE.Prix_cout]]</f>
        <v>2600</v>
      </c>
      <c r="Y57" s="85">
        <f>RAPPORT_FINAL[[#This Row],[INVENTAIRE.Prix_vente]]</f>
        <v>500</v>
      </c>
      <c r="Z57" s="85">
        <f>RAPPORT_FINAL[[#This Row],[INVENTAIRE_THEORIQUE]]*RAPPORT_FINAL[[#This Row],[INVENTAIRE_THEORIQUE.Prix_vente]]</f>
        <v>6500</v>
      </c>
      <c r="AA57" s="85">
        <f>RAPPORT_FINAL[[#This Row],[INVENTAIRE.Quantite]]-RAPPORT_FINAL[[#This Row],[INVENTAIRE_THEORIQUE]]</f>
        <v>-2</v>
      </c>
      <c r="AB57" s="90">
        <f>IFERROR(RAPPORT_FINAL[[#This Row],[ECART.Total_cout]]/RAPPORT_FINAL[[#This Row],[ECART.Quantite]],0)</f>
        <v>200</v>
      </c>
      <c r="AC57" s="91">
        <f>IFERROR(RAPPORT_FINAL[[#This Row],[ECART.Quantite]]*RAPPORT_FINAL[[#This Row],[INVENTAIRE.Prix_cout]],"")</f>
        <v>-400</v>
      </c>
      <c r="AD57" s="83">
        <f>IFERROR(RAPPORT_FINAL[[#This Row],[ECART.Total_vente]]/RAPPORT_FINAL[[#This Row],[ECART.Quantite]],0)</f>
        <v>500</v>
      </c>
      <c r="AE57" s="92">
        <f>IFERROR(RAPPORT_FINAL[[#This Row],[ECART.Quantite]]*RAPPORT_FINAL[[#This Row],[INVENTAIRE.Prix_vente]],"")</f>
        <v>-1000</v>
      </c>
    </row>
    <row r="58" spans="1:31" hidden="1" x14ac:dyDescent="0.25">
      <c r="A58" s="81" t="s">
        <v>308</v>
      </c>
      <c r="B58" s="3" t="s">
        <v>71</v>
      </c>
      <c r="C58" s="80" t="s">
        <v>284</v>
      </c>
      <c r="D58" s="3" t="s">
        <v>24</v>
      </c>
      <c r="E58" s="31" t="s">
        <v>96</v>
      </c>
      <c r="F58" s="85" cm="1">
        <f t="array" ref="F5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19</v>
      </c>
      <c r="G58" s="80" cm="1">
        <f t="array" ref="G5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200</v>
      </c>
      <c r="H58" s="80">
        <f>IF(RAPPORT_FINAL[[#This Row],[INVENTAIRE_PREC.Prix_vente]]="","",RAPPORT_FINAL[[#This Row],[INVENTAIRE_PREC.Quantite]]*RAPPORT_FINAL[[#This Row],[INVENTAIRE_PREC.Prix_cout]])</f>
        <v>3800</v>
      </c>
      <c r="I58" s="83" cm="1">
        <f t="array" ref="I5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200</v>
      </c>
      <c r="J58" s="88">
        <f>IF(RAPPORT_FINAL[[#This Row],[INVENTAIRE_PREC.Prix_vente]]="","",RAPPORT_FINAL[[#This Row],[INVENTAIRE_PREC.Quantite]]*RAPPORT_FINAL[[#This Row],[INVENTAIRE_PREC.Prix_vente]])</f>
        <v>3800</v>
      </c>
      <c r="K58" s="24"/>
      <c r="L58" s="11"/>
      <c r="M58" s="25"/>
      <c r="N58" s="24">
        <v>8</v>
      </c>
      <c r="O58" s="11">
        <v>500</v>
      </c>
      <c r="P58" s="25">
        <v>4000</v>
      </c>
      <c r="Q58" s="85">
        <v>11</v>
      </c>
      <c r="R58" s="80" cm="1">
        <f t="array" ref="R5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200</v>
      </c>
      <c r="S58" s="80">
        <f>RAPPORT_FINAL[[#This Row],[INVENTAIRE.Quantite]]*RAPPORT_FINAL[[#This Row],[INVENTAIRE.Prix_cout]]</f>
        <v>2200</v>
      </c>
      <c r="T58" s="83" cm="1">
        <f t="array" ref="T5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58" s="88">
        <f>IF(OR(RAPPORT_FINAL[[#This Row],[INVENTAIRE.Quantite]]="",RAPPORT_FINAL[[#This Row],[INVENTAIRE.Prix_vente]]=""),"",RAPPORT_FINAL[[#This Row],[INVENTAIRE.Quantite]]*RAPPORT_FINAL[[#This Row],[INVENTAIRE.Prix_vente]])</f>
        <v>5500</v>
      </c>
      <c r="V5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11</v>
      </c>
      <c r="W58" s="24">
        <f>RAPPORT_FINAL[[#This Row],[INVENTAIRE.Prix_cout]]</f>
        <v>200</v>
      </c>
      <c r="X58" s="85">
        <f>RAPPORT_FINAL[[#This Row],[INVENTAIRE_THEORIQUE]]*RAPPORT_FINAL[[#This Row],[INVENTAIRE_THEORIQUE.Prix_cout]]</f>
        <v>2200</v>
      </c>
      <c r="Y58" s="85">
        <f>RAPPORT_FINAL[[#This Row],[INVENTAIRE.Prix_vente]]</f>
        <v>500</v>
      </c>
      <c r="Z58" s="85">
        <f>RAPPORT_FINAL[[#This Row],[INVENTAIRE_THEORIQUE]]*RAPPORT_FINAL[[#This Row],[INVENTAIRE_THEORIQUE.Prix_vente]]</f>
        <v>5500</v>
      </c>
      <c r="AA58" s="85">
        <f>RAPPORT_FINAL[[#This Row],[INVENTAIRE.Quantite]]-RAPPORT_FINAL[[#This Row],[INVENTAIRE_THEORIQUE]]</f>
        <v>0</v>
      </c>
      <c r="AB58" s="90">
        <f>IFERROR(RAPPORT_FINAL[[#This Row],[ECART.Total_cout]]/RAPPORT_FINAL[[#This Row],[ECART.Quantite]],0)</f>
        <v>0</v>
      </c>
      <c r="AC58" s="91">
        <f>IFERROR(RAPPORT_FINAL[[#This Row],[ECART.Quantite]]*RAPPORT_FINAL[[#This Row],[INVENTAIRE.Prix_cout]],"")</f>
        <v>0</v>
      </c>
      <c r="AD58" s="83">
        <f>IFERROR(RAPPORT_FINAL[[#This Row],[ECART.Total_vente]]/RAPPORT_FINAL[[#This Row],[ECART.Quantite]],0)</f>
        <v>0</v>
      </c>
      <c r="AE58" s="92">
        <f>IFERROR(RAPPORT_FINAL[[#This Row],[ECART.Quantite]]*RAPPORT_FINAL[[#This Row],[INVENTAIRE.Prix_vente]],"")</f>
        <v>0</v>
      </c>
    </row>
    <row r="59" spans="1:31" hidden="1" x14ac:dyDescent="0.25">
      <c r="A59" s="81" t="s">
        <v>308</v>
      </c>
      <c r="B59" s="3" t="s">
        <v>71</v>
      </c>
      <c r="C59" s="80" t="s">
        <v>284</v>
      </c>
      <c r="D59" s="3" t="s">
        <v>12</v>
      </c>
      <c r="E59" s="31" t="s">
        <v>108</v>
      </c>
      <c r="F59" s="85" cm="1">
        <f t="array" ref="F5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7000</v>
      </c>
      <c r="G59" s="80" cm="1">
        <f t="array" ref="G5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1.3012361743656473</v>
      </c>
      <c r="H59" s="80">
        <f>IF(RAPPORT_FINAL[[#This Row],[INVENTAIRE_PREC.Prix_vente]]="","",RAPPORT_FINAL[[#This Row],[INVENTAIRE_PREC.Quantite]]*RAPPORT_FINAL[[#This Row],[INVENTAIRE_PREC.Prix_cout]])</f>
        <v>9108.6532205595304</v>
      </c>
      <c r="I59" s="83" cm="1">
        <f t="array" ref="I5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1.3012361743656473</v>
      </c>
      <c r="J59" s="88">
        <f>IF(RAPPORT_FINAL[[#This Row],[INVENTAIRE_PREC.Prix_vente]]="","",RAPPORT_FINAL[[#This Row],[INVENTAIRE_PREC.Quantite]]*RAPPORT_FINAL[[#This Row],[INVENTAIRE_PREC.Prix_vente]])</f>
        <v>9108.6532205595304</v>
      </c>
      <c r="K59" s="24"/>
      <c r="L59" s="11"/>
      <c r="M59" s="25"/>
      <c r="N59" s="24">
        <v>678</v>
      </c>
      <c r="O59" s="11">
        <v>0.54999999999999993</v>
      </c>
      <c r="P59" s="25">
        <v>372.90000000000003</v>
      </c>
      <c r="Q59" s="85">
        <v>4445</v>
      </c>
      <c r="R59" s="80" cm="1">
        <f t="array" ref="R5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1.3012361743656471</v>
      </c>
      <c r="S59" s="80">
        <f>RAPPORT_FINAL[[#This Row],[INVENTAIRE.Quantite]]*RAPPORT_FINAL[[#This Row],[INVENTAIRE.Prix_cout]]</f>
        <v>5783.9947950553014</v>
      </c>
      <c r="T59" s="83" cm="1">
        <f t="array" ref="T5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0.55000000000000004</v>
      </c>
      <c r="U59" s="88">
        <f>IF(OR(RAPPORT_FINAL[[#This Row],[INVENTAIRE.Quantite]]="",RAPPORT_FINAL[[#This Row],[INVENTAIRE.Prix_vente]]=""),"",RAPPORT_FINAL[[#This Row],[INVENTAIRE.Quantite]]*RAPPORT_FINAL[[#This Row],[INVENTAIRE.Prix_vente]])</f>
        <v>2444.75</v>
      </c>
      <c r="V5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6322</v>
      </c>
      <c r="W59" s="24">
        <f>RAPPORT_FINAL[[#This Row],[INVENTAIRE.Prix_cout]]</f>
        <v>1.3012361743656471</v>
      </c>
      <c r="X59" s="85">
        <f>RAPPORT_FINAL[[#This Row],[INVENTAIRE_THEORIQUE]]*RAPPORT_FINAL[[#This Row],[INVENTAIRE_THEORIQUE.Prix_cout]]</f>
        <v>8226.4150943396216</v>
      </c>
      <c r="Y59" s="85">
        <f>RAPPORT_FINAL[[#This Row],[INVENTAIRE.Prix_vente]]</f>
        <v>0.55000000000000004</v>
      </c>
      <c r="Z59" s="85">
        <f>RAPPORT_FINAL[[#This Row],[INVENTAIRE_THEORIQUE]]*RAPPORT_FINAL[[#This Row],[INVENTAIRE_THEORIQUE.Prix_vente]]</f>
        <v>3477.1000000000004</v>
      </c>
      <c r="AA59" s="85">
        <f>RAPPORT_FINAL[[#This Row],[INVENTAIRE.Quantite]]-RAPPORT_FINAL[[#This Row],[INVENTAIRE_THEORIQUE]]</f>
        <v>-1877</v>
      </c>
      <c r="AB59" s="90">
        <f>IFERROR(RAPPORT_FINAL[[#This Row],[ECART.Total_cout]]/RAPPORT_FINAL[[#This Row],[ECART.Quantite]],0)</f>
        <v>1.3012361743656471</v>
      </c>
      <c r="AC59" s="91">
        <f>IFERROR(RAPPORT_FINAL[[#This Row],[ECART.Quantite]]*RAPPORT_FINAL[[#This Row],[INVENTAIRE.Prix_cout]],"")</f>
        <v>-2442.4202992843198</v>
      </c>
      <c r="AD59" s="83">
        <f>IFERROR(RAPPORT_FINAL[[#This Row],[ECART.Total_vente]]/RAPPORT_FINAL[[#This Row],[ECART.Quantite]],0)</f>
        <v>0.55000000000000004</v>
      </c>
      <c r="AE59" s="92">
        <f>IFERROR(RAPPORT_FINAL[[#This Row],[ECART.Quantite]]*RAPPORT_FINAL[[#This Row],[INVENTAIRE.Prix_vente]],"")</f>
        <v>-1032.3500000000001</v>
      </c>
    </row>
    <row r="60" spans="1:31" x14ac:dyDescent="0.25">
      <c r="A60" s="81" t="s">
        <v>308</v>
      </c>
      <c r="B60" s="3" t="s">
        <v>71</v>
      </c>
      <c r="C60" s="80" t="s">
        <v>284</v>
      </c>
      <c r="D60" s="3" t="s">
        <v>19</v>
      </c>
      <c r="E60" s="31" t="s">
        <v>108</v>
      </c>
      <c r="F60" s="85" cm="1">
        <f t="array" ref="F6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60" s="80" cm="1">
        <f t="array" ref="G6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60" s="80">
        <f>IF(RAPPORT_FINAL[[#This Row],[INVENTAIRE_PREC.Prix_vente]]="","",RAPPORT_FINAL[[#This Row],[INVENTAIRE_PREC.Quantite]]*RAPPORT_FINAL[[#This Row],[INVENTAIRE_PREC.Prix_cout]])</f>
        <v>0</v>
      </c>
      <c r="I60" s="83" cm="1">
        <f t="array" ref="I6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60" s="88">
        <f>IF(RAPPORT_FINAL[[#This Row],[INVENTAIRE_PREC.Prix_vente]]="","",RAPPORT_FINAL[[#This Row],[INVENTAIRE_PREC.Quantite]]*RAPPORT_FINAL[[#This Row],[INVENTAIRE_PREC.Prix_vente]])</f>
        <v>0</v>
      </c>
      <c r="K60" s="24"/>
      <c r="L60" s="11"/>
      <c r="M60" s="25"/>
      <c r="N60" s="24">
        <v>16.600000000000001</v>
      </c>
      <c r="O60" s="11">
        <v>5</v>
      </c>
      <c r="P60" s="25">
        <v>83</v>
      </c>
      <c r="Q60" s="85">
        <v>0</v>
      </c>
      <c r="R60" s="80" cm="1">
        <f t="array" ref="R6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60" s="80">
        <f>RAPPORT_FINAL[[#This Row],[INVENTAIRE.Quantite]]*RAPPORT_FINAL[[#This Row],[INVENTAIRE.Prix_cout]]</f>
        <v>0</v>
      </c>
      <c r="T60" s="83" cm="1">
        <f t="array" ref="T6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</v>
      </c>
      <c r="U60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6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-16.600000000000001</v>
      </c>
      <c r="W60" s="24">
        <f>RAPPORT_FINAL[[#This Row],[INVENTAIRE.Prix_cout]]</f>
        <v>0</v>
      </c>
      <c r="X60" s="85">
        <f>RAPPORT_FINAL[[#This Row],[INVENTAIRE_THEORIQUE]]*RAPPORT_FINAL[[#This Row],[INVENTAIRE_THEORIQUE.Prix_cout]]</f>
        <v>0</v>
      </c>
      <c r="Y60" s="85">
        <f>RAPPORT_FINAL[[#This Row],[INVENTAIRE.Prix_vente]]</f>
        <v>5</v>
      </c>
      <c r="Z60" s="85">
        <f>RAPPORT_FINAL[[#This Row],[INVENTAIRE_THEORIQUE]]*RAPPORT_FINAL[[#This Row],[INVENTAIRE_THEORIQUE.Prix_vente]]</f>
        <v>-83</v>
      </c>
      <c r="AA60" s="85">
        <f>RAPPORT_FINAL[[#This Row],[INVENTAIRE.Quantite]]-RAPPORT_FINAL[[#This Row],[INVENTAIRE_THEORIQUE]]</f>
        <v>16.600000000000001</v>
      </c>
      <c r="AB60" s="90">
        <f>IFERROR(RAPPORT_FINAL[[#This Row],[ECART.Total_cout]]/RAPPORT_FINAL[[#This Row],[ECART.Quantite]],0)</f>
        <v>0</v>
      </c>
      <c r="AC60" s="91">
        <f>IFERROR(RAPPORT_FINAL[[#This Row],[ECART.Quantite]]*RAPPORT_FINAL[[#This Row],[INVENTAIRE.Prix_cout]],"")</f>
        <v>0</v>
      </c>
      <c r="AD60" s="83">
        <f>IFERROR(RAPPORT_FINAL[[#This Row],[ECART.Total_vente]]/RAPPORT_FINAL[[#This Row],[ECART.Quantite]],0)</f>
        <v>5</v>
      </c>
      <c r="AE60" s="92">
        <f>IFERROR(RAPPORT_FINAL[[#This Row],[ECART.Quantite]]*RAPPORT_FINAL[[#This Row],[INVENTAIRE.Prix_vente]],"")</f>
        <v>83</v>
      </c>
    </row>
    <row r="61" spans="1:31" hidden="1" x14ac:dyDescent="0.25">
      <c r="A61" s="81" t="s">
        <v>308</v>
      </c>
      <c r="B61" s="3" t="s">
        <v>71</v>
      </c>
      <c r="C61" s="80" t="s">
        <v>285</v>
      </c>
      <c r="D61" s="3" t="s">
        <v>15</v>
      </c>
      <c r="E61" s="31" t="s">
        <v>96</v>
      </c>
      <c r="F61" s="85" cm="1">
        <f t="array" ref="F6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</v>
      </c>
      <c r="G61" s="80" cm="1">
        <f t="array" ref="G6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1312.5</v>
      </c>
      <c r="H61" s="80">
        <f>IF(RAPPORT_FINAL[[#This Row],[INVENTAIRE_PREC.Prix_vente]]="","",RAPPORT_FINAL[[#This Row],[INVENTAIRE_PREC.Quantite]]*RAPPORT_FINAL[[#This Row],[INVENTAIRE_PREC.Prix_cout]])</f>
        <v>5250</v>
      </c>
      <c r="I61" s="83" cm="1">
        <f t="array" ref="I6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1312.5</v>
      </c>
      <c r="J61" s="88">
        <f>IF(RAPPORT_FINAL[[#This Row],[INVENTAIRE_PREC.Prix_vente]]="","",RAPPORT_FINAL[[#This Row],[INVENTAIRE_PREC.Quantite]]*RAPPORT_FINAL[[#This Row],[INVENTAIRE_PREC.Prix_vente]])</f>
        <v>5250</v>
      </c>
      <c r="K61" s="24">
        <v>10</v>
      </c>
      <c r="L61" s="11">
        <v>1050</v>
      </c>
      <c r="M61" s="25">
        <v>10500</v>
      </c>
      <c r="N61" s="24">
        <v>2</v>
      </c>
      <c r="O61" s="11">
        <v>1500</v>
      </c>
      <c r="P61" s="25">
        <v>3000</v>
      </c>
      <c r="Q61" s="85">
        <v>14</v>
      </c>
      <c r="R61" s="80" cm="1">
        <f t="array" ref="R6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1125</v>
      </c>
      <c r="S61" s="80">
        <f>RAPPORT_FINAL[[#This Row],[INVENTAIRE.Quantite]]*RAPPORT_FINAL[[#This Row],[INVENTAIRE.Prix_cout]]</f>
        <v>15750</v>
      </c>
      <c r="T61" s="83" cm="1">
        <f t="array" ref="T6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61" s="88">
        <f>IF(OR(RAPPORT_FINAL[[#This Row],[INVENTAIRE.Quantite]]="",RAPPORT_FINAL[[#This Row],[INVENTAIRE.Prix_vente]]=""),"",RAPPORT_FINAL[[#This Row],[INVENTAIRE.Quantite]]*RAPPORT_FINAL[[#This Row],[INVENTAIRE.Prix_vente]])</f>
        <v>42000</v>
      </c>
      <c r="V6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12</v>
      </c>
      <c r="W61" s="24">
        <f>RAPPORT_FINAL[[#This Row],[INVENTAIRE.Prix_cout]]</f>
        <v>1125</v>
      </c>
      <c r="X61" s="85">
        <f>RAPPORT_FINAL[[#This Row],[INVENTAIRE_THEORIQUE]]*RAPPORT_FINAL[[#This Row],[INVENTAIRE_THEORIQUE.Prix_cout]]</f>
        <v>13500</v>
      </c>
      <c r="Y61" s="85">
        <f>RAPPORT_FINAL[[#This Row],[INVENTAIRE.Prix_vente]]</f>
        <v>3000</v>
      </c>
      <c r="Z61" s="85">
        <f>RAPPORT_FINAL[[#This Row],[INVENTAIRE_THEORIQUE]]*RAPPORT_FINAL[[#This Row],[INVENTAIRE_THEORIQUE.Prix_vente]]</f>
        <v>36000</v>
      </c>
      <c r="AA61" s="85">
        <f>RAPPORT_FINAL[[#This Row],[INVENTAIRE.Quantite]]-RAPPORT_FINAL[[#This Row],[INVENTAIRE_THEORIQUE]]</f>
        <v>2</v>
      </c>
      <c r="AB61" s="90">
        <f>IFERROR(RAPPORT_FINAL[[#This Row],[ECART.Total_cout]]/RAPPORT_FINAL[[#This Row],[ECART.Quantite]],0)</f>
        <v>1125</v>
      </c>
      <c r="AC61" s="91">
        <f>IFERROR(RAPPORT_FINAL[[#This Row],[ECART.Quantite]]*RAPPORT_FINAL[[#This Row],[INVENTAIRE.Prix_cout]],"")</f>
        <v>2250</v>
      </c>
      <c r="AD61" s="83">
        <f>IFERROR(RAPPORT_FINAL[[#This Row],[ECART.Total_vente]]/RAPPORT_FINAL[[#This Row],[ECART.Quantite]],0)</f>
        <v>3000</v>
      </c>
      <c r="AE61" s="92">
        <f>IFERROR(RAPPORT_FINAL[[#This Row],[ECART.Quantite]]*RAPPORT_FINAL[[#This Row],[INVENTAIRE.Prix_vente]],"")</f>
        <v>6000</v>
      </c>
    </row>
    <row r="62" spans="1:31" hidden="1" x14ac:dyDescent="0.25">
      <c r="A62" s="81" t="s">
        <v>308</v>
      </c>
      <c r="B62" s="3" t="s">
        <v>71</v>
      </c>
      <c r="C62" s="80" t="s">
        <v>285</v>
      </c>
      <c r="D62" s="3" t="s">
        <v>28</v>
      </c>
      <c r="E62" s="31" t="s">
        <v>96</v>
      </c>
      <c r="F62" s="85" cm="1">
        <f t="array" ref="F6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7</v>
      </c>
      <c r="G62" s="80" cm="1">
        <f t="array" ref="G6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1062.5</v>
      </c>
      <c r="H62" s="80">
        <f>IF(RAPPORT_FINAL[[#This Row],[INVENTAIRE_PREC.Prix_vente]]="","",RAPPORT_FINAL[[#This Row],[INVENTAIRE_PREC.Quantite]]*RAPPORT_FINAL[[#This Row],[INVENTAIRE_PREC.Prix_cout]])</f>
        <v>7437.5</v>
      </c>
      <c r="I62" s="83" cm="1">
        <f t="array" ref="I6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1062.5</v>
      </c>
      <c r="J62" s="88">
        <f>IF(RAPPORT_FINAL[[#This Row],[INVENTAIRE_PREC.Prix_vente]]="","",RAPPORT_FINAL[[#This Row],[INVENTAIRE_PREC.Quantite]]*RAPPORT_FINAL[[#This Row],[INVENTAIRE_PREC.Prix_vente]])</f>
        <v>7437.5</v>
      </c>
      <c r="K62" s="24"/>
      <c r="L62" s="11"/>
      <c r="M62" s="25"/>
      <c r="N62" s="24"/>
      <c r="O62" s="11"/>
      <c r="P62" s="25"/>
      <c r="Q62" s="85">
        <v>7</v>
      </c>
      <c r="R62" s="80" cm="1">
        <f t="array" ref="R6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1062.5</v>
      </c>
      <c r="S62" s="80">
        <f>RAPPORT_FINAL[[#This Row],[INVENTAIRE.Quantite]]*RAPPORT_FINAL[[#This Row],[INVENTAIRE.Prix_cout]]</f>
        <v>7437.5</v>
      </c>
      <c r="T62" s="83" cm="1">
        <f t="array" ref="T6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62" s="88">
        <f>IF(OR(RAPPORT_FINAL[[#This Row],[INVENTAIRE.Quantite]]="",RAPPORT_FINAL[[#This Row],[INVENTAIRE.Prix_vente]]=""),"",RAPPORT_FINAL[[#This Row],[INVENTAIRE.Quantite]]*RAPPORT_FINAL[[#This Row],[INVENTAIRE.Prix_vente]])</f>
        <v>24500</v>
      </c>
      <c r="V6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</v>
      </c>
      <c r="W62" s="24">
        <f>RAPPORT_FINAL[[#This Row],[INVENTAIRE.Prix_cout]]</f>
        <v>1062.5</v>
      </c>
      <c r="X62" s="85">
        <f>RAPPORT_FINAL[[#This Row],[INVENTAIRE_THEORIQUE]]*RAPPORT_FINAL[[#This Row],[INVENTAIRE_THEORIQUE.Prix_cout]]</f>
        <v>7437.5</v>
      </c>
      <c r="Y62" s="85">
        <f>RAPPORT_FINAL[[#This Row],[INVENTAIRE.Prix_vente]]</f>
        <v>3500</v>
      </c>
      <c r="Z62" s="85">
        <f>RAPPORT_FINAL[[#This Row],[INVENTAIRE_THEORIQUE]]*RAPPORT_FINAL[[#This Row],[INVENTAIRE_THEORIQUE.Prix_vente]]</f>
        <v>24500</v>
      </c>
      <c r="AA62" s="85">
        <f>RAPPORT_FINAL[[#This Row],[INVENTAIRE.Quantite]]-RAPPORT_FINAL[[#This Row],[INVENTAIRE_THEORIQUE]]</f>
        <v>0</v>
      </c>
      <c r="AB62" s="90">
        <f>IFERROR(RAPPORT_FINAL[[#This Row],[ECART.Total_cout]]/RAPPORT_FINAL[[#This Row],[ECART.Quantite]],0)</f>
        <v>0</v>
      </c>
      <c r="AC62" s="91">
        <f>IFERROR(RAPPORT_FINAL[[#This Row],[ECART.Quantite]]*RAPPORT_FINAL[[#This Row],[INVENTAIRE.Prix_cout]],"")</f>
        <v>0</v>
      </c>
      <c r="AD62" s="83">
        <f>IFERROR(RAPPORT_FINAL[[#This Row],[ECART.Total_vente]]/RAPPORT_FINAL[[#This Row],[ECART.Quantite]],0)</f>
        <v>0</v>
      </c>
      <c r="AE62" s="92">
        <f>IFERROR(RAPPORT_FINAL[[#This Row],[ECART.Quantite]]*RAPPORT_FINAL[[#This Row],[INVENTAIRE.Prix_vente]],"")</f>
        <v>0</v>
      </c>
    </row>
    <row r="63" spans="1:31" hidden="1" x14ac:dyDescent="0.25">
      <c r="A63" s="81" t="s">
        <v>308</v>
      </c>
      <c r="B63" s="3" t="s">
        <v>71</v>
      </c>
      <c r="C63" s="80" t="s">
        <v>284</v>
      </c>
      <c r="D63" s="3" t="s">
        <v>26</v>
      </c>
      <c r="E63" s="31" t="s">
        <v>108</v>
      </c>
      <c r="F63" s="85" cm="1">
        <f t="array" ref="F6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660</v>
      </c>
      <c r="G63" s="80" cm="1">
        <f t="array" ref="G6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1.2</v>
      </c>
      <c r="H63" s="80">
        <f>IF(RAPPORT_FINAL[[#This Row],[INVENTAIRE_PREC.Prix_vente]]="","",RAPPORT_FINAL[[#This Row],[INVENTAIRE_PREC.Quantite]]*RAPPORT_FINAL[[#This Row],[INVENTAIRE_PREC.Prix_cout]])</f>
        <v>792</v>
      </c>
      <c r="I63" s="83" cm="1">
        <f t="array" ref="I6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1.2</v>
      </c>
      <c r="J63" s="88">
        <f>IF(RAPPORT_FINAL[[#This Row],[INVENTAIRE_PREC.Prix_vente]]="","",RAPPORT_FINAL[[#This Row],[INVENTAIRE_PREC.Quantite]]*RAPPORT_FINAL[[#This Row],[INVENTAIRE_PREC.Prix_vente]])</f>
        <v>792</v>
      </c>
      <c r="K63" s="24">
        <v>2500</v>
      </c>
      <c r="L63" s="11">
        <v>1</v>
      </c>
      <c r="M63" s="25">
        <v>2500</v>
      </c>
      <c r="N63" s="24"/>
      <c r="O63" s="11"/>
      <c r="P63" s="25"/>
      <c r="Q63" s="85">
        <v>3000</v>
      </c>
      <c r="R63" s="80" cm="1">
        <f t="array" ref="R6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1.0417721518987342</v>
      </c>
      <c r="S63" s="80">
        <f>RAPPORT_FINAL[[#This Row],[INVENTAIRE.Quantite]]*RAPPORT_FINAL[[#This Row],[INVENTAIRE.Prix_cout]]</f>
        <v>3125.3164556962024</v>
      </c>
      <c r="T63" s="83" cm="1">
        <f t="array" ref="T6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3.0303030303030303</v>
      </c>
      <c r="U63" s="88">
        <f>IF(OR(RAPPORT_FINAL[[#This Row],[INVENTAIRE.Quantite]]="",RAPPORT_FINAL[[#This Row],[INVENTAIRE.Prix_vente]]=""),"",RAPPORT_FINAL[[#This Row],[INVENTAIRE.Quantite]]*RAPPORT_FINAL[[#This Row],[INVENTAIRE.Prix_vente]])</f>
        <v>9090.9090909090901</v>
      </c>
      <c r="V6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3160</v>
      </c>
      <c r="W63" s="24">
        <f>RAPPORT_FINAL[[#This Row],[INVENTAIRE.Prix_cout]]</f>
        <v>1.0417721518987342</v>
      </c>
      <c r="X63" s="85">
        <f>RAPPORT_FINAL[[#This Row],[INVENTAIRE_THEORIQUE]]*RAPPORT_FINAL[[#This Row],[INVENTAIRE_THEORIQUE.Prix_cout]]</f>
        <v>3292</v>
      </c>
      <c r="Y63" s="85">
        <f>RAPPORT_FINAL[[#This Row],[INVENTAIRE.Prix_vente]]</f>
        <v>3.0303030303030303</v>
      </c>
      <c r="Z63" s="85">
        <f>RAPPORT_FINAL[[#This Row],[INVENTAIRE_THEORIQUE]]*RAPPORT_FINAL[[#This Row],[INVENTAIRE_THEORIQUE.Prix_vente]]</f>
        <v>9575.757575757576</v>
      </c>
      <c r="AA63" s="85">
        <f>RAPPORT_FINAL[[#This Row],[INVENTAIRE.Quantite]]-RAPPORT_FINAL[[#This Row],[INVENTAIRE_THEORIQUE]]</f>
        <v>-160</v>
      </c>
      <c r="AB63" s="90">
        <f>IFERROR(RAPPORT_FINAL[[#This Row],[ECART.Total_cout]]/RAPPORT_FINAL[[#This Row],[ECART.Quantite]],0)</f>
        <v>1.0417721518987342</v>
      </c>
      <c r="AC63" s="91">
        <f>IFERROR(RAPPORT_FINAL[[#This Row],[ECART.Quantite]]*RAPPORT_FINAL[[#This Row],[INVENTAIRE.Prix_cout]],"")</f>
        <v>-166.68354430379748</v>
      </c>
      <c r="AD63" s="83">
        <f>IFERROR(RAPPORT_FINAL[[#This Row],[ECART.Total_vente]]/RAPPORT_FINAL[[#This Row],[ECART.Quantite]],0)</f>
        <v>3.0303030303030303</v>
      </c>
      <c r="AE63" s="92">
        <f>IFERROR(RAPPORT_FINAL[[#This Row],[ECART.Quantite]]*RAPPORT_FINAL[[#This Row],[INVENTAIRE.Prix_vente]],"")</f>
        <v>-484.84848484848487</v>
      </c>
    </row>
    <row r="64" spans="1:31" x14ac:dyDescent="0.25">
      <c r="A64" s="81" t="s">
        <v>308</v>
      </c>
      <c r="B64" s="3" t="s">
        <v>71</v>
      </c>
      <c r="C64" s="80" t="s">
        <v>284</v>
      </c>
      <c r="D64" s="3" t="s">
        <v>11</v>
      </c>
      <c r="E64" s="31" t="s">
        <v>108</v>
      </c>
      <c r="F64" s="85" cm="1">
        <f t="array" ref="F6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64" s="80" cm="1">
        <f t="array" ref="G6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64" s="80">
        <f>IF(RAPPORT_FINAL[[#This Row],[INVENTAIRE_PREC.Prix_vente]]="","",RAPPORT_FINAL[[#This Row],[INVENTAIRE_PREC.Quantite]]*RAPPORT_FINAL[[#This Row],[INVENTAIRE_PREC.Prix_cout]])</f>
        <v>0</v>
      </c>
      <c r="I64" s="83" cm="1">
        <f t="array" ref="I6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64" s="88">
        <f>IF(RAPPORT_FINAL[[#This Row],[INVENTAIRE_PREC.Prix_vente]]="","",RAPPORT_FINAL[[#This Row],[INVENTAIRE_PREC.Quantite]]*RAPPORT_FINAL[[#This Row],[INVENTAIRE_PREC.Prix_vente]])</f>
        <v>0</v>
      </c>
      <c r="K64" s="24"/>
      <c r="L64" s="11"/>
      <c r="M64" s="25"/>
      <c r="N64" s="24">
        <v>3.3</v>
      </c>
      <c r="O64" s="11">
        <v>1</v>
      </c>
      <c r="P64" s="25">
        <v>3.3</v>
      </c>
      <c r="Q64" s="85">
        <v>0</v>
      </c>
      <c r="R64" s="80" cm="1">
        <f t="array" ref="R6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64" s="80">
        <f>RAPPORT_FINAL[[#This Row],[INVENTAIRE.Quantite]]*RAPPORT_FINAL[[#This Row],[INVENTAIRE.Prix_cout]]</f>
        <v>0</v>
      </c>
      <c r="T64" s="83" cm="1">
        <f t="array" ref="T6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</v>
      </c>
      <c r="U64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6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-3.3</v>
      </c>
      <c r="W64" s="24">
        <f>RAPPORT_FINAL[[#This Row],[INVENTAIRE.Prix_cout]]</f>
        <v>0</v>
      </c>
      <c r="X64" s="85">
        <f>RAPPORT_FINAL[[#This Row],[INVENTAIRE_THEORIQUE]]*RAPPORT_FINAL[[#This Row],[INVENTAIRE_THEORIQUE.Prix_cout]]</f>
        <v>0</v>
      </c>
      <c r="Y64" s="85">
        <f>RAPPORT_FINAL[[#This Row],[INVENTAIRE.Prix_vente]]</f>
        <v>1</v>
      </c>
      <c r="Z64" s="85">
        <f>RAPPORT_FINAL[[#This Row],[INVENTAIRE_THEORIQUE]]*RAPPORT_FINAL[[#This Row],[INVENTAIRE_THEORIQUE.Prix_vente]]</f>
        <v>-3.3</v>
      </c>
      <c r="AA64" s="85">
        <f>RAPPORT_FINAL[[#This Row],[INVENTAIRE.Quantite]]-RAPPORT_FINAL[[#This Row],[INVENTAIRE_THEORIQUE]]</f>
        <v>3.3</v>
      </c>
      <c r="AB64" s="90">
        <f>IFERROR(RAPPORT_FINAL[[#This Row],[ECART.Total_cout]]/RAPPORT_FINAL[[#This Row],[ECART.Quantite]],0)</f>
        <v>0</v>
      </c>
      <c r="AC64" s="91">
        <f>IFERROR(RAPPORT_FINAL[[#This Row],[ECART.Quantite]]*RAPPORT_FINAL[[#This Row],[INVENTAIRE.Prix_cout]],"")</f>
        <v>0</v>
      </c>
      <c r="AD64" s="83">
        <f>IFERROR(RAPPORT_FINAL[[#This Row],[ECART.Total_vente]]/RAPPORT_FINAL[[#This Row],[ECART.Quantite]],0)</f>
        <v>1</v>
      </c>
      <c r="AE64" s="92">
        <f>IFERROR(RAPPORT_FINAL[[#This Row],[ECART.Quantite]]*RAPPORT_FINAL[[#This Row],[INVENTAIRE.Prix_vente]],"")</f>
        <v>3.3</v>
      </c>
    </row>
    <row r="65" spans="1:31" hidden="1" x14ac:dyDescent="0.25">
      <c r="A65" s="81" t="s">
        <v>308</v>
      </c>
      <c r="B65" s="3" t="s">
        <v>71</v>
      </c>
      <c r="C65" s="80" t="s">
        <v>284</v>
      </c>
      <c r="D65" s="3" t="s">
        <v>25</v>
      </c>
      <c r="E65" s="31" t="s">
        <v>108</v>
      </c>
      <c r="F65" s="85" cm="1">
        <f t="array" ref="F6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2200</v>
      </c>
      <c r="G65" s="80" cm="1">
        <f t="array" ref="G6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2.5898832684824904</v>
      </c>
      <c r="H65" s="80">
        <f>IF(RAPPORT_FINAL[[#This Row],[INVENTAIRE_PREC.Prix_vente]]="","",RAPPORT_FINAL[[#This Row],[INVENTAIRE_PREC.Quantite]]*RAPPORT_FINAL[[#This Row],[INVENTAIRE_PREC.Prix_cout]])</f>
        <v>5697.7431906614793</v>
      </c>
      <c r="I65" s="83" cm="1">
        <f t="array" ref="I6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2.5898832684824904</v>
      </c>
      <c r="J65" s="88">
        <f>IF(RAPPORT_FINAL[[#This Row],[INVENTAIRE_PREC.Prix_vente]]="","",RAPPORT_FINAL[[#This Row],[INVENTAIRE_PREC.Quantite]]*RAPPORT_FINAL[[#This Row],[INVENTAIRE_PREC.Prix_vente]])</f>
        <v>5697.7431906614793</v>
      </c>
      <c r="K65" s="24"/>
      <c r="L65" s="11"/>
      <c r="M65" s="25"/>
      <c r="N65" s="24">
        <v>4000</v>
      </c>
      <c r="O65" s="11">
        <v>1.125</v>
      </c>
      <c r="P65" s="25">
        <v>4500</v>
      </c>
      <c r="Q65" s="85">
        <v>4800</v>
      </c>
      <c r="R65" s="80" cm="1">
        <f t="array" ref="R6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2.5898832684824904</v>
      </c>
      <c r="S65" s="80">
        <f>RAPPORT_FINAL[[#This Row],[INVENTAIRE.Quantite]]*RAPPORT_FINAL[[#This Row],[INVENTAIRE.Prix_cout]]</f>
        <v>12431.439688715955</v>
      </c>
      <c r="T65" s="83" cm="1">
        <f t="array" ref="T6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2.5</v>
      </c>
      <c r="U65" s="88">
        <f>IF(OR(RAPPORT_FINAL[[#This Row],[INVENTAIRE.Quantite]]="",RAPPORT_FINAL[[#This Row],[INVENTAIRE.Prix_vente]]=""),"",RAPPORT_FINAL[[#This Row],[INVENTAIRE.Quantite]]*RAPPORT_FINAL[[#This Row],[INVENTAIRE.Prix_vente]])</f>
        <v>12000</v>
      </c>
      <c r="V6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-1800</v>
      </c>
      <c r="W65" s="24">
        <f>RAPPORT_FINAL[[#This Row],[INVENTAIRE.Prix_cout]]</f>
        <v>2.5898832684824904</v>
      </c>
      <c r="X65" s="85">
        <f>RAPPORT_FINAL[[#This Row],[INVENTAIRE_THEORIQUE]]*RAPPORT_FINAL[[#This Row],[INVENTAIRE_THEORIQUE.Prix_cout]]</f>
        <v>-4661.7898832684823</v>
      </c>
      <c r="Y65" s="85">
        <f>RAPPORT_FINAL[[#This Row],[INVENTAIRE.Prix_vente]]</f>
        <v>2.5</v>
      </c>
      <c r="Z65" s="85">
        <f>RAPPORT_FINAL[[#This Row],[INVENTAIRE_THEORIQUE]]*RAPPORT_FINAL[[#This Row],[INVENTAIRE_THEORIQUE.Prix_vente]]</f>
        <v>-4500</v>
      </c>
      <c r="AA65" s="85">
        <f>RAPPORT_FINAL[[#This Row],[INVENTAIRE.Quantite]]-RAPPORT_FINAL[[#This Row],[INVENTAIRE_THEORIQUE]]</f>
        <v>6600</v>
      </c>
      <c r="AB65" s="90">
        <f>IFERROR(RAPPORT_FINAL[[#This Row],[ECART.Total_cout]]/RAPPORT_FINAL[[#This Row],[ECART.Quantite]],0)</f>
        <v>2.5898832684824904</v>
      </c>
      <c r="AC65" s="91">
        <f>IFERROR(RAPPORT_FINAL[[#This Row],[ECART.Quantite]]*RAPPORT_FINAL[[#This Row],[INVENTAIRE.Prix_cout]],"")</f>
        <v>17093.229571984437</v>
      </c>
      <c r="AD65" s="83">
        <f>IFERROR(RAPPORT_FINAL[[#This Row],[ECART.Total_vente]]/RAPPORT_FINAL[[#This Row],[ECART.Quantite]],0)</f>
        <v>2.5</v>
      </c>
      <c r="AE65" s="92">
        <f>IFERROR(RAPPORT_FINAL[[#This Row],[ECART.Quantite]]*RAPPORT_FINAL[[#This Row],[INVENTAIRE.Prix_vente]],"")</f>
        <v>16500</v>
      </c>
    </row>
    <row r="66" spans="1:31" x14ac:dyDescent="0.25">
      <c r="A66" s="81" t="s">
        <v>308</v>
      </c>
      <c r="B66" s="3" t="s">
        <v>71</v>
      </c>
      <c r="C66" s="80" t="s">
        <v>284</v>
      </c>
      <c r="D66" s="3" t="s">
        <v>123</v>
      </c>
      <c r="E66" s="31" t="s">
        <v>99</v>
      </c>
      <c r="F66" s="85" cm="1">
        <f t="array" ref="F6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66" s="80" cm="1">
        <f t="array" ref="G6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66" s="80">
        <f>IF(RAPPORT_FINAL[[#This Row],[INVENTAIRE_PREC.Prix_vente]]="","",RAPPORT_FINAL[[#This Row],[INVENTAIRE_PREC.Quantite]]*RAPPORT_FINAL[[#This Row],[INVENTAIRE_PREC.Prix_cout]])</f>
        <v>0</v>
      </c>
      <c r="I66" s="83" cm="1">
        <f t="array" ref="I6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66" s="88">
        <f>IF(RAPPORT_FINAL[[#This Row],[INVENTAIRE_PREC.Prix_vente]]="","",RAPPORT_FINAL[[#This Row],[INVENTAIRE_PREC.Quantite]]*RAPPORT_FINAL[[#This Row],[INVENTAIRE_PREC.Prix_vente]])</f>
        <v>0</v>
      </c>
      <c r="K66" s="24"/>
      <c r="L66" s="11"/>
      <c r="M66" s="25"/>
      <c r="N66" s="24"/>
      <c r="O66" s="11"/>
      <c r="P66" s="25"/>
      <c r="Q66" s="85">
        <v>0</v>
      </c>
      <c r="R66" s="80" cm="1">
        <f t="array" ref="R6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66" s="80">
        <f>RAPPORT_FINAL[[#This Row],[INVENTAIRE.Quantite]]*RAPPORT_FINAL[[#This Row],[INVENTAIRE.Prix_cout]]</f>
        <v>0</v>
      </c>
      <c r="T66" s="83" cm="1">
        <f t="array" ref="T6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2.8</v>
      </c>
      <c r="U66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6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66" s="24">
        <f>RAPPORT_FINAL[[#This Row],[INVENTAIRE.Prix_cout]]</f>
        <v>0</v>
      </c>
      <c r="X66" s="85">
        <f>RAPPORT_FINAL[[#This Row],[INVENTAIRE_THEORIQUE]]*RAPPORT_FINAL[[#This Row],[INVENTAIRE_THEORIQUE.Prix_cout]]</f>
        <v>0</v>
      </c>
      <c r="Y66" s="85">
        <f>RAPPORT_FINAL[[#This Row],[INVENTAIRE.Prix_vente]]</f>
        <v>2.8</v>
      </c>
      <c r="Z66" s="85">
        <f>RAPPORT_FINAL[[#This Row],[INVENTAIRE_THEORIQUE]]*RAPPORT_FINAL[[#This Row],[INVENTAIRE_THEORIQUE.Prix_vente]]</f>
        <v>0</v>
      </c>
      <c r="AA66" s="85">
        <f>RAPPORT_FINAL[[#This Row],[INVENTAIRE.Quantite]]-RAPPORT_FINAL[[#This Row],[INVENTAIRE_THEORIQUE]]</f>
        <v>0</v>
      </c>
      <c r="AB66" s="90">
        <f>IFERROR(RAPPORT_FINAL[[#This Row],[ECART.Total_cout]]/RAPPORT_FINAL[[#This Row],[ECART.Quantite]],0)</f>
        <v>0</v>
      </c>
      <c r="AC66" s="91">
        <f>IFERROR(RAPPORT_FINAL[[#This Row],[ECART.Quantite]]*RAPPORT_FINAL[[#This Row],[INVENTAIRE.Prix_cout]],"")</f>
        <v>0</v>
      </c>
      <c r="AD66" s="83">
        <f>IFERROR(RAPPORT_FINAL[[#This Row],[ECART.Total_vente]]/RAPPORT_FINAL[[#This Row],[ECART.Quantite]],0)</f>
        <v>0</v>
      </c>
      <c r="AE66" s="92">
        <f>IFERROR(RAPPORT_FINAL[[#This Row],[ECART.Quantite]]*RAPPORT_FINAL[[#This Row],[INVENTAIRE.Prix_vente]],"")</f>
        <v>0</v>
      </c>
    </row>
    <row r="67" spans="1:31" x14ac:dyDescent="0.25">
      <c r="A67" s="81" t="s">
        <v>308</v>
      </c>
      <c r="B67" s="3" t="s">
        <v>71</v>
      </c>
      <c r="C67" s="80" t="s">
        <v>284</v>
      </c>
      <c r="D67" s="3" t="s">
        <v>124</v>
      </c>
      <c r="E67" s="31" t="s">
        <v>99</v>
      </c>
      <c r="F67" s="85" cm="1">
        <f t="array" ref="F6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67" s="80" cm="1">
        <f t="array" ref="G6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67" s="80">
        <f>IF(RAPPORT_FINAL[[#This Row],[INVENTAIRE_PREC.Prix_vente]]="","",RAPPORT_FINAL[[#This Row],[INVENTAIRE_PREC.Quantite]]*RAPPORT_FINAL[[#This Row],[INVENTAIRE_PREC.Prix_cout]])</f>
        <v>0</v>
      </c>
      <c r="I67" s="83" cm="1">
        <f t="array" ref="I6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67" s="88">
        <f>IF(RAPPORT_FINAL[[#This Row],[INVENTAIRE_PREC.Prix_vente]]="","",RAPPORT_FINAL[[#This Row],[INVENTAIRE_PREC.Quantite]]*RAPPORT_FINAL[[#This Row],[INVENTAIRE_PREC.Prix_vente]])</f>
        <v>0</v>
      </c>
      <c r="K67" s="24"/>
      <c r="L67" s="11"/>
      <c r="M67" s="25"/>
      <c r="N67" s="24"/>
      <c r="O67" s="11"/>
      <c r="P67" s="25"/>
      <c r="Q67" s="85">
        <v>0</v>
      </c>
      <c r="R67" s="80" cm="1">
        <f t="array" ref="R6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67" s="80">
        <f>RAPPORT_FINAL[[#This Row],[INVENTAIRE.Quantite]]*RAPPORT_FINAL[[#This Row],[INVENTAIRE.Prix_cout]]</f>
        <v>0</v>
      </c>
      <c r="T67" s="83" cm="1">
        <f t="array" ref="T6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3.75</v>
      </c>
      <c r="U67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6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67" s="24">
        <f>RAPPORT_FINAL[[#This Row],[INVENTAIRE.Prix_cout]]</f>
        <v>0</v>
      </c>
      <c r="X67" s="85">
        <f>RAPPORT_FINAL[[#This Row],[INVENTAIRE_THEORIQUE]]*RAPPORT_FINAL[[#This Row],[INVENTAIRE_THEORIQUE.Prix_cout]]</f>
        <v>0</v>
      </c>
      <c r="Y67" s="85">
        <f>RAPPORT_FINAL[[#This Row],[INVENTAIRE.Prix_vente]]</f>
        <v>3.75</v>
      </c>
      <c r="Z67" s="85">
        <f>RAPPORT_FINAL[[#This Row],[INVENTAIRE_THEORIQUE]]*RAPPORT_FINAL[[#This Row],[INVENTAIRE_THEORIQUE.Prix_vente]]</f>
        <v>0</v>
      </c>
      <c r="AA67" s="85">
        <f>RAPPORT_FINAL[[#This Row],[INVENTAIRE.Quantite]]-RAPPORT_FINAL[[#This Row],[INVENTAIRE_THEORIQUE]]</f>
        <v>0</v>
      </c>
      <c r="AB67" s="90">
        <f>IFERROR(RAPPORT_FINAL[[#This Row],[ECART.Total_cout]]/RAPPORT_FINAL[[#This Row],[ECART.Quantite]],0)</f>
        <v>0</v>
      </c>
      <c r="AC67" s="91">
        <f>IFERROR(RAPPORT_FINAL[[#This Row],[ECART.Quantite]]*RAPPORT_FINAL[[#This Row],[INVENTAIRE.Prix_cout]],"")</f>
        <v>0</v>
      </c>
      <c r="AD67" s="83">
        <f>IFERROR(RAPPORT_FINAL[[#This Row],[ECART.Total_vente]]/RAPPORT_FINAL[[#This Row],[ECART.Quantite]],0)</f>
        <v>0</v>
      </c>
      <c r="AE67" s="92">
        <f>IFERROR(RAPPORT_FINAL[[#This Row],[ECART.Quantite]]*RAPPORT_FINAL[[#This Row],[INVENTAIRE.Prix_vente]],"")</f>
        <v>0</v>
      </c>
    </row>
    <row r="68" spans="1:31" hidden="1" x14ac:dyDescent="0.25">
      <c r="A68" s="81" t="s">
        <v>308</v>
      </c>
      <c r="B68" s="3" t="s">
        <v>71</v>
      </c>
      <c r="C68" s="80" t="s">
        <v>284</v>
      </c>
      <c r="D68" s="3" t="s">
        <v>135</v>
      </c>
      <c r="E68" s="31" t="s">
        <v>145</v>
      </c>
      <c r="F68" s="85" cm="1">
        <f t="array" ref="F6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88</v>
      </c>
      <c r="G68" s="80" cm="1">
        <f t="array" ref="G6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83.33622641509433</v>
      </c>
      <c r="H68" s="80">
        <f>IF(RAPPORT_FINAL[[#This Row],[INVENTAIRE_PREC.Prix_vente]]="","",RAPPORT_FINAL[[#This Row],[INVENTAIRE_PREC.Quantite]]*RAPPORT_FINAL[[#This Row],[INVENTAIRE_PREC.Prix_cout]])</f>
        <v>7333.5879245283013</v>
      </c>
      <c r="I68" s="83" cm="1">
        <f t="array" ref="I6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83.33622641509433</v>
      </c>
      <c r="J68" s="88">
        <f>IF(RAPPORT_FINAL[[#This Row],[INVENTAIRE_PREC.Prix_vente]]="","",RAPPORT_FINAL[[#This Row],[INVENTAIRE_PREC.Quantite]]*RAPPORT_FINAL[[#This Row],[INVENTAIRE_PREC.Prix_vente]])</f>
        <v>7333.5879245283013</v>
      </c>
      <c r="K68" s="24"/>
      <c r="L68" s="11"/>
      <c r="M68" s="25"/>
      <c r="N68" s="24">
        <v>28</v>
      </c>
      <c r="O68" s="11">
        <v>946.42857142857144</v>
      </c>
      <c r="P68" s="25">
        <v>26500</v>
      </c>
      <c r="Q68" s="85">
        <v>41</v>
      </c>
      <c r="R68" s="80" cm="1">
        <f t="array" ref="R6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83.33622641509433</v>
      </c>
      <c r="S68" s="80">
        <f>RAPPORT_FINAL[[#This Row],[INVENTAIRE.Quantite]]*RAPPORT_FINAL[[#This Row],[INVENTAIRE.Prix_cout]]</f>
        <v>3416.7852830188676</v>
      </c>
      <c r="T68" s="83" cm="1">
        <f t="array" ref="T6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68" s="88">
        <f>IF(OR(RAPPORT_FINAL[[#This Row],[INVENTAIRE.Quantite]]="",RAPPORT_FINAL[[#This Row],[INVENTAIRE.Prix_vente]]=""),"",RAPPORT_FINAL[[#This Row],[INVENTAIRE.Quantite]]*RAPPORT_FINAL[[#This Row],[INVENTAIRE.Prix_vente]])</f>
        <v>20500</v>
      </c>
      <c r="V6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60</v>
      </c>
      <c r="W68" s="24">
        <f>RAPPORT_FINAL[[#This Row],[INVENTAIRE.Prix_cout]]</f>
        <v>83.33622641509433</v>
      </c>
      <c r="X68" s="85">
        <f>RAPPORT_FINAL[[#This Row],[INVENTAIRE_THEORIQUE]]*RAPPORT_FINAL[[#This Row],[INVENTAIRE_THEORIQUE.Prix_cout]]</f>
        <v>5000.1735849056595</v>
      </c>
      <c r="Y68" s="85">
        <f>RAPPORT_FINAL[[#This Row],[INVENTAIRE.Prix_vente]]</f>
        <v>500</v>
      </c>
      <c r="Z68" s="85">
        <f>RAPPORT_FINAL[[#This Row],[INVENTAIRE_THEORIQUE]]*RAPPORT_FINAL[[#This Row],[INVENTAIRE_THEORIQUE.Prix_vente]]</f>
        <v>30000</v>
      </c>
      <c r="AA68" s="85">
        <f>RAPPORT_FINAL[[#This Row],[INVENTAIRE.Quantite]]-RAPPORT_FINAL[[#This Row],[INVENTAIRE_THEORIQUE]]</f>
        <v>-19</v>
      </c>
      <c r="AB68" s="90">
        <f>IFERROR(RAPPORT_FINAL[[#This Row],[ECART.Total_cout]]/RAPPORT_FINAL[[#This Row],[ECART.Quantite]],0)</f>
        <v>83.33622641509433</v>
      </c>
      <c r="AC68" s="91">
        <f>IFERROR(RAPPORT_FINAL[[#This Row],[ECART.Quantite]]*RAPPORT_FINAL[[#This Row],[INVENTAIRE.Prix_cout]],"")</f>
        <v>-1583.3883018867923</v>
      </c>
      <c r="AD68" s="83">
        <f>IFERROR(RAPPORT_FINAL[[#This Row],[ECART.Total_vente]]/RAPPORT_FINAL[[#This Row],[ECART.Quantite]],0)</f>
        <v>500</v>
      </c>
      <c r="AE68" s="92">
        <f>IFERROR(RAPPORT_FINAL[[#This Row],[ECART.Quantite]]*RAPPORT_FINAL[[#This Row],[INVENTAIRE.Prix_vente]],"")</f>
        <v>-9500</v>
      </c>
    </row>
    <row r="69" spans="1:31" hidden="1" x14ac:dyDescent="0.25">
      <c r="A69" s="81" t="s">
        <v>308</v>
      </c>
      <c r="B69" s="3" t="s">
        <v>71</v>
      </c>
      <c r="C69" s="80" t="s">
        <v>284</v>
      </c>
      <c r="D69" s="3" t="s">
        <v>135</v>
      </c>
      <c r="E69" s="31" t="s">
        <v>145</v>
      </c>
      <c r="F69" s="85" cm="1">
        <f t="array" ref="F6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88</v>
      </c>
      <c r="G69" s="80" cm="1">
        <f t="array" ref="G6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83.33622641509433</v>
      </c>
      <c r="H69" s="80">
        <f>IF(RAPPORT_FINAL[[#This Row],[INVENTAIRE_PREC.Prix_vente]]="","",RAPPORT_FINAL[[#This Row],[INVENTAIRE_PREC.Quantite]]*RAPPORT_FINAL[[#This Row],[INVENTAIRE_PREC.Prix_cout]])</f>
        <v>7333.5879245283013</v>
      </c>
      <c r="I69" s="83" cm="1">
        <f t="array" ref="I6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83.33622641509433</v>
      </c>
      <c r="J69" s="88">
        <f>IF(RAPPORT_FINAL[[#This Row],[INVENTAIRE_PREC.Prix_vente]]="","",RAPPORT_FINAL[[#This Row],[INVENTAIRE_PREC.Quantite]]*RAPPORT_FINAL[[#This Row],[INVENTAIRE_PREC.Prix_vente]])</f>
        <v>7333.5879245283013</v>
      </c>
      <c r="K69" s="24"/>
      <c r="L69" s="11"/>
      <c r="M69" s="25"/>
      <c r="N69" s="24">
        <v>14</v>
      </c>
      <c r="O69" s="11">
        <v>1892.8571428571429</v>
      </c>
      <c r="P69" s="25">
        <v>26500</v>
      </c>
      <c r="Q69" s="85">
        <v>41</v>
      </c>
      <c r="R69" s="80" cm="1">
        <f t="array" ref="R6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83.33622641509433</v>
      </c>
      <c r="S69" s="80">
        <f>RAPPORT_FINAL[[#This Row],[INVENTAIRE.Quantite]]*RAPPORT_FINAL[[#This Row],[INVENTAIRE.Prix_cout]]</f>
        <v>3416.7852830188676</v>
      </c>
      <c r="T69" s="83" cm="1">
        <f t="array" ref="T6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69" s="88">
        <f>IF(OR(RAPPORT_FINAL[[#This Row],[INVENTAIRE.Quantite]]="",RAPPORT_FINAL[[#This Row],[INVENTAIRE.Prix_vente]]=""),"",RAPPORT_FINAL[[#This Row],[INVENTAIRE.Quantite]]*RAPPORT_FINAL[[#This Row],[INVENTAIRE.Prix_vente]])</f>
        <v>20500</v>
      </c>
      <c r="V6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74</v>
      </c>
      <c r="W69" s="24">
        <f>RAPPORT_FINAL[[#This Row],[INVENTAIRE.Prix_cout]]</f>
        <v>83.33622641509433</v>
      </c>
      <c r="X69" s="85">
        <f>RAPPORT_FINAL[[#This Row],[INVENTAIRE_THEORIQUE]]*RAPPORT_FINAL[[#This Row],[INVENTAIRE_THEORIQUE.Prix_cout]]</f>
        <v>6166.8807547169808</v>
      </c>
      <c r="Y69" s="85">
        <f>RAPPORT_FINAL[[#This Row],[INVENTAIRE.Prix_vente]]</f>
        <v>500</v>
      </c>
      <c r="Z69" s="85">
        <f>RAPPORT_FINAL[[#This Row],[INVENTAIRE_THEORIQUE]]*RAPPORT_FINAL[[#This Row],[INVENTAIRE_THEORIQUE.Prix_vente]]</f>
        <v>37000</v>
      </c>
      <c r="AA69" s="85">
        <f>RAPPORT_FINAL[[#This Row],[INVENTAIRE.Quantite]]-RAPPORT_FINAL[[#This Row],[INVENTAIRE_THEORIQUE]]</f>
        <v>-33</v>
      </c>
      <c r="AB69" s="90">
        <f>IFERROR(RAPPORT_FINAL[[#This Row],[ECART.Total_cout]]/RAPPORT_FINAL[[#This Row],[ECART.Quantite]],0)</f>
        <v>83.33622641509433</v>
      </c>
      <c r="AC69" s="91">
        <f>IFERROR(RAPPORT_FINAL[[#This Row],[ECART.Quantite]]*RAPPORT_FINAL[[#This Row],[INVENTAIRE.Prix_cout]],"")</f>
        <v>-2750.0954716981128</v>
      </c>
      <c r="AD69" s="83">
        <f>IFERROR(RAPPORT_FINAL[[#This Row],[ECART.Total_vente]]/RAPPORT_FINAL[[#This Row],[ECART.Quantite]],0)</f>
        <v>500</v>
      </c>
      <c r="AE69" s="92">
        <f>IFERROR(RAPPORT_FINAL[[#This Row],[ECART.Quantite]]*RAPPORT_FINAL[[#This Row],[INVENTAIRE.Prix_vente]],"")</f>
        <v>-16500</v>
      </c>
    </row>
    <row r="70" spans="1:31" hidden="1" x14ac:dyDescent="0.25">
      <c r="A70" s="81" t="s">
        <v>308</v>
      </c>
      <c r="B70" s="3" t="s">
        <v>71</v>
      </c>
      <c r="C70" s="80" t="s">
        <v>285</v>
      </c>
      <c r="D70" s="3" t="s">
        <v>29</v>
      </c>
      <c r="E70" s="31" t="s">
        <v>168</v>
      </c>
      <c r="F70" s="85" cm="1">
        <f t="array" ref="F7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7</v>
      </c>
      <c r="G70" s="80" cm="1">
        <f t="array" ref="G7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1245.1923076923076</v>
      </c>
      <c r="H70" s="80">
        <f>IF(RAPPORT_FINAL[[#This Row],[INVENTAIRE_PREC.Prix_vente]]="","",RAPPORT_FINAL[[#This Row],[INVENTAIRE_PREC.Quantite]]*RAPPORT_FINAL[[#This Row],[INVENTAIRE_PREC.Prix_cout]])</f>
        <v>8716.3461538461524</v>
      </c>
      <c r="I70" s="83" cm="1">
        <f t="array" ref="I7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1245.1923076923076</v>
      </c>
      <c r="J70" s="88">
        <f>IF(RAPPORT_FINAL[[#This Row],[INVENTAIRE_PREC.Prix_vente]]="","",RAPPORT_FINAL[[#This Row],[INVENTAIRE_PREC.Quantite]]*RAPPORT_FINAL[[#This Row],[INVENTAIRE_PREC.Prix_vente]])</f>
        <v>8716.3461538461524</v>
      </c>
      <c r="K70" s="24">
        <v>16</v>
      </c>
      <c r="L70" s="11">
        <v>843.75</v>
      </c>
      <c r="M70" s="25">
        <v>13500</v>
      </c>
      <c r="N70" s="24">
        <v>8</v>
      </c>
      <c r="O70" s="11">
        <v>3500</v>
      </c>
      <c r="P70" s="25">
        <v>28000</v>
      </c>
      <c r="Q70" s="85">
        <v>15</v>
      </c>
      <c r="R70" s="80" cm="1">
        <f t="array" ref="R7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965.92809364548486</v>
      </c>
      <c r="S70" s="80">
        <f>RAPPORT_FINAL[[#This Row],[INVENTAIRE.Quantite]]*RAPPORT_FINAL[[#This Row],[INVENTAIRE.Prix_cout]]</f>
        <v>14488.921404682273</v>
      </c>
      <c r="T70" s="83" cm="1">
        <f t="array" ref="T7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70" s="88">
        <f>IF(OR(RAPPORT_FINAL[[#This Row],[INVENTAIRE.Quantite]]="",RAPPORT_FINAL[[#This Row],[INVENTAIRE.Prix_vente]]=""),"",RAPPORT_FINAL[[#This Row],[INVENTAIRE.Quantite]]*RAPPORT_FINAL[[#This Row],[INVENTAIRE.Prix_vente]])</f>
        <v>52500</v>
      </c>
      <c r="V7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15</v>
      </c>
      <c r="W70" s="24">
        <f>RAPPORT_FINAL[[#This Row],[INVENTAIRE.Prix_cout]]</f>
        <v>965.92809364548486</v>
      </c>
      <c r="X70" s="85">
        <f>RAPPORT_FINAL[[#This Row],[INVENTAIRE_THEORIQUE]]*RAPPORT_FINAL[[#This Row],[INVENTAIRE_THEORIQUE.Prix_cout]]</f>
        <v>14488.921404682273</v>
      </c>
      <c r="Y70" s="85">
        <f>RAPPORT_FINAL[[#This Row],[INVENTAIRE.Prix_vente]]</f>
        <v>3500</v>
      </c>
      <c r="Z70" s="85">
        <f>RAPPORT_FINAL[[#This Row],[INVENTAIRE_THEORIQUE]]*RAPPORT_FINAL[[#This Row],[INVENTAIRE_THEORIQUE.Prix_vente]]</f>
        <v>52500</v>
      </c>
      <c r="AA70" s="85">
        <f>RAPPORT_FINAL[[#This Row],[INVENTAIRE.Quantite]]-RAPPORT_FINAL[[#This Row],[INVENTAIRE_THEORIQUE]]</f>
        <v>0</v>
      </c>
      <c r="AB70" s="90">
        <f>IFERROR(RAPPORT_FINAL[[#This Row],[ECART.Total_cout]]/RAPPORT_FINAL[[#This Row],[ECART.Quantite]],0)</f>
        <v>0</v>
      </c>
      <c r="AC70" s="91">
        <f>IFERROR(RAPPORT_FINAL[[#This Row],[ECART.Quantite]]*RAPPORT_FINAL[[#This Row],[INVENTAIRE.Prix_cout]],"")</f>
        <v>0</v>
      </c>
      <c r="AD70" s="83">
        <f>IFERROR(RAPPORT_FINAL[[#This Row],[ECART.Total_vente]]/RAPPORT_FINAL[[#This Row],[ECART.Quantite]],0)</f>
        <v>0</v>
      </c>
      <c r="AE70" s="92">
        <f>IFERROR(RAPPORT_FINAL[[#This Row],[ECART.Quantite]]*RAPPORT_FINAL[[#This Row],[INVENTAIRE.Prix_vente]],"")</f>
        <v>0</v>
      </c>
    </row>
    <row r="71" spans="1:31" hidden="1" x14ac:dyDescent="0.25">
      <c r="A71" s="81" t="s">
        <v>308</v>
      </c>
      <c r="B71" s="3" t="s">
        <v>71</v>
      </c>
      <c r="C71" s="80" t="s">
        <v>285</v>
      </c>
      <c r="D71" s="3" t="s">
        <v>29</v>
      </c>
      <c r="E71" s="31" t="s">
        <v>168</v>
      </c>
      <c r="F71" s="85" cm="1">
        <f t="array" ref="F7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7</v>
      </c>
      <c r="G71" s="80" cm="1">
        <f t="array" ref="G7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1245.1923076923076</v>
      </c>
      <c r="H71" s="80">
        <f>IF(RAPPORT_FINAL[[#This Row],[INVENTAIRE_PREC.Prix_vente]]="","",RAPPORT_FINAL[[#This Row],[INVENTAIRE_PREC.Quantite]]*RAPPORT_FINAL[[#This Row],[INVENTAIRE_PREC.Prix_cout]])</f>
        <v>8716.3461538461524</v>
      </c>
      <c r="I71" s="83" cm="1">
        <f t="array" ref="I7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1245.1923076923076</v>
      </c>
      <c r="J71" s="88">
        <f>IF(RAPPORT_FINAL[[#This Row],[INVENTAIRE_PREC.Prix_vente]]="","",RAPPORT_FINAL[[#This Row],[INVENTAIRE_PREC.Quantite]]*RAPPORT_FINAL[[#This Row],[INVENTAIRE_PREC.Prix_vente]])</f>
        <v>8716.3461538461524</v>
      </c>
      <c r="K71" s="24">
        <v>16</v>
      </c>
      <c r="L71" s="11">
        <v>843.75</v>
      </c>
      <c r="M71" s="25">
        <v>13500</v>
      </c>
      <c r="N71" s="24">
        <v>5</v>
      </c>
      <c r="O71" s="11">
        <v>5600</v>
      </c>
      <c r="P71" s="25">
        <v>28000</v>
      </c>
      <c r="Q71" s="85">
        <v>15</v>
      </c>
      <c r="R71" s="80" cm="1">
        <f t="array" ref="R7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965.92809364548486</v>
      </c>
      <c r="S71" s="80">
        <f>RAPPORT_FINAL[[#This Row],[INVENTAIRE.Quantite]]*RAPPORT_FINAL[[#This Row],[INVENTAIRE.Prix_cout]]</f>
        <v>14488.921404682273</v>
      </c>
      <c r="T71" s="83" cm="1">
        <f t="array" ref="T7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71" s="88">
        <f>IF(OR(RAPPORT_FINAL[[#This Row],[INVENTAIRE.Quantite]]="",RAPPORT_FINAL[[#This Row],[INVENTAIRE.Prix_vente]]=""),"",RAPPORT_FINAL[[#This Row],[INVENTAIRE.Quantite]]*RAPPORT_FINAL[[#This Row],[INVENTAIRE.Prix_vente]])</f>
        <v>52500</v>
      </c>
      <c r="V7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18</v>
      </c>
      <c r="W71" s="24">
        <f>RAPPORT_FINAL[[#This Row],[INVENTAIRE.Prix_cout]]</f>
        <v>965.92809364548486</v>
      </c>
      <c r="X71" s="85">
        <f>RAPPORT_FINAL[[#This Row],[INVENTAIRE_THEORIQUE]]*RAPPORT_FINAL[[#This Row],[INVENTAIRE_THEORIQUE.Prix_cout]]</f>
        <v>17386.705685618726</v>
      </c>
      <c r="Y71" s="85">
        <f>RAPPORT_FINAL[[#This Row],[INVENTAIRE.Prix_vente]]</f>
        <v>3500</v>
      </c>
      <c r="Z71" s="85">
        <f>RAPPORT_FINAL[[#This Row],[INVENTAIRE_THEORIQUE]]*RAPPORT_FINAL[[#This Row],[INVENTAIRE_THEORIQUE.Prix_vente]]</f>
        <v>63000</v>
      </c>
      <c r="AA71" s="85">
        <f>RAPPORT_FINAL[[#This Row],[INVENTAIRE.Quantite]]-RAPPORT_FINAL[[#This Row],[INVENTAIRE_THEORIQUE]]</f>
        <v>-3</v>
      </c>
      <c r="AB71" s="90">
        <f>IFERROR(RAPPORT_FINAL[[#This Row],[ECART.Total_cout]]/RAPPORT_FINAL[[#This Row],[ECART.Quantite]],0)</f>
        <v>965.92809364548486</v>
      </c>
      <c r="AC71" s="91">
        <f>IFERROR(RAPPORT_FINAL[[#This Row],[ECART.Quantite]]*RAPPORT_FINAL[[#This Row],[INVENTAIRE.Prix_cout]],"")</f>
        <v>-2897.7842809364547</v>
      </c>
      <c r="AD71" s="83">
        <f>IFERROR(RAPPORT_FINAL[[#This Row],[ECART.Total_vente]]/RAPPORT_FINAL[[#This Row],[ECART.Quantite]],0)</f>
        <v>3500</v>
      </c>
      <c r="AE71" s="92">
        <f>IFERROR(RAPPORT_FINAL[[#This Row],[ECART.Quantite]]*RAPPORT_FINAL[[#This Row],[INVENTAIRE.Prix_vente]],"")</f>
        <v>-10500</v>
      </c>
    </row>
    <row r="72" spans="1:31" hidden="1" x14ac:dyDescent="0.25">
      <c r="A72" s="81" t="s">
        <v>308</v>
      </c>
      <c r="B72" s="3" t="s">
        <v>71</v>
      </c>
      <c r="C72" s="80" t="s">
        <v>285</v>
      </c>
      <c r="D72" s="3" t="s">
        <v>17</v>
      </c>
      <c r="E72" s="31" t="s">
        <v>92</v>
      </c>
      <c r="F72" s="85" cm="1">
        <f t="array" ref="F7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19</v>
      </c>
      <c r="G72" s="80" cm="1">
        <f t="array" ref="G7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936.77878787878774</v>
      </c>
      <c r="H72" s="80">
        <f>IF(RAPPORT_FINAL[[#This Row],[INVENTAIRE_PREC.Prix_vente]]="","",RAPPORT_FINAL[[#This Row],[INVENTAIRE_PREC.Quantite]]*RAPPORT_FINAL[[#This Row],[INVENTAIRE_PREC.Prix_cout]])</f>
        <v>17798.796969696967</v>
      </c>
      <c r="I72" s="83" cm="1">
        <f t="array" ref="I7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936.77878787878774</v>
      </c>
      <c r="J72" s="88">
        <f>IF(RAPPORT_FINAL[[#This Row],[INVENTAIRE_PREC.Prix_vente]]="","",RAPPORT_FINAL[[#This Row],[INVENTAIRE_PREC.Quantite]]*RAPPORT_FINAL[[#This Row],[INVENTAIRE_PREC.Prix_vente]])</f>
        <v>17798.796969696967</v>
      </c>
      <c r="K72" s="24"/>
      <c r="L72" s="11"/>
      <c r="M72" s="25"/>
      <c r="N72" s="24">
        <v>10</v>
      </c>
      <c r="O72" s="11">
        <v>3500</v>
      </c>
      <c r="P72" s="25">
        <v>35000</v>
      </c>
      <c r="Q72" s="85">
        <v>8</v>
      </c>
      <c r="R72" s="80" cm="1">
        <f t="array" ref="R7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936.77878787878774</v>
      </c>
      <c r="S72" s="80">
        <f>RAPPORT_FINAL[[#This Row],[INVENTAIRE.Quantite]]*RAPPORT_FINAL[[#This Row],[INVENTAIRE.Prix_cout]]</f>
        <v>7494.2303030303019</v>
      </c>
      <c r="T72" s="83" cm="1">
        <f t="array" ref="T7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72" s="88">
        <f>IF(OR(RAPPORT_FINAL[[#This Row],[INVENTAIRE.Quantite]]="",RAPPORT_FINAL[[#This Row],[INVENTAIRE.Prix_vente]]=""),"",RAPPORT_FINAL[[#This Row],[INVENTAIRE.Quantite]]*RAPPORT_FINAL[[#This Row],[INVENTAIRE.Prix_vente]])</f>
        <v>28000</v>
      </c>
      <c r="V7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9</v>
      </c>
      <c r="W72" s="24">
        <f>RAPPORT_FINAL[[#This Row],[INVENTAIRE.Prix_cout]]</f>
        <v>936.77878787878774</v>
      </c>
      <c r="X72" s="85">
        <f>RAPPORT_FINAL[[#This Row],[INVENTAIRE_THEORIQUE]]*RAPPORT_FINAL[[#This Row],[INVENTAIRE_THEORIQUE.Prix_cout]]</f>
        <v>8431.0090909090904</v>
      </c>
      <c r="Y72" s="85">
        <f>RAPPORT_FINAL[[#This Row],[INVENTAIRE.Prix_vente]]</f>
        <v>3500</v>
      </c>
      <c r="Z72" s="85">
        <f>RAPPORT_FINAL[[#This Row],[INVENTAIRE_THEORIQUE]]*RAPPORT_FINAL[[#This Row],[INVENTAIRE_THEORIQUE.Prix_vente]]</f>
        <v>31500</v>
      </c>
      <c r="AA72" s="85">
        <f>RAPPORT_FINAL[[#This Row],[INVENTAIRE.Quantite]]-RAPPORT_FINAL[[#This Row],[INVENTAIRE_THEORIQUE]]</f>
        <v>-1</v>
      </c>
      <c r="AB72" s="90">
        <f>IFERROR(RAPPORT_FINAL[[#This Row],[ECART.Total_cout]]/RAPPORT_FINAL[[#This Row],[ECART.Quantite]],0)</f>
        <v>936.77878787878774</v>
      </c>
      <c r="AC72" s="91">
        <f>IFERROR(RAPPORT_FINAL[[#This Row],[ECART.Quantite]]*RAPPORT_FINAL[[#This Row],[INVENTAIRE.Prix_cout]],"")</f>
        <v>-936.77878787878774</v>
      </c>
      <c r="AD72" s="83">
        <f>IFERROR(RAPPORT_FINAL[[#This Row],[ECART.Total_vente]]/RAPPORT_FINAL[[#This Row],[ECART.Quantite]],0)</f>
        <v>3500</v>
      </c>
      <c r="AE72" s="92">
        <f>IFERROR(RAPPORT_FINAL[[#This Row],[ECART.Quantite]]*RAPPORT_FINAL[[#This Row],[INVENTAIRE.Prix_vente]],"")</f>
        <v>-3500</v>
      </c>
    </row>
    <row r="73" spans="1:31" hidden="1" x14ac:dyDescent="0.25">
      <c r="A73" s="81" t="s">
        <v>308</v>
      </c>
      <c r="B73" s="3" t="s">
        <v>71</v>
      </c>
      <c r="C73" s="80" t="s">
        <v>285</v>
      </c>
      <c r="D73" s="3" t="s">
        <v>17</v>
      </c>
      <c r="E73" s="31" t="s">
        <v>92</v>
      </c>
      <c r="F73" s="85" cm="1">
        <f t="array" ref="F7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19</v>
      </c>
      <c r="G73" s="80" cm="1">
        <f t="array" ref="G7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936.77878787878774</v>
      </c>
      <c r="H73" s="80">
        <f>IF(RAPPORT_FINAL[[#This Row],[INVENTAIRE_PREC.Prix_vente]]="","",RAPPORT_FINAL[[#This Row],[INVENTAIRE_PREC.Quantite]]*RAPPORT_FINAL[[#This Row],[INVENTAIRE_PREC.Prix_cout]])</f>
        <v>17798.796969696967</v>
      </c>
      <c r="I73" s="83" cm="1">
        <f t="array" ref="I7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936.77878787878774</v>
      </c>
      <c r="J73" s="88">
        <f>IF(RAPPORT_FINAL[[#This Row],[INVENTAIRE_PREC.Prix_vente]]="","",RAPPORT_FINAL[[#This Row],[INVENTAIRE_PREC.Quantite]]*RAPPORT_FINAL[[#This Row],[INVENTAIRE_PREC.Prix_vente]])</f>
        <v>17798.796969696967</v>
      </c>
      <c r="K73" s="24"/>
      <c r="L73" s="11"/>
      <c r="M73" s="25"/>
      <c r="N73" s="24">
        <v>14</v>
      </c>
      <c r="O73" s="11">
        <v>2500</v>
      </c>
      <c r="P73" s="25">
        <v>35000</v>
      </c>
      <c r="Q73" s="85">
        <v>8</v>
      </c>
      <c r="R73" s="80" cm="1">
        <f t="array" ref="R7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936.77878787878774</v>
      </c>
      <c r="S73" s="80">
        <f>RAPPORT_FINAL[[#This Row],[INVENTAIRE.Quantite]]*RAPPORT_FINAL[[#This Row],[INVENTAIRE.Prix_cout]]</f>
        <v>7494.2303030303019</v>
      </c>
      <c r="T73" s="83" cm="1">
        <f t="array" ref="T7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73" s="88">
        <f>IF(OR(RAPPORT_FINAL[[#This Row],[INVENTAIRE.Quantite]]="",RAPPORT_FINAL[[#This Row],[INVENTAIRE.Prix_vente]]=""),"",RAPPORT_FINAL[[#This Row],[INVENTAIRE.Quantite]]*RAPPORT_FINAL[[#This Row],[INVENTAIRE.Prix_vente]])</f>
        <v>28000</v>
      </c>
      <c r="V7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5</v>
      </c>
      <c r="W73" s="24">
        <f>RAPPORT_FINAL[[#This Row],[INVENTAIRE.Prix_cout]]</f>
        <v>936.77878787878774</v>
      </c>
      <c r="X73" s="85">
        <f>RAPPORT_FINAL[[#This Row],[INVENTAIRE_THEORIQUE]]*RAPPORT_FINAL[[#This Row],[INVENTAIRE_THEORIQUE.Prix_cout]]</f>
        <v>4683.893939393939</v>
      </c>
      <c r="Y73" s="85">
        <f>RAPPORT_FINAL[[#This Row],[INVENTAIRE.Prix_vente]]</f>
        <v>3500</v>
      </c>
      <c r="Z73" s="85">
        <f>RAPPORT_FINAL[[#This Row],[INVENTAIRE_THEORIQUE]]*RAPPORT_FINAL[[#This Row],[INVENTAIRE_THEORIQUE.Prix_vente]]</f>
        <v>17500</v>
      </c>
      <c r="AA73" s="85">
        <f>RAPPORT_FINAL[[#This Row],[INVENTAIRE.Quantite]]-RAPPORT_FINAL[[#This Row],[INVENTAIRE_THEORIQUE]]</f>
        <v>3</v>
      </c>
      <c r="AB73" s="90">
        <f>IFERROR(RAPPORT_FINAL[[#This Row],[ECART.Total_cout]]/RAPPORT_FINAL[[#This Row],[ECART.Quantite]],0)</f>
        <v>936.77878787878774</v>
      </c>
      <c r="AC73" s="91">
        <f>IFERROR(RAPPORT_FINAL[[#This Row],[ECART.Quantite]]*RAPPORT_FINAL[[#This Row],[INVENTAIRE.Prix_cout]],"")</f>
        <v>2810.3363636363633</v>
      </c>
      <c r="AD73" s="83">
        <f>IFERROR(RAPPORT_FINAL[[#This Row],[ECART.Total_vente]]/RAPPORT_FINAL[[#This Row],[ECART.Quantite]],0)</f>
        <v>3500</v>
      </c>
      <c r="AE73" s="92">
        <f>IFERROR(RAPPORT_FINAL[[#This Row],[ECART.Quantite]]*RAPPORT_FINAL[[#This Row],[INVENTAIRE.Prix_vente]],"")</f>
        <v>10500</v>
      </c>
    </row>
    <row r="74" spans="1:31" x14ac:dyDescent="0.25">
      <c r="A74" s="81" t="s">
        <v>308</v>
      </c>
      <c r="B74" s="3" t="s">
        <v>71</v>
      </c>
      <c r="C74" s="80" t="s">
        <v>284</v>
      </c>
      <c r="D74" s="3" t="s">
        <v>10</v>
      </c>
      <c r="E74" s="31" t="s">
        <v>108</v>
      </c>
      <c r="F74" s="85" cm="1">
        <f t="array" ref="F7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74" s="80" cm="1">
        <f t="array" ref="G7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74" s="80">
        <f>IF(RAPPORT_FINAL[[#This Row],[INVENTAIRE_PREC.Prix_vente]]="","",RAPPORT_FINAL[[#This Row],[INVENTAIRE_PREC.Quantite]]*RAPPORT_FINAL[[#This Row],[INVENTAIRE_PREC.Prix_cout]])</f>
        <v>0</v>
      </c>
      <c r="I74" s="83" cm="1">
        <f t="array" ref="I7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74" s="88">
        <f>IF(RAPPORT_FINAL[[#This Row],[INVENTAIRE_PREC.Prix_vente]]="","",RAPPORT_FINAL[[#This Row],[INVENTAIRE_PREC.Quantite]]*RAPPORT_FINAL[[#This Row],[INVENTAIRE_PREC.Prix_vente]])</f>
        <v>0</v>
      </c>
      <c r="K74" s="24"/>
      <c r="L74" s="11"/>
      <c r="M74" s="25"/>
      <c r="N74" s="24">
        <v>3.3</v>
      </c>
      <c r="O74" s="11">
        <v>0.19999999999999998</v>
      </c>
      <c r="P74" s="25">
        <v>0.66000000000000014</v>
      </c>
      <c r="Q74" s="85">
        <v>0</v>
      </c>
      <c r="R74" s="80" cm="1">
        <f t="array" ref="R7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74" s="80">
        <f>RAPPORT_FINAL[[#This Row],[INVENTAIRE.Quantite]]*RAPPORT_FINAL[[#This Row],[INVENTAIRE.Prix_cout]]</f>
        <v>0</v>
      </c>
      <c r="T74" s="83" cm="1">
        <f t="array" ref="T7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0.2</v>
      </c>
      <c r="U74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7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-3.3</v>
      </c>
      <c r="W74" s="24">
        <f>RAPPORT_FINAL[[#This Row],[INVENTAIRE.Prix_cout]]</f>
        <v>0</v>
      </c>
      <c r="X74" s="85">
        <f>RAPPORT_FINAL[[#This Row],[INVENTAIRE_THEORIQUE]]*RAPPORT_FINAL[[#This Row],[INVENTAIRE_THEORIQUE.Prix_cout]]</f>
        <v>0</v>
      </c>
      <c r="Y74" s="85">
        <f>RAPPORT_FINAL[[#This Row],[INVENTAIRE.Prix_vente]]</f>
        <v>0.2</v>
      </c>
      <c r="Z74" s="85">
        <f>RAPPORT_FINAL[[#This Row],[INVENTAIRE_THEORIQUE]]*RAPPORT_FINAL[[#This Row],[INVENTAIRE_THEORIQUE.Prix_vente]]</f>
        <v>-0.66</v>
      </c>
      <c r="AA74" s="85">
        <f>RAPPORT_FINAL[[#This Row],[INVENTAIRE.Quantite]]-RAPPORT_FINAL[[#This Row],[INVENTAIRE_THEORIQUE]]</f>
        <v>3.3</v>
      </c>
      <c r="AB74" s="90">
        <f>IFERROR(RAPPORT_FINAL[[#This Row],[ECART.Total_cout]]/RAPPORT_FINAL[[#This Row],[ECART.Quantite]],0)</f>
        <v>0</v>
      </c>
      <c r="AC74" s="91">
        <f>IFERROR(RAPPORT_FINAL[[#This Row],[ECART.Quantite]]*RAPPORT_FINAL[[#This Row],[INVENTAIRE.Prix_cout]],"")</f>
        <v>0</v>
      </c>
      <c r="AD74" s="83">
        <f>IFERROR(RAPPORT_FINAL[[#This Row],[ECART.Total_vente]]/RAPPORT_FINAL[[#This Row],[ECART.Quantite]],0)</f>
        <v>0.2</v>
      </c>
      <c r="AE74" s="92">
        <f>IFERROR(RAPPORT_FINAL[[#This Row],[ECART.Quantite]]*RAPPORT_FINAL[[#This Row],[INVENTAIRE.Prix_vente]],"")</f>
        <v>0.66</v>
      </c>
    </row>
    <row r="75" spans="1:31" x14ac:dyDescent="0.25">
      <c r="A75" s="81" t="s">
        <v>308</v>
      </c>
      <c r="B75" s="3" t="s">
        <v>71</v>
      </c>
      <c r="C75" s="80" t="s">
        <v>284</v>
      </c>
      <c r="D75" s="3" t="s">
        <v>18</v>
      </c>
      <c r="E75" s="31" t="s">
        <v>108</v>
      </c>
      <c r="F75" s="85" cm="1">
        <f t="array" ref="F7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75" s="80" cm="1">
        <f t="array" ref="G7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75" s="80">
        <f>IF(RAPPORT_FINAL[[#This Row],[INVENTAIRE_PREC.Prix_vente]]="","",RAPPORT_FINAL[[#This Row],[INVENTAIRE_PREC.Quantite]]*RAPPORT_FINAL[[#This Row],[INVENTAIRE_PREC.Prix_cout]])</f>
        <v>0</v>
      </c>
      <c r="I75" s="83" cm="1">
        <f t="array" ref="I7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75" s="88">
        <f>IF(RAPPORT_FINAL[[#This Row],[INVENTAIRE_PREC.Prix_vente]]="","",RAPPORT_FINAL[[#This Row],[INVENTAIRE_PREC.Quantite]]*RAPPORT_FINAL[[#This Row],[INVENTAIRE_PREC.Prix_vente]])</f>
        <v>0</v>
      </c>
      <c r="K75" s="24"/>
      <c r="L75" s="11"/>
      <c r="M75" s="25"/>
      <c r="N75" s="24">
        <v>300</v>
      </c>
      <c r="O75" s="11">
        <v>1.1200000000000001</v>
      </c>
      <c r="P75" s="25">
        <v>336.00000000000006</v>
      </c>
      <c r="Q75" s="85">
        <v>0</v>
      </c>
      <c r="R75" s="80" cm="1">
        <f t="array" ref="R7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75" s="80">
        <f>RAPPORT_FINAL[[#This Row],[INVENTAIRE.Quantite]]*RAPPORT_FINAL[[#This Row],[INVENTAIRE.Prix_cout]]</f>
        <v>0</v>
      </c>
      <c r="T75" s="83" cm="1">
        <f t="array" ref="T7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1.1200000000000001</v>
      </c>
      <c r="U75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7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-300</v>
      </c>
      <c r="W75" s="24">
        <f>RAPPORT_FINAL[[#This Row],[INVENTAIRE.Prix_cout]]</f>
        <v>0</v>
      </c>
      <c r="X75" s="85">
        <f>RAPPORT_FINAL[[#This Row],[INVENTAIRE_THEORIQUE]]*RAPPORT_FINAL[[#This Row],[INVENTAIRE_THEORIQUE.Prix_cout]]</f>
        <v>0</v>
      </c>
      <c r="Y75" s="85">
        <f>RAPPORT_FINAL[[#This Row],[INVENTAIRE.Prix_vente]]</f>
        <v>1.1200000000000001</v>
      </c>
      <c r="Z75" s="85">
        <f>RAPPORT_FINAL[[#This Row],[INVENTAIRE_THEORIQUE]]*RAPPORT_FINAL[[#This Row],[INVENTAIRE_THEORIQUE.Prix_vente]]</f>
        <v>-336.00000000000006</v>
      </c>
      <c r="AA75" s="85">
        <f>RAPPORT_FINAL[[#This Row],[INVENTAIRE.Quantite]]-RAPPORT_FINAL[[#This Row],[INVENTAIRE_THEORIQUE]]</f>
        <v>300</v>
      </c>
      <c r="AB75" s="90">
        <f>IFERROR(RAPPORT_FINAL[[#This Row],[ECART.Total_cout]]/RAPPORT_FINAL[[#This Row],[ECART.Quantite]],0)</f>
        <v>0</v>
      </c>
      <c r="AC75" s="91">
        <f>IFERROR(RAPPORT_FINAL[[#This Row],[ECART.Quantite]]*RAPPORT_FINAL[[#This Row],[INVENTAIRE.Prix_cout]],"")</f>
        <v>0</v>
      </c>
      <c r="AD75" s="83">
        <f>IFERROR(RAPPORT_FINAL[[#This Row],[ECART.Total_vente]]/RAPPORT_FINAL[[#This Row],[ECART.Quantite]],0)</f>
        <v>1.1200000000000001</v>
      </c>
      <c r="AE75" s="92">
        <f>IFERROR(RAPPORT_FINAL[[#This Row],[ECART.Quantite]]*RAPPORT_FINAL[[#This Row],[INVENTAIRE.Prix_vente]],"")</f>
        <v>336.00000000000006</v>
      </c>
    </row>
    <row r="76" spans="1:31" hidden="1" x14ac:dyDescent="0.25">
      <c r="A76" s="81" t="s">
        <v>308</v>
      </c>
      <c r="B76" s="3" t="s">
        <v>71</v>
      </c>
      <c r="C76" s="80" t="s">
        <v>284</v>
      </c>
      <c r="D76" s="3" t="s">
        <v>125</v>
      </c>
      <c r="E76" s="31" t="s">
        <v>126</v>
      </c>
      <c r="F76" s="85" cm="1">
        <f t="array" ref="F7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76" s="80" cm="1">
        <f t="array" ref="G7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500</v>
      </c>
      <c r="H76" s="80">
        <f>IF(RAPPORT_FINAL[[#This Row],[INVENTAIRE_PREC.Prix_vente]]="","",RAPPORT_FINAL[[#This Row],[INVENTAIRE_PREC.Quantite]]*RAPPORT_FINAL[[#This Row],[INVENTAIRE_PREC.Prix_cout]])</f>
        <v>1000</v>
      </c>
      <c r="I76" s="83" cm="1">
        <f t="array" ref="I7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500</v>
      </c>
      <c r="J76" s="88">
        <f>IF(RAPPORT_FINAL[[#This Row],[INVENTAIRE_PREC.Prix_vente]]="","",RAPPORT_FINAL[[#This Row],[INVENTAIRE_PREC.Quantite]]*RAPPORT_FINAL[[#This Row],[INVENTAIRE_PREC.Prix_vente]])</f>
        <v>1000</v>
      </c>
      <c r="K76" s="24"/>
      <c r="L76" s="11"/>
      <c r="M76" s="25"/>
      <c r="N76" s="24"/>
      <c r="O76" s="11"/>
      <c r="P76" s="25"/>
      <c r="Q76" s="85">
        <v>1</v>
      </c>
      <c r="R76" s="80" cm="1">
        <f t="array" ref="R7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500</v>
      </c>
      <c r="S76" s="80">
        <f>RAPPORT_FINAL[[#This Row],[INVENTAIRE.Quantite]]*RAPPORT_FINAL[[#This Row],[INVENTAIRE.Prix_cout]]</f>
        <v>500</v>
      </c>
      <c r="T76" s="83" cm="1">
        <f t="array" ref="T7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76" s="88">
        <f>IF(OR(RAPPORT_FINAL[[#This Row],[INVENTAIRE.Quantite]]="",RAPPORT_FINAL[[#This Row],[INVENTAIRE.Prix_vente]]=""),"",RAPPORT_FINAL[[#This Row],[INVENTAIRE.Quantite]]*RAPPORT_FINAL[[#This Row],[INVENTAIRE.Prix_vente]])</f>
        <v>500</v>
      </c>
      <c r="V7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76" s="24">
        <f>RAPPORT_FINAL[[#This Row],[INVENTAIRE.Prix_cout]]</f>
        <v>500</v>
      </c>
      <c r="X76" s="85">
        <f>RAPPORT_FINAL[[#This Row],[INVENTAIRE_THEORIQUE]]*RAPPORT_FINAL[[#This Row],[INVENTAIRE_THEORIQUE.Prix_cout]]</f>
        <v>1000</v>
      </c>
      <c r="Y76" s="85">
        <f>RAPPORT_FINAL[[#This Row],[INVENTAIRE.Prix_vente]]</f>
        <v>500</v>
      </c>
      <c r="Z76" s="85">
        <f>RAPPORT_FINAL[[#This Row],[INVENTAIRE_THEORIQUE]]*RAPPORT_FINAL[[#This Row],[INVENTAIRE_THEORIQUE.Prix_vente]]</f>
        <v>1000</v>
      </c>
      <c r="AA76" s="85">
        <f>RAPPORT_FINAL[[#This Row],[INVENTAIRE.Quantite]]-RAPPORT_FINAL[[#This Row],[INVENTAIRE_THEORIQUE]]</f>
        <v>-1</v>
      </c>
      <c r="AB76" s="90">
        <f>IFERROR(RAPPORT_FINAL[[#This Row],[ECART.Total_cout]]/RAPPORT_FINAL[[#This Row],[ECART.Quantite]],0)</f>
        <v>500</v>
      </c>
      <c r="AC76" s="91">
        <f>IFERROR(RAPPORT_FINAL[[#This Row],[ECART.Quantite]]*RAPPORT_FINAL[[#This Row],[INVENTAIRE.Prix_cout]],"")</f>
        <v>-500</v>
      </c>
      <c r="AD76" s="83">
        <f>IFERROR(RAPPORT_FINAL[[#This Row],[ECART.Total_vente]]/RAPPORT_FINAL[[#This Row],[ECART.Quantite]],0)</f>
        <v>500</v>
      </c>
      <c r="AE76" s="92">
        <f>IFERROR(RAPPORT_FINAL[[#This Row],[ECART.Quantite]]*RAPPORT_FINAL[[#This Row],[INVENTAIRE.Prix_vente]],"")</f>
        <v>-500</v>
      </c>
    </row>
    <row r="77" spans="1:31" hidden="1" x14ac:dyDescent="0.25">
      <c r="A77" s="81" t="s">
        <v>308</v>
      </c>
      <c r="B77" s="3" t="s">
        <v>71</v>
      </c>
      <c r="C77" s="80" t="s">
        <v>285</v>
      </c>
      <c r="D77" s="3" t="s">
        <v>112</v>
      </c>
      <c r="E77" s="31" t="s">
        <v>96</v>
      </c>
      <c r="F77" s="85" cm="1">
        <f t="array" ref="F7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6</v>
      </c>
      <c r="G77" s="80" cm="1">
        <f t="array" ref="G7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1325</v>
      </c>
      <c r="H77" s="80">
        <f>IF(RAPPORT_FINAL[[#This Row],[INVENTAIRE_PREC.Prix_vente]]="","",RAPPORT_FINAL[[#This Row],[INVENTAIRE_PREC.Quantite]]*RAPPORT_FINAL[[#This Row],[INVENTAIRE_PREC.Prix_cout]])</f>
        <v>7950</v>
      </c>
      <c r="I77" s="83" cm="1">
        <f t="array" ref="I7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1325</v>
      </c>
      <c r="J77" s="88">
        <f>IF(RAPPORT_FINAL[[#This Row],[INVENTAIRE_PREC.Prix_vente]]="","",RAPPORT_FINAL[[#This Row],[INVENTAIRE_PREC.Quantite]]*RAPPORT_FINAL[[#This Row],[INVENTAIRE_PREC.Prix_vente]])</f>
        <v>7950</v>
      </c>
      <c r="K77" s="24"/>
      <c r="L77" s="11"/>
      <c r="M77" s="25"/>
      <c r="N77" s="24">
        <v>3</v>
      </c>
      <c r="O77" s="11">
        <v>3000</v>
      </c>
      <c r="P77" s="25">
        <v>9000</v>
      </c>
      <c r="Q77" s="85">
        <v>3</v>
      </c>
      <c r="R77" s="80" cm="1">
        <f t="array" ref="R7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1325</v>
      </c>
      <c r="S77" s="80">
        <f>RAPPORT_FINAL[[#This Row],[INVENTAIRE.Quantite]]*RAPPORT_FINAL[[#This Row],[INVENTAIRE.Prix_cout]]</f>
        <v>3975</v>
      </c>
      <c r="T77" s="83" cm="1">
        <f t="array" ref="T7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77" s="88">
        <f>IF(OR(RAPPORT_FINAL[[#This Row],[INVENTAIRE.Quantite]]="",RAPPORT_FINAL[[#This Row],[INVENTAIRE.Prix_vente]]=""),"",RAPPORT_FINAL[[#This Row],[INVENTAIRE.Quantite]]*RAPPORT_FINAL[[#This Row],[INVENTAIRE.Prix_vente]])</f>
        <v>9000</v>
      </c>
      <c r="V7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3</v>
      </c>
      <c r="W77" s="24">
        <f>RAPPORT_FINAL[[#This Row],[INVENTAIRE.Prix_cout]]</f>
        <v>1325</v>
      </c>
      <c r="X77" s="85">
        <f>RAPPORT_FINAL[[#This Row],[INVENTAIRE_THEORIQUE]]*RAPPORT_FINAL[[#This Row],[INVENTAIRE_THEORIQUE.Prix_cout]]</f>
        <v>3975</v>
      </c>
      <c r="Y77" s="85">
        <f>RAPPORT_FINAL[[#This Row],[INVENTAIRE.Prix_vente]]</f>
        <v>3000</v>
      </c>
      <c r="Z77" s="85">
        <f>RAPPORT_FINAL[[#This Row],[INVENTAIRE_THEORIQUE]]*RAPPORT_FINAL[[#This Row],[INVENTAIRE_THEORIQUE.Prix_vente]]</f>
        <v>9000</v>
      </c>
      <c r="AA77" s="85">
        <f>RAPPORT_FINAL[[#This Row],[INVENTAIRE.Quantite]]-RAPPORT_FINAL[[#This Row],[INVENTAIRE_THEORIQUE]]</f>
        <v>0</v>
      </c>
      <c r="AB77" s="90">
        <f>IFERROR(RAPPORT_FINAL[[#This Row],[ECART.Total_cout]]/RAPPORT_FINAL[[#This Row],[ECART.Quantite]],0)</f>
        <v>0</v>
      </c>
      <c r="AC77" s="91">
        <f>IFERROR(RAPPORT_FINAL[[#This Row],[ECART.Quantite]]*RAPPORT_FINAL[[#This Row],[INVENTAIRE.Prix_cout]],"")</f>
        <v>0</v>
      </c>
      <c r="AD77" s="83">
        <f>IFERROR(RAPPORT_FINAL[[#This Row],[ECART.Total_vente]]/RAPPORT_FINAL[[#This Row],[ECART.Quantite]],0)</f>
        <v>0</v>
      </c>
      <c r="AE77" s="92">
        <f>IFERROR(RAPPORT_FINAL[[#This Row],[ECART.Quantite]]*RAPPORT_FINAL[[#This Row],[INVENTAIRE.Prix_vente]],"")</f>
        <v>0</v>
      </c>
    </row>
    <row r="78" spans="1:31" hidden="1" x14ac:dyDescent="0.25">
      <c r="A78" s="81" t="s">
        <v>308</v>
      </c>
      <c r="B78" s="3" t="s">
        <v>71</v>
      </c>
      <c r="C78" s="80" t="s">
        <v>285</v>
      </c>
      <c r="D78" s="3" t="s">
        <v>112</v>
      </c>
      <c r="E78" s="31" t="s">
        <v>96</v>
      </c>
      <c r="F78" s="85" cm="1">
        <f t="array" ref="F7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6</v>
      </c>
      <c r="G78" s="80" cm="1">
        <f t="array" ref="G7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1325</v>
      </c>
      <c r="H78" s="80">
        <f>IF(RAPPORT_FINAL[[#This Row],[INVENTAIRE_PREC.Prix_vente]]="","",RAPPORT_FINAL[[#This Row],[INVENTAIRE_PREC.Quantite]]*RAPPORT_FINAL[[#This Row],[INVENTAIRE_PREC.Prix_cout]])</f>
        <v>7950</v>
      </c>
      <c r="I78" s="83" cm="1">
        <f t="array" ref="I7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1325</v>
      </c>
      <c r="J78" s="88">
        <f>IF(RAPPORT_FINAL[[#This Row],[INVENTAIRE_PREC.Prix_vente]]="","",RAPPORT_FINAL[[#This Row],[INVENTAIRE_PREC.Quantite]]*RAPPORT_FINAL[[#This Row],[INVENTAIRE_PREC.Prix_vente]])</f>
        <v>7950</v>
      </c>
      <c r="K78" s="24"/>
      <c r="L78" s="11"/>
      <c r="M78" s="25"/>
      <c r="N78" s="24">
        <v>4</v>
      </c>
      <c r="O78" s="11">
        <v>2250</v>
      </c>
      <c r="P78" s="25">
        <v>9000</v>
      </c>
      <c r="Q78" s="85">
        <v>3</v>
      </c>
      <c r="R78" s="80" cm="1">
        <f t="array" ref="R7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1325</v>
      </c>
      <c r="S78" s="80">
        <f>RAPPORT_FINAL[[#This Row],[INVENTAIRE.Quantite]]*RAPPORT_FINAL[[#This Row],[INVENTAIRE.Prix_cout]]</f>
        <v>3975</v>
      </c>
      <c r="T78" s="83" cm="1">
        <f t="array" ref="T7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78" s="88">
        <f>IF(OR(RAPPORT_FINAL[[#This Row],[INVENTAIRE.Quantite]]="",RAPPORT_FINAL[[#This Row],[INVENTAIRE.Prix_vente]]=""),"",RAPPORT_FINAL[[#This Row],[INVENTAIRE.Quantite]]*RAPPORT_FINAL[[#This Row],[INVENTAIRE.Prix_vente]])</f>
        <v>9000</v>
      </c>
      <c r="V7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78" s="24">
        <f>RAPPORT_FINAL[[#This Row],[INVENTAIRE.Prix_cout]]</f>
        <v>1325</v>
      </c>
      <c r="X78" s="85">
        <f>RAPPORT_FINAL[[#This Row],[INVENTAIRE_THEORIQUE]]*RAPPORT_FINAL[[#This Row],[INVENTAIRE_THEORIQUE.Prix_cout]]</f>
        <v>2650</v>
      </c>
      <c r="Y78" s="85">
        <f>RAPPORT_FINAL[[#This Row],[INVENTAIRE.Prix_vente]]</f>
        <v>3000</v>
      </c>
      <c r="Z78" s="85">
        <f>RAPPORT_FINAL[[#This Row],[INVENTAIRE_THEORIQUE]]*RAPPORT_FINAL[[#This Row],[INVENTAIRE_THEORIQUE.Prix_vente]]</f>
        <v>6000</v>
      </c>
      <c r="AA78" s="85">
        <f>RAPPORT_FINAL[[#This Row],[INVENTAIRE.Quantite]]-RAPPORT_FINAL[[#This Row],[INVENTAIRE_THEORIQUE]]</f>
        <v>1</v>
      </c>
      <c r="AB78" s="90">
        <f>IFERROR(RAPPORT_FINAL[[#This Row],[ECART.Total_cout]]/RAPPORT_FINAL[[#This Row],[ECART.Quantite]],0)</f>
        <v>1325</v>
      </c>
      <c r="AC78" s="91">
        <f>IFERROR(RAPPORT_FINAL[[#This Row],[ECART.Quantite]]*RAPPORT_FINAL[[#This Row],[INVENTAIRE.Prix_cout]],"")</f>
        <v>1325</v>
      </c>
      <c r="AD78" s="83">
        <f>IFERROR(RAPPORT_FINAL[[#This Row],[ECART.Total_vente]]/RAPPORT_FINAL[[#This Row],[ECART.Quantite]],0)</f>
        <v>3000</v>
      </c>
      <c r="AE78" s="92">
        <f>IFERROR(RAPPORT_FINAL[[#This Row],[ECART.Quantite]]*RAPPORT_FINAL[[#This Row],[INVENTAIRE.Prix_vente]],"")</f>
        <v>3000</v>
      </c>
    </row>
    <row r="79" spans="1:31" hidden="1" x14ac:dyDescent="0.25">
      <c r="A79" s="81" t="s">
        <v>308</v>
      </c>
      <c r="B79" s="3" t="s">
        <v>71</v>
      </c>
      <c r="C79" s="80" t="s">
        <v>284</v>
      </c>
      <c r="D79" s="3" t="s">
        <v>25</v>
      </c>
      <c r="E79" s="31" t="s">
        <v>108</v>
      </c>
      <c r="F79" s="85" cm="1">
        <f t="array" ref="F7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2200</v>
      </c>
      <c r="G79" s="80" cm="1">
        <f t="array" ref="G7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2.5898832684824904</v>
      </c>
      <c r="H79" s="80">
        <f>IF(RAPPORT_FINAL[[#This Row],[INVENTAIRE_PREC.Prix_vente]]="","",RAPPORT_FINAL[[#This Row],[INVENTAIRE_PREC.Quantite]]*RAPPORT_FINAL[[#This Row],[INVENTAIRE_PREC.Prix_cout]])</f>
        <v>5697.7431906614793</v>
      </c>
      <c r="I79" s="83" cm="1">
        <f t="array" ref="I7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2.5898832684824904</v>
      </c>
      <c r="J79" s="88">
        <f>IF(RAPPORT_FINAL[[#This Row],[INVENTAIRE_PREC.Prix_vente]]="","",RAPPORT_FINAL[[#This Row],[INVENTAIRE_PREC.Quantite]]*RAPPORT_FINAL[[#This Row],[INVENTAIRE_PREC.Prix_vente]])</f>
        <v>5697.7431906614793</v>
      </c>
      <c r="K79" s="24"/>
      <c r="L79" s="11"/>
      <c r="M79" s="25"/>
      <c r="N79" s="24">
        <v>1800</v>
      </c>
      <c r="O79" s="11">
        <v>2.5</v>
      </c>
      <c r="P79" s="25">
        <v>4500</v>
      </c>
      <c r="Q79" s="85">
        <v>4800</v>
      </c>
      <c r="R79" s="80" cm="1">
        <f t="array" ref="R7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2.5898832684824904</v>
      </c>
      <c r="S79" s="80">
        <f>RAPPORT_FINAL[[#This Row],[INVENTAIRE.Quantite]]*RAPPORT_FINAL[[#This Row],[INVENTAIRE.Prix_cout]]</f>
        <v>12431.439688715955</v>
      </c>
      <c r="T79" s="83" cm="1">
        <f t="array" ref="T7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2.5</v>
      </c>
      <c r="U79" s="88">
        <f>IF(OR(RAPPORT_FINAL[[#This Row],[INVENTAIRE.Quantite]]="",RAPPORT_FINAL[[#This Row],[INVENTAIRE.Prix_vente]]=""),"",RAPPORT_FINAL[[#This Row],[INVENTAIRE.Quantite]]*RAPPORT_FINAL[[#This Row],[INVENTAIRE.Prix_vente]])</f>
        <v>12000</v>
      </c>
      <c r="V7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400</v>
      </c>
      <c r="W79" s="24">
        <f>RAPPORT_FINAL[[#This Row],[INVENTAIRE.Prix_cout]]</f>
        <v>2.5898832684824904</v>
      </c>
      <c r="X79" s="85">
        <f>RAPPORT_FINAL[[#This Row],[INVENTAIRE_THEORIQUE]]*RAPPORT_FINAL[[#This Row],[INVENTAIRE_THEORIQUE.Prix_cout]]</f>
        <v>1035.9533073929961</v>
      </c>
      <c r="Y79" s="85">
        <f>RAPPORT_FINAL[[#This Row],[INVENTAIRE.Prix_vente]]</f>
        <v>2.5</v>
      </c>
      <c r="Z79" s="85">
        <f>RAPPORT_FINAL[[#This Row],[INVENTAIRE_THEORIQUE]]*RAPPORT_FINAL[[#This Row],[INVENTAIRE_THEORIQUE.Prix_vente]]</f>
        <v>1000</v>
      </c>
      <c r="AA79" s="85">
        <f>RAPPORT_FINAL[[#This Row],[INVENTAIRE.Quantite]]-RAPPORT_FINAL[[#This Row],[INVENTAIRE_THEORIQUE]]</f>
        <v>4400</v>
      </c>
      <c r="AB79" s="90">
        <f>IFERROR(RAPPORT_FINAL[[#This Row],[ECART.Total_cout]]/RAPPORT_FINAL[[#This Row],[ECART.Quantite]],0)</f>
        <v>2.5898832684824904</v>
      </c>
      <c r="AC79" s="91">
        <f>IFERROR(RAPPORT_FINAL[[#This Row],[ECART.Quantite]]*RAPPORT_FINAL[[#This Row],[INVENTAIRE.Prix_cout]],"")</f>
        <v>11395.486381322959</v>
      </c>
      <c r="AD79" s="83">
        <f>IFERROR(RAPPORT_FINAL[[#This Row],[ECART.Total_vente]]/RAPPORT_FINAL[[#This Row],[ECART.Quantite]],0)</f>
        <v>2.5</v>
      </c>
      <c r="AE79" s="92">
        <f>IFERROR(RAPPORT_FINAL[[#This Row],[ECART.Quantite]]*RAPPORT_FINAL[[#This Row],[INVENTAIRE.Prix_vente]],"")</f>
        <v>11000</v>
      </c>
    </row>
    <row r="80" spans="1:31" hidden="1" x14ac:dyDescent="0.25">
      <c r="A80" s="81" t="s">
        <v>308</v>
      </c>
      <c r="B80" s="3" t="s">
        <v>71</v>
      </c>
      <c r="C80" s="80" t="s">
        <v>285</v>
      </c>
      <c r="D80" s="3" t="s">
        <v>16</v>
      </c>
      <c r="E80" s="31" t="s">
        <v>96</v>
      </c>
      <c r="F80" s="85" cm="1">
        <f t="array" ref="F8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80" s="80" cm="1">
        <f t="array" ref="G8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954.54999999999984</v>
      </c>
      <c r="H80" s="80">
        <f>IF(RAPPORT_FINAL[[#This Row],[INVENTAIRE_PREC.Prix_vente]]="","",RAPPORT_FINAL[[#This Row],[INVENTAIRE_PREC.Quantite]]*RAPPORT_FINAL[[#This Row],[INVENTAIRE_PREC.Prix_cout]])</f>
        <v>1909.0999999999997</v>
      </c>
      <c r="I80" s="83" cm="1">
        <f t="array" ref="I8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954.54999999999984</v>
      </c>
      <c r="J80" s="88">
        <f>IF(RAPPORT_FINAL[[#This Row],[INVENTAIRE_PREC.Prix_vente]]="","",RAPPORT_FINAL[[#This Row],[INVENTAIRE_PREC.Quantite]]*RAPPORT_FINAL[[#This Row],[INVENTAIRE_PREC.Prix_vente]])</f>
        <v>1909.0999999999997</v>
      </c>
      <c r="K80" s="24">
        <v>10</v>
      </c>
      <c r="L80" s="11">
        <v>1000</v>
      </c>
      <c r="M80" s="25">
        <v>10000</v>
      </c>
      <c r="N80" s="24">
        <v>2</v>
      </c>
      <c r="O80" s="11">
        <v>3000</v>
      </c>
      <c r="P80" s="25">
        <v>6000</v>
      </c>
      <c r="Q80" s="85">
        <v>10</v>
      </c>
      <c r="R80" s="80" cm="1">
        <f t="array" ref="R8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992.42500000000007</v>
      </c>
      <c r="S80" s="80">
        <f>RAPPORT_FINAL[[#This Row],[INVENTAIRE.Quantite]]*RAPPORT_FINAL[[#This Row],[INVENTAIRE.Prix_cout]]</f>
        <v>9924.25</v>
      </c>
      <c r="T80" s="83" cm="1">
        <f t="array" ref="T8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80" s="88">
        <f>IF(OR(RAPPORT_FINAL[[#This Row],[INVENTAIRE.Quantite]]="",RAPPORT_FINAL[[#This Row],[INVENTAIRE.Prix_vente]]=""),"",RAPPORT_FINAL[[#This Row],[INVENTAIRE.Quantite]]*RAPPORT_FINAL[[#This Row],[INVENTAIRE.Prix_vente]])</f>
        <v>30000</v>
      </c>
      <c r="V8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10</v>
      </c>
      <c r="W80" s="24">
        <f>RAPPORT_FINAL[[#This Row],[INVENTAIRE.Prix_cout]]</f>
        <v>992.42500000000007</v>
      </c>
      <c r="X80" s="85">
        <f>RAPPORT_FINAL[[#This Row],[INVENTAIRE_THEORIQUE]]*RAPPORT_FINAL[[#This Row],[INVENTAIRE_THEORIQUE.Prix_cout]]</f>
        <v>9924.25</v>
      </c>
      <c r="Y80" s="85">
        <f>RAPPORT_FINAL[[#This Row],[INVENTAIRE.Prix_vente]]</f>
        <v>3000</v>
      </c>
      <c r="Z80" s="85">
        <f>RAPPORT_FINAL[[#This Row],[INVENTAIRE_THEORIQUE]]*RAPPORT_FINAL[[#This Row],[INVENTAIRE_THEORIQUE.Prix_vente]]</f>
        <v>30000</v>
      </c>
      <c r="AA80" s="85">
        <f>RAPPORT_FINAL[[#This Row],[INVENTAIRE.Quantite]]-RAPPORT_FINAL[[#This Row],[INVENTAIRE_THEORIQUE]]</f>
        <v>0</v>
      </c>
      <c r="AB80" s="90">
        <f>IFERROR(RAPPORT_FINAL[[#This Row],[ECART.Total_cout]]/RAPPORT_FINAL[[#This Row],[ECART.Quantite]],0)</f>
        <v>0</v>
      </c>
      <c r="AC80" s="91">
        <f>IFERROR(RAPPORT_FINAL[[#This Row],[ECART.Quantite]]*RAPPORT_FINAL[[#This Row],[INVENTAIRE.Prix_cout]],"")</f>
        <v>0</v>
      </c>
      <c r="AD80" s="83">
        <f>IFERROR(RAPPORT_FINAL[[#This Row],[ECART.Total_vente]]/RAPPORT_FINAL[[#This Row],[ECART.Quantite]],0)</f>
        <v>0</v>
      </c>
      <c r="AE80" s="92">
        <f>IFERROR(RAPPORT_FINAL[[#This Row],[ECART.Quantite]]*RAPPORT_FINAL[[#This Row],[INVENTAIRE.Prix_vente]],"")</f>
        <v>0</v>
      </c>
    </row>
    <row r="81" spans="1:31" hidden="1" x14ac:dyDescent="0.25">
      <c r="A81" s="81" t="s">
        <v>308</v>
      </c>
      <c r="B81" s="3" t="s">
        <v>71</v>
      </c>
      <c r="C81" s="80" t="s">
        <v>285</v>
      </c>
      <c r="D81" s="3" t="s">
        <v>20</v>
      </c>
      <c r="E81" s="31" t="s">
        <v>93</v>
      </c>
      <c r="F81" s="85" cm="1">
        <f t="array" ref="F8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6</v>
      </c>
      <c r="G81" s="80" cm="1">
        <f t="array" ref="G8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83.34</v>
      </c>
      <c r="H81" s="80">
        <f>IF(RAPPORT_FINAL[[#This Row],[INVENTAIRE_PREC.Prix_vente]]="","",RAPPORT_FINAL[[#This Row],[INVENTAIRE_PREC.Quantite]]*RAPPORT_FINAL[[#This Row],[INVENTAIRE_PREC.Prix_cout]])</f>
        <v>500.04</v>
      </c>
      <c r="I81" s="83" cm="1">
        <f t="array" ref="I8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83.34</v>
      </c>
      <c r="J81" s="88">
        <f>IF(RAPPORT_FINAL[[#This Row],[INVENTAIRE_PREC.Prix_vente]]="","",RAPPORT_FINAL[[#This Row],[INVENTAIRE_PREC.Quantite]]*RAPPORT_FINAL[[#This Row],[INVENTAIRE_PREC.Prix_vente]])</f>
        <v>500.04</v>
      </c>
      <c r="K81" s="24"/>
      <c r="L81" s="11"/>
      <c r="M81" s="25"/>
      <c r="N81" s="24">
        <v>1</v>
      </c>
      <c r="O81" s="11">
        <v>5000</v>
      </c>
      <c r="P81" s="25">
        <v>5000</v>
      </c>
      <c r="Q81" s="85">
        <v>4</v>
      </c>
      <c r="R81" s="80" cm="1">
        <f t="array" ref="R8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83.34</v>
      </c>
      <c r="S81" s="80">
        <f>RAPPORT_FINAL[[#This Row],[INVENTAIRE.Quantite]]*RAPPORT_FINAL[[#This Row],[INVENTAIRE.Prix_cout]]</f>
        <v>333.36</v>
      </c>
      <c r="T81" s="83" cm="1">
        <f t="array" ref="T8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</v>
      </c>
      <c r="U81" s="88">
        <f>IF(OR(RAPPORT_FINAL[[#This Row],[INVENTAIRE.Quantite]]="",RAPPORT_FINAL[[#This Row],[INVENTAIRE.Prix_vente]]=""),"",RAPPORT_FINAL[[#This Row],[INVENTAIRE.Quantite]]*RAPPORT_FINAL[[#This Row],[INVENTAIRE.Prix_vente]])</f>
        <v>10000</v>
      </c>
      <c r="V8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5</v>
      </c>
      <c r="W81" s="24">
        <f>RAPPORT_FINAL[[#This Row],[INVENTAIRE.Prix_cout]]</f>
        <v>83.34</v>
      </c>
      <c r="X81" s="85">
        <f>RAPPORT_FINAL[[#This Row],[INVENTAIRE_THEORIQUE]]*RAPPORT_FINAL[[#This Row],[INVENTAIRE_THEORIQUE.Prix_cout]]</f>
        <v>416.70000000000005</v>
      </c>
      <c r="Y81" s="85">
        <f>RAPPORT_FINAL[[#This Row],[INVENTAIRE.Prix_vente]]</f>
        <v>2500</v>
      </c>
      <c r="Z81" s="85">
        <f>RAPPORT_FINAL[[#This Row],[INVENTAIRE_THEORIQUE]]*RAPPORT_FINAL[[#This Row],[INVENTAIRE_THEORIQUE.Prix_vente]]</f>
        <v>12500</v>
      </c>
      <c r="AA81" s="85">
        <f>RAPPORT_FINAL[[#This Row],[INVENTAIRE.Quantite]]-RAPPORT_FINAL[[#This Row],[INVENTAIRE_THEORIQUE]]</f>
        <v>-1</v>
      </c>
      <c r="AB81" s="90">
        <f>IFERROR(RAPPORT_FINAL[[#This Row],[ECART.Total_cout]]/RAPPORT_FINAL[[#This Row],[ECART.Quantite]],0)</f>
        <v>83.34</v>
      </c>
      <c r="AC81" s="91">
        <f>IFERROR(RAPPORT_FINAL[[#This Row],[ECART.Quantite]]*RAPPORT_FINAL[[#This Row],[INVENTAIRE.Prix_cout]],"")</f>
        <v>-83.34</v>
      </c>
      <c r="AD81" s="83">
        <f>IFERROR(RAPPORT_FINAL[[#This Row],[ECART.Total_vente]]/RAPPORT_FINAL[[#This Row],[ECART.Quantite]],0)</f>
        <v>2500</v>
      </c>
      <c r="AE81" s="92">
        <f>IFERROR(RAPPORT_FINAL[[#This Row],[ECART.Quantite]]*RAPPORT_FINAL[[#This Row],[INVENTAIRE.Prix_vente]],"")</f>
        <v>-2500</v>
      </c>
    </row>
    <row r="82" spans="1:31" hidden="1" x14ac:dyDescent="0.25">
      <c r="A82" s="81" t="s">
        <v>308</v>
      </c>
      <c r="B82" s="3" t="s">
        <v>71</v>
      </c>
      <c r="C82" s="80" t="s">
        <v>285</v>
      </c>
      <c r="D82" s="3" t="s">
        <v>20</v>
      </c>
      <c r="E82" s="31" t="s">
        <v>93</v>
      </c>
      <c r="F82" s="85" cm="1">
        <f t="array" ref="F8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6</v>
      </c>
      <c r="G82" s="80" cm="1">
        <f t="array" ref="G8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83.34</v>
      </c>
      <c r="H82" s="80">
        <f>IF(RAPPORT_FINAL[[#This Row],[INVENTAIRE_PREC.Prix_vente]]="","",RAPPORT_FINAL[[#This Row],[INVENTAIRE_PREC.Quantite]]*RAPPORT_FINAL[[#This Row],[INVENTAIRE_PREC.Prix_cout]])</f>
        <v>500.04</v>
      </c>
      <c r="I82" s="83" cm="1">
        <f t="array" ref="I8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83.34</v>
      </c>
      <c r="J82" s="88">
        <f>IF(RAPPORT_FINAL[[#This Row],[INVENTAIRE_PREC.Prix_vente]]="","",RAPPORT_FINAL[[#This Row],[INVENTAIRE_PREC.Quantite]]*RAPPORT_FINAL[[#This Row],[INVENTAIRE_PREC.Prix_vente]])</f>
        <v>500.04</v>
      </c>
      <c r="K82" s="24"/>
      <c r="L82" s="11"/>
      <c r="M82" s="25"/>
      <c r="N82" s="24">
        <v>2</v>
      </c>
      <c r="O82" s="11">
        <v>2500</v>
      </c>
      <c r="P82" s="25">
        <v>5000</v>
      </c>
      <c r="Q82" s="85">
        <v>4</v>
      </c>
      <c r="R82" s="80" cm="1">
        <f t="array" ref="R8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83.34</v>
      </c>
      <c r="S82" s="80">
        <f>RAPPORT_FINAL[[#This Row],[INVENTAIRE.Quantite]]*RAPPORT_FINAL[[#This Row],[INVENTAIRE.Prix_cout]]</f>
        <v>333.36</v>
      </c>
      <c r="T82" s="83" cm="1">
        <f t="array" ref="T8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</v>
      </c>
      <c r="U82" s="88">
        <f>IF(OR(RAPPORT_FINAL[[#This Row],[INVENTAIRE.Quantite]]="",RAPPORT_FINAL[[#This Row],[INVENTAIRE.Prix_vente]]=""),"",RAPPORT_FINAL[[#This Row],[INVENTAIRE.Quantite]]*RAPPORT_FINAL[[#This Row],[INVENTAIRE.Prix_vente]])</f>
        <v>10000</v>
      </c>
      <c r="V8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4</v>
      </c>
      <c r="W82" s="24">
        <f>RAPPORT_FINAL[[#This Row],[INVENTAIRE.Prix_cout]]</f>
        <v>83.34</v>
      </c>
      <c r="X82" s="85">
        <f>RAPPORT_FINAL[[#This Row],[INVENTAIRE_THEORIQUE]]*RAPPORT_FINAL[[#This Row],[INVENTAIRE_THEORIQUE.Prix_cout]]</f>
        <v>333.36</v>
      </c>
      <c r="Y82" s="85">
        <f>RAPPORT_FINAL[[#This Row],[INVENTAIRE.Prix_vente]]</f>
        <v>2500</v>
      </c>
      <c r="Z82" s="85">
        <f>RAPPORT_FINAL[[#This Row],[INVENTAIRE_THEORIQUE]]*RAPPORT_FINAL[[#This Row],[INVENTAIRE_THEORIQUE.Prix_vente]]</f>
        <v>10000</v>
      </c>
      <c r="AA82" s="85">
        <f>RAPPORT_FINAL[[#This Row],[INVENTAIRE.Quantite]]-RAPPORT_FINAL[[#This Row],[INVENTAIRE_THEORIQUE]]</f>
        <v>0</v>
      </c>
      <c r="AB82" s="90">
        <f>IFERROR(RAPPORT_FINAL[[#This Row],[ECART.Total_cout]]/RAPPORT_FINAL[[#This Row],[ECART.Quantite]],0)</f>
        <v>0</v>
      </c>
      <c r="AC82" s="91">
        <f>IFERROR(RAPPORT_FINAL[[#This Row],[ECART.Quantite]]*RAPPORT_FINAL[[#This Row],[INVENTAIRE.Prix_cout]],"")</f>
        <v>0</v>
      </c>
      <c r="AD82" s="83">
        <f>IFERROR(RAPPORT_FINAL[[#This Row],[ECART.Total_vente]]/RAPPORT_FINAL[[#This Row],[ECART.Quantite]],0)</f>
        <v>0</v>
      </c>
      <c r="AE82" s="92">
        <f>IFERROR(RAPPORT_FINAL[[#This Row],[ECART.Quantite]]*RAPPORT_FINAL[[#This Row],[INVENTAIRE.Prix_vente]],"")</f>
        <v>0</v>
      </c>
    </row>
    <row r="83" spans="1:31" hidden="1" x14ac:dyDescent="0.25">
      <c r="A83" s="81" t="s">
        <v>308</v>
      </c>
      <c r="B83" s="3" t="s">
        <v>71</v>
      </c>
      <c r="C83" s="80" t="s">
        <v>284</v>
      </c>
      <c r="D83" s="3" t="s">
        <v>139</v>
      </c>
      <c r="E83" s="31" t="s">
        <v>143</v>
      </c>
      <c r="F83" s="85" cm="1">
        <f t="array" ref="F8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81</v>
      </c>
      <c r="G83" s="80" cm="1">
        <f t="array" ref="G8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50</v>
      </c>
      <c r="H83" s="80">
        <f>IF(RAPPORT_FINAL[[#This Row],[INVENTAIRE_PREC.Prix_vente]]="","",RAPPORT_FINAL[[#This Row],[INVENTAIRE_PREC.Quantite]]*RAPPORT_FINAL[[#This Row],[INVENTAIRE_PREC.Prix_cout]])</f>
        <v>4050</v>
      </c>
      <c r="I83" s="83" cm="1">
        <f t="array" ref="I8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</v>
      </c>
      <c r="J83" s="88">
        <f>IF(RAPPORT_FINAL[[#This Row],[INVENTAIRE_PREC.Prix_vente]]="","",RAPPORT_FINAL[[#This Row],[INVENTAIRE_PREC.Quantite]]*RAPPORT_FINAL[[#This Row],[INVENTAIRE_PREC.Prix_vente]])</f>
        <v>4050</v>
      </c>
      <c r="K83" s="24"/>
      <c r="L83" s="11"/>
      <c r="M83" s="25"/>
      <c r="N83" s="24">
        <v>13</v>
      </c>
      <c r="O83" s="11">
        <v>50</v>
      </c>
      <c r="P83" s="25">
        <v>650</v>
      </c>
      <c r="Q83" s="85">
        <v>66</v>
      </c>
      <c r="R83" s="80" cm="1">
        <f t="array" ref="R8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50</v>
      </c>
      <c r="S83" s="80">
        <f>RAPPORT_FINAL[[#This Row],[INVENTAIRE.Quantite]]*RAPPORT_FINAL[[#This Row],[INVENTAIRE.Prix_cout]]</f>
        <v>3300</v>
      </c>
      <c r="T83" s="83" cm="1">
        <f t="array" ref="T8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</v>
      </c>
      <c r="U83" s="88">
        <f>IF(OR(RAPPORT_FINAL[[#This Row],[INVENTAIRE.Quantite]]="",RAPPORT_FINAL[[#This Row],[INVENTAIRE.Prix_vente]]=""),"",RAPPORT_FINAL[[#This Row],[INVENTAIRE.Quantite]]*RAPPORT_FINAL[[#This Row],[INVENTAIRE.Prix_vente]])</f>
        <v>3300</v>
      </c>
      <c r="V8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68</v>
      </c>
      <c r="W83" s="24">
        <f>RAPPORT_FINAL[[#This Row],[INVENTAIRE.Prix_cout]]</f>
        <v>50</v>
      </c>
      <c r="X83" s="85">
        <f>RAPPORT_FINAL[[#This Row],[INVENTAIRE_THEORIQUE]]*RAPPORT_FINAL[[#This Row],[INVENTAIRE_THEORIQUE.Prix_cout]]</f>
        <v>3400</v>
      </c>
      <c r="Y83" s="85">
        <f>RAPPORT_FINAL[[#This Row],[INVENTAIRE.Prix_vente]]</f>
        <v>50</v>
      </c>
      <c r="Z83" s="85">
        <f>RAPPORT_FINAL[[#This Row],[INVENTAIRE_THEORIQUE]]*RAPPORT_FINAL[[#This Row],[INVENTAIRE_THEORIQUE.Prix_vente]]</f>
        <v>3400</v>
      </c>
      <c r="AA83" s="85">
        <f>RAPPORT_FINAL[[#This Row],[INVENTAIRE.Quantite]]-RAPPORT_FINAL[[#This Row],[INVENTAIRE_THEORIQUE]]</f>
        <v>-2</v>
      </c>
      <c r="AB83" s="90">
        <f>IFERROR(RAPPORT_FINAL[[#This Row],[ECART.Total_cout]]/RAPPORT_FINAL[[#This Row],[ECART.Quantite]],0)</f>
        <v>50</v>
      </c>
      <c r="AC83" s="91">
        <f>IFERROR(RAPPORT_FINAL[[#This Row],[ECART.Quantite]]*RAPPORT_FINAL[[#This Row],[INVENTAIRE.Prix_cout]],"")</f>
        <v>-100</v>
      </c>
      <c r="AD83" s="83">
        <f>IFERROR(RAPPORT_FINAL[[#This Row],[ECART.Total_vente]]/RAPPORT_FINAL[[#This Row],[ECART.Quantite]],0)</f>
        <v>50</v>
      </c>
      <c r="AE83" s="92">
        <f>IFERROR(RAPPORT_FINAL[[#This Row],[ECART.Quantite]]*RAPPORT_FINAL[[#This Row],[INVENTAIRE.Prix_vente]],"")</f>
        <v>-100</v>
      </c>
    </row>
    <row r="84" spans="1:31" hidden="1" x14ac:dyDescent="0.25">
      <c r="A84" s="81" t="s">
        <v>308</v>
      </c>
      <c r="B84" s="3" t="s">
        <v>71</v>
      </c>
      <c r="C84" s="80" t="s">
        <v>284</v>
      </c>
      <c r="D84" s="3" t="s">
        <v>121</v>
      </c>
      <c r="E84" s="31" t="s">
        <v>122</v>
      </c>
      <c r="F84" s="85" cm="1">
        <f t="array" ref="F8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17</v>
      </c>
      <c r="G84" s="80" cm="1">
        <f t="array" ref="G8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150</v>
      </c>
      <c r="H84" s="80">
        <f>IF(RAPPORT_FINAL[[#This Row],[INVENTAIRE_PREC.Prix_vente]]="","",RAPPORT_FINAL[[#This Row],[INVENTAIRE_PREC.Quantite]]*RAPPORT_FINAL[[#This Row],[INVENTAIRE_PREC.Prix_cout]])</f>
        <v>2550</v>
      </c>
      <c r="I84" s="83" cm="1">
        <f t="array" ref="I8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</v>
      </c>
      <c r="J84" s="88">
        <f>IF(RAPPORT_FINAL[[#This Row],[INVENTAIRE_PREC.Prix_vente]]="","",RAPPORT_FINAL[[#This Row],[INVENTAIRE_PREC.Quantite]]*RAPPORT_FINAL[[#This Row],[INVENTAIRE_PREC.Prix_vente]])</f>
        <v>2550</v>
      </c>
      <c r="K84" s="24"/>
      <c r="L84" s="11"/>
      <c r="M84" s="25"/>
      <c r="N84" s="24">
        <v>13</v>
      </c>
      <c r="O84" s="11">
        <v>150</v>
      </c>
      <c r="P84" s="25">
        <v>1950</v>
      </c>
      <c r="Q84" s="85">
        <v>6</v>
      </c>
      <c r="R84" s="80" cm="1">
        <f t="array" ref="R8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150</v>
      </c>
      <c r="S84" s="80">
        <f>RAPPORT_FINAL[[#This Row],[INVENTAIRE.Quantite]]*RAPPORT_FINAL[[#This Row],[INVENTAIRE.Prix_cout]]</f>
        <v>900</v>
      </c>
      <c r="T84" s="83" cm="1">
        <f t="array" ref="T8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</v>
      </c>
      <c r="U84" s="88">
        <f>IF(OR(RAPPORT_FINAL[[#This Row],[INVENTAIRE.Quantite]]="",RAPPORT_FINAL[[#This Row],[INVENTAIRE.Prix_vente]]=""),"",RAPPORT_FINAL[[#This Row],[INVENTAIRE.Quantite]]*RAPPORT_FINAL[[#This Row],[INVENTAIRE.Prix_vente]])</f>
        <v>900</v>
      </c>
      <c r="V8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4</v>
      </c>
      <c r="W84" s="24">
        <f>RAPPORT_FINAL[[#This Row],[INVENTAIRE.Prix_cout]]</f>
        <v>150</v>
      </c>
      <c r="X84" s="85">
        <f>RAPPORT_FINAL[[#This Row],[INVENTAIRE_THEORIQUE]]*RAPPORT_FINAL[[#This Row],[INVENTAIRE_THEORIQUE.Prix_cout]]</f>
        <v>600</v>
      </c>
      <c r="Y84" s="85">
        <f>RAPPORT_FINAL[[#This Row],[INVENTAIRE.Prix_vente]]</f>
        <v>150</v>
      </c>
      <c r="Z84" s="85">
        <f>RAPPORT_FINAL[[#This Row],[INVENTAIRE_THEORIQUE]]*RAPPORT_FINAL[[#This Row],[INVENTAIRE_THEORIQUE.Prix_vente]]</f>
        <v>600</v>
      </c>
      <c r="AA84" s="85">
        <f>RAPPORT_FINAL[[#This Row],[INVENTAIRE.Quantite]]-RAPPORT_FINAL[[#This Row],[INVENTAIRE_THEORIQUE]]</f>
        <v>2</v>
      </c>
      <c r="AB84" s="90">
        <f>IFERROR(RAPPORT_FINAL[[#This Row],[ECART.Total_cout]]/RAPPORT_FINAL[[#This Row],[ECART.Quantite]],0)</f>
        <v>150</v>
      </c>
      <c r="AC84" s="91">
        <f>IFERROR(RAPPORT_FINAL[[#This Row],[ECART.Quantite]]*RAPPORT_FINAL[[#This Row],[INVENTAIRE.Prix_cout]],"")</f>
        <v>300</v>
      </c>
      <c r="AD84" s="83">
        <f>IFERROR(RAPPORT_FINAL[[#This Row],[ECART.Total_vente]]/RAPPORT_FINAL[[#This Row],[ECART.Quantite]],0)</f>
        <v>150</v>
      </c>
      <c r="AE84" s="92">
        <f>IFERROR(RAPPORT_FINAL[[#This Row],[ECART.Quantite]]*RAPPORT_FINAL[[#This Row],[INVENTAIRE.Prix_vente]],"")</f>
        <v>300</v>
      </c>
    </row>
    <row r="85" spans="1:31" x14ac:dyDescent="0.25">
      <c r="A85" s="81" t="s">
        <v>308</v>
      </c>
      <c r="B85" s="3" t="s">
        <v>71</v>
      </c>
      <c r="C85" s="80" t="s">
        <v>284</v>
      </c>
      <c r="D85" s="3" t="s">
        <v>13</v>
      </c>
      <c r="E85" s="31" t="s">
        <v>108</v>
      </c>
      <c r="F85" s="85" cm="1">
        <f t="array" ref="F8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85" s="80" cm="1">
        <f t="array" ref="G8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85" s="80">
        <f>IF(RAPPORT_FINAL[[#This Row],[INVENTAIRE_PREC.Prix_vente]]="","",RAPPORT_FINAL[[#This Row],[INVENTAIRE_PREC.Quantite]]*RAPPORT_FINAL[[#This Row],[INVENTAIRE_PREC.Prix_cout]])</f>
        <v>0</v>
      </c>
      <c r="I85" s="83" cm="1">
        <f t="array" ref="I8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85" s="88">
        <f>IF(RAPPORT_FINAL[[#This Row],[INVENTAIRE_PREC.Prix_vente]]="","",RAPPORT_FINAL[[#This Row],[INVENTAIRE_PREC.Quantite]]*RAPPORT_FINAL[[#This Row],[INVENTAIRE_PREC.Prix_vente]])</f>
        <v>0</v>
      </c>
      <c r="K85" s="24"/>
      <c r="L85" s="11"/>
      <c r="M85" s="25"/>
      <c r="N85" s="24">
        <v>165</v>
      </c>
      <c r="O85" s="11">
        <v>1.1399999999999999</v>
      </c>
      <c r="P85" s="25">
        <v>188.1</v>
      </c>
      <c r="Q85" s="85">
        <v>0</v>
      </c>
      <c r="R85" s="80" cm="1">
        <f t="array" ref="R8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85" s="80">
        <f>RAPPORT_FINAL[[#This Row],[INVENTAIRE.Quantite]]*RAPPORT_FINAL[[#This Row],[INVENTAIRE.Prix_cout]]</f>
        <v>0</v>
      </c>
      <c r="T85" s="83" cm="1">
        <f t="array" ref="T8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1.1399999999999999</v>
      </c>
      <c r="U85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8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-165</v>
      </c>
      <c r="W85" s="24">
        <f>RAPPORT_FINAL[[#This Row],[INVENTAIRE.Prix_cout]]</f>
        <v>0</v>
      </c>
      <c r="X85" s="85">
        <f>RAPPORT_FINAL[[#This Row],[INVENTAIRE_THEORIQUE]]*RAPPORT_FINAL[[#This Row],[INVENTAIRE_THEORIQUE.Prix_cout]]</f>
        <v>0</v>
      </c>
      <c r="Y85" s="85">
        <f>RAPPORT_FINAL[[#This Row],[INVENTAIRE.Prix_vente]]</f>
        <v>1.1399999999999999</v>
      </c>
      <c r="Z85" s="85">
        <f>RAPPORT_FINAL[[#This Row],[INVENTAIRE_THEORIQUE]]*RAPPORT_FINAL[[#This Row],[INVENTAIRE_THEORIQUE.Prix_vente]]</f>
        <v>-188.1</v>
      </c>
      <c r="AA85" s="85">
        <f>RAPPORT_FINAL[[#This Row],[INVENTAIRE.Quantite]]-RAPPORT_FINAL[[#This Row],[INVENTAIRE_THEORIQUE]]</f>
        <v>165</v>
      </c>
      <c r="AB85" s="90">
        <f>IFERROR(RAPPORT_FINAL[[#This Row],[ECART.Total_cout]]/RAPPORT_FINAL[[#This Row],[ECART.Quantite]],0)</f>
        <v>0</v>
      </c>
      <c r="AC85" s="91">
        <f>IFERROR(RAPPORT_FINAL[[#This Row],[ECART.Quantite]]*RAPPORT_FINAL[[#This Row],[INVENTAIRE.Prix_cout]],"")</f>
        <v>0</v>
      </c>
      <c r="AD85" s="83">
        <f>IFERROR(RAPPORT_FINAL[[#This Row],[ECART.Total_vente]]/RAPPORT_FINAL[[#This Row],[ECART.Quantite]],0)</f>
        <v>1.1399999999999999</v>
      </c>
      <c r="AE85" s="92">
        <f>IFERROR(RAPPORT_FINAL[[#This Row],[ECART.Quantite]]*RAPPORT_FINAL[[#This Row],[INVENTAIRE.Prix_vente]],"")</f>
        <v>188.1</v>
      </c>
    </row>
    <row r="86" spans="1:31" hidden="1" x14ac:dyDescent="0.25">
      <c r="A86" s="81" t="s">
        <v>308</v>
      </c>
      <c r="B86" s="3" t="s">
        <v>71</v>
      </c>
      <c r="C86" s="80" t="s">
        <v>284</v>
      </c>
      <c r="D86" s="3" t="s">
        <v>8</v>
      </c>
      <c r="E86" s="31" t="s">
        <v>108</v>
      </c>
      <c r="F86" s="85" cm="1">
        <f t="array" ref="F8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12000</v>
      </c>
      <c r="G86" s="80" cm="1">
        <f t="array" ref="G8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0.4</v>
      </c>
      <c r="H86" s="80">
        <f>IF(RAPPORT_FINAL[[#This Row],[INVENTAIRE_PREC.Prix_vente]]="","",RAPPORT_FINAL[[#This Row],[INVENTAIRE_PREC.Quantite]]*RAPPORT_FINAL[[#This Row],[INVENTAIRE_PREC.Prix_cout]])</f>
        <v>4800</v>
      </c>
      <c r="I86" s="83" cm="1">
        <f t="array" ref="I8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0.4</v>
      </c>
      <c r="J86" s="88">
        <f>IF(RAPPORT_FINAL[[#This Row],[INVENTAIRE_PREC.Prix_vente]]="","",RAPPORT_FINAL[[#This Row],[INVENTAIRE_PREC.Quantite]]*RAPPORT_FINAL[[#This Row],[INVENTAIRE_PREC.Prix_vente]])</f>
        <v>4800</v>
      </c>
      <c r="K86" s="24"/>
      <c r="L86" s="11"/>
      <c r="M86" s="25"/>
      <c r="N86" s="24">
        <v>6600</v>
      </c>
      <c r="O86" s="11">
        <v>0.39999999999999997</v>
      </c>
      <c r="P86" s="25">
        <v>2640</v>
      </c>
      <c r="Q86" s="85">
        <v>7660</v>
      </c>
      <c r="R86" s="80" cm="1">
        <f t="array" ref="R8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0.4</v>
      </c>
      <c r="S86" s="80">
        <f>RAPPORT_FINAL[[#This Row],[INVENTAIRE.Quantite]]*RAPPORT_FINAL[[#This Row],[INVENTAIRE.Prix_cout]]</f>
        <v>3064</v>
      </c>
      <c r="T86" s="83" cm="1">
        <f t="array" ref="T8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0.4</v>
      </c>
      <c r="U86" s="88">
        <f>IF(OR(RAPPORT_FINAL[[#This Row],[INVENTAIRE.Quantite]]="",RAPPORT_FINAL[[#This Row],[INVENTAIRE.Prix_vente]]=""),"",RAPPORT_FINAL[[#This Row],[INVENTAIRE.Quantite]]*RAPPORT_FINAL[[#This Row],[INVENTAIRE.Prix_vente]])</f>
        <v>3064</v>
      </c>
      <c r="V8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5400</v>
      </c>
      <c r="W86" s="24">
        <f>RAPPORT_FINAL[[#This Row],[INVENTAIRE.Prix_cout]]</f>
        <v>0.4</v>
      </c>
      <c r="X86" s="85">
        <f>RAPPORT_FINAL[[#This Row],[INVENTAIRE_THEORIQUE]]*RAPPORT_FINAL[[#This Row],[INVENTAIRE_THEORIQUE.Prix_cout]]</f>
        <v>2160</v>
      </c>
      <c r="Y86" s="85">
        <f>RAPPORT_FINAL[[#This Row],[INVENTAIRE.Prix_vente]]</f>
        <v>0.4</v>
      </c>
      <c r="Z86" s="85">
        <f>RAPPORT_FINAL[[#This Row],[INVENTAIRE_THEORIQUE]]*RAPPORT_FINAL[[#This Row],[INVENTAIRE_THEORIQUE.Prix_vente]]</f>
        <v>2160</v>
      </c>
      <c r="AA86" s="85">
        <f>RAPPORT_FINAL[[#This Row],[INVENTAIRE.Quantite]]-RAPPORT_FINAL[[#This Row],[INVENTAIRE_THEORIQUE]]</f>
        <v>2260</v>
      </c>
      <c r="AB86" s="90">
        <f>IFERROR(RAPPORT_FINAL[[#This Row],[ECART.Total_cout]]/RAPPORT_FINAL[[#This Row],[ECART.Quantite]],0)</f>
        <v>0.4</v>
      </c>
      <c r="AC86" s="91">
        <f>IFERROR(RAPPORT_FINAL[[#This Row],[ECART.Quantite]]*RAPPORT_FINAL[[#This Row],[INVENTAIRE.Prix_cout]],"")</f>
        <v>904</v>
      </c>
      <c r="AD86" s="83">
        <f>IFERROR(RAPPORT_FINAL[[#This Row],[ECART.Total_vente]]/RAPPORT_FINAL[[#This Row],[ECART.Quantite]],0)</f>
        <v>0.4</v>
      </c>
      <c r="AE86" s="92">
        <f>IFERROR(RAPPORT_FINAL[[#This Row],[ECART.Quantite]]*RAPPORT_FINAL[[#This Row],[INVENTAIRE.Prix_vente]],"")</f>
        <v>904</v>
      </c>
    </row>
    <row r="87" spans="1:31" hidden="1" x14ac:dyDescent="0.25">
      <c r="A87" s="81" t="s">
        <v>308</v>
      </c>
      <c r="B87" s="3" t="s">
        <v>71</v>
      </c>
      <c r="C87" s="80" t="s">
        <v>284</v>
      </c>
      <c r="D87" s="3" t="s">
        <v>23</v>
      </c>
      <c r="E87" s="31" t="s">
        <v>96</v>
      </c>
      <c r="F87" s="85" cm="1">
        <f t="array" ref="F8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</v>
      </c>
      <c r="G87" s="80" cm="1">
        <f t="array" ref="G8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163.22727272727272</v>
      </c>
      <c r="H87" s="80">
        <f>IF(RAPPORT_FINAL[[#This Row],[INVENTAIRE_PREC.Prix_vente]]="","",RAPPORT_FINAL[[#This Row],[INVENTAIRE_PREC.Quantite]]*RAPPORT_FINAL[[#This Row],[INVENTAIRE_PREC.Prix_cout]])</f>
        <v>652.90909090909088</v>
      </c>
      <c r="I87" s="83" cm="1">
        <f t="array" ref="I8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163.22727272727272</v>
      </c>
      <c r="J87" s="88">
        <f>IF(RAPPORT_FINAL[[#This Row],[INVENTAIRE_PREC.Prix_vente]]="","",RAPPORT_FINAL[[#This Row],[INVENTAIRE_PREC.Quantite]]*RAPPORT_FINAL[[#This Row],[INVENTAIRE_PREC.Prix_vente]])</f>
        <v>652.90909090909088</v>
      </c>
      <c r="K87" s="24">
        <v>24</v>
      </c>
      <c r="L87" s="11">
        <v>145.83333333333334</v>
      </c>
      <c r="M87" s="25">
        <v>3500</v>
      </c>
      <c r="N87" s="24">
        <v>9</v>
      </c>
      <c r="O87" s="11">
        <v>944.44444444444446</v>
      </c>
      <c r="P87" s="25">
        <v>8500</v>
      </c>
      <c r="Q87" s="85">
        <v>5</v>
      </c>
      <c r="R87" s="80" cm="1">
        <f t="array" ref="R8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148.31818181818181</v>
      </c>
      <c r="S87" s="80">
        <f>RAPPORT_FINAL[[#This Row],[INVENTAIRE.Quantite]]*RAPPORT_FINAL[[#This Row],[INVENTAIRE.Prix_cout]]</f>
        <v>741.59090909090901</v>
      </c>
      <c r="T87" s="83" cm="1">
        <f t="array" ref="T8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87" s="88">
        <f>IF(OR(RAPPORT_FINAL[[#This Row],[INVENTAIRE.Quantite]]="",RAPPORT_FINAL[[#This Row],[INVENTAIRE.Prix_vente]]=""),"",RAPPORT_FINAL[[#This Row],[INVENTAIRE.Quantite]]*RAPPORT_FINAL[[#This Row],[INVENTAIRE.Prix_vente]])</f>
        <v>2500</v>
      </c>
      <c r="V8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19</v>
      </c>
      <c r="W87" s="24">
        <f>RAPPORT_FINAL[[#This Row],[INVENTAIRE.Prix_cout]]</f>
        <v>148.31818181818181</v>
      </c>
      <c r="X87" s="85">
        <f>RAPPORT_FINAL[[#This Row],[INVENTAIRE_THEORIQUE]]*RAPPORT_FINAL[[#This Row],[INVENTAIRE_THEORIQUE.Prix_cout]]</f>
        <v>2818.0454545454545</v>
      </c>
      <c r="Y87" s="85">
        <f>RAPPORT_FINAL[[#This Row],[INVENTAIRE.Prix_vente]]</f>
        <v>500</v>
      </c>
      <c r="Z87" s="85">
        <f>RAPPORT_FINAL[[#This Row],[INVENTAIRE_THEORIQUE]]*RAPPORT_FINAL[[#This Row],[INVENTAIRE_THEORIQUE.Prix_vente]]</f>
        <v>9500</v>
      </c>
      <c r="AA87" s="85">
        <f>RAPPORT_FINAL[[#This Row],[INVENTAIRE.Quantite]]-RAPPORT_FINAL[[#This Row],[INVENTAIRE_THEORIQUE]]</f>
        <v>-14</v>
      </c>
      <c r="AB87" s="90">
        <f>IFERROR(RAPPORT_FINAL[[#This Row],[ECART.Total_cout]]/RAPPORT_FINAL[[#This Row],[ECART.Quantite]],0)</f>
        <v>148.31818181818181</v>
      </c>
      <c r="AC87" s="91">
        <f>IFERROR(RAPPORT_FINAL[[#This Row],[ECART.Quantite]]*RAPPORT_FINAL[[#This Row],[INVENTAIRE.Prix_cout]],"")</f>
        <v>-2076.4545454545455</v>
      </c>
      <c r="AD87" s="83">
        <f>IFERROR(RAPPORT_FINAL[[#This Row],[ECART.Total_vente]]/RAPPORT_FINAL[[#This Row],[ECART.Quantite]],0)</f>
        <v>500</v>
      </c>
      <c r="AE87" s="92">
        <f>IFERROR(RAPPORT_FINAL[[#This Row],[ECART.Quantite]]*RAPPORT_FINAL[[#This Row],[INVENTAIRE.Prix_vente]],"")</f>
        <v>-7000</v>
      </c>
    </row>
    <row r="88" spans="1:31" hidden="1" x14ac:dyDescent="0.25">
      <c r="A88" s="81" t="s">
        <v>308</v>
      </c>
      <c r="B88" s="3" t="s">
        <v>71</v>
      </c>
      <c r="C88" s="80" t="s">
        <v>284</v>
      </c>
      <c r="D88" s="3" t="s">
        <v>23</v>
      </c>
      <c r="E88" s="31" t="s">
        <v>96</v>
      </c>
      <c r="F88" s="85" cm="1">
        <f t="array" ref="F8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</v>
      </c>
      <c r="G88" s="80" cm="1">
        <f t="array" ref="G8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163.22727272727272</v>
      </c>
      <c r="H88" s="80">
        <f>IF(RAPPORT_FINAL[[#This Row],[INVENTAIRE_PREC.Prix_vente]]="","",RAPPORT_FINAL[[#This Row],[INVENTAIRE_PREC.Quantite]]*RAPPORT_FINAL[[#This Row],[INVENTAIRE_PREC.Prix_cout]])</f>
        <v>652.90909090909088</v>
      </c>
      <c r="I88" s="83" cm="1">
        <f t="array" ref="I8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163.22727272727272</v>
      </c>
      <c r="J88" s="88">
        <f>IF(RAPPORT_FINAL[[#This Row],[INVENTAIRE_PREC.Prix_vente]]="","",RAPPORT_FINAL[[#This Row],[INVENTAIRE_PREC.Quantite]]*RAPPORT_FINAL[[#This Row],[INVENTAIRE_PREC.Prix_vente]])</f>
        <v>652.90909090909088</v>
      </c>
      <c r="K88" s="24">
        <v>24</v>
      </c>
      <c r="L88" s="11">
        <v>145.83333333333334</v>
      </c>
      <c r="M88" s="25">
        <v>3500</v>
      </c>
      <c r="N88" s="24">
        <v>17</v>
      </c>
      <c r="O88" s="11">
        <v>500</v>
      </c>
      <c r="P88" s="25">
        <v>8500</v>
      </c>
      <c r="Q88" s="85">
        <v>5</v>
      </c>
      <c r="R88" s="80" cm="1">
        <f t="array" ref="R8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148.31818181818181</v>
      </c>
      <c r="S88" s="80">
        <f>RAPPORT_FINAL[[#This Row],[INVENTAIRE.Quantite]]*RAPPORT_FINAL[[#This Row],[INVENTAIRE.Prix_cout]]</f>
        <v>741.59090909090901</v>
      </c>
      <c r="T88" s="83" cm="1">
        <f t="array" ref="T8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88" s="88">
        <f>IF(OR(RAPPORT_FINAL[[#This Row],[INVENTAIRE.Quantite]]="",RAPPORT_FINAL[[#This Row],[INVENTAIRE.Prix_vente]]=""),"",RAPPORT_FINAL[[#This Row],[INVENTAIRE.Quantite]]*RAPPORT_FINAL[[#This Row],[INVENTAIRE.Prix_vente]])</f>
        <v>2500</v>
      </c>
      <c r="V8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11</v>
      </c>
      <c r="W88" s="24">
        <f>RAPPORT_FINAL[[#This Row],[INVENTAIRE.Prix_cout]]</f>
        <v>148.31818181818181</v>
      </c>
      <c r="X88" s="85">
        <f>RAPPORT_FINAL[[#This Row],[INVENTAIRE_THEORIQUE]]*RAPPORT_FINAL[[#This Row],[INVENTAIRE_THEORIQUE.Prix_cout]]</f>
        <v>1631.5</v>
      </c>
      <c r="Y88" s="85">
        <f>RAPPORT_FINAL[[#This Row],[INVENTAIRE.Prix_vente]]</f>
        <v>500</v>
      </c>
      <c r="Z88" s="85">
        <f>RAPPORT_FINAL[[#This Row],[INVENTAIRE_THEORIQUE]]*RAPPORT_FINAL[[#This Row],[INVENTAIRE_THEORIQUE.Prix_vente]]</f>
        <v>5500</v>
      </c>
      <c r="AA88" s="85">
        <f>RAPPORT_FINAL[[#This Row],[INVENTAIRE.Quantite]]-RAPPORT_FINAL[[#This Row],[INVENTAIRE_THEORIQUE]]</f>
        <v>-6</v>
      </c>
      <c r="AB88" s="90">
        <f>IFERROR(RAPPORT_FINAL[[#This Row],[ECART.Total_cout]]/RAPPORT_FINAL[[#This Row],[ECART.Quantite]],0)</f>
        <v>148.31818181818181</v>
      </c>
      <c r="AC88" s="91">
        <f>IFERROR(RAPPORT_FINAL[[#This Row],[ECART.Quantite]]*RAPPORT_FINAL[[#This Row],[INVENTAIRE.Prix_cout]],"")</f>
        <v>-889.90909090909088</v>
      </c>
      <c r="AD88" s="83">
        <f>IFERROR(RAPPORT_FINAL[[#This Row],[ECART.Total_vente]]/RAPPORT_FINAL[[#This Row],[ECART.Quantite]],0)</f>
        <v>500</v>
      </c>
      <c r="AE88" s="92">
        <f>IFERROR(RAPPORT_FINAL[[#This Row],[ECART.Quantite]]*RAPPORT_FINAL[[#This Row],[INVENTAIRE.Prix_vente]],"")</f>
        <v>-3000</v>
      </c>
    </row>
    <row r="89" spans="1:31" hidden="1" x14ac:dyDescent="0.25">
      <c r="A89" s="81" t="s">
        <v>308</v>
      </c>
      <c r="B89" s="3" t="s">
        <v>71</v>
      </c>
      <c r="C89" s="80" t="s">
        <v>284</v>
      </c>
      <c r="D89" s="3" t="s">
        <v>22</v>
      </c>
      <c r="E89" s="31" t="s">
        <v>99</v>
      </c>
      <c r="F89" s="85" cm="1">
        <f t="array" ref="F8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7500</v>
      </c>
      <c r="G89" s="80" cm="1">
        <f t="array" ref="G8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1.5</v>
      </c>
      <c r="H89" s="80">
        <f>IF(RAPPORT_FINAL[[#This Row],[INVENTAIRE_PREC.Prix_vente]]="","",RAPPORT_FINAL[[#This Row],[INVENTAIRE_PREC.Quantite]]*RAPPORT_FINAL[[#This Row],[INVENTAIRE_PREC.Prix_cout]])</f>
        <v>11250</v>
      </c>
      <c r="I89" s="83" cm="1">
        <f t="array" ref="I8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1.5</v>
      </c>
      <c r="J89" s="88">
        <f>IF(RAPPORT_FINAL[[#This Row],[INVENTAIRE_PREC.Prix_vente]]="","",RAPPORT_FINAL[[#This Row],[INVENTAIRE_PREC.Quantite]]*RAPPORT_FINAL[[#This Row],[INVENTAIRE_PREC.Prix_vente]])</f>
        <v>11250</v>
      </c>
      <c r="K89" s="24">
        <v>5000</v>
      </c>
      <c r="L89" s="11">
        <v>1.5</v>
      </c>
      <c r="M89" s="25">
        <v>7500</v>
      </c>
      <c r="N89" s="24">
        <v>3450</v>
      </c>
      <c r="O89" s="11">
        <v>1.5</v>
      </c>
      <c r="P89" s="25">
        <v>5175</v>
      </c>
      <c r="Q89" s="85">
        <v>7500</v>
      </c>
      <c r="R89" s="80" cm="1">
        <f t="array" ref="R8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1.5</v>
      </c>
      <c r="S89" s="80">
        <f>RAPPORT_FINAL[[#This Row],[INVENTAIRE.Quantite]]*RAPPORT_FINAL[[#This Row],[INVENTAIRE.Prix_cout]]</f>
        <v>11250</v>
      </c>
      <c r="T89" s="83" cm="1">
        <f t="array" ref="T8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1.5</v>
      </c>
      <c r="U89" s="88">
        <f>IF(OR(RAPPORT_FINAL[[#This Row],[INVENTAIRE.Quantite]]="",RAPPORT_FINAL[[#This Row],[INVENTAIRE.Prix_vente]]=""),"",RAPPORT_FINAL[[#This Row],[INVENTAIRE.Quantite]]*RAPPORT_FINAL[[#This Row],[INVENTAIRE.Prix_vente]])</f>
        <v>11250</v>
      </c>
      <c r="V8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9050</v>
      </c>
      <c r="W89" s="24">
        <f>RAPPORT_FINAL[[#This Row],[INVENTAIRE.Prix_cout]]</f>
        <v>1.5</v>
      </c>
      <c r="X89" s="85">
        <f>RAPPORT_FINAL[[#This Row],[INVENTAIRE_THEORIQUE]]*RAPPORT_FINAL[[#This Row],[INVENTAIRE_THEORIQUE.Prix_cout]]</f>
        <v>13575</v>
      </c>
      <c r="Y89" s="85">
        <f>RAPPORT_FINAL[[#This Row],[INVENTAIRE.Prix_vente]]</f>
        <v>1.5</v>
      </c>
      <c r="Z89" s="85">
        <f>RAPPORT_FINAL[[#This Row],[INVENTAIRE_THEORIQUE]]*RAPPORT_FINAL[[#This Row],[INVENTAIRE_THEORIQUE.Prix_vente]]</f>
        <v>13575</v>
      </c>
      <c r="AA89" s="85">
        <f>RAPPORT_FINAL[[#This Row],[INVENTAIRE.Quantite]]-RAPPORT_FINAL[[#This Row],[INVENTAIRE_THEORIQUE]]</f>
        <v>-1550</v>
      </c>
      <c r="AB89" s="90">
        <f>IFERROR(RAPPORT_FINAL[[#This Row],[ECART.Total_cout]]/RAPPORT_FINAL[[#This Row],[ECART.Quantite]],0)</f>
        <v>1.5</v>
      </c>
      <c r="AC89" s="91">
        <f>IFERROR(RAPPORT_FINAL[[#This Row],[ECART.Quantite]]*RAPPORT_FINAL[[#This Row],[INVENTAIRE.Prix_cout]],"")</f>
        <v>-2325</v>
      </c>
      <c r="AD89" s="83">
        <f>IFERROR(RAPPORT_FINAL[[#This Row],[ECART.Total_vente]]/RAPPORT_FINAL[[#This Row],[ECART.Quantite]],0)</f>
        <v>1.5</v>
      </c>
      <c r="AE89" s="92">
        <f>IFERROR(RAPPORT_FINAL[[#This Row],[ECART.Quantite]]*RAPPORT_FINAL[[#This Row],[INVENTAIRE.Prix_vente]],"")</f>
        <v>-2325</v>
      </c>
    </row>
    <row r="90" spans="1:31" x14ac:dyDescent="0.25">
      <c r="A90" s="81" t="s">
        <v>308</v>
      </c>
      <c r="B90" s="3" t="s">
        <v>71</v>
      </c>
      <c r="C90" s="80" t="s">
        <v>284</v>
      </c>
      <c r="D90" s="3" t="s">
        <v>21</v>
      </c>
      <c r="E90" s="31" t="s">
        <v>108</v>
      </c>
      <c r="F90" s="85" cm="1">
        <f t="array" ref="F9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90" s="80" cm="1">
        <f t="array" ref="G9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90" s="80">
        <f>IF(RAPPORT_FINAL[[#This Row],[INVENTAIRE_PREC.Prix_vente]]="","",RAPPORT_FINAL[[#This Row],[INVENTAIRE_PREC.Quantite]]*RAPPORT_FINAL[[#This Row],[INVENTAIRE_PREC.Prix_cout]])</f>
        <v>0</v>
      </c>
      <c r="I90" s="83" cm="1">
        <f t="array" ref="I9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90" s="88">
        <f>IF(RAPPORT_FINAL[[#This Row],[INVENTAIRE_PREC.Prix_vente]]="","",RAPPORT_FINAL[[#This Row],[INVENTAIRE_PREC.Quantite]]*RAPPORT_FINAL[[#This Row],[INVENTAIRE_PREC.Prix_vente]])</f>
        <v>0</v>
      </c>
      <c r="K90" s="24"/>
      <c r="L90" s="11"/>
      <c r="M90" s="25"/>
      <c r="N90" s="24">
        <v>76.400000000000006</v>
      </c>
      <c r="O90" s="11">
        <v>4.37</v>
      </c>
      <c r="P90" s="25">
        <v>333.86800000000005</v>
      </c>
      <c r="Q90" s="85">
        <v>0</v>
      </c>
      <c r="R90" s="80" cm="1">
        <f t="array" ref="R9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90" s="80">
        <f>RAPPORT_FINAL[[#This Row],[INVENTAIRE.Quantite]]*RAPPORT_FINAL[[#This Row],[INVENTAIRE.Prix_cout]]</f>
        <v>0</v>
      </c>
      <c r="T90" s="83" cm="1">
        <f t="array" ref="T9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4.37</v>
      </c>
      <c r="U90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9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-76.400000000000006</v>
      </c>
      <c r="W90" s="24">
        <f>RAPPORT_FINAL[[#This Row],[INVENTAIRE.Prix_cout]]</f>
        <v>0</v>
      </c>
      <c r="X90" s="85">
        <f>RAPPORT_FINAL[[#This Row],[INVENTAIRE_THEORIQUE]]*RAPPORT_FINAL[[#This Row],[INVENTAIRE_THEORIQUE.Prix_cout]]</f>
        <v>0</v>
      </c>
      <c r="Y90" s="85">
        <f>RAPPORT_FINAL[[#This Row],[INVENTAIRE.Prix_vente]]</f>
        <v>4.37</v>
      </c>
      <c r="Z90" s="85">
        <f>RAPPORT_FINAL[[#This Row],[INVENTAIRE_THEORIQUE]]*RAPPORT_FINAL[[#This Row],[INVENTAIRE_THEORIQUE.Prix_vente]]</f>
        <v>-333.86800000000005</v>
      </c>
      <c r="AA90" s="85">
        <f>RAPPORT_FINAL[[#This Row],[INVENTAIRE.Quantite]]-RAPPORT_FINAL[[#This Row],[INVENTAIRE_THEORIQUE]]</f>
        <v>76.400000000000006</v>
      </c>
      <c r="AB90" s="90">
        <f>IFERROR(RAPPORT_FINAL[[#This Row],[ECART.Total_cout]]/RAPPORT_FINAL[[#This Row],[ECART.Quantite]],0)</f>
        <v>0</v>
      </c>
      <c r="AC90" s="91">
        <f>IFERROR(RAPPORT_FINAL[[#This Row],[ECART.Quantite]]*RAPPORT_FINAL[[#This Row],[INVENTAIRE.Prix_cout]],"")</f>
        <v>0</v>
      </c>
      <c r="AD90" s="83">
        <f>IFERROR(RAPPORT_FINAL[[#This Row],[ECART.Total_vente]]/RAPPORT_FINAL[[#This Row],[ECART.Quantite]],0)</f>
        <v>4.37</v>
      </c>
      <c r="AE90" s="92">
        <f>IFERROR(RAPPORT_FINAL[[#This Row],[ECART.Quantite]]*RAPPORT_FINAL[[#This Row],[INVENTAIRE.Prix_vente]],"")</f>
        <v>333.86800000000005</v>
      </c>
    </row>
    <row r="91" spans="1:31" hidden="1" x14ac:dyDescent="0.25">
      <c r="A91" s="82" t="s">
        <v>308</v>
      </c>
      <c r="B91" s="3" t="s">
        <v>71</v>
      </c>
      <c r="C91" s="80" t="s">
        <v>284</v>
      </c>
      <c r="D91" s="3" t="s">
        <v>138</v>
      </c>
      <c r="E91" s="31" t="s">
        <v>143</v>
      </c>
      <c r="F91" s="85" cm="1">
        <f t="array" ref="F9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73</v>
      </c>
      <c r="G91" s="80" cm="1">
        <f t="array" ref="G9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100</v>
      </c>
      <c r="H91" s="80">
        <f>IF(RAPPORT_FINAL[[#This Row],[INVENTAIRE_PREC.Prix_vente]]="","",RAPPORT_FINAL[[#This Row],[INVENTAIRE_PREC.Quantite]]*RAPPORT_FINAL[[#This Row],[INVENTAIRE_PREC.Prix_cout]])</f>
        <v>7300</v>
      </c>
      <c r="I91" s="83" cm="1">
        <f t="array" ref="I9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</v>
      </c>
      <c r="J91" s="88">
        <f>IF(RAPPORT_FINAL[[#This Row],[INVENTAIRE_PREC.Prix_vente]]="","",RAPPORT_FINAL[[#This Row],[INVENTAIRE_PREC.Quantite]]*RAPPORT_FINAL[[#This Row],[INVENTAIRE_PREC.Prix_vente]])</f>
        <v>7300</v>
      </c>
      <c r="K91" s="24"/>
      <c r="L91" s="11"/>
      <c r="M91" s="25"/>
      <c r="N91" s="24">
        <v>13</v>
      </c>
      <c r="O91" s="11">
        <v>100</v>
      </c>
      <c r="P91" s="25">
        <v>1300</v>
      </c>
      <c r="Q91" s="85">
        <v>47</v>
      </c>
      <c r="R91" s="80" cm="1">
        <f t="array" ref="R9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100</v>
      </c>
      <c r="S91" s="80">
        <f>RAPPORT_FINAL[[#This Row],[INVENTAIRE.Quantite]]*RAPPORT_FINAL[[#This Row],[INVENTAIRE.Prix_cout]]</f>
        <v>4700</v>
      </c>
      <c r="T91" s="83" cm="1">
        <f t="array" ref="T9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</v>
      </c>
      <c r="U91" s="88">
        <f>IF(OR(RAPPORT_FINAL[[#This Row],[INVENTAIRE.Quantite]]="",RAPPORT_FINAL[[#This Row],[INVENTAIRE.Prix_vente]]=""),"",RAPPORT_FINAL[[#This Row],[INVENTAIRE.Quantite]]*RAPPORT_FINAL[[#This Row],[INVENTAIRE.Prix_vente]])</f>
        <v>4700</v>
      </c>
      <c r="V9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60</v>
      </c>
      <c r="W91" s="24">
        <f>RAPPORT_FINAL[[#This Row],[INVENTAIRE.Prix_cout]]</f>
        <v>100</v>
      </c>
      <c r="X91" s="85">
        <f>RAPPORT_FINAL[[#This Row],[INVENTAIRE_THEORIQUE]]*RAPPORT_FINAL[[#This Row],[INVENTAIRE_THEORIQUE.Prix_cout]]</f>
        <v>6000</v>
      </c>
      <c r="Y91" s="85">
        <f>RAPPORT_FINAL[[#This Row],[INVENTAIRE.Prix_vente]]</f>
        <v>100</v>
      </c>
      <c r="Z91" s="85">
        <f>RAPPORT_FINAL[[#This Row],[INVENTAIRE_THEORIQUE]]*RAPPORT_FINAL[[#This Row],[INVENTAIRE_THEORIQUE.Prix_vente]]</f>
        <v>6000</v>
      </c>
      <c r="AA91" s="85">
        <f>RAPPORT_FINAL[[#This Row],[INVENTAIRE.Quantite]]-RAPPORT_FINAL[[#This Row],[INVENTAIRE_THEORIQUE]]</f>
        <v>-13</v>
      </c>
      <c r="AB91" s="90">
        <f>IFERROR(RAPPORT_FINAL[[#This Row],[ECART.Total_cout]]/RAPPORT_FINAL[[#This Row],[ECART.Quantite]],0)</f>
        <v>100</v>
      </c>
      <c r="AC91" s="91">
        <f>IFERROR(RAPPORT_FINAL[[#This Row],[ECART.Quantite]]*RAPPORT_FINAL[[#This Row],[INVENTAIRE.Prix_cout]],"")</f>
        <v>-1300</v>
      </c>
      <c r="AD91" s="83">
        <f>IFERROR(RAPPORT_FINAL[[#This Row],[ECART.Total_vente]]/RAPPORT_FINAL[[#This Row],[ECART.Quantite]],0)</f>
        <v>100</v>
      </c>
      <c r="AE91" s="92">
        <f>IFERROR(RAPPORT_FINAL[[#This Row],[ECART.Quantite]]*RAPPORT_FINAL[[#This Row],[INVENTAIRE.Prix_vente]],"")</f>
        <v>-1300</v>
      </c>
    </row>
    <row r="92" spans="1:31" hidden="1" x14ac:dyDescent="0.25">
      <c r="A92" s="82" t="s">
        <v>308</v>
      </c>
      <c r="B92" s="3" t="s">
        <v>71</v>
      </c>
      <c r="C92" s="80" t="s">
        <v>284</v>
      </c>
      <c r="D92" s="3" t="s">
        <v>137</v>
      </c>
      <c r="E92" s="31" t="s">
        <v>143</v>
      </c>
      <c r="F92" s="85" cm="1">
        <f t="array" ref="F9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44</v>
      </c>
      <c r="G92" s="80" cm="1">
        <f t="array" ref="G9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50</v>
      </c>
      <c r="H92" s="80">
        <f>IF(RAPPORT_FINAL[[#This Row],[INVENTAIRE_PREC.Prix_vente]]="","",RAPPORT_FINAL[[#This Row],[INVENTAIRE_PREC.Quantite]]*RAPPORT_FINAL[[#This Row],[INVENTAIRE_PREC.Prix_cout]])</f>
        <v>2200</v>
      </c>
      <c r="I92" s="83" cm="1">
        <f t="array" ref="I9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</v>
      </c>
      <c r="J92" s="88">
        <f>IF(RAPPORT_FINAL[[#This Row],[INVENTAIRE_PREC.Prix_vente]]="","",RAPPORT_FINAL[[#This Row],[INVENTAIRE_PREC.Quantite]]*RAPPORT_FINAL[[#This Row],[INVENTAIRE_PREC.Prix_vente]])</f>
        <v>2200</v>
      </c>
      <c r="K92" s="24"/>
      <c r="L92" s="11"/>
      <c r="M92" s="25"/>
      <c r="N92" s="24">
        <v>13</v>
      </c>
      <c r="O92" s="11">
        <v>50</v>
      </c>
      <c r="P92" s="25">
        <v>650</v>
      </c>
      <c r="Q92" s="85">
        <v>31</v>
      </c>
      <c r="R92" s="80" cm="1">
        <f t="array" ref="R9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50</v>
      </c>
      <c r="S92" s="80">
        <f>RAPPORT_FINAL[[#This Row],[INVENTAIRE.Quantite]]*RAPPORT_FINAL[[#This Row],[INVENTAIRE.Prix_cout]]</f>
        <v>1550</v>
      </c>
      <c r="T92" s="83" cm="1">
        <f t="array" ref="T9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</v>
      </c>
      <c r="U92" s="88">
        <f>IF(OR(RAPPORT_FINAL[[#This Row],[INVENTAIRE.Quantite]]="",RAPPORT_FINAL[[#This Row],[INVENTAIRE.Prix_vente]]=""),"",RAPPORT_FINAL[[#This Row],[INVENTAIRE.Quantite]]*RAPPORT_FINAL[[#This Row],[INVENTAIRE.Prix_vente]])</f>
        <v>1550</v>
      </c>
      <c r="V9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31</v>
      </c>
      <c r="W92" s="24">
        <f>RAPPORT_FINAL[[#This Row],[INVENTAIRE.Prix_cout]]</f>
        <v>50</v>
      </c>
      <c r="X92" s="85">
        <f>RAPPORT_FINAL[[#This Row],[INVENTAIRE_THEORIQUE]]*RAPPORT_FINAL[[#This Row],[INVENTAIRE_THEORIQUE.Prix_cout]]</f>
        <v>1550</v>
      </c>
      <c r="Y92" s="85">
        <f>RAPPORT_FINAL[[#This Row],[INVENTAIRE.Prix_vente]]</f>
        <v>50</v>
      </c>
      <c r="Z92" s="85">
        <f>RAPPORT_FINAL[[#This Row],[INVENTAIRE_THEORIQUE]]*RAPPORT_FINAL[[#This Row],[INVENTAIRE_THEORIQUE.Prix_vente]]</f>
        <v>1550</v>
      </c>
      <c r="AA92" s="85">
        <f>RAPPORT_FINAL[[#This Row],[INVENTAIRE.Quantite]]-RAPPORT_FINAL[[#This Row],[INVENTAIRE_THEORIQUE]]</f>
        <v>0</v>
      </c>
      <c r="AB92" s="90">
        <f>IFERROR(RAPPORT_FINAL[[#This Row],[ECART.Total_cout]]/RAPPORT_FINAL[[#This Row],[ECART.Quantite]],0)</f>
        <v>0</v>
      </c>
      <c r="AC92" s="91">
        <f>IFERROR(RAPPORT_FINAL[[#This Row],[ECART.Quantite]]*RAPPORT_FINAL[[#This Row],[INVENTAIRE.Prix_cout]],"")</f>
        <v>0</v>
      </c>
      <c r="AD92" s="83">
        <f>IFERROR(RAPPORT_FINAL[[#This Row],[ECART.Total_vente]]/RAPPORT_FINAL[[#This Row],[ECART.Quantite]],0)</f>
        <v>0</v>
      </c>
      <c r="AE92" s="92">
        <f>IFERROR(RAPPORT_FINAL[[#This Row],[ECART.Quantite]]*RAPPORT_FINAL[[#This Row],[INVENTAIRE.Prix_vente]],"")</f>
        <v>0</v>
      </c>
    </row>
    <row r="93" spans="1:31" hidden="1" x14ac:dyDescent="0.25">
      <c r="A93" s="82" t="s">
        <v>308</v>
      </c>
      <c r="B93" s="3" t="s">
        <v>142</v>
      </c>
      <c r="C93" s="80" t="s">
        <v>283</v>
      </c>
      <c r="D93" s="3" t="s">
        <v>140</v>
      </c>
      <c r="E93" s="31" t="s">
        <v>143</v>
      </c>
      <c r="F93" s="85" cm="1">
        <f t="array" ref="F9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23</v>
      </c>
      <c r="G93" s="80" cm="1">
        <f t="array" ref="G9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64</v>
      </c>
      <c r="H93" s="80">
        <f>IF(RAPPORT_FINAL[[#This Row],[INVENTAIRE_PREC.Prix_vente]]="","",RAPPORT_FINAL[[#This Row],[INVENTAIRE_PREC.Quantite]]*RAPPORT_FINAL[[#This Row],[INVENTAIRE_PREC.Prix_cout]])</f>
        <v>1472</v>
      </c>
      <c r="I93" s="83" cm="1">
        <f t="array" ref="I9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64</v>
      </c>
      <c r="J93" s="88">
        <f>IF(RAPPORT_FINAL[[#This Row],[INVENTAIRE_PREC.Prix_vente]]="","",RAPPORT_FINAL[[#This Row],[INVENTAIRE_PREC.Quantite]]*RAPPORT_FINAL[[#This Row],[INVENTAIRE_PREC.Prix_vente]])</f>
        <v>1472</v>
      </c>
      <c r="K93" s="24"/>
      <c r="L93" s="11"/>
      <c r="M93" s="25"/>
      <c r="N93" s="24">
        <v>2</v>
      </c>
      <c r="O93" s="11">
        <v>500</v>
      </c>
      <c r="P93" s="25">
        <v>1000</v>
      </c>
      <c r="Q93" s="85">
        <v>20</v>
      </c>
      <c r="R93" s="80" cm="1">
        <f t="array" ref="R9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64</v>
      </c>
      <c r="S93" s="80">
        <f>RAPPORT_FINAL[[#This Row],[INVENTAIRE.Quantite]]*RAPPORT_FINAL[[#This Row],[INVENTAIRE.Prix_cout]]</f>
        <v>1280</v>
      </c>
      <c r="T93" s="83" cm="1">
        <f t="array" ref="T9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93" s="88">
        <f>IF(OR(RAPPORT_FINAL[[#This Row],[INVENTAIRE.Quantite]]="",RAPPORT_FINAL[[#This Row],[INVENTAIRE.Prix_vente]]=""),"",RAPPORT_FINAL[[#This Row],[INVENTAIRE.Quantite]]*RAPPORT_FINAL[[#This Row],[INVENTAIRE.Prix_vente]])</f>
        <v>10000</v>
      </c>
      <c r="V9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21</v>
      </c>
      <c r="W93" s="24">
        <f>RAPPORT_FINAL[[#This Row],[INVENTAIRE.Prix_cout]]</f>
        <v>64</v>
      </c>
      <c r="X93" s="85">
        <f>RAPPORT_FINAL[[#This Row],[INVENTAIRE_THEORIQUE]]*RAPPORT_FINAL[[#This Row],[INVENTAIRE_THEORIQUE.Prix_cout]]</f>
        <v>1344</v>
      </c>
      <c r="Y93" s="85">
        <f>RAPPORT_FINAL[[#This Row],[INVENTAIRE.Prix_vente]]</f>
        <v>500</v>
      </c>
      <c r="Z93" s="85">
        <f>RAPPORT_FINAL[[#This Row],[INVENTAIRE_THEORIQUE]]*RAPPORT_FINAL[[#This Row],[INVENTAIRE_THEORIQUE.Prix_vente]]</f>
        <v>10500</v>
      </c>
      <c r="AA93" s="85">
        <f>RAPPORT_FINAL[[#This Row],[INVENTAIRE.Quantite]]-RAPPORT_FINAL[[#This Row],[INVENTAIRE_THEORIQUE]]</f>
        <v>-1</v>
      </c>
      <c r="AB93" s="90">
        <f>IFERROR(RAPPORT_FINAL[[#This Row],[ECART.Total_cout]]/RAPPORT_FINAL[[#This Row],[ECART.Quantite]],0)</f>
        <v>64</v>
      </c>
      <c r="AC93" s="91">
        <f>IFERROR(RAPPORT_FINAL[[#This Row],[ECART.Quantite]]*RAPPORT_FINAL[[#This Row],[INVENTAIRE.Prix_cout]],"")</f>
        <v>-64</v>
      </c>
      <c r="AD93" s="83">
        <f>IFERROR(RAPPORT_FINAL[[#This Row],[ECART.Total_vente]]/RAPPORT_FINAL[[#This Row],[ECART.Quantite]],0)</f>
        <v>500</v>
      </c>
      <c r="AE93" s="92">
        <f>IFERROR(RAPPORT_FINAL[[#This Row],[ECART.Quantite]]*RAPPORT_FINAL[[#This Row],[INVENTAIRE.Prix_vente]],"")</f>
        <v>-500</v>
      </c>
    </row>
    <row r="94" spans="1:31" x14ac:dyDescent="0.25">
      <c r="A94" s="82" t="s">
        <v>308</v>
      </c>
      <c r="B94" s="3" t="s">
        <v>142</v>
      </c>
      <c r="C94" s="80" t="s">
        <v>283</v>
      </c>
      <c r="D94" s="3" t="s">
        <v>141</v>
      </c>
      <c r="E94" s="31" t="s">
        <v>144</v>
      </c>
      <c r="F94" s="85" cm="1">
        <f t="array" ref="F9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94" s="80" cm="1">
        <f t="array" ref="G9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94" s="80">
        <f>IF(RAPPORT_FINAL[[#This Row],[INVENTAIRE_PREC.Prix_vente]]="","",RAPPORT_FINAL[[#This Row],[INVENTAIRE_PREC.Quantite]]*RAPPORT_FINAL[[#This Row],[INVENTAIRE_PREC.Prix_cout]])</f>
        <v>0</v>
      </c>
      <c r="I94" s="83" cm="1">
        <f t="array" ref="I9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94" s="88">
        <f>IF(RAPPORT_FINAL[[#This Row],[INVENTAIRE_PREC.Prix_vente]]="","",RAPPORT_FINAL[[#This Row],[INVENTAIRE_PREC.Quantite]]*RAPPORT_FINAL[[#This Row],[INVENTAIRE_PREC.Prix_vente]])</f>
        <v>0</v>
      </c>
      <c r="K94" s="24"/>
      <c r="L94" s="11"/>
      <c r="M94" s="25"/>
      <c r="N94" s="24">
        <v>3</v>
      </c>
      <c r="O94" s="11">
        <v>500</v>
      </c>
      <c r="P94" s="25">
        <v>1500</v>
      </c>
      <c r="Q94" s="85">
        <v>0</v>
      </c>
      <c r="R94" s="80" cm="1">
        <f t="array" ref="R9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94" s="80">
        <f>RAPPORT_FINAL[[#This Row],[INVENTAIRE.Quantite]]*RAPPORT_FINAL[[#This Row],[INVENTAIRE.Prix_cout]]</f>
        <v>0</v>
      </c>
      <c r="T94" s="83" cm="1">
        <f t="array" ref="T9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94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9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-3</v>
      </c>
      <c r="W94" s="24">
        <f>RAPPORT_FINAL[[#This Row],[INVENTAIRE.Prix_cout]]</f>
        <v>0</v>
      </c>
      <c r="X94" s="85">
        <f>RAPPORT_FINAL[[#This Row],[INVENTAIRE_THEORIQUE]]*RAPPORT_FINAL[[#This Row],[INVENTAIRE_THEORIQUE.Prix_cout]]</f>
        <v>0</v>
      </c>
      <c r="Y94" s="85">
        <f>RAPPORT_FINAL[[#This Row],[INVENTAIRE.Prix_vente]]</f>
        <v>500</v>
      </c>
      <c r="Z94" s="85">
        <f>RAPPORT_FINAL[[#This Row],[INVENTAIRE_THEORIQUE]]*RAPPORT_FINAL[[#This Row],[INVENTAIRE_THEORIQUE.Prix_vente]]</f>
        <v>-1500</v>
      </c>
      <c r="AA94" s="85">
        <f>RAPPORT_FINAL[[#This Row],[INVENTAIRE.Quantite]]-RAPPORT_FINAL[[#This Row],[INVENTAIRE_THEORIQUE]]</f>
        <v>3</v>
      </c>
      <c r="AB94" s="90">
        <f>IFERROR(RAPPORT_FINAL[[#This Row],[ECART.Total_cout]]/RAPPORT_FINAL[[#This Row],[ECART.Quantite]],0)</f>
        <v>0</v>
      </c>
      <c r="AC94" s="91">
        <f>IFERROR(RAPPORT_FINAL[[#This Row],[ECART.Quantite]]*RAPPORT_FINAL[[#This Row],[INVENTAIRE.Prix_cout]],"")</f>
        <v>0</v>
      </c>
      <c r="AD94" s="83">
        <f>IFERROR(RAPPORT_FINAL[[#This Row],[ECART.Total_vente]]/RAPPORT_FINAL[[#This Row],[ECART.Quantite]],0)</f>
        <v>500</v>
      </c>
      <c r="AE94" s="92">
        <f>IFERROR(RAPPORT_FINAL[[#This Row],[ECART.Quantite]]*RAPPORT_FINAL[[#This Row],[INVENTAIRE.Prix_vente]],"")</f>
        <v>1500</v>
      </c>
    </row>
    <row r="95" spans="1:31" hidden="1" x14ac:dyDescent="0.25">
      <c r="A95" s="82" t="s">
        <v>30</v>
      </c>
      <c r="B95" s="3" t="s">
        <v>76</v>
      </c>
      <c r="C95" s="80" t="s">
        <v>283</v>
      </c>
      <c r="D95" s="3" t="s">
        <v>84</v>
      </c>
      <c r="E95" s="31" t="s">
        <v>97</v>
      </c>
      <c r="F95" s="85" cm="1">
        <f t="array" ref="F9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3</v>
      </c>
      <c r="G95" s="80" cm="1">
        <f t="array" ref="G9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3000</v>
      </c>
      <c r="H95" s="80">
        <f>IF(RAPPORT_FINAL[[#This Row],[INVENTAIRE_PREC.Prix_vente]]="","",RAPPORT_FINAL[[#This Row],[INVENTAIRE_PREC.Quantite]]*RAPPORT_FINAL[[#This Row],[INVENTAIRE_PREC.Prix_cout]])</f>
        <v>9000</v>
      </c>
      <c r="I95" s="83" cm="1">
        <f t="array" ref="I9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7000</v>
      </c>
      <c r="J95" s="88">
        <f>IF(RAPPORT_FINAL[[#This Row],[INVENTAIRE_PREC.Prix_vente]]="","",RAPPORT_FINAL[[#This Row],[INVENTAIRE_PREC.Quantite]]*RAPPORT_FINAL[[#This Row],[INVENTAIRE_PREC.Prix_vente]])</f>
        <v>21000</v>
      </c>
      <c r="K95" s="24"/>
      <c r="L95" s="11"/>
      <c r="M95" s="25"/>
      <c r="N95" s="24"/>
      <c r="O95" s="11"/>
      <c r="P95" s="25"/>
      <c r="Q95" s="85">
        <v>3</v>
      </c>
      <c r="R95" s="80" cm="1">
        <f t="array" ref="R9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3000</v>
      </c>
      <c r="S95" s="80">
        <f>RAPPORT_FINAL[[#This Row],[INVENTAIRE.Quantite]]*RAPPORT_FINAL[[#This Row],[INVENTAIRE.Prix_cout]]</f>
        <v>9000</v>
      </c>
      <c r="T95" s="83" cm="1">
        <f t="array" ref="T9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7000</v>
      </c>
      <c r="U95" s="88">
        <f>IF(OR(RAPPORT_FINAL[[#This Row],[INVENTAIRE.Quantite]]="",RAPPORT_FINAL[[#This Row],[INVENTAIRE.Prix_vente]]=""),"",RAPPORT_FINAL[[#This Row],[INVENTAIRE.Quantite]]*RAPPORT_FINAL[[#This Row],[INVENTAIRE.Prix_vente]])</f>
        <v>21000</v>
      </c>
      <c r="V9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3</v>
      </c>
      <c r="W95" s="24">
        <f>RAPPORT_FINAL[[#This Row],[INVENTAIRE.Prix_cout]]</f>
        <v>3000</v>
      </c>
      <c r="X95" s="85">
        <f>RAPPORT_FINAL[[#This Row],[INVENTAIRE_THEORIQUE]]*RAPPORT_FINAL[[#This Row],[INVENTAIRE_THEORIQUE.Prix_cout]]</f>
        <v>9000</v>
      </c>
      <c r="Y95" s="85">
        <f>RAPPORT_FINAL[[#This Row],[INVENTAIRE.Prix_vente]]</f>
        <v>7000</v>
      </c>
      <c r="Z95" s="85">
        <f>RAPPORT_FINAL[[#This Row],[INVENTAIRE_THEORIQUE]]*RAPPORT_FINAL[[#This Row],[INVENTAIRE_THEORIQUE.Prix_vente]]</f>
        <v>21000</v>
      </c>
      <c r="AA95" s="85">
        <f>RAPPORT_FINAL[[#This Row],[INVENTAIRE.Quantite]]-RAPPORT_FINAL[[#This Row],[INVENTAIRE_THEORIQUE]]</f>
        <v>0</v>
      </c>
      <c r="AB95" s="90">
        <f>IFERROR(RAPPORT_FINAL[[#This Row],[ECART.Total_cout]]/RAPPORT_FINAL[[#This Row],[ECART.Quantite]],0)</f>
        <v>0</v>
      </c>
      <c r="AC95" s="91">
        <f>IFERROR(RAPPORT_FINAL[[#This Row],[ECART.Quantite]]*RAPPORT_FINAL[[#This Row],[INVENTAIRE.Prix_cout]],"")</f>
        <v>0</v>
      </c>
      <c r="AD95" s="83">
        <f>IFERROR(RAPPORT_FINAL[[#This Row],[ECART.Total_vente]]/RAPPORT_FINAL[[#This Row],[ECART.Quantite]],0)</f>
        <v>0</v>
      </c>
      <c r="AE95" s="92">
        <f>IFERROR(RAPPORT_FINAL[[#This Row],[ECART.Quantite]]*RAPPORT_FINAL[[#This Row],[INVENTAIRE.Prix_vente]],"")</f>
        <v>0</v>
      </c>
    </row>
    <row r="96" spans="1:31" hidden="1" x14ac:dyDescent="0.25">
      <c r="A96" s="82" t="s">
        <v>30</v>
      </c>
      <c r="B96" s="3" t="s">
        <v>76</v>
      </c>
      <c r="C96" s="80" t="s">
        <v>283</v>
      </c>
      <c r="D96" s="3" t="s">
        <v>84</v>
      </c>
      <c r="E96" s="31" t="s">
        <v>97</v>
      </c>
      <c r="F96" s="85" cm="1">
        <f t="array" ref="F9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3</v>
      </c>
      <c r="G96" s="80" cm="1">
        <f t="array" ref="G9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3000</v>
      </c>
      <c r="H96" s="80">
        <f>IF(RAPPORT_FINAL[[#This Row],[INVENTAIRE_PREC.Prix_vente]]="","",RAPPORT_FINAL[[#This Row],[INVENTAIRE_PREC.Quantite]]*RAPPORT_FINAL[[#This Row],[INVENTAIRE_PREC.Prix_cout]])</f>
        <v>9000</v>
      </c>
      <c r="I96" s="83" cm="1">
        <f t="array" ref="I9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7000</v>
      </c>
      <c r="J96" s="88">
        <f>IF(RAPPORT_FINAL[[#This Row],[INVENTAIRE_PREC.Prix_vente]]="","",RAPPORT_FINAL[[#This Row],[INVENTAIRE_PREC.Quantite]]*RAPPORT_FINAL[[#This Row],[INVENTAIRE_PREC.Prix_vente]])</f>
        <v>21000</v>
      </c>
      <c r="K96" s="24"/>
      <c r="L96" s="11"/>
      <c r="M96" s="25"/>
      <c r="N96" s="24"/>
      <c r="O96" s="11"/>
      <c r="P96" s="25"/>
      <c r="Q96" s="85">
        <v>3</v>
      </c>
      <c r="R96" s="80" cm="1">
        <f t="array" ref="R9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3000</v>
      </c>
      <c r="S96" s="80">
        <f>RAPPORT_FINAL[[#This Row],[INVENTAIRE.Quantite]]*RAPPORT_FINAL[[#This Row],[INVENTAIRE.Prix_cout]]</f>
        <v>9000</v>
      </c>
      <c r="T96" s="83" cm="1">
        <f t="array" ref="T9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7000</v>
      </c>
      <c r="U96" s="88">
        <f>IF(OR(RAPPORT_FINAL[[#This Row],[INVENTAIRE.Quantite]]="",RAPPORT_FINAL[[#This Row],[INVENTAIRE.Prix_vente]]=""),"",RAPPORT_FINAL[[#This Row],[INVENTAIRE.Quantite]]*RAPPORT_FINAL[[#This Row],[INVENTAIRE.Prix_vente]])</f>
        <v>21000</v>
      </c>
      <c r="V9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3</v>
      </c>
      <c r="W96" s="24">
        <f>RAPPORT_FINAL[[#This Row],[INVENTAIRE.Prix_cout]]</f>
        <v>3000</v>
      </c>
      <c r="X96" s="85">
        <f>RAPPORT_FINAL[[#This Row],[INVENTAIRE_THEORIQUE]]*RAPPORT_FINAL[[#This Row],[INVENTAIRE_THEORIQUE.Prix_cout]]</f>
        <v>9000</v>
      </c>
      <c r="Y96" s="85">
        <f>RAPPORT_FINAL[[#This Row],[INVENTAIRE.Prix_vente]]</f>
        <v>7000</v>
      </c>
      <c r="Z96" s="85">
        <f>RAPPORT_FINAL[[#This Row],[INVENTAIRE_THEORIQUE]]*RAPPORT_FINAL[[#This Row],[INVENTAIRE_THEORIQUE.Prix_vente]]</f>
        <v>21000</v>
      </c>
      <c r="AA96" s="85">
        <f>RAPPORT_FINAL[[#This Row],[INVENTAIRE.Quantite]]-RAPPORT_FINAL[[#This Row],[INVENTAIRE_THEORIQUE]]</f>
        <v>0</v>
      </c>
      <c r="AB96" s="90">
        <f>IFERROR(RAPPORT_FINAL[[#This Row],[ECART.Total_cout]]/RAPPORT_FINAL[[#This Row],[ECART.Quantite]],0)</f>
        <v>0</v>
      </c>
      <c r="AC96" s="91">
        <f>IFERROR(RAPPORT_FINAL[[#This Row],[ECART.Quantite]]*RAPPORT_FINAL[[#This Row],[INVENTAIRE.Prix_cout]],"")</f>
        <v>0</v>
      </c>
      <c r="AD96" s="83">
        <f>IFERROR(RAPPORT_FINAL[[#This Row],[ECART.Total_vente]]/RAPPORT_FINAL[[#This Row],[ECART.Quantite]],0)</f>
        <v>0</v>
      </c>
      <c r="AE96" s="92">
        <f>IFERROR(RAPPORT_FINAL[[#This Row],[ECART.Quantite]]*RAPPORT_FINAL[[#This Row],[INVENTAIRE.Prix_vente]],"")</f>
        <v>0</v>
      </c>
    </row>
    <row r="97" spans="1:31" hidden="1" x14ac:dyDescent="0.25">
      <c r="A97" s="82" t="s">
        <v>30</v>
      </c>
      <c r="B97" s="3" t="s">
        <v>76</v>
      </c>
      <c r="C97" s="80" t="s">
        <v>283</v>
      </c>
      <c r="D97" s="3" t="s">
        <v>146</v>
      </c>
      <c r="E97" s="31" t="s">
        <v>97</v>
      </c>
      <c r="F97" s="85" cm="1">
        <f t="array" ref="F9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97" s="80" cm="1">
        <f t="array" ref="G9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11200</v>
      </c>
      <c r="H97" s="80">
        <f>IF(RAPPORT_FINAL[[#This Row],[INVENTAIRE_PREC.Prix_vente]]="","",RAPPORT_FINAL[[#This Row],[INVENTAIRE_PREC.Quantite]]*RAPPORT_FINAL[[#This Row],[INVENTAIRE_PREC.Prix_cout]])</f>
        <v>11200</v>
      </c>
      <c r="I97" s="83" cm="1">
        <f t="array" ref="I9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25000</v>
      </c>
      <c r="J97" s="88">
        <f>IF(RAPPORT_FINAL[[#This Row],[INVENTAIRE_PREC.Prix_vente]]="","",RAPPORT_FINAL[[#This Row],[INVENTAIRE_PREC.Quantite]]*RAPPORT_FINAL[[#This Row],[INVENTAIRE_PREC.Prix_vente]])</f>
        <v>25000</v>
      </c>
      <c r="K97" s="24"/>
      <c r="L97" s="11"/>
      <c r="M97" s="25"/>
      <c r="N97" s="24"/>
      <c r="O97" s="11"/>
      <c r="P97" s="25"/>
      <c r="Q97" s="85">
        <v>1</v>
      </c>
      <c r="R97" s="80" cm="1">
        <f t="array" ref="R9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11200</v>
      </c>
      <c r="S97" s="80">
        <f>RAPPORT_FINAL[[#This Row],[INVENTAIRE.Quantite]]*RAPPORT_FINAL[[#This Row],[INVENTAIRE.Prix_cout]]</f>
        <v>11200</v>
      </c>
      <c r="T97" s="83" cm="1">
        <f t="array" ref="T9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25000</v>
      </c>
      <c r="U97" s="88">
        <f>IF(OR(RAPPORT_FINAL[[#This Row],[INVENTAIRE.Quantite]]="",RAPPORT_FINAL[[#This Row],[INVENTAIRE.Prix_vente]]=""),"",RAPPORT_FINAL[[#This Row],[INVENTAIRE.Quantite]]*RAPPORT_FINAL[[#This Row],[INVENTAIRE.Prix_vente]])</f>
        <v>25000</v>
      </c>
      <c r="V9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97" s="24">
        <f>RAPPORT_FINAL[[#This Row],[INVENTAIRE.Prix_cout]]</f>
        <v>11200</v>
      </c>
      <c r="X97" s="85">
        <f>RAPPORT_FINAL[[#This Row],[INVENTAIRE_THEORIQUE]]*RAPPORT_FINAL[[#This Row],[INVENTAIRE_THEORIQUE.Prix_cout]]</f>
        <v>11200</v>
      </c>
      <c r="Y97" s="85">
        <f>RAPPORT_FINAL[[#This Row],[INVENTAIRE.Prix_vente]]</f>
        <v>25000</v>
      </c>
      <c r="Z97" s="85">
        <f>RAPPORT_FINAL[[#This Row],[INVENTAIRE_THEORIQUE]]*RAPPORT_FINAL[[#This Row],[INVENTAIRE_THEORIQUE.Prix_vente]]</f>
        <v>25000</v>
      </c>
      <c r="AA97" s="85">
        <f>RAPPORT_FINAL[[#This Row],[INVENTAIRE.Quantite]]-RAPPORT_FINAL[[#This Row],[INVENTAIRE_THEORIQUE]]</f>
        <v>0</v>
      </c>
      <c r="AB97" s="90">
        <f>IFERROR(RAPPORT_FINAL[[#This Row],[ECART.Total_cout]]/RAPPORT_FINAL[[#This Row],[ECART.Quantite]],0)</f>
        <v>0</v>
      </c>
      <c r="AC97" s="91">
        <f>IFERROR(RAPPORT_FINAL[[#This Row],[ECART.Quantite]]*RAPPORT_FINAL[[#This Row],[INVENTAIRE.Prix_cout]],"")</f>
        <v>0</v>
      </c>
      <c r="AD97" s="83">
        <f>IFERROR(RAPPORT_FINAL[[#This Row],[ECART.Total_vente]]/RAPPORT_FINAL[[#This Row],[ECART.Quantite]],0)</f>
        <v>0</v>
      </c>
      <c r="AE97" s="92">
        <f>IFERROR(RAPPORT_FINAL[[#This Row],[ECART.Quantite]]*RAPPORT_FINAL[[#This Row],[INVENTAIRE.Prix_vente]],"")</f>
        <v>0</v>
      </c>
    </row>
    <row r="98" spans="1:31" hidden="1" x14ac:dyDescent="0.25">
      <c r="A98" s="82" t="s">
        <v>30</v>
      </c>
      <c r="B98" s="3" t="s">
        <v>76</v>
      </c>
      <c r="C98" s="80" t="s">
        <v>283</v>
      </c>
      <c r="D98" s="3" t="s">
        <v>85</v>
      </c>
      <c r="E98" s="31" t="s">
        <v>97</v>
      </c>
      <c r="F98" s="85" cm="1">
        <f t="array" ref="F9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3</v>
      </c>
      <c r="G98" s="80" cm="1">
        <f t="array" ref="G9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3000</v>
      </c>
      <c r="H98" s="80">
        <f>IF(RAPPORT_FINAL[[#This Row],[INVENTAIRE_PREC.Prix_vente]]="","",RAPPORT_FINAL[[#This Row],[INVENTAIRE_PREC.Quantite]]*RAPPORT_FINAL[[#This Row],[INVENTAIRE_PREC.Prix_cout]])</f>
        <v>9000</v>
      </c>
      <c r="I98" s="83" cm="1">
        <f t="array" ref="I9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6500</v>
      </c>
      <c r="J98" s="88">
        <f>IF(RAPPORT_FINAL[[#This Row],[INVENTAIRE_PREC.Prix_vente]]="","",RAPPORT_FINAL[[#This Row],[INVENTAIRE_PREC.Quantite]]*RAPPORT_FINAL[[#This Row],[INVENTAIRE_PREC.Prix_vente]])</f>
        <v>19500</v>
      </c>
      <c r="K98" s="24"/>
      <c r="L98" s="11"/>
      <c r="M98" s="25"/>
      <c r="N98" s="24"/>
      <c r="O98" s="11"/>
      <c r="P98" s="25"/>
      <c r="Q98" s="85">
        <v>3</v>
      </c>
      <c r="R98" s="80" cm="1">
        <f t="array" ref="R9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3000</v>
      </c>
      <c r="S98" s="80">
        <f>RAPPORT_FINAL[[#This Row],[INVENTAIRE.Quantite]]*RAPPORT_FINAL[[#This Row],[INVENTAIRE.Prix_cout]]</f>
        <v>9000</v>
      </c>
      <c r="T98" s="83" cm="1">
        <f t="array" ref="T9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6500</v>
      </c>
      <c r="U98" s="88">
        <f>IF(OR(RAPPORT_FINAL[[#This Row],[INVENTAIRE.Quantite]]="",RAPPORT_FINAL[[#This Row],[INVENTAIRE.Prix_vente]]=""),"",RAPPORT_FINAL[[#This Row],[INVENTAIRE.Quantite]]*RAPPORT_FINAL[[#This Row],[INVENTAIRE.Prix_vente]])</f>
        <v>19500</v>
      </c>
      <c r="V9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3</v>
      </c>
      <c r="W98" s="24">
        <f>RAPPORT_FINAL[[#This Row],[INVENTAIRE.Prix_cout]]</f>
        <v>3000</v>
      </c>
      <c r="X98" s="85">
        <f>RAPPORT_FINAL[[#This Row],[INVENTAIRE_THEORIQUE]]*RAPPORT_FINAL[[#This Row],[INVENTAIRE_THEORIQUE.Prix_cout]]</f>
        <v>9000</v>
      </c>
      <c r="Y98" s="85">
        <f>RAPPORT_FINAL[[#This Row],[INVENTAIRE.Prix_vente]]</f>
        <v>6500</v>
      </c>
      <c r="Z98" s="85">
        <f>RAPPORT_FINAL[[#This Row],[INVENTAIRE_THEORIQUE]]*RAPPORT_FINAL[[#This Row],[INVENTAIRE_THEORIQUE.Prix_vente]]</f>
        <v>19500</v>
      </c>
      <c r="AA98" s="85">
        <f>RAPPORT_FINAL[[#This Row],[INVENTAIRE.Quantite]]-RAPPORT_FINAL[[#This Row],[INVENTAIRE_THEORIQUE]]</f>
        <v>0</v>
      </c>
      <c r="AB98" s="90">
        <f>IFERROR(RAPPORT_FINAL[[#This Row],[ECART.Total_cout]]/RAPPORT_FINAL[[#This Row],[ECART.Quantite]],0)</f>
        <v>0</v>
      </c>
      <c r="AC98" s="91">
        <f>IFERROR(RAPPORT_FINAL[[#This Row],[ECART.Quantite]]*RAPPORT_FINAL[[#This Row],[INVENTAIRE.Prix_cout]],"")</f>
        <v>0</v>
      </c>
      <c r="AD98" s="83">
        <f>IFERROR(RAPPORT_FINAL[[#This Row],[ECART.Total_vente]]/RAPPORT_FINAL[[#This Row],[ECART.Quantite]],0)</f>
        <v>0</v>
      </c>
      <c r="AE98" s="92">
        <f>IFERROR(RAPPORT_FINAL[[#This Row],[ECART.Quantite]]*RAPPORT_FINAL[[#This Row],[INVENTAIRE.Prix_vente]],"")</f>
        <v>0</v>
      </c>
    </row>
    <row r="99" spans="1:31" hidden="1" x14ac:dyDescent="0.25">
      <c r="A99" s="82" t="s">
        <v>30</v>
      </c>
      <c r="B99" s="3" t="s">
        <v>76</v>
      </c>
      <c r="C99" s="80" t="s">
        <v>283</v>
      </c>
      <c r="D99" s="3" t="s">
        <v>58</v>
      </c>
      <c r="E99" s="31" t="s">
        <v>97</v>
      </c>
      <c r="F99" s="85" cm="1">
        <f t="array" ref="F9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99" s="80" cm="1">
        <f t="array" ref="G9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2300</v>
      </c>
      <c r="H99" s="80">
        <f>IF(RAPPORT_FINAL[[#This Row],[INVENTAIRE_PREC.Prix_vente]]="","",RAPPORT_FINAL[[#This Row],[INVENTAIRE_PREC.Quantite]]*RAPPORT_FINAL[[#This Row],[INVENTAIRE_PREC.Prix_cout]])</f>
        <v>2300</v>
      </c>
      <c r="I99" s="83" cm="1">
        <f t="array" ref="I9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5000</v>
      </c>
      <c r="J99" s="88">
        <f>IF(RAPPORT_FINAL[[#This Row],[INVENTAIRE_PREC.Prix_vente]]="","",RAPPORT_FINAL[[#This Row],[INVENTAIRE_PREC.Quantite]]*RAPPORT_FINAL[[#This Row],[INVENTAIRE_PREC.Prix_vente]])</f>
        <v>5000</v>
      </c>
      <c r="K99" s="24"/>
      <c r="L99" s="11"/>
      <c r="M99" s="25"/>
      <c r="N99" s="24"/>
      <c r="O99" s="11"/>
      <c r="P99" s="25"/>
      <c r="Q99" s="85">
        <v>1</v>
      </c>
      <c r="R99" s="80" cm="1">
        <f t="array" ref="R9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2300</v>
      </c>
      <c r="S99" s="80">
        <f>RAPPORT_FINAL[[#This Row],[INVENTAIRE.Quantite]]*RAPPORT_FINAL[[#This Row],[INVENTAIRE.Prix_cout]]</f>
        <v>2300</v>
      </c>
      <c r="T99" s="83" cm="1">
        <f t="array" ref="T9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5000</v>
      </c>
      <c r="U99" s="88">
        <f>IF(OR(RAPPORT_FINAL[[#This Row],[INVENTAIRE.Quantite]]="",RAPPORT_FINAL[[#This Row],[INVENTAIRE.Prix_vente]]=""),"",RAPPORT_FINAL[[#This Row],[INVENTAIRE.Quantite]]*RAPPORT_FINAL[[#This Row],[INVENTAIRE.Prix_vente]])</f>
        <v>5000</v>
      </c>
      <c r="V9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99" s="24">
        <f>RAPPORT_FINAL[[#This Row],[INVENTAIRE.Prix_cout]]</f>
        <v>2300</v>
      </c>
      <c r="X99" s="85">
        <f>RAPPORT_FINAL[[#This Row],[INVENTAIRE_THEORIQUE]]*RAPPORT_FINAL[[#This Row],[INVENTAIRE_THEORIQUE.Prix_cout]]</f>
        <v>2300</v>
      </c>
      <c r="Y99" s="85">
        <f>RAPPORT_FINAL[[#This Row],[INVENTAIRE.Prix_vente]]</f>
        <v>5000</v>
      </c>
      <c r="Z99" s="85">
        <f>RAPPORT_FINAL[[#This Row],[INVENTAIRE_THEORIQUE]]*RAPPORT_FINAL[[#This Row],[INVENTAIRE_THEORIQUE.Prix_vente]]</f>
        <v>5000</v>
      </c>
      <c r="AA99" s="85">
        <f>RAPPORT_FINAL[[#This Row],[INVENTAIRE.Quantite]]-RAPPORT_FINAL[[#This Row],[INVENTAIRE_THEORIQUE]]</f>
        <v>0</v>
      </c>
      <c r="AB99" s="90">
        <f>IFERROR(RAPPORT_FINAL[[#This Row],[ECART.Total_cout]]/RAPPORT_FINAL[[#This Row],[ECART.Quantite]],0)</f>
        <v>0</v>
      </c>
      <c r="AC99" s="91">
        <f>IFERROR(RAPPORT_FINAL[[#This Row],[ECART.Quantite]]*RAPPORT_FINAL[[#This Row],[INVENTAIRE.Prix_cout]],"")</f>
        <v>0</v>
      </c>
      <c r="AD99" s="83">
        <f>IFERROR(RAPPORT_FINAL[[#This Row],[ECART.Total_vente]]/RAPPORT_FINAL[[#This Row],[ECART.Quantite]],0)</f>
        <v>0</v>
      </c>
      <c r="AE99" s="92">
        <f>IFERROR(RAPPORT_FINAL[[#This Row],[ECART.Quantite]]*RAPPORT_FINAL[[#This Row],[INVENTAIRE.Prix_vente]],"")</f>
        <v>0</v>
      </c>
    </row>
    <row r="100" spans="1:31" hidden="1" x14ac:dyDescent="0.25">
      <c r="A100" s="82" t="s">
        <v>30</v>
      </c>
      <c r="B100" s="3" t="s">
        <v>76</v>
      </c>
      <c r="C100" s="80" t="s">
        <v>283</v>
      </c>
      <c r="D100" s="3" t="s">
        <v>58</v>
      </c>
      <c r="E100" s="31" t="s">
        <v>97</v>
      </c>
      <c r="F100" s="85" cm="1">
        <f t="array" ref="F10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100" s="80" cm="1">
        <f t="array" ref="G10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2300</v>
      </c>
      <c r="H100" s="80">
        <f>IF(RAPPORT_FINAL[[#This Row],[INVENTAIRE_PREC.Prix_vente]]="","",RAPPORT_FINAL[[#This Row],[INVENTAIRE_PREC.Quantite]]*RAPPORT_FINAL[[#This Row],[INVENTAIRE_PREC.Prix_cout]])</f>
        <v>2300</v>
      </c>
      <c r="I100" s="83" cm="1">
        <f t="array" ref="I10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5000</v>
      </c>
      <c r="J100" s="88">
        <f>IF(RAPPORT_FINAL[[#This Row],[INVENTAIRE_PREC.Prix_vente]]="","",RAPPORT_FINAL[[#This Row],[INVENTAIRE_PREC.Quantite]]*RAPPORT_FINAL[[#This Row],[INVENTAIRE_PREC.Prix_vente]])</f>
        <v>5000</v>
      </c>
      <c r="K100" s="24"/>
      <c r="L100" s="11"/>
      <c r="M100" s="25"/>
      <c r="N100" s="24"/>
      <c r="O100" s="11"/>
      <c r="P100" s="25"/>
      <c r="Q100" s="85">
        <v>1</v>
      </c>
      <c r="R100" s="80" cm="1">
        <f t="array" ref="R10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2300</v>
      </c>
      <c r="S100" s="80">
        <f>RAPPORT_FINAL[[#This Row],[INVENTAIRE.Quantite]]*RAPPORT_FINAL[[#This Row],[INVENTAIRE.Prix_cout]]</f>
        <v>2300</v>
      </c>
      <c r="T100" s="83" cm="1">
        <f t="array" ref="T10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5000</v>
      </c>
      <c r="U100" s="88">
        <f>IF(OR(RAPPORT_FINAL[[#This Row],[INVENTAIRE.Quantite]]="",RAPPORT_FINAL[[#This Row],[INVENTAIRE.Prix_vente]]=""),"",RAPPORT_FINAL[[#This Row],[INVENTAIRE.Quantite]]*RAPPORT_FINAL[[#This Row],[INVENTAIRE.Prix_vente]])</f>
        <v>5000</v>
      </c>
      <c r="V10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00" s="24">
        <f>RAPPORT_FINAL[[#This Row],[INVENTAIRE.Prix_cout]]</f>
        <v>2300</v>
      </c>
      <c r="X100" s="85">
        <f>RAPPORT_FINAL[[#This Row],[INVENTAIRE_THEORIQUE]]*RAPPORT_FINAL[[#This Row],[INVENTAIRE_THEORIQUE.Prix_cout]]</f>
        <v>2300</v>
      </c>
      <c r="Y100" s="85">
        <f>RAPPORT_FINAL[[#This Row],[INVENTAIRE.Prix_vente]]</f>
        <v>5000</v>
      </c>
      <c r="Z100" s="85">
        <f>RAPPORT_FINAL[[#This Row],[INVENTAIRE_THEORIQUE]]*RAPPORT_FINAL[[#This Row],[INVENTAIRE_THEORIQUE.Prix_vente]]</f>
        <v>5000</v>
      </c>
      <c r="AA100" s="85">
        <f>RAPPORT_FINAL[[#This Row],[INVENTAIRE.Quantite]]-RAPPORT_FINAL[[#This Row],[INVENTAIRE_THEORIQUE]]</f>
        <v>0</v>
      </c>
      <c r="AB100" s="90">
        <f>IFERROR(RAPPORT_FINAL[[#This Row],[ECART.Total_cout]]/RAPPORT_FINAL[[#This Row],[ECART.Quantite]],0)</f>
        <v>0</v>
      </c>
      <c r="AC100" s="91">
        <f>IFERROR(RAPPORT_FINAL[[#This Row],[ECART.Quantite]]*RAPPORT_FINAL[[#This Row],[INVENTAIRE.Prix_cout]],"")</f>
        <v>0</v>
      </c>
      <c r="AD100" s="83">
        <f>IFERROR(RAPPORT_FINAL[[#This Row],[ECART.Total_vente]]/RAPPORT_FINAL[[#This Row],[ECART.Quantite]],0)</f>
        <v>0</v>
      </c>
      <c r="AE100" s="92">
        <f>IFERROR(RAPPORT_FINAL[[#This Row],[ECART.Quantite]]*RAPPORT_FINAL[[#This Row],[INVENTAIRE.Prix_vente]],"")</f>
        <v>0</v>
      </c>
    </row>
    <row r="101" spans="1:31" hidden="1" x14ac:dyDescent="0.25">
      <c r="A101" s="82" t="s">
        <v>30</v>
      </c>
      <c r="B101" s="3" t="s">
        <v>76</v>
      </c>
      <c r="C101" s="80" t="s">
        <v>283</v>
      </c>
      <c r="D101" s="3" t="s">
        <v>34</v>
      </c>
      <c r="E101" s="31" t="s">
        <v>97</v>
      </c>
      <c r="F101" s="85" cm="1">
        <f t="array" ref="F10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3</v>
      </c>
      <c r="G101" s="80" cm="1">
        <f t="array" ref="G10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600</v>
      </c>
      <c r="H101" s="80">
        <f>IF(RAPPORT_FINAL[[#This Row],[INVENTAIRE_PREC.Prix_vente]]="","",RAPPORT_FINAL[[#This Row],[INVENTAIRE_PREC.Quantite]]*RAPPORT_FINAL[[#This Row],[INVENTAIRE_PREC.Prix_cout]])</f>
        <v>1800</v>
      </c>
      <c r="I101" s="83" cm="1">
        <f t="array" ref="I10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01" s="88">
        <f>IF(RAPPORT_FINAL[[#This Row],[INVENTAIRE_PREC.Prix_vente]]="","",RAPPORT_FINAL[[#This Row],[INVENTAIRE_PREC.Quantite]]*RAPPORT_FINAL[[#This Row],[INVENTAIRE_PREC.Prix_vente]])</f>
        <v>3000</v>
      </c>
      <c r="K101" s="24">
        <v>6</v>
      </c>
      <c r="L101" s="11">
        <v>650</v>
      </c>
      <c r="M101" s="25">
        <v>3900</v>
      </c>
      <c r="N101" s="24">
        <v>3</v>
      </c>
      <c r="O101" s="11">
        <v>1000</v>
      </c>
      <c r="P101" s="25">
        <v>3000</v>
      </c>
      <c r="Q101" s="85">
        <v>6</v>
      </c>
      <c r="R101" s="80" cm="1">
        <f t="array" ref="R10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633.33333333333337</v>
      </c>
      <c r="S101" s="80">
        <f>RAPPORT_FINAL[[#This Row],[INVENTAIRE.Quantite]]*RAPPORT_FINAL[[#This Row],[INVENTAIRE.Prix_cout]]</f>
        <v>3800</v>
      </c>
      <c r="T101" s="83" cm="1">
        <f t="array" ref="T10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01" s="88">
        <f>IF(OR(RAPPORT_FINAL[[#This Row],[INVENTAIRE.Quantite]]="",RAPPORT_FINAL[[#This Row],[INVENTAIRE.Prix_vente]]=""),"",RAPPORT_FINAL[[#This Row],[INVENTAIRE.Quantite]]*RAPPORT_FINAL[[#This Row],[INVENTAIRE.Prix_vente]])</f>
        <v>6000</v>
      </c>
      <c r="V10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101" s="24">
        <f>RAPPORT_FINAL[[#This Row],[INVENTAIRE.Prix_cout]]</f>
        <v>633.33333333333337</v>
      </c>
      <c r="X101" s="85">
        <f>RAPPORT_FINAL[[#This Row],[INVENTAIRE_THEORIQUE]]*RAPPORT_FINAL[[#This Row],[INVENTAIRE_THEORIQUE.Prix_cout]]</f>
        <v>3800</v>
      </c>
      <c r="Y101" s="85">
        <f>RAPPORT_FINAL[[#This Row],[INVENTAIRE.Prix_vente]]</f>
        <v>1000</v>
      </c>
      <c r="Z101" s="85">
        <f>RAPPORT_FINAL[[#This Row],[INVENTAIRE_THEORIQUE]]*RAPPORT_FINAL[[#This Row],[INVENTAIRE_THEORIQUE.Prix_vente]]</f>
        <v>6000</v>
      </c>
      <c r="AA101" s="85">
        <f>RAPPORT_FINAL[[#This Row],[INVENTAIRE.Quantite]]-RAPPORT_FINAL[[#This Row],[INVENTAIRE_THEORIQUE]]</f>
        <v>0</v>
      </c>
      <c r="AB101" s="90">
        <f>IFERROR(RAPPORT_FINAL[[#This Row],[ECART.Total_cout]]/RAPPORT_FINAL[[#This Row],[ECART.Quantite]],0)</f>
        <v>0</v>
      </c>
      <c r="AC101" s="91">
        <f>IFERROR(RAPPORT_FINAL[[#This Row],[ECART.Quantite]]*RAPPORT_FINAL[[#This Row],[INVENTAIRE.Prix_cout]],"")</f>
        <v>0</v>
      </c>
      <c r="AD101" s="83">
        <f>IFERROR(RAPPORT_FINAL[[#This Row],[ECART.Total_vente]]/RAPPORT_FINAL[[#This Row],[ECART.Quantite]],0)</f>
        <v>0</v>
      </c>
      <c r="AE101" s="92">
        <f>IFERROR(RAPPORT_FINAL[[#This Row],[ECART.Quantite]]*RAPPORT_FINAL[[#This Row],[INVENTAIRE.Prix_vente]],"")</f>
        <v>0</v>
      </c>
    </row>
    <row r="102" spans="1:31" hidden="1" x14ac:dyDescent="0.25">
      <c r="A102" s="82" t="s">
        <v>30</v>
      </c>
      <c r="B102" s="3" t="s">
        <v>76</v>
      </c>
      <c r="C102" s="80" t="s">
        <v>283</v>
      </c>
      <c r="D102" s="3" t="s">
        <v>56</v>
      </c>
      <c r="E102" s="31" t="s">
        <v>97</v>
      </c>
      <c r="F102" s="85" cm="1">
        <f t="array" ref="F10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102" s="80" cm="1">
        <f t="array" ref="G10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9200</v>
      </c>
      <c r="H102" s="80">
        <f>IF(RAPPORT_FINAL[[#This Row],[INVENTAIRE_PREC.Prix_vente]]="","",RAPPORT_FINAL[[#This Row],[INVENTAIRE_PREC.Quantite]]*RAPPORT_FINAL[[#This Row],[INVENTAIRE_PREC.Prix_cout]])</f>
        <v>9200</v>
      </c>
      <c r="I102" s="83" cm="1">
        <f t="array" ref="I10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15000</v>
      </c>
      <c r="J102" s="88">
        <f>IF(RAPPORT_FINAL[[#This Row],[INVENTAIRE_PREC.Prix_vente]]="","",RAPPORT_FINAL[[#This Row],[INVENTAIRE_PREC.Quantite]]*RAPPORT_FINAL[[#This Row],[INVENTAIRE_PREC.Prix_vente]])</f>
        <v>15000</v>
      </c>
      <c r="K102" s="24"/>
      <c r="L102" s="11"/>
      <c r="M102" s="25"/>
      <c r="N102" s="24"/>
      <c r="O102" s="11"/>
      <c r="P102" s="25"/>
      <c r="Q102" s="85">
        <v>1</v>
      </c>
      <c r="R102" s="80" cm="1">
        <f t="array" ref="R10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9200</v>
      </c>
      <c r="S102" s="80">
        <f>RAPPORT_FINAL[[#This Row],[INVENTAIRE.Quantite]]*RAPPORT_FINAL[[#This Row],[INVENTAIRE.Prix_cout]]</f>
        <v>9200</v>
      </c>
      <c r="T102" s="83" cm="1">
        <f t="array" ref="T10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15000</v>
      </c>
      <c r="U102" s="88">
        <f>IF(OR(RAPPORT_FINAL[[#This Row],[INVENTAIRE.Quantite]]="",RAPPORT_FINAL[[#This Row],[INVENTAIRE.Prix_vente]]=""),"",RAPPORT_FINAL[[#This Row],[INVENTAIRE.Quantite]]*RAPPORT_FINAL[[#This Row],[INVENTAIRE.Prix_vente]])</f>
        <v>15000</v>
      </c>
      <c r="V10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02" s="24">
        <f>RAPPORT_FINAL[[#This Row],[INVENTAIRE.Prix_cout]]</f>
        <v>9200</v>
      </c>
      <c r="X102" s="85">
        <f>RAPPORT_FINAL[[#This Row],[INVENTAIRE_THEORIQUE]]*RAPPORT_FINAL[[#This Row],[INVENTAIRE_THEORIQUE.Prix_cout]]</f>
        <v>9200</v>
      </c>
      <c r="Y102" s="85">
        <f>RAPPORT_FINAL[[#This Row],[INVENTAIRE.Prix_vente]]</f>
        <v>15000</v>
      </c>
      <c r="Z102" s="85">
        <f>RAPPORT_FINAL[[#This Row],[INVENTAIRE_THEORIQUE]]*RAPPORT_FINAL[[#This Row],[INVENTAIRE_THEORIQUE.Prix_vente]]</f>
        <v>15000</v>
      </c>
      <c r="AA102" s="85">
        <f>RAPPORT_FINAL[[#This Row],[INVENTAIRE.Quantite]]-RAPPORT_FINAL[[#This Row],[INVENTAIRE_THEORIQUE]]</f>
        <v>0</v>
      </c>
      <c r="AB102" s="90">
        <f>IFERROR(RAPPORT_FINAL[[#This Row],[ECART.Total_cout]]/RAPPORT_FINAL[[#This Row],[ECART.Quantite]],0)</f>
        <v>0</v>
      </c>
      <c r="AC102" s="91">
        <f>IFERROR(RAPPORT_FINAL[[#This Row],[ECART.Quantite]]*RAPPORT_FINAL[[#This Row],[INVENTAIRE.Prix_cout]],"")</f>
        <v>0</v>
      </c>
      <c r="AD102" s="83">
        <f>IFERROR(RAPPORT_FINAL[[#This Row],[ECART.Total_vente]]/RAPPORT_FINAL[[#This Row],[ECART.Quantite]],0)</f>
        <v>0</v>
      </c>
      <c r="AE102" s="92">
        <f>IFERROR(RAPPORT_FINAL[[#This Row],[ECART.Quantite]]*RAPPORT_FINAL[[#This Row],[INVENTAIRE.Prix_vente]],"")</f>
        <v>0</v>
      </c>
    </row>
    <row r="103" spans="1:31" hidden="1" x14ac:dyDescent="0.25">
      <c r="A103" s="82" t="s">
        <v>30</v>
      </c>
      <c r="B103" s="3" t="s">
        <v>76</v>
      </c>
      <c r="C103" s="80" t="s">
        <v>283</v>
      </c>
      <c r="D103" s="3" t="s">
        <v>56</v>
      </c>
      <c r="E103" s="31" t="s">
        <v>97</v>
      </c>
      <c r="F103" s="85" cm="1">
        <f t="array" ref="F10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103" s="80" cm="1">
        <f t="array" ref="G10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9200</v>
      </c>
      <c r="H103" s="80">
        <f>IF(RAPPORT_FINAL[[#This Row],[INVENTAIRE_PREC.Prix_vente]]="","",RAPPORT_FINAL[[#This Row],[INVENTAIRE_PREC.Quantite]]*RAPPORT_FINAL[[#This Row],[INVENTAIRE_PREC.Prix_cout]])</f>
        <v>9200</v>
      </c>
      <c r="I103" s="83" cm="1">
        <f t="array" ref="I10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15000</v>
      </c>
      <c r="J103" s="88">
        <f>IF(RAPPORT_FINAL[[#This Row],[INVENTAIRE_PREC.Prix_vente]]="","",RAPPORT_FINAL[[#This Row],[INVENTAIRE_PREC.Quantite]]*RAPPORT_FINAL[[#This Row],[INVENTAIRE_PREC.Prix_vente]])</f>
        <v>15000</v>
      </c>
      <c r="K103" s="24"/>
      <c r="L103" s="11"/>
      <c r="M103" s="25"/>
      <c r="N103" s="24"/>
      <c r="O103" s="11"/>
      <c r="P103" s="25"/>
      <c r="Q103" s="85">
        <v>1</v>
      </c>
      <c r="R103" s="80" cm="1">
        <f t="array" ref="R10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9200</v>
      </c>
      <c r="S103" s="80">
        <f>RAPPORT_FINAL[[#This Row],[INVENTAIRE.Quantite]]*RAPPORT_FINAL[[#This Row],[INVENTAIRE.Prix_cout]]</f>
        <v>9200</v>
      </c>
      <c r="T103" s="83" cm="1">
        <f t="array" ref="T10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15000</v>
      </c>
      <c r="U103" s="88">
        <f>IF(OR(RAPPORT_FINAL[[#This Row],[INVENTAIRE.Quantite]]="",RAPPORT_FINAL[[#This Row],[INVENTAIRE.Prix_vente]]=""),"",RAPPORT_FINAL[[#This Row],[INVENTAIRE.Quantite]]*RAPPORT_FINAL[[#This Row],[INVENTAIRE.Prix_vente]])</f>
        <v>15000</v>
      </c>
      <c r="V10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03" s="24">
        <f>RAPPORT_FINAL[[#This Row],[INVENTAIRE.Prix_cout]]</f>
        <v>9200</v>
      </c>
      <c r="X103" s="85">
        <f>RAPPORT_FINAL[[#This Row],[INVENTAIRE_THEORIQUE]]*RAPPORT_FINAL[[#This Row],[INVENTAIRE_THEORIQUE.Prix_cout]]</f>
        <v>9200</v>
      </c>
      <c r="Y103" s="85">
        <f>RAPPORT_FINAL[[#This Row],[INVENTAIRE.Prix_vente]]</f>
        <v>15000</v>
      </c>
      <c r="Z103" s="85">
        <f>RAPPORT_FINAL[[#This Row],[INVENTAIRE_THEORIQUE]]*RAPPORT_FINAL[[#This Row],[INVENTAIRE_THEORIQUE.Prix_vente]]</f>
        <v>15000</v>
      </c>
      <c r="AA103" s="85">
        <f>RAPPORT_FINAL[[#This Row],[INVENTAIRE.Quantite]]-RAPPORT_FINAL[[#This Row],[INVENTAIRE_THEORIQUE]]</f>
        <v>0</v>
      </c>
      <c r="AB103" s="90">
        <f>IFERROR(RAPPORT_FINAL[[#This Row],[ECART.Total_cout]]/RAPPORT_FINAL[[#This Row],[ECART.Quantite]],0)</f>
        <v>0</v>
      </c>
      <c r="AC103" s="91">
        <f>IFERROR(RAPPORT_FINAL[[#This Row],[ECART.Quantite]]*RAPPORT_FINAL[[#This Row],[INVENTAIRE.Prix_cout]],"")</f>
        <v>0</v>
      </c>
      <c r="AD103" s="83">
        <f>IFERROR(RAPPORT_FINAL[[#This Row],[ECART.Total_vente]]/RAPPORT_FINAL[[#This Row],[ECART.Quantite]],0)</f>
        <v>0</v>
      </c>
      <c r="AE103" s="92">
        <f>IFERROR(RAPPORT_FINAL[[#This Row],[ECART.Quantite]]*RAPPORT_FINAL[[#This Row],[INVENTAIRE.Prix_vente]],"")</f>
        <v>0</v>
      </c>
    </row>
    <row r="104" spans="1:31" hidden="1" x14ac:dyDescent="0.25">
      <c r="A104" s="82" t="s">
        <v>30</v>
      </c>
      <c r="B104" s="3" t="s">
        <v>76</v>
      </c>
      <c r="C104" s="80" t="s">
        <v>283</v>
      </c>
      <c r="D104" s="3" t="s">
        <v>57</v>
      </c>
      <c r="E104" s="31" t="s">
        <v>97</v>
      </c>
      <c r="F104" s="85" cm="1">
        <f t="array" ref="F10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104" s="80" cm="1">
        <f t="array" ref="G10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17375</v>
      </c>
      <c r="H104" s="80">
        <f>IF(RAPPORT_FINAL[[#This Row],[INVENTAIRE_PREC.Prix_vente]]="","",RAPPORT_FINAL[[#This Row],[INVENTAIRE_PREC.Quantite]]*RAPPORT_FINAL[[#This Row],[INVENTAIRE_PREC.Prix_cout]])</f>
        <v>17375</v>
      </c>
      <c r="I104" s="83" cm="1">
        <f t="array" ref="I10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25000</v>
      </c>
      <c r="J104" s="88">
        <f>IF(RAPPORT_FINAL[[#This Row],[INVENTAIRE_PREC.Prix_vente]]="","",RAPPORT_FINAL[[#This Row],[INVENTAIRE_PREC.Quantite]]*RAPPORT_FINAL[[#This Row],[INVENTAIRE_PREC.Prix_vente]])</f>
        <v>25000</v>
      </c>
      <c r="K104" s="24"/>
      <c r="L104" s="11"/>
      <c r="M104" s="25"/>
      <c r="N104" s="24"/>
      <c r="O104" s="11"/>
      <c r="P104" s="25"/>
      <c r="Q104" s="85">
        <v>1</v>
      </c>
      <c r="R104" s="80" cm="1">
        <f t="array" ref="R10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17375</v>
      </c>
      <c r="S104" s="80">
        <f>RAPPORT_FINAL[[#This Row],[INVENTAIRE.Quantite]]*RAPPORT_FINAL[[#This Row],[INVENTAIRE.Prix_cout]]</f>
        <v>17375</v>
      </c>
      <c r="T104" s="83" cm="1">
        <f t="array" ref="T10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25000</v>
      </c>
      <c r="U104" s="88">
        <f>IF(OR(RAPPORT_FINAL[[#This Row],[INVENTAIRE.Quantite]]="",RAPPORT_FINAL[[#This Row],[INVENTAIRE.Prix_vente]]=""),"",RAPPORT_FINAL[[#This Row],[INVENTAIRE.Quantite]]*RAPPORT_FINAL[[#This Row],[INVENTAIRE.Prix_vente]])</f>
        <v>25000</v>
      </c>
      <c r="V10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04" s="24">
        <f>RAPPORT_FINAL[[#This Row],[INVENTAIRE.Prix_cout]]</f>
        <v>17375</v>
      </c>
      <c r="X104" s="85">
        <f>RAPPORT_FINAL[[#This Row],[INVENTAIRE_THEORIQUE]]*RAPPORT_FINAL[[#This Row],[INVENTAIRE_THEORIQUE.Prix_cout]]</f>
        <v>17375</v>
      </c>
      <c r="Y104" s="85">
        <f>RAPPORT_FINAL[[#This Row],[INVENTAIRE.Prix_vente]]</f>
        <v>25000</v>
      </c>
      <c r="Z104" s="85">
        <f>RAPPORT_FINAL[[#This Row],[INVENTAIRE_THEORIQUE]]*RAPPORT_FINAL[[#This Row],[INVENTAIRE_THEORIQUE.Prix_vente]]</f>
        <v>25000</v>
      </c>
      <c r="AA104" s="85">
        <f>RAPPORT_FINAL[[#This Row],[INVENTAIRE.Quantite]]-RAPPORT_FINAL[[#This Row],[INVENTAIRE_THEORIQUE]]</f>
        <v>0</v>
      </c>
      <c r="AB104" s="90">
        <f>IFERROR(RAPPORT_FINAL[[#This Row],[ECART.Total_cout]]/RAPPORT_FINAL[[#This Row],[ECART.Quantite]],0)</f>
        <v>0</v>
      </c>
      <c r="AC104" s="91">
        <f>IFERROR(RAPPORT_FINAL[[#This Row],[ECART.Quantite]]*RAPPORT_FINAL[[#This Row],[INVENTAIRE.Prix_cout]],"")</f>
        <v>0</v>
      </c>
      <c r="AD104" s="83">
        <f>IFERROR(RAPPORT_FINAL[[#This Row],[ECART.Total_vente]]/RAPPORT_FINAL[[#This Row],[ECART.Quantite]],0)</f>
        <v>0</v>
      </c>
      <c r="AE104" s="92">
        <f>IFERROR(RAPPORT_FINAL[[#This Row],[ECART.Quantite]]*RAPPORT_FINAL[[#This Row],[INVENTAIRE.Prix_vente]],"")</f>
        <v>0</v>
      </c>
    </row>
    <row r="105" spans="1:31" hidden="1" x14ac:dyDescent="0.25">
      <c r="A105" s="82" t="s">
        <v>30</v>
      </c>
      <c r="B105" s="3" t="s">
        <v>76</v>
      </c>
      <c r="C105" s="80" t="s">
        <v>283</v>
      </c>
      <c r="D105" s="3" t="s">
        <v>57</v>
      </c>
      <c r="E105" s="31" t="s">
        <v>97</v>
      </c>
      <c r="F105" s="85" cm="1">
        <f t="array" ref="F10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105" s="80" cm="1">
        <f t="array" ref="G10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17375</v>
      </c>
      <c r="H105" s="80">
        <f>IF(RAPPORT_FINAL[[#This Row],[INVENTAIRE_PREC.Prix_vente]]="","",RAPPORT_FINAL[[#This Row],[INVENTAIRE_PREC.Quantite]]*RAPPORT_FINAL[[#This Row],[INVENTAIRE_PREC.Prix_cout]])</f>
        <v>17375</v>
      </c>
      <c r="I105" s="83" cm="1">
        <f t="array" ref="I10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25000</v>
      </c>
      <c r="J105" s="88">
        <f>IF(RAPPORT_FINAL[[#This Row],[INVENTAIRE_PREC.Prix_vente]]="","",RAPPORT_FINAL[[#This Row],[INVENTAIRE_PREC.Quantite]]*RAPPORT_FINAL[[#This Row],[INVENTAIRE_PREC.Prix_vente]])</f>
        <v>25000</v>
      </c>
      <c r="K105" s="24"/>
      <c r="L105" s="11"/>
      <c r="M105" s="25"/>
      <c r="N105" s="24"/>
      <c r="O105" s="11"/>
      <c r="P105" s="25"/>
      <c r="Q105" s="85">
        <v>1</v>
      </c>
      <c r="R105" s="80" cm="1">
        <f t="array" ref="R10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17375</v>
      </c>
      <c r="S105" s="80">
        <f>RAPPORT_FINAL[[#This Row],[INVENTAIRE.Quantite]]*RAPPORT_FINAL[[#This Row],[INVENTAIRE.Prix_cout]]</f>
        <v>17375</v>
      </c>
      <c r="T105" s="83" cm="1">
        <f t="array" ref="T10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25000</v>
      </c>
      <c r="U105" s="88">
        <f>IF(OR(RAPPORT_FINAL[[#This Row],[INVENTAIRE.Quantite]]="",RAPPORT_FINAL[[#This Row],[INVENTAIRE.Prix_vente]]=""),"",RAPPORT_FINAL[[#This Row],[INVENTAIRE.Quantite]]*RAPPORT_FINAL[[#This Row],[INVENTAIRE.Prix_vente]])</f>
        <v>25000</v>
      </c>
      <c r="V10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05" s="24">
        <f>RAPPORT_FINAL[[#This Row],[INVENTAIRE.Prix_cout]]</f>
        <v>17375</v>
      </c>
      <c r="X105" s="85">
        <f>RAPPORT_FINAL[[#This Row],[INVENTAIRE_THEORIQUE]]*RAPPORT_FINAL[[#This Row],[INVENTAIRE_THEORIQUE.Prix_cout]]</f>
        <v>17375</v>
      </c>
      <c r="Y105" s="85">
        <f>RAPPORT_FINAL[[#This Row],[INVENTAIRE.Prix_vente]]</f>
        <v>25000</v>
      </c>
      <c r="Z105" s="85">
        <f>RAPPORT_FINAL[[#This Row],[INVENTAIRE_THEORIQUE]]*RAPPORT_FINAL[[#This Row],[INVENTAIRE_THEORIQUE.Prix_vente]]</f>
        <v>25000</v>
      </c>
      <c r="AA105" s="85">
        <f>RAPPORT_FINAL[[#This Row],[INVENTAIRE.Quantite]]-RAPPORT_FINAL[[#This Row],[INVENTAIRE_THEORIQUE]]</f>
        <v>0</v>
      </c>
      <c r="AB105" s="90">
        <f>IFERROR(RAPPORT_FINAL[[#This Row],[ECART.Total_cout]]/RAPPORT_FINAL[[#This Row],[ECART.Quantite]],0)</f>
        <v>0</v>
      </c>
      <c r="AC105" s="91">
        <f>IFERROR(RAPPORT_FINAL[[#This Row],[ECART.Quantite]]*RAPPORT_FINAL[[#This Row],[INVENTAIRE.Prix_cout]],"")</f>
        <v>0</v>
      </c>
      <c r="AD105" s="83">
        <f>IFERROR(RAPPORT_FINAL[[#This Row],[ECART.Total_vente]]/RAPPORT_FINAL[[#This Row],[ECART.Quantite]],0)</f>
        <v>0</v>
      </c>
      <c r="AE105" s="92">
        <f>IFERROR(RAPPORT_FINAL[[#This Row],[ECART.Quantite]]*RAPPORT_FINAL[[#This Row],[INVENTAIRE.Prix_vente]],"")</f>
        <v>0</v>
      </c>
    </row>
    <row r="106" spans="1:31" hidden="1" x14ac:dyDescent="0.25">
      <c r="A106" s="82" t="s">
        <v>30</v>
      </c>
      <c r="B106" s="3" t="s">
        <v>76</v>
      </c>
      <c r="C106" s="80" t="s">
        <v>283</v>
      </c>
      <c r="D106" s="3" t="s">
        <v>85</v>
      </c>
      <c r="E106" s="31" t="s">
        <v>97</v>
      </c>
      <c r="F106" s="85" cm="1">
        <f t="array" ref="F10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3</v>
      </c>
      <c r="G106" s="80" cm="1">
        <f t="array" ref="G10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3000</v>
      </c>
      <c r="H106" s="80">
        <f>IF(RAPPORT_FINAL[[#This Row],[INVENTAIRE_PREC.Prix_vente]]="","",RAPPORT_FINAL[[#This Row],[INVENTAIRE_PREC.Quantite]]*RAPPORT_FINAL[[#This Row],[INVENTAIRE_PREC.Prix_cout]])</f>
        <v>9000</v>
      </c>
      <c r="I106" s="83" cm="1">
        <f t="array" ref="I10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6500</v>
      </c>
      <c r="J106" s="88">
        <f>IF(RAPPORT_FINAL[[#This Row],[INVENTAIRE_PREC.Prix_vente]]="","",RAPPORT_FINAL[[#This Row],[INVENTAIRE_PREC.Quantite]]*RAPPORT_FINAL[[#This Row],[INVENTAIRE_PREC.Prix_vente]])</f>
        <v>19500</v>
      </c>
      <c r="K106" s="24"/>
      <c r="L106" s="11"/>
      <c r="M106" s="25"/>
      <c r="N106" s="24"/>
      <c r="O106" s="11"/>
      <c r="P106" s="25"/>
      <c r="Q106" s="85">
        <v>3</v>
      </c>
      <c r="R106" s="80" cm="1">
        <f t="array" ref="R10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3000</v>
      </c>
      <c r="S106" s="80">
        <f>RAPPORT_FINAL[[#This Row],[INVENTAIRE.Quantite]]*RAPPORT_FINAL[[#This Row],[INVENTAIRE.Prix_cout]]</f>
        <v>9000</v>
      </c>
      <c r="T106" s="83" cm="1">
        <f t="array" ref="T10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6500</v>
      </c>
      <c r="U106" s="88">
        <f>IF(OR(RAPPORT_FINAL[[#This Row],[INVENTAIRE.Quantite]]="",RAPPORT_FINAL[[#This Row],[INVENTAIRE.Prix_vente]]=""),"",RAPPORT_FINAL[[#This Row],[INVENTAIRE.Quantite]]*RAPPORT_FINAL[[#This Row],[INVENTAIRE.Prix_vente]])</f>
        <v>19500</v>
      </c>
      <c r="V10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3</v>
      </c>
      <c r="W106" s="24">
        <f>RAPPORT_FINAL[[#This Row],[INVENTAIRE.Prix_cout]]</f>
        <v>3000</v>
      </c>
      <c r="X106" s="85">
        <f>RAPPORT_FINAL[[#This Row],[INVENTAIRE_THEORIQUE]]*RAPPORT_FINAL[[#This Row],[INVENTAIRE_THEORIQUE.Prix_cout]]</f>
        <v>9000</v>
      </c>
      <c r="Y106" s="85">
        <f>RAPPORT_FINAL[[#This Row],[INVENTAIRE.Prix_vente]]</f>
        <v>6500</v>
      </c>
      <c r="Z106" s="85">
        <f>RAPPORT_FINAL[[#This Row],[INVENTAIRE_THEORIQUE]]*RAPPORT_FINAL[[#This Row],[INVENTAIRE_THEORIQUE.Prix_vente]]</f>
        <v>19500</v>
      </c>
      <c r="AA106" s="85">
        <f>RAPPORT_FINAL[[#This Row],[INVENTAIRE.Quantite]]-RAPPORT_FINAL[[#This Row],[INVENTAIRE_THEORIQUE]]</f>
        <v>0</v>
      </c>
      <c r="AB106" s="90">
        <f>IFERROR(RAPPORT_FINAL[[#This Row],[ECART.Total_cout]]/RAPPORT_FINAL[[#This Row],[ECART.Quantite]],0)</f>
        <v>0</v>
      </c>
      <c r="AC106" s="91">
        <f>IFERROR(RAPPORT_FINAL[[#This Row],[ECART.Quantite]]*RAPPORT_FINAL[[#This Row],[INVENTAIRE.Prix_cout]],"")</f>
        <v>0</v>
      </c>
      <c r="AD106" s="83">
        <f>IFERROR(RAPPORT_FINAL[[#This Row],[ECART.Total_vente]]/RAPPORT_FINAL[[#This Row],[ECART.Quantite]],0)</f>
        <v>0</v>
      </c>
      <c r="AE106" s="92">
        <f>IFERROR(RAPPORT_FINAL[[#This Row],[ECART.Quantite]]*RAPPORT_FINAL[[#This Row],[INVENTAIRE.Prix_vente]],"")</f>
        <v>0</v>
      </c>
    </row>
    <row r="107" spans="1:31" hidden="1" x14ac:dyDescent="0.25">
      <c r="A107" s="82" t="s">
        <v>30</v>
      </c>
      <c r="B107" s="3" t="s">
        <v>76</v>
      </c>
      <c r="C107" s="80" t="s">
        <v>283</v>
      </c>
      <c r="D107" s="3" t="s">
        <v>80</v>
      </c>
      <c r="E107" s="31" t="s">
        <v>97</v>
      </c>
      <c r="F107" s="85" cm="1">
        <f t="array" ref="F10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107" s="80" cm="1">
        <f t="array" ref="G10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9850</v>
      </c>
      <c r="H107" s="80">
        <f>IF(RAPPORT_FINAL[[#This Row],[INVENTAIRE_PREC.Prix_vente]]="","",RAPPORT_FINAL[[#This Row],[INVENTAIRE_PREC.Quantite]]*RAPPORT_FINAL[[#This Row],[INVENTAIRE_PREC.Prix_cout]])</f>
        <v>9850</v>
      </c>
      <c r="I107" s="83" cm="1">
        <f t="array" ref="I10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15000</v>
      </c>
      <c r="J107" s="88">
        <f>IF(RAPPORT_FINAL[[#This Row],[INVENTAIRE_PREC.Prix_vente]]="","",RAPPORT_FINAL[[#This Row],[INVENTAIRE_PREC.Quantite]]*RAPPORT_FINAL[[#This Row],[INVENTAIRE_PREC.Prix_vente]])</f>
        <v>15000</v>
      </c>
      <c r="K107" s="24"/>
      <c r="L107" s="11"/>
      <c r="M107" s="25"/>
      <c r="N107" s="24"/>
      <c r="O107" s="11"/>
      <c r="P107" s="25"/>
      <c r="Q107" s="85">
        <v>1</v>
      </c>
      <c r="R107" s="80" cm="1">
        <f t="array" ref="R10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9850</v>
      </c>
      <c r="S107" s="80">
        <f>RAPPORT_FINAL[[#This Row],[INVENTAIRE.Quantite]]*RAPPORT_FINAL[[#This Row],[INVENTAIRE.Prix_cout]]</f>
        <v>9850</v>
      </c>
      <c r="T107" s="83" cm="1">
        <f t="array" ref="T10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15000</v>
      </c>
      <c r="U107" s="88">
        <f>IF(OR(RAPPORT_FINAL[[#This Row],[INVENTAIRE.Quantite]]="",RAPPORT_FINAL[[#This Row],[INVENTAIRE.Prix_vente]]=""),"",RAPPORT_FINAL[[#This Row],[INVENTAIRE.Quantite]]*RAPPORT_FINAL[[#This Row],[INVENTAIRE.Prix_vente]])</f>
        <v>15000</v>
      </c>
      <c r="V10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07" s="24">
        <f>RAPPORT_FINAL[[#This Row],[INVENTAIRE.Prix_cout]]</f>
        <v>9850</v>
      </c>
      <c r="X107" s="85">
        <f>RAPPORT_FINAL[[#This Row],[INVENTAIRE_THEORIQUE]]*RAPPORT_FINAL[[#This Row],[INVENTAIRE_THEORIQUE.Prix_cout]]</f>
        <v>9850</v>
      </c>
      <c r="Y107" s="85">
        <f>RAPPORT_FINAL[[#This Row],[INVENTAIRE.Prix_vente]]</f>
        <v>15000</v>
      </c>
      <c r="Z107" s="85">
        <f>RAPPORT_FINAL[[#This Row],[INVENTAIRE_THEORIQUE]]*RAPPORT_FINAL[[#This Row],[INVENTAIRE_THEORIQUE.Prix_vente]]</f>
        <v>15000</v>
      </c>
      <c r="AA107" s="85">
        <f>RAPPORT_FINAL[[#This Row],[INVENTAIRE.Quantite]]-RAPPORT_FINAL[[#This Row],[INVENTAIRE_THEORIQUE]]</f>
        <v>0</v>
      </c>
      <c r="AB107" s="90">
        <f>IFERROR(RAPPORT_FINAL[[#This Row],[ECART.Total_cout]]/RAPPORT_FINAL[[#This Row],[ECART.Quantite]],0)</f>
        <v>0</v>
      </c>
      <c r="AC107" s="91">
        <f>IFERROR(RAPPORT_FINAL[[#This Row],[ECART.Quantite]]*RAPPORT_FINAL[[#This Row],[INVENTAIRE.Prix_cout]],"")</f>
        <v>0</v>
      </c>
      <c r="AD107" s="83">
        <f>IFERROR(RAPPORT_FINAL[[#This Row],[ECART.Total_vente]]/RAPPORT_FINAL[[#This Row],[ECART.Quantite]],0)</f>
        <v>0</v>
      </c>
      <c r="AE107" s="92">
        <f>IFERROR(RAPPORT_FINAL[[#This Row],[ECART.Quantite]]*RAPPORT_FINAL[[#This Row],[INVENTAIRE.Prix_vente]],"")</f>
        <v>0</v>
      </c>
    </row>
    <row r="108" spans="1:31" hidden="1" x14ac:dyDescent="0.25">
      <c r="A108" s="82" t="s">
        <v>30</v>
      </c>
      <c r="B108" s="3" t="s">
        <v>76</v>
      </c>
      <c r="C108" s="80" t="s">
        <v>283</v>
      </c>
      <c r="D108" s="3" t="s">
        <v>44</v>
      </c>
      <c r="E108" s="31" t="s">
        <v>97</v>
      </c>
      <c r="F108" s="85" cm="1">
        <f t="array" ref="F10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</v>
      </c>
      <c r="G108" s="80" cm="1">
        <f t="array" ref="G10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600</v>
      </c>
      <c r="H108" s="80">
        <f>IF(RAPPORT_FINAL[[#This Row],[INVENTAIRE_PREC.Prix_vente]]="","",RAPPORT_FINAL[[#This Row],[INVENTAIRE_PREC.Quantite]]*RAPPORT_FINAL[[#This Row],[INVENTAIRE_PREC.Prix_cout]])</f>
        <v>2400</v>
      </c>
      <c r="I108" s="83" cm="1">
        <f t="array" ref="I10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08" s="88">
        <f>IF(RAPPORT_FINAL[[#This Row],[INVENTAIRE_PREC.Prix_vente]]="","",RAPPORT_FINAL[[#This Row],[INVENTAIRE_PREC.Quantite]]*RAPPORT_FINAL[[#This Row],[INVENTAIRE_PREC.Prix_vente]])</f>
        <v>4000</v>
      </c>
      <c r="K108" s="24"/>
      <c r="L108" s="11"/>
      <c r="M108" s="25"/>
      <c r="N108" s="24">
        <v>3</v>
      </c>
      <c r="O108" s="11">
        <v>1000</v>
      </c>
      <c r="P108" s="25">
        <v>3000</v>
      </c>
      <c r="Q108" s="85">
        <v>1</v>
      </c>
      <c r="R108" s="80" cm="1">
        <f t="array" ref="R10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600</v>
      </c>
      <c r="S108" s="80">
        <f>RAPPORT_FINAL[[#This Row],[INVENTAIRE.Quantite]]*RAPPORT_FINAL[[#This Row],[INVENTAIRE.Prix_cout]]</f>
        <v>600</v>
      </c>
      <c r="T108" s="83" cm="1">
        <f t="array" ref="T10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08" s="88">
        <f>IF(OR(RAPPORT_FINAL[[#This Row],[INVENTAIRE.Quantite]]="",RAPPORT_FINAL[[#This Row],[INVENTAIRE.Prix_vente]]=""),"",RAPPORT_FINAL[[#This Row],[INVENTAIRE.Quantite]]*RAPPORT_FINAL[[#This Row],[INVENTAIRE.Prix_vente]])</f>
        <v>1000</v>
      </c>
      <c r="V10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08" s="24">
        <f>RAPPORT_FINAL[[#This Row],[INVENTAIRE.Prix_cout]]</f>
        <v>600</v>
      </c>
      <c r="X108" s="85">
        <f>RAPPORT_FINAL[[#This Row],[INVENTAIRE_THEORIQUE]]*RAPPORT_FINAL[[#This Row],[INVENTAIRE_THEORIQUE.Prix_cout]]</f>
        <v>600</v>
      </c>
      <c r="Y108" s="85">
        <f>RAPPORT_FINAL[[#This Row],[INVENTAIRE.Prix_vente]]</f>
        <v>1000</v>
      </c>
      <c r="Z108" s="85">
        <f>RAPPORT_FINAL[[#This Row],[INVENTAIRE_THEORIQUE]]*RAPPORT_FINAL[[#This Row],[INVENTAIRE_THEORIQUE.Prix_vente]]</f>
        <v>1000</v>
      </c>
      <c r="AA108" s="85">
        <f>RAPPORT_FINAL[[#This Row],[INVENTAIRE.Quantite]]-RAPPORT_FINAL[[#This Row],[INVENTAIRE_THEORIQUE]]</f>
        <v>0</v>
      </c>
      <c r="AB108" s="90">
        <f>IFERROR(RAPPORT_FINAL[[#This Row],[ECART.Total_cout]]/RAPPORT_FINAL[[#This Row],[ECART.Quantite]],0)</f>
        <v>0</v>
      </c>
      <c r="AC108" s="91">
        <f>IFERROR(RAPPORT_FINAL[[#This Row],[ECART.Quantite]]*RAPPORT_FINAL[[#This Row],[INVENTAIRE.Prix_cout]],"")</f>
        <v>0</v>
      </c>
      <c r="AD108" s="83">
        <f>IFERROR(RAPPORT_FINAL[[#This Row],[ECART.Total_vente]]/RAPPORT_FINAL[[#This Row],[ECART.Quantite]],0)</f>
        <v>0</v>
      </c>
      <c r="AE108" s="92">
        <f>IFERROR(RAPPORT_FINAL[[#This Row],[ECART.Quantite]]*RAPPORT_FINAL[[#This Row],[INVENTAIRE.Prix_vente]],"")</f>
        <v>0</v>
      </c>
    </row>
    <row r="109" spans="1:31" hidden="1" x14ac:dyDescent="0.25">
      <c r="A109" s="82" t="s">
        <v>30</v>
      </c>
      <c r="B109" s="3" t="s">
        <v>76</v>
      </c>
      <c r="C109" s="80" t="s">
        <v>283</v>
      </c>
      <c r="D109" s="3" t="s">
        <v>128</v>
      </c>
      <c r="E109" s="31" t="s">
        <v>134</v>
      </c>
      <c r="F109" s="85" cm="1">
        <f t="array" ref="F10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7</v>
      </c>
      <c r="G109" s="80" cm="1">
        <f t="array" ref="G10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635.41999999999996</v>
      </c>
      <c r="H109" s="80">
        <f>IF(RAPPORT_FINAL[[#This Row],[INVENTAIRE_PREC.Prix_vente]]="","",RAPPORT_FINAL[[#This Row],[INVENTAIRE_PREC.Quantite]]*RAPPORT_FINAL[[#This Row],[INVENTAIRE_PREC.Prix_cout]])</f>
        <v>4447.9399999999996</v>
      </c>
      <c r="I109" s="83" cm="1">
        <f t="array" ref="I10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</v>
      </c>
      <c r="J109" s="88">
        <f>IF(RAPPORT_FINAL[[#This Row],[INVENTAIRE_PREC.Prix_vente]]="","",RAPPORT_FINAL[[#This Row],[INVENTAIRE_PREC.Quantite]]*RAPPORT_FINAL[[#This Row],[INVENTAIRE_PREC.Prix_vente]])</f>
        <v>10500</v>
      </c>
      <c r="K109" s="24"/>
      <c r="L109" s="11"/>
      <c r="M109" s="25"/>
      <c r="N109" s="24">
        <v>1</v>
      </c>
      <c r="O109" s="11">
        <v>1500</v>
      </c>
      <c r="P109" s="25">
        <v>1500</v>
      </c>
      <c r="Q109" s="85">
        <v>6</v>
      </c>
      <c r="R109" s="80" cm="1">
        <f t="array" ref="R10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635.41999999999996</v>
      </c>
      <c r="S109" s="80">
        <f>RAPPORT_FINAL[[#This Row],[INVENTAIRE.Quantite]]*RAPPORT_FINAL[[#This Row],[INVENTAIRE.Prix_cout]]</f>
        <v>3812.5199999999995</v>
      </c>
      <c r="T109" s="83" cm="1">
        <f t="array" ref="T10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</v>
      </c>
      <c r="U109" s="88">
        <f>IF(OR(RAPPORT_FINAL[[#This Row],[INVENTAIRE.Quantite]]="",RAPPORT_FINAL[[#This Row],[INVENTAIRE.Prix_vente]]=""),"",RAPPORT_FINAL[[#This Row],[INVENTAIRE.Quantite]]*RAPPORT_FINAL[[#This Row],[INVENTAIRE.Prix_vente]])</f>
        <v>9000</v>
      </c>
      <c r="V10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109" s="24">
        <f>RAPPORT_FINAL[[#This Row],[INVENTAIRE.Prix_cout]]</f>
        <v>635.41999999999996</v>
      </c>
      <c r="X109" s="85">
        <f>RAPPORT_FINAL[[#This Row],[INVENTAIRE_THEORIQUE]]*RAPPORT_FINAL[[#This Row],[INVENTAIRE_THEORIQUE.Prix_cout]]</f>
        <v>3812.5199999999995</v>
      </c>
      <c r="Y109" s="85">
        <f>RAPPORT_FINAL[[#This Row],[INVENTAIRE.Prix_vente]]</f>
        <v>1500</v>
      </c>
      <c r="Z109" s="85">
        <f>RAPPORT_FINAL[[#This Row],[INVENTAIRE_THEORIQUE]]*RAPPORT_FINAL[[#This Row],[INVENTAIRE_THEORIQUE.Prix_vente]]</f>
        <v>9000</v>
      </c>
      <c r="AA109" s="85">
        <f>RAPPORT_FINAL[[#This Row],[INVENTAIRE.Quantite]]-RAPPORT_FINAL[[#This Row],[INVENTAIRE_THEORIQUE]]</f>
        <v>0</v>
      </c>
      <c r="AB109" s="90">
        <f>IFERROR(RAPPORT_FINAL[[#This Row],[ECART.Total_cout]]/RAPPORT_FINAL[[#This Row],[ECART.Quantite]],0)</f>
        <v>0</v>
      </c>
      <c r="AC109" s="91">
        <f>IFERROR(RAPPORT_FINAL[[#This Row],[ECART.Quantite]]*RAPPORT_FINAL[[#This Row],[INVENTAIRE.Prix_cout]],"")</f>
        <v>0</v>
      </c>
      <c r="AD109" s="83">
        <f>IFERROR(RAPPORT_FINAL[[#This Row],[ECART.Total_vente]]/RAPPORT_FINAL[[#This Row],[ECART.Quantite]],0)</f>
        <v>0</v>
      </c>
      <c r="AE109" s="92">
        <f>IFERROR(RAPPORT_FINAL[[#This Row],[ECART.Quantite]]*RAPPORT_FINAL[[#This Row],[INVENTAIRE.Prix_vente]],"")</f>
        <v>0</v>
      </c>
    </row>
    <row r="110" spans="1:31" hidden="1" x14ac:dyDescent="0.25">
      <c r="A110" s="82" t="s">
        <v>30</v>
      </c>
      <c r="B110" s="3" t="s">
        <v>76</v>
      </c>
      <c r="C110" s="80" t="s">
        <v>283</v>
      </c>
      <c r="D110" s="3" t="s">
        <v>128</v>
      </c>
      <c r="E110" s="31" t="s">
        <v>134</v>
      </c>
      <c r="F110" s="85" cm="1">
        <f t="array" ref="F11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7</v>
      </c>
      <c r="G110" s="80" cm="1">
        <f t="array" ref="G11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635.41999999999996</v>
      </c>
      <c r="H110" s="80">
        <f>IF(RAPPORT_FINAL[[#This Row],[INVENTAIRE_PREC.Prix_vente]]="","",RAPPORT_FINAL[[#This Row],[INVENTAIRE_PREC.Quantite]]*RAPPORT_FINAL[[#This Row],[INVENTAIRE_PREC.Prix_cout]])</f>
        <v>4447.9399999999996</v>
      </c>
      <c r="I110" s="83" cm="1">
        <f t="array" ref="I11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</v>
      </c>
      <c r="J110" s="88">
        <f>IF(RAPPORT_FINAL[[#This Row],[INVENTAIRE_PREC.Prix_vente]]="","",RAPPORT_FINAL[[#This Row],[INVENTAIRE_PREC.Quantite]]*RAPPORT_FINAL[[#This Row],[INVENTAIRE_PREC.Prix_vente]])</f>
        <v>10500</v>
      </c>
      <c r="K110" s="24"/>
      <c r="L110" s="11"/>
      <c r="M110" s="25"/>
      <c r="N110" s="24">
        <v>1</v>
      </c>
      <c r="O110" s="11">
        <v>1500</v>
      </c>
      <c r="P110" s="25">
        <v>1500</v>
      </c>
      <c r="Q110" s="85">
        <v>6</v>
      </c>
      <c r="R110" s="80" cm="1">
        <f t="array" ref="R11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635.41999999999996</v>
      </c>
      <c r="S110" s="80">
        <f>RAPPORT_FINAL[[#This Row],[INVENTAIRE.Quantite]]*RAPPORT_FINAL[[#This Row],[INVENTAIRE.Prix_cout]]</f>
        <v>3812.5199999999995</v>
      </c>
      <c r="T110" s="83" cm="1">
        <f t="array" ref="T11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</v>
      </c>
      <c r="U110" s="88">
        <f>IF(OR(RAPPORT_FINAL[[#This Row],[INVENTAIRE.Quantite]]="",RAPPORT_FINAL[[#This Row],[INVENTAIRE.Prix_vente]]=""),"",RAPPORT_FINAL[[#This Row],[INVENTAIRE.Quantite]]*RAPPORT_FINAL[[#This Row],[INVENTAIRE.Prix_vente]])</f>
        <v>9000</v>
      </c>
      <c r="V11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110" s="24">
        <f>RAPPORT_FINAL[[#This Row],[INVENTAIRE.Prix_cout]]</f>
        <v>635.41999999999996</v>
      </c>
      <c r="X110" s="85">
        <f>RAPPORT_FINAL[[#This Row],[INVENTAIRE_THEORIQUE]]*RAPPORT_FINAL[[#This Row],[INVENTAIRE_THEORIQUE.Prix_cout]]</f>
        <v>3812.5199999999995</v>
      </c>
      <c r="Y110" s="85">
        <f>RAPPORT_FINAL[[#This Row],[INVENTAIRE.Prix_vente]]</f>
        <v>1500</v>
      </c>
      <c r="Z110" s="85">
        <f>RAPPORT_FINAL[[#This Row],[INVENTAIRE_THEORIQUE]]*RAPPORT_FINAL[[#This Row],[INVENTAIRE_THEORIQUE.Prix_vente]]</f>
        <v>9000</v>
      </c>
      <c r="AA110" s="85">
        <f>RAPPORT_FINAL[[#This Row],[INVENTAIRE.Quantite]]-RAPPORT_FINAL[[#This Row],[INVENTAIRE_THEORIQUE]]</f>
        <v>0</v>
      </c>
      <c r="AB110" s="90">
        <f>IFERROR(RAPPORT_FINAL[[#This Row],[ECART.Total_cout]]/RAPPORT_FINAL[[#This Row],[ECART.Quantite]],0)</f>
        <v>0</v>
      </c>
      <c r="AC110" s="91">
        <f>IFERROR(RAPPORT_FINAL[[#This Row],[ECART.Quantite]]*RAPPORT_FINAL[[#This Row],[INVENTAIRE.Prix_cout]],"")</f>
        <v>0</v>
      </c>
      <c r="AD110" s="83">
        <f>IFERROR(RAPPORT_FINAL[[#This Row],[ECART.Total_vente]]/RAPPORT_FINAL[[#This Row],[ECART.Quantite]],0)</f>
        <v>0</v>
      </c>
      <c r="AE110" s="92">
        <f>IFERROR(RAPPORT_FINAL[[#This Row],[ECART.Quantite]]*RAPPORT_FINAL[[#This Row],[INVENTAIRE.Prix_vente]],"")</f>
        <v>0</v>
      </c>
    </row>
    <row r="111" spans="1:31" hidden="1" x14ac:dyDescent="0.25">
      <c r="A111" s="82" t="s">
        <v>30</v>
      </c>
      <c r="B111" s="3" t="s">
        <v>76</v>
      </c>
      <c r="C111" s="80" t="s">
        <v>283</v>
      </c>
      <c r="D111" s="3" t="s">
        <v>127</v>
      </c>
      <c r="E111" s="31" t="s">
        <v>134</v>
      </c>
      <c r="F111" s="85" cm="1">
        <f t="array" ref="F11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11</v>
      </c>
      <c r="G111" s="80" cm="1">
        <f t="array" ref="G11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920</v>
      </c>
      <c r="H111" s="80">
        <f>IF(RAPPORT_FINAL[[#This Row],[INVENTAIRE_PREC.Prix_vente]]="","",RAPPORT_FINAL[[#This Row],[INVENTAIRE_PREC.Quantite]]*RAPPORT_FINAL[[#This Row],[INVENTAIRE_PREC.Prix_cout]])</f>
        <v>10120</v>
      </c>
      <c r="I111" s="83" cm="1">
        <f t="array" ref="I11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</v>
      </c>
      <c r="J111" s="88">
        <f>IF(RAPPORT_FINAL[[#This Row],[INVENTAIRE_PREC.Prix_vente]]="","",RAPPORT_FINAL[[#This Row],[INVENTAIRE_PREC.Quantite]]*RAPPORT_FINAL[[#This Row],[INVENTAIRE_PREC.Prix_vente]])</f>
        <v>16500</v>
      </c>
      <c r="K111" s="24"/>
      <c r="L111" s="11"/>
      <c r="M111" s="25"/>
      <c r="N111" s="24">
        <v>2</v>
      </c>
      <c r="O111" s="11">
        <v>1500</v>
      </c>
      <c r="P111" s="25">
        <v>3000</v>
      </c>
      <c r="Q111" s="85">
        <v>9</v>
      </c>
      <c r="R111" s="80" cm="1">
        <f t="array" ref="R11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920</v>
      </c>
      <c r="S111" s="80">
        <f>RAPPORT_FINAL[[#This Row],[INVENTAIRE.Quantite]]*RAPPORT_FINAL[[#This Row],[INVENTAIRE.Prix_cout]]</f>
        <v>8280</v>
      </c>
      <c r="T111" s="83" cm="1">
        <f t="array" ref="T11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</v>
      </c>
      <c r="U111" s="88">
        <f>IF(OR(RAPPORT_FINAL[[#This Row],[INVENTAIRE.Quantite]]="",RAPPORT_FINAL[[#This Row],[INVENTAIRE.Prix_vente]]=""),"",RAPPORT_FINAL[[#This Row],[INVENTAIRE.Quantite]]*RAPPORT_FINAL[[#This Row],[INVENTAIRE.Prix_vente]])</f>
        <v>13500</v>
      </c>
      <c r="V11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9</v>
      </c>
      <c r="W111" s="24">
        <f>RAPPORT_FINAL[[#This Row],[INVENTAIRE.Prix_cout]]</f>
        <v>920</v>
      </c>
      <c r="X111" s="85">
        <f>RAPPORT_FINAL[[#This Row],[INVENTAIRE_THEORIQUE]]*RAPPORT_FINAL[[#This Row],[INVENTAIRE_THEORIQUE.Prix_cout]]</f>
        <v>8280</v>
      </c>
      <c r="Y111" s="85">
        <f>RAPPORT_FINAL[[#This Row],[INVENTAIRE.Prix_vente]]</f>
        <v>1500</v>
      </c>
      <c r="Z111" s="85">
        <f>RAPPORT_FINAL[[#This Row],[INVENTAIRE_THEORIQUE]]*RAPPORT_FINAL[[#This Row],[INVENTAIRE_THEORIQUE.Prix_vente]]</f>
        <v>13500</v>
      </c>
      <c r="AA111" s="85">
        <f>RAPPORT_FINAL[[#This Row],[INVENTAIRE.Quantite]]-RAPPORT_FINAL[[#This Row],[INVENTAIRE_THEORIQUE]]</f>
        <v>0</v>
      </c>
      <c r="AB111" s="90">
        <f>IFERROR(RAPPORT_FINAL[[#This Row],[ECART.Total_cout]]/RAPPORT_FINAL[[#This Row],[ECART.Quantite]],0)</f>
        <v>0</v>
      </c>
      <c r="AC111" s="91">
        <f>IFERROR(RAPPORT_FINAL[[#This Row],[ECART.Quantite]]*RAPPORT_FINAL[[#This Row],[INVENTAIRE.Prix_cout]],"")</f>
        <v>0</v>
      </c>
      <c r="AD111" s="83">
        <f>IFERROR(RAPPORT_FINAL[[#This Row],[ECART.Total_vente]]/RAPPORT_FINAL[[#This Row],[ECART.Quantite]],0)</f>
        <v>0</v>
      </c>
      <c r="AE111" s="92">
        <f>IFERROR(RAPPORT_FINAL[[#This Row],[ECART.Quantite]]*RAPPORT_FINAL[[#This Row],[INVENTAIRE.Prix_vente]],"")</f>
        <v>0</v>
      </c>
    </row>
    <row r="112" spans="1:31" hidden="1" x14ac:dyDescent="0.25">
      <c r="A112" s="82" t="s">
        <v>30</v>
      </c>
      <c r="B112" s="3" t="s">
        <v>76</v>
      </c>
      <c r="C112" s="80" t="s">
        <v>283</v>
      </c>
      <c r="D112" s="3" t="s">
        <v>34</v>
      </c>
      <c r="E112" s="31" t="s">
        <v>97</v>
      </c>
      <c r="F112" s="85" cm="1">
        <f t="array" ref="F11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3</v>
      </c>
      <c r="G112" s="80" cm="1">
        <f t="array" ref="G11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600</v>
      </c>
      <c r="H112" s="80">
        <f>IF(RAPPORT_FINAL[[#This Row],[INVENTAIRE_PREC.Prix_vente]]="","",RAPPORT_FINAL[[#This Row],[INVENTAIRE_PREC.Quantite]]*RAPPORT_FINAL[[#This Row],[INVENTAIRE_PREC.Prix_cout]])</f>
        <v>1800</v>
      </c>
      <c r="I112" s="83" cm="1">
        <f t="array" ref="I11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12" s="88">
        <f>IF(RAPPORT_FINAL[[#This Row],[INVENTAIRE_PREC.Prix_vente]]="","",RAPPORT_FINAL[[#This Row],[INVENTAIRE_PREC.Quantite]]*RAPPORT_FINAL[[#This Row],[INVENTAIRE_PREC.Prix_vente]])</f>
        <v>3000</v>
      </c>
      <c r="K112" s="24">
        <v>6</v>
      </c>
      <c r="L112" s="11">
        <v>650</v>
      </c>
      <c r="M112" s="25">
        <v>3900</v>
      </c>
      <c r="N112" s="24">
        <v>3</v>
      </c>
      <c r="O112" s="11">
        <v>1000</v>
      </c>
      <c r="P112" s="25">
        <v>3000</v>
      </c>
      <c r="Q112" s="85">
        <v>6</v>
      </c>
      <c r="R112" s="80" cm="1">
        <f t="array" ref="R11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633.33333333333337</v>
      </c>
      <c r="S112" s="80">
        <f>RAPPORT_FINAL[[#This Row],[INVENTAIRE.Quantite]]*RAPPORT_FINAL[[#This Row],[INVENTAIRE.Prix_cout]]</f>
        <v>3800</v>
      </c>
      <c r="T112" s="83" cm="1">
        <f t="array" ref="T11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12" s="88">
        <f>IF(OR(RAPPORT_FINAL[[#This Row],[INVENTAIRE.Quantite]]="",RAPPORT_FINAL[[#This Row],[INVENTAIRE.Prix_vente]]=""),"",RAPPORT_FINAL[[#This Row],[INVENTAIRE.Quantite]]*RAPPORT_FINAL[[#This Row],[INVENTAIRE.Prix_vente]])</f>
        <v>6000</v>
      </c>
      <c r="V11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112" s="24">
        <f>RAPPORT_FINAL[[#This Row],[INVENTAIRE.Prix_cout]]</f>
        <v>633.33333333333337</v>
      </c>
      <c r="X112" s="85">
        <f>RAPPORT_FINAL[[#This Row],[INVENTAIRE_THEORIQUE]]*RAPPORT_FINAL[[#This Row],[INVENTAIRE_THEORIQUE.Prix_cout]]</f>
        <v>3800</v>
      </c>
      <c r="Y112" s="85">
        <f>RAPPORT_FINAL[[#This Row],[INVENTAIRE.Prix_vente]]</f>
        <v>1000</v>
      </c>
      <c r="Z112" s="85">
        <f>RAPPORT_FINAL[[#This Row],[INVENTAIRE_THEORIQUE]]*RAPPORT_FINAL[[#This Row],[INVENTAIRE_THEORIQUE.Prix_vente]]</f>
        <v>6000</v>
      </c>
      <c r="AA112" s="85">
        <f>RAPPORT_FINAL[[#This Row],[INVENTAIRE.Quantite]]-RAPPORT_FINAL[[#This Row],[INVENTAIRE_THEORIQUE]]</f>
        <v>0</v>
      </c>
      <c r="AB112" s="90">
        <f>IFERROR(RAPPORT_FINAL[[#This Row],[ECART.Total_cout]]/RAPPORT_FINAL[[#This Row],[ECART.Quantite]],0)</f>
        <v>0</v>
      </c>
      <c r="AC112" s="91">
        <f>IFERROR(RAPPORT_FINAL[[#This Row],[ECART.Quantite]]*RAPPORT_FINAL[[#This Row],[INVENTAIRE.Prix_cout]],"")</f>
        <v>0</v>
      </c>
      <c r="AD112" s="83">
        <f>IFERROR(RAPPORT_FINAL[[#This Row],[ECART.Total_vente]]/RAPPORT_FINAL[[#This Row],[ECART.Quantite]],0)</f>
        <v>0</v>
      </c>
      <c r="AE112" s="92">
        <f>IFERROR(RAPPORT_FINAL[[#This Row],[ECART.Quantite]]*RAPPORT_FINAL[[#This Row],[INVENTAIRE.Prix_vente]],"")</f>
        <v>0</v>
      </c>
    </row>
    <row r="113" spans="1:31" hidden="1" x14ac:dyDescent="0.25">
      <c r="A113" s="82" t="s">
        <v>30</v>
      </c>
      <c r="B113" s="3" t="s">
        <v>76</v>
      </c>
      <c r="C113" s="80" t="s">
        <v>283</v>
      </c>
      <c r="D113" s="3" t="s">
        <v>44</v>
      </c>
      <c r="E113" s="31" t="s">
        <v>97</v>
      </c>
      <c r="F113" s="85" cm="1">
        <f t="array" ref="F11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</v>
      </c>
      <c r="G113" s="80" cm="1">
        <f t="array" ref="G11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600</v>
      </c>
      <c r="H113" s="80">
        <f>IF(RAPPORT_FINAL[[#This Row],[INVENTAIRE_PREC.Prix_vente]]="","",RAPPORT_FINAL[[#This Row],[INVENTAIRE_PREC.Quantite]]*RAPPORT_FINAL[[#This Row],[INVENTAIRE_PREC.Prix_cout]])</f>
        <v>2400</v>
      </c>
      <c r="I113" s="83" cm="1">
        <f t="array" ref="I11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13" s="88">
        <f>IF(RAPPORT_FINAL[[#This Row],[INVENTAIRE_PREC.Prix_vente]]="","",RAPPORT_FINAL[[#This Row],[INVENTAIRE_PREC.Quantite]]*RAPPORT_FINAL[[#This Row],[INVENTAIRE_PREC.Prix_vente]])</f>
        <v>4000</v>
      </c>
      <c r="K113" s="24"/>
      <c r="L113" s="11"/>
      <c r="M113" s="25"/>
      <c r="N113" s="24">
        <v>3</v>
      </c>
      <c r="O113" s="11">
        <v>1000</v>
      </c>
      <c r="P113" s="25">
        <v>3000</v>
      </c>
      <c r="Q113" s="85">
        <v>1</v>
      </c>
      <c r="R113" s="80" cm="1">
        <f t="array" ref="R11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600</v>
      </c>
      <c r="S113" s="80">
        <f>RAPPORT_FINAL[[#This Row],[INVENTAIRE.Quantite]]*RAPPORT_FINAL[[#This Row],[INVENTAIRE.Prix_cout]]</f>
        <v>600</v>
      </c>
      <c r="T113" s="83" cm="1">
        <f t="array" ref="T11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13" s="88">
        <f>IF(OR(RAPPORT_FINAL[[#This Row],[INVENTAIRE.Quantite]]="",RAPPORT_FINAL[[#This Row],[INVENTAIRE.Prix_vente]]=""),"",RAPPORT_FINAL[[#This Row],[INVENTAIRE.Quantite]]*RAPPORT_FINAL[[#This Row],[INVENTAIRE.Prix_vente]])</f>
        <v>1000</v>
      </c>
      <c r="V11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13" s="24">
        <f>RAPPORT_FINAL[[#This Row],[INVENTAIRE.Prix_cout]]</f>
        <v>600</v>
      </c>
      <c r="X113" s="85">
        <f>RAPPORT_FINAL[[#This Row],[INVENTAIRE_THEORIQUE]]*RAPPORT_FINAL[[#This Row],[INVENTAIRE_THEORIQUE.Prix_cout]]</f>
        <v>600</v>
      </c>
      <c r="Y113" s="85">
        <f>RAPPORT_FINAL[[#This Row],[INVENTAIRE.Prix_vente]]</f>
        <v>1000</v>
      </c>
      <c r="Z113" s="85">
        <f>RAPPORT_FINAL[[#This Row],[INVENTAIRE_THEORIQUE]]*RAPPORT_FINAL[[#This Row],[INVENTAIRE_THEORIQUE.Prix_vente]]</f>
        <v>1000</v>
      </c>
      <c r="AA113" s="85">
        <f>RAPPORT_FINAL[[#This Row],[INVENTAIRE.Quantite]]-RAPPORT_FINAL[[#This Row],[INVENTAIRE_THEORIQUE]]</f>
        <v>0</v>
      </c>
      <c r="AB113" s="90">
        <f>IFERROR(RAPPORT_FINAL[[#This Row],[ECART.Total_cout]]/RAPPORT_FINAL[[#This Row],[ECART.Quantite]],0)</f>
        <v>0</v>
      </c>
      <c r="AC113" s="91">
        <f>IFERROR(RAPPORT_FINAL[[#This Row],[ECART.Quantite]]*RAPPORT_FINAL[[#This Row],[INVENTAIRE.Prix_cout]],"")</f>
        <v>0</v>
      </c>
      <c r="AD113" s="83">
        <f>IFERROR(RAPPORT_FINAL[[#This Row],[ECART.Total_vente]]/RAPPORT_FINAL[[#This Row],[ECART.Quantite]],0)</f>
        <v>0</v>
      </c>
      <c r="AE113" s="92">
        <f>IFERROR(RAPPORT_FINAL[[#This Row],[ECART.Quantite]]*RAPPORT_FINAL[[#This Row],[INVENTAIRE.Prix_vente]],"")</f>
        <v>0</v>
      </c>
    </row>
    <row r="114" spans="1:31" hidden="1" x14ac:dyDescent="0.25">
      <c r="A114" s="82" t="s">
        <v>30</v>
      </c>
      <c r="B114" s="3" t="s">
        <v>76</v>
      </c>
      <c r="C114" s="80" t="s">
        <v>283</v>
      </c>
      <c r="D114" s="3" t="s">
        <v>37</v>
      </c>
      <c r="E114" s="31" t="s">
        <v>97</v>
      </c>
      <c r="F114" s="85" cm="1">
        <f t="array" ref="F11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</v>
      </c>
      <c r="G114" s="80" cm="1">
        <f t="array" ref="G11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550</v>
      </c>
      <c r="H114" s="80">
        <f>IF(RAPPORT_FINAL[[#This Row],[INVENTAIRE_PREC.Prix_vente]]="","",RAPPORT_FINAL[[#This Row],[INVENTAIRE_PREC.Quantite]]*RAPPORT_FINAL[[#This Row],[INVENTAIRE_PREC.Prix_cout]])</f>
        <v>2750</v>
      </c>
      <c r="I114" s="83" cm="1">
        <f t="array" ref="I11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14" s="88">
        <f>IF(RAPPORT_FINAL[[#This Row],[INVENTAIRE_PREC.Prix_vente]]="","",RAPPORT_FINAL[[#This Row],[INVENTAIRE_PREC.Quantite]]*RAPPORT_FINAL[[#This Row],[INVENTAIRE_PREC.Prix_vente]])</f>
        <v>5000</v>
      </c>
      <c r="K114" s="24">
        <v>18</v>
      </c>
      <c r="L114" s="11">
        <v>400</v>
      </c>
      <c r="M114" s="25">
        <v>7200</v>
      </c>
      <c r="N114" s="24">
        <v>4</v>
      </c>
      <c r="O114" s="11">
        <v>1000</v>
      </c>
      <c r="P114" s="25">
        <v>4000</v>
      </c>
      <c r="Q114" s="85">
        <v>19</v>
      </c>
      <c r="R114" s="80" cm="1">
        <f t="array" ref="R11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432.60869565217394</v>
      </c>
      <c r="S114" s="80">
        <f>RAPPORT_FINAL[[#This Row],[INVENTAIRE.Quantite]]*RAPPORT_FINAL[[#This Row],[INVENTAIRE.Prix_cout]]</f>
        <v>8219.565217391304</v>
      </c>
      <c r="T114" s="83" cm="1">
        <f t="array" ref="T11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14" s="88">
        <f>IF(OR(RAPPORT_FINAL[[#This Row],[INVENTAIRE.Quantite]]="",RAPPORT_FINAL[[#This Row],[INVENTAIRE.Prix_vente]]=""),"",RAPPORT_FINAL[[#This Row],[INVENTAIRE.Quantite]]*RAPPORT_FINAL[[#This Row],[INVENTAIRE.Prix_vente]])</f>
        <v>19000</v>
      </c>
      <c r="V11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19</v>
      </c>
      <c r="W114" s="24">
        <f>RAPPORT_FINAL[[#This Row],[INVENTAIRE.Prix_cout]]</f>
        <v>432.60869565217394</v>
      </c>
      <c r="X114" s="85">
        <f>RAPPORT_FINAL[[#This Row],[INVENTAIRE_THEORIQUE]]*RAPPORT_FINAL[[#This Row],[INVENTAIRE_THEORIQUE.Prix_cout]]</f>
        <v>8219.565217391304</v>
      </c>
      <c r="Y114" s="85">
        <f>RAPPORT_FINAL[[#This Row],[INVENTAIRE.Prix_vente]]</f>
        <v>1000</v>
      </c>
      <c r="Z114" s="85">
        <f>RAPPORT_FINAL[[#This Row],[INVENTAIRE_THEORIQUE]]*RAPPORT_FINAL[[#This Row],[INVENTAIRE_THEORIQUE.Prix_vente]]</f>
        <v>19000</v>
      </c>
      <c r="AA114" s="85">
        <f>RAPPORT_FINAL[[#This Row],[INVENTAIRE.Quantite]]-RAPPORT_FINAL[[#This Row],[INVENTAIRE_THEORIQUE]]</f>
        <v>0</v>
      </c>
      <c r="AB114" s="90">
        <f>IFERROR(RAPPORT_FINAL[[#This Row],[ECART.Total_cout]]/RAPPORT_FINAL[[#This Row],[ECART.Quantite]],0)</f>
        <v>0</v>
      </c>
      <c r="AC114" s="91">
        <f>IFERROR(RAPPORT_FINAL[[#This Row],[ECART.Quantite]]*RAPPORT_FINAL[[#This Row],[INVENTAIRE.Prix_cout]],"")</f>
        <v>0</v>
      </c>
      <c r="AD114" s="83">
        <f>IFERROR(RAPPORT_FINAL[[#This Row],[ECART.Total_vente]]/RAPPORT_FINAL[[#This Row],[ECART.Quantite]],0)</f>
        <v>0</v>
      </c>
      <c r="AE114" s="92">
        <f>IFERROR(RAPPORT_FINAL[[#This Row],[ECART.Quantite]]*RAPPORT_FINAL[[#This Row],[INVENTAIRE.Prix_vente]],"")</f>
        <v>0</v>
      </c>
    </row>
    <row r="115" spans="1:31" hidden="1" x14ac:dyDescent="0.25">
      <c r="A115" s="82" t="s">
        <v>30</v>
      </c>
      <c r="B115" s="3" t="s">
        <v>76</v>
      </c>
      <c r="C115" s="80" t="s">
        <v>283</v>
      </c>
      <c r="D115" s="3" t="s">
        <v>39</v>
      </c>
      <c r="E115" s="31" t="s">
        <v>97</v>
      </c>
      <c r="F115" s="85" cm="1">
        <f t="array" ref="F11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</v>
      </c>
      <c r="G115" s="80" cm="1">
        <f t="array" ref="G11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983.33000000000015</v>
      </c>
      <c r="H115" s="80">
        <f>IF(RAPPORT_FINAL[[#This Row],[INVENTAIRE_PREC.Prix_vente]]="","",RAPPORT_FINAL[[#This Row],[INVENTAIRE_PREC.Quantite]]*RAPPORT_FINAL[[#This Row],[INVENTAIRE_PREC.Prix_cout]])</f>
        <v>4916.6500000000005</v>
      </c>
      <c r="I115" s="83" cm="1">
        <f t="array" ref="I11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</v>
      </c>
      <c r="J115" s="88">
        <f>IF(RAPPORT_FINAL[[#This Row],[INVENTAIRE_PREC.Prix_vente]]="","",RAPPORT_FINAL[[#This Row],[INVENTAIRE_PREC.Quantite]]*RAPPORT_FINAL[[#This Row],[INVENTAIRE_PREC.Prix_vente]])</f>
        <v>7500</v>
      </c>
      <c r="K115" s="24"/>
      <c r="L115" s="11"/>
      <c r="M115" s="25"/>
      <c r="N115" s="24">
        <v>4</v>
      </c>
      <c r="O115" s="11">
        <v>1500</v>
      </c>
      <c r="P115" s="25">
        <v>6000</v>
      </c>
      <c r="Q115" s="85">
        <v>1</v>
      </c>
      <c r="R115" s="80" cm="1">
        <f t="array" ref="R11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983.33000000000015</v>
      </c>
      <c r="S115" s="80">
        <f>RAPPORT_FINAL[[#This Row],[INVENTAIRE.Quantite]]*RAPPORT_FINAL[[#This Row],[INVENTAIRE.Prix_cout]]</f>
        <v>983.33000000000015</v>
      </c>
      <c r="T115" s="83" cm="1">
        <f t="array" ref="T11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</v>
      </c>
      <c r="U115" s="88">
        <f>IF(OR(RAPPORT_FINAL[[#This Row],[INVENTAIRE.Quantite]]="",RAPPORT_FINAL[[#This Row],[INVENTAIRE.Prix_vente]]=""),"",RAPPORT_FINAL[[#This Row],[INVENTAIRE.Quantite]]*RAPPORT_FINAL[[#This Row],[INVENTAIRE.Prix_vente]])</f>
        <v>1500</v>
      </c>
      <c r="V11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15" s="24">
        <f>RAPPORT_FINAL[[#This Row],[INVENTAIRE.Prix_cout]]</f>
        <v>983.33000000000015</v>
      </c>
      <c r="X115" s="85">
        <f>RAPPORT_FINAL[[#This Row],[INVENTAIRE_THEORIQUE]]*RAPPORT_FINAL[[#This Row],[INVENTAIRE_THEORIQUE.Prix_cout]]</f>
        <v>983.33000000000015</v>
      </c>
      <c r="Y115" s="85">
        <f>RAPPORT_FINAL[[#This Row],[INVENTAIRE.Prix_vente]]</f>
        <v>1500</v>
      </c>
      <c r="Z115" s="85">
        <f>RAPPORT_FINAL[[#This Row],[INVENTAIRE_THEORIQUE]]*RAPPORT_FINAL[[#This Row],[INVENTAIRE_THEORIQUE.Prix_vente]]</f>
        <v>1500</v>
      </c>
      <c r="AA115" s="85">
        <f>RAPPORT_FINAL[[#This Row],[INVENTAIRE.Quantite]]-RAPPORT_FINAL[[#This Row],[INVENTAIRE_THEORIQUE]]</f>
        <v>0</v>
      </c>
      <c r="AB115" s="90">
        <f>IFERROR(RAPPORT_FINAL[[#This Row],[ECART.Total_cout]]/RAPPORT_FINAL[[#This Row],[ECART.Quantite]],0)</f>
        <v>0</v>
      </c>
      <c r="AC115" s="91">
        <f>IFERROR(RAPPORT_FINAL[[#This Row],[ECART.Quantite]]*RAPPORT_FINAL[[#This Row],[INVENTAIRE.Prix_cout]],"")</f>
        <v>0</v>
      </c>
      <c r="AD115" s="83">
        <f>IFERROR(RAPPORT_FINAL[[#This Row],[ECART.Total_vente]]/RAPPORT_FINAL[[#This Row],[ECART.Quantite]],0)</f>
        <v>0</v>
      </c>
      <c r="AE115" s="92">
        <f>IFERROR(RAPPORT_FINAL[[#This Row],[ECART.Quantite]]*RAPPORT_FINAL[[#This Row],[INVENTAIRE.Prix_vente]],"")</f>
        <v>0</v>
      </c>
    </row>
    <row r="116" spans="1:31" hidden="1" x14ac:dyDescent="0.25">
      <c r="A116" s="82" t="s">
        <v>30</v>
      </c>
      <c r="B116" s="3" t="s">
        <v>76</v>
      </c>
      <c r="C116" s="80" t="s">
        <v>283</v>
      </c>
      <c r="D116" s="3" t="s">
        <v>127</v>
      </c>
      <c r="E116" s="31" t="s">
        <v>134</v>
      </c>
      <c r="F116" s="85" cm="1">
        <f t="array" ref="F11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11</v>
      </c>
      <c r="G116" s="80" cm="1">
        <f t="array" ref="G11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920</v>
      </c>
      <c r="H116" s="80">
        <f>IF(RAPPORT_FINAL[[#This Row],[INVENTAIRE_PREC.Prix_vente]]="","",RAPPORT_FINAL[[#This Row],[INVENTAIRE_PREC.Quantite]]*RAPPORT_FINAL[[#This Row],[INVENTAIRE_PREC.Prix_cout]])</f>
        <v>10120</v>
      </c>
      <c r="I116" s="83" cm="1">
        <f t="array" ref="I11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</v>
      </c>
      <c r="J116" s="88">
        <f>IF(RAPPORT_FINAL[[#This Row],[INVENTAIRE_PREC.Prix_vente]]="","",RAPPORT_FINAL[[#This Row],[INVENTAIRE_PREC.Quantite]]*RAPPORT_FINAL[[#This Row],[INVENTAIRE_PREC.Prix_vente]])</f>
        <v>16500</v>
      </c>
      <c r="K116" s="24"/>
      <c r="L116" s="11"/>
      <c r="M116" s="25"/>
      <c r="N116" s="24">
        <v>2</v>
      </c>
      <c r="O116" s="11">
        <v>1500</v>
      </c>
      <c r="P116" s="25">
        <v>3000</v>
      </c>
      <c r="Q116" s="85">
        <v>9</v>
      </c>
      <c r="R116" s="80" cm="1">
        <f t="array" ref="R11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920</v>
      </c>
      <c r="S116" s="80">
        <f>RAPPORT_FINAL[[#This Row],[INVENTAIRE.Quantite]]*RAPPORT_FINAL[[#This Row],[INVENTAIRE.Prix_cout]]</f>
        <v>8280</v>
      </c>
      <c r="T116" s="83" cm="1">
        <f t="array" ref="T11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</v>
      </c>
      <c r="U116" s="88">
        <f>IF(OR(RAPPORT_FINAL[[#This Row],[INVENTAIRE.Quantite]]="",RAPPORT_FINAL[[#This Row],[INVENTAIRE.Prix_vente]]=""),"",RAPPORT_FINAL[[#This Row],[INVENTAIRE.Quantite]]*RAPPORT_FINAL[[#This Row],[INVENTAIRE.Prix_vente]])</f>
        <v>13500</v>
      </c>
      <c r="V11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9</v>
      </c>
      <c r="W116" s="24">
        <f>RAPPORT_FINAL[[#This Row],[INVENTAIRE.Prix_cout]]</f>
        <v>920</v>
      </c>
      <c r="X116" s="85">
        <f>RAPPORT_FINAL[[#This Row],[INVENTAIRE_THEORIQUE]]*RAPPORT_FINAL[[#This Row],[INVENTAIRE_THEORIQUE.Prix_cout]]</f>
        <v>8280</v>
      </c>
      <c r="Y116" s="85">
        <f>RAPPORT_FINAL[[#This Row],[INVENTAIRE.Prix_vente]]</f>
        <v>1500</v>
      </c>
      <c r="Z116" s="85">
        <f>RAPPORT_FINAL[[#This Row],[INVENTAIRE_THEORIQUE]]*RAPPORT_FINAL[[#This Row],[INVENTAIRE_THEORIQUE.Prix_vente]]</f>
        <v>13500</v>
      </c>
      <c r="AA116" s="85">
        <f>RAPPORT_FINAL[[#This Row],[INVENTAIRE.Quantite]]-RAPPORT_FINAL[[#This Row],[INVENTAIRE_THEORIQUE]]</f>
        <v>0</v>
      </c>
      <c r="AB116" s="90">
        <f>IFERROR(RAPPORT_FINAL[[#This Row],[ECART.Total_cout]]/RAPPORT_FINAL[[#This Row],[ECART.Quantite]],0)</f>
        <v>0</v>
      </c>
      <c r="AC116" s="91">
        <f>IFERROR(RAPPORT_FINAL[[#This Row],[ECART.Quantite]]*RAPPORT_FINAL[[#This Row],[INVENTAIRE.Prix_cout]],"")</f>
        <v>0</v>
      </c>
      <c r="AD116" s="83">
        <f>IFERROR(RAPPORT_FINAL[[#This Row],[ECART.Total_vente]]/RAPPORT_FINAL[[#This Row],[ECART.Quantite]],0)</f>
        <v>0</v>
      </c>
      <c r="AE116" s="92">
        <f>IFERROR(RAPPORT_FINAL[[#This Row],[ECART.Quantite]]*RAPPORT_FINAL[[#This Row],[INVENTAIRE.Prix_vente]],"")</f>
        <v>0</v>
      </c>
    </row>
    <row r="117" spans="1:31" hidden="1" x14ac:dyDescent="0.25">
      <c r="A117" s="82" t="s">
        <v>30</v>
      </c>
      <c r="B117" s="3" t="s">
        <v>76</v>
      </c>
      <c r="C117" s="80" t="s">
        <v>283</v>
      </c>
      <c r="D117" s="3" t="s">
        <v>37</v>
      </c>
      <c r="E117" s="31" t="s">
        <v>97</v>
      </c>
      <c r="F117" s="85" cm="1">
        <f t="array" ref="F11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</v>
      </c>
      <c r="G117" s="80" cm="1">
        <f t="array" ref="G11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550</v>
      </c>
      <c r="H117" s="80">
        <f>IF(RAPPORT_FINAL[[#This Row],[INVENTAIRE_PREC.Prix_vente]]="","",RAPPORT_FINAL[[#This Row],[INVENTAIRE_PREC.Quantite]]*RAPPORT_FINAL[[#This Row],[INVENTAIRE_PREC.Prix_cout]])</f>
        <v>2750</v>
      </c>
      <c r="I117" s="83" cm="1">
        <f t="array" ref="I11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17" s="88">
        <f>IF(RAPPORT_FINAL[[#This Row],[INVENTAIRE_PREC.Prix_vente]]="","",RAPPORT_FINAL[[#This Row],[INVENTAIRE_PREC.Quantite]]*RAPPORT_FINAL[[#This Row],[INVENTAIRE_PREC.Prix_vente]])</f>
        <v>5000</v>
      </c>
      <c r="K117" s="24">
        <v>18</v>
      </c>
      <c r="L117" s="11">
        <v>400</v>
      </c>
      <c r="M117" s="25">
        <v>7200</v>
      </c>
      <c r="N117" s="24">
        <v>4</v>
      </c>
      <c r="O117" s="11">
        <v>1000</v>
      </c>
      <c r="P117" s="25">
        <v>4000</v>
      </c>
      <c r="Q117" s="85">
        <v>19</v>
      </c>
      <c r="R117" s="80" cm="1">
        <f t="array" ref="R11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432.60869565217394</v>
      </c>
      <c r="S117" s="80">
        <f>RAPPORT_FINAL[[#This Row],[INVENTAIRE.Quantite]]*RAPPORT_FINAL[[#This Row],[INVENTAIRE.Prix_cout]]</f>
        <v>8219.565217391304</v>
      </c>
      <c r="T117" s="83" cm="1">
        <f t="array" ref="T11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17" s="88">
        <f>IF(OR(RAPPORT_FINAL[[#This Row],[INVENTAIRE.Quantite]]="",RAPPORT_FINAL[[#This Row],[INVENTAIRE.Prix_vente]]=""),"",RAPPORT_FINAL[[#This Row],[INVENTAIRE.Quantite]]*RAPPORT_FINAL[[#This Row],[INVENTAIRE.Prix_vente]])</f>
        <v>19000</v>
      </c>
      <c r="V11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19</v>
      </c>
      <c r="W117" s="24">
        <f>RAPPORT_FINAL[[#This Row],[INVENTAIRE.Prix_cout]]</f>
        <v>432.60869565217394</v>
      </c>
      <c r="X117" s="85">
        <f>RAPPORT_FINAL[[#This Row],[INVENTAIRE_THEORIQUE]]*RAPPORT_FINAL[[#This Row],[INVENTAIRE_THEORIQUE.Prix_cout]]</f>
        <v>8219.565217391304</v>
      </c>
      <c r="Y117" s="85">
        <f>RAPPORT_FINAL[[#This Row],[INVENTAIRE.Prix_vente]]</f>
        <v>1000</v>
      </c>
      <c r="Z117" s="85">
        <f>RAPPORT_FINAL[[#This Row],[INVENTAIRE_THEORIQUE]]*RAPPORT_FINAL[[#This Row],[INVENTAIRE_THEORIQUE.Prix_vente]]</f>
        <v>19000</v>
      </c>
      <c r="AA117" s="85">
        <f>RAPPORT_FINAL[[#This Row],[INVENTAIRE.Quantite]]-RAPPORT_FINAL[[#This Row],[INVENTAIRE_THEORIQUE]]</f>
        <v>0</v>
      </c>
      <c r="AB117" s="90">
        <f>IFERROR(RAPPORT_FINAL[[#This Row],[ECART.Total_cout]]/RAPPORT_FINAL[[#This Row],[ECART.Quantite]],0)</f>
        <v>0</v>
      </c>
      <c r="AC117" s="91">
        <f>IFERROR(RAPPORT_FINAL[[#This Row],[ECART.Quantite]]*RAPPORT_FINAL[[#This Row],[INVENTAIRE.Prix_cout]],"")</f>
        <v>0</v>
      </c>
      <c r="AD117" s="83">
        <f>IFERROR(RAPPORT_FINAL[[#This Row],[ECART.Total_vente]]/RAPPORT_FINAL[[#This Row],[ECART.Quantite]],0)</f>
        <v>0</v>
      </c>
      <c r="AE117" s="92">
        <f>IFERROR(RAPPORT_FINAL[[#This Row],[ECART.Quantite]]*RAPPORT_FINAL[[#This Row],[INVENTAIRE.Prix_vente]],"")</f>
        <v>0</v>
      </c>
    </row>
    <row r="118" spans="1:31" hidden="1" x14ac:dyDescent="0.25">
      <c r="A118" s="82" t="s">
        <v>30</v>
      </c>
      <c r="B118" s="3" t="s">
        <v>76</v>
      </c>
      <c r="C118" s="80" t="s">
        <v>283</v>
      </c>
      <c r="D118" s="3" t="s">
        <v>39</v>
      </c>
      <c r="E118" s="31" t="s">
        <v>97</v>
      </c>
      <c r="F118" s="85" cm="1">
        <f t="array" ref="F11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</v>
      </c>
      <c r="G118" s="80" cm="1">
        <f t="array" ref="G11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983.33000000000015</v>
      </c>
      <c r="H118" s="80">
        <f>IF(RAPPORT_FINAL[[#This Row],[INVENTAIRE_PREC.Prix_vente]]="","",RAPPORT_FINAL[[#This Row],[INVENTAIRE_PREC.Quantite]]*RAPPORT_FINAL[[#This Row],[INVENTAIRE_PREC.Prix_cout]])</f>
        <v>4916.6500000000005</v>
      </c>
      <c r="I118" s="83" cm="1">
        <f t="array" ref="I11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</v>
      </c>
      <c r="J118" s="88">
        <f>IF(RAPPORT_FINAL[[#This Row],[INVENTAIRE_PREC.Prix_vente]]="","",RAPPORT_FINAL[[#This Row],[INVENTAIRE_PREC.Quantite]]*RAPPORT_FINAL[[#This Row],[INVENTAIRE_PREC.Prix_vente]])</f>
        <v>7500</v>
      </c>
      <c r="K118" s="24"/>
      <c r="L118" s="11"/>
      <c r="M118" s="25"/>
      <c r="N118" s="24">
        <v>4</v>
      </c>
      <c r="O118" s="11">
        <v>1500</v>
      </c>
      <c r="P118" s="25">
        <v>6000</v>
      </c>
      <c r="Q118" s="85">
        <v>1</v>
      </c>
      <c r="R118" s="80" cm="1">
        <f t="array" ref="R11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983.33000000000015</v>
      </c>
      <c r="S118" s="80">
        <f>RAPPORT_FINAL[[#This Row],[INVENTAIRE.Quantite]]*RAPPORT_FINAL[[#This Row],[INVENTAIRE.Prix_cout]]</f>
        <v>983.33000000000015</v>
      </c>
      <c r="T118" s="83" cm="1">
        <f t="array" ref="T11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</v>
      </c>
      <c r="U118" s="88">
        <f>IF(OR(RAPPORT_FINAL[[#This Row],[INVENTAIRE.Quantite]]="",RAPPORT_FINAL[[#This Row],[INVENTAIRE.Prix_vente]]=""),"",RAPPORT_FINAL[[#This Row],[INVENTAIRE.Quantite]]*RAPPORT_FINAL[[#This Row],[INVENTAIRE.Prix_vente]])</f>
        <v>1500</v>
      </c>
      <c r="V11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18" s="24">
        <f>RAPPORT_FINAL[[#This Row],[INVENTAIRE.Prix_cout]]</f>
        <v>983.33000000000015</v>
      </c>
      <c r="X118" s="85">
        <f>RAPPORT_FINAL[[#This Row],[INVENTAIRE_THEORIQUE]]*RAPPORT_FINAL[[#This Row],[INVENTAIRE_THEORIQUE.Prix_cout]]</f>
        <v>983.33000000000015</v>
      </c>
      <c r="Y118" s="85">
        <f>RAPPORT_FINAL[[#This Row],[INVENTAIRE.Prix_vente]]</f>
        <v>1500</v>
      </c>
      <c r="Z118" s="85">
        <f>RAPPORT_FINAL[[#This Row],[INVENTAIRE_THEORIQUE]]*RAPPORT_FINAL[[#This Row],[INVENTAIRE_THEORIQUE.Prix_vente]]</f>
        <v>1500</v>
      </c>
      <c r="AA118" s="85">
        <f>RAPPORT_FINAL[[#This Row],[INVENTAIRE.Quantite]]-RAPPORT_FINAL[[#This Row],[INVENTAIRE_THEORIQUE]]</f>
        <v>0</v>
      </c>
      <c r="AB118" s="90">
        <f>IFERROR(RAPPORT_FINAL[[#This Row],[ECART.Total_cout]]/RAPPORT_FINAL[[#This Row],[ECART.Quantite]],0)</f>
        <v>0</v>
      </c>
      <c r="AC118" s="91">
        <f>IFERROR(RAPPORT_FINAL[[#This Row],[ECART.Quantite]]*RAPPORT_FINAL[[#This Row],[INVENTAIRE.Prix_cout]],"")</f>
        <v>0</v>
      </c>
      <c r="AD118" s="83">
        <f>IFERROR(RAPPORT_FINAL[[#This Row],[ECART.Total_vente]]/RAPPORT_FINAL[[#This Row],[ECART.Quantite]],0)</f>
        <v>0</v>
      </c>
      <c r="AE118" s="92">
        <f>IFERROR(RAPPORT_FINAL[[#This Row],[ECART.Quantite]]*RAPPORT_FINAL[[#This Row],[INVENTAIRE.Prix_vente]],"")</f>
        <v>0</v>
      </c>
    </row>
    <row r="119" spans="1:31" hidden="1" x14ac:dyDescent="0.25">
      <c r="A119" s="82" t="s">
        <v>30</v>
      </c>
      <c r="B119" s="3" t="s">
        <v>76</v>
      </c>
      <c r="C119" s="80" t="s">
        <v>283</v>
      </c>
      <c r="D119" s="3" t="s">
        <v>33</v>
      </c>
      <c r="E119" s="31" t="s">
        <v>97</v>
      </c>
      <c r="F119" s="85" cm="1">
        <f t="array" ref="F11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3</v>
      </c>
      <c r="G119" s="80" cm="1">
        <f t="array" ref="G11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600</v>
      </c>
      <c r="H119" s="80">
        <f>IF(RAPPORT_FINAL[[#This Row],[INVENTAIRE_PREC.Prix_vente]]="","",RAPPORT_FINAL[[#This Row],[INVENTAIRE_PREC.Quantite]]*RAPPORT_FINAL[[#This Row],[INVENTAIRE_PREC.Prix_cout]])</f>
        <v>1800</v>
      </c>
      <c r="I119" s="83" cm="1">
        <f t="array" ref="I11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19" s="88">
        <f>IF(RAPPORT_FINAL[[#This Row],[INVENTAIRE_PREC.Prix_vente]]="","",RAPPORT_FINAL[[#This Row],[INVENTAIRE_PREC.Quantite]]*RAPPORT_FINAL[[#This Row],[INVENTAIRE_PREC.Prix_vente]])</f>
        <v>3000</v>
      </c>
      <c r="K119" s="24">
        <v>6</v>
      </c>
      <c r="L119" s="11">
        <v>650</v>
      </c>
      <c r="M119" s="25">
        <v>3900</v>
      </c>
      <c r="N119" s="24">
        <v>3</v>
      </c>
      <c r="O119" s="11">
        <v>1000</v>
      </c>
      <c r="P119" s="25">
        <v>3000</v>
      </c>
      <c r="Q119" s="85">
        <v>6</v>
      </c>
      <c r="R119" s="80" cm="1">
        <f t="array" ref="R11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633.33333333333337</v>
      </c>
      <c r="S119" s="80">
        <f>RAPPORT_FINAL[[#This Row],[INVENTAIRE.Quantite]]*RAPPORT_FINAL[[#This Row],[INVENTAIRE.Prix_cout]]</f>
        <v>3800</v>
      </c>
      <c r="T119" s="83" cm="1">
        <f t="array" ref="T11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19" s="88">
        <f>IF(OR(RAPPORT_FINAL[[#This Row],[INVENTAIRE.Quantite]]="",RAPPORT_FINAL[[#This Row],[INVENTAIRE.Prix_vente]]=""),"",RAPPORT_FINAL[[#This Row],[INVENTAIRE.Quantite]]*RAPPORT_FINAL[[#This Row],[INVENTAIRE.Prix_vente]])</f>
        <v>6000</v>
      </c>
      <c r="V11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119" s="24">
        <f>RAPPORT_FINAL[[#This Row],[INVENTAIRE.Prix_cout]]</f>
        <v>633.33333333333337</v>
      </c>
      <c r="X119" s="85">
        <f>RAPPORT_FINAL[[#This Row],[INVENTAIRE_THEORIQUE]]*RAPPORT_FINAL[[#This Row],[INVENTAIRE_THEORIQUE.Prix_cout]]</f>
        <v>3800</v>
      </c>
      <c r="Y119" s="85">
        <f>RAPPORT_FINAL[[#This Row],[INVENTAIRE.Prix_vente]]</f>
        <v>1000</v>
      </c>
      <c r="Z119" s="85">
        <f>RAPPORT_FINAL[[#This Row],[INVENTAIRE_THEORIQUE]]*RAPPORT_FINAL[[#This Row],[INVENTAIRE_THEORIQUE.Prix_vente]]</f>
        <v>6000</v>
      </c>
      <c r="AA119" s="85">
        <f>RAPPORT_FINAL[[#This Row],[INVENTAIRE.Quantite]]-RAPPORT_FINAL[[#This Row],[INVENTAIRE_THEORIQUE]]</f>
        <v>0</v>
      </c>
      <c r="AB119" s="90">
        <f>IFERROR(RAPPORT_FINAL[[#This Row],[ECART.Total_cout]]/RAPPORT_FINAL[[#This Row],[ECART.Quantite]],0)</f>
        <v>0</v>
      </c>
      <c r="AC119" s="91">
        <f>IFERROR(RAPPORT_FINAL[[#This Row],[ECART.Quantite]]*RAPPORT_FINAL[[#This Row],[INVENTAIRE.Prix_cout]],"")</f>
        <v>0</v>
      </c>
      <c r="AD119" s="83">
        <f>IFERROR(RAPPORT_FINAL[[#This Row],[ECART.Total_vente]]/RAPPORT_FINAL[[#This Row],[ECART.Quantite]],0)</f>
        <v>0</v>
      </c>
      <c r="AE119" s="92">
        <f>IFERROR(RAPPORT_FINAL[[#This Row],[ECART.Quantite]]*RAPPORT_FINAL[[#This Row],[INVENTAIRE.Prix_vente]],"")</f>
        <v>0</v>
      </c>
    </row>
    <row r="120" spans="1:31" hidden="1" x14ac:dyDescent="0.25">
      <c r="A120" s="82" t="s">
        <v>30</v>
      </c>
      <c r="B120" s="3" t="s">
        <v>76</v>
      </c>
      <c r="C120" s="80" t="s">
        <v>283</v>
      </c>
      <c r="D120" s="3" t="s">
        <v>33</v>
      </c>
      <c r="E120" s="31" t="s">
        <v>97</v>
      </c>
      <c r="F120" s="85" cm="1">
        <f t="array" ref="F12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3</v>
      </c>
      <c r="G120" s="80" cm="1">
        <f t="array" ref="G12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600</v>
      </c>
      <c r="H120" s="80">
        <f>IF(RAPPORT_FINAL[[#This Row],[INVENTAIRE_PREC.Prix_vente]]="","",RAPPORT_FINAL[[#This Row],[INVENTAIRE_PREC.Quantite]]*RAPPORT_FINAL[[#This Row],[INVENTAIRE_PREC.Prix_cout]])</f>
        <v>1800</v>
      </c>
      <c r="I120" s="83" cm="1">
        <f t="array" ref="I12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20" s="88">
        <f>IF(RAPPORT_FINAL[[#This Row],[INVENTAIRE_PREC.Prix_vente]]="","",RAPPORT_FINAL[[#This Row],[INVENTAIRE_PREC.Quantite]]*RAPPORT_FINAL[[#This Row],[INVENTAIRE_PREC.Prix_vente]])</f>
        <v>3000</v>
      </c>
      <c r="K120" s="24">
        <v>6</v>
      </c>
      <c r="L120" s="11">
        <v>650</v>
      </c>
      <c r="M120" s="25">
        <v>3900</v>
      </c>
      <c r="N120" s="24">
        <v>3</v>
      </c>
      <c r="O120" s="11">
        <v>1000</v>
      </c>
      <c r="P120" s="25">
        <v>3000</v>
      </c>
      <c r="Q120" s="85">
        <v>6</v>
      </c>
      <c r="R120" s="80" cm="1">
        <f t="array" ref="R12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633.33333333333337</v>
      </c>
      <c r="S120" s="80">
        <f>RAPPORT_FINAL[[#This Row],[INVENTAIRE.Quantite]]*RAPPORT_FINAL[[#This Row],[INVENTAIRE.Prix_cout]]</f>
        <v>3800</v>
      </c>
      <c r="T120" s="83" cm="1">
        <f t="array" ref="T12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20" s="88">
        <f>IF(OR(RAPPORT_FINAL[[#This Row],[INVENTAIRE.Quantite]]="",RAPPORT_FINAL[[#This Row],[INVENTAIRE.Prix_vente]]=""),"",RAPPORT_FINAL[[#This Row],[INVENTAIRE.Quantite]]*RAPPORT_FINAL[[#This Row],[INVENTAIRE.Prix_vente]])</f>
        <v>6000</v>
      </c>
      <c r="V12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120" s="24">
        <f>RAPPORT_FINAL[[#This Row],[INVENTAIRE.Prix_cout]]</f>
        <v>633.33333333333337</v>
      </c>
      <c r="X120" s="85">
        <f>RAPPORT_FINAL[[#This Row],[INVENTAIRE_THEORIQUE]]*RAPPORT_FINAL[[#This Row],[INVENTAIRE_THEORIQUE.Prix_cout]]</f>
        <v>3800</v>
      </c>
      <c r="Y120" s="85">
        <f>RAPPORT_FINAL[[#This Row],[INVENTAIRE.Prix_vente]]</f>
        <v>1000</v>
      </c>
      <c r="Z120" s="85">
        <f>RAPPORT_FINAL[[#This Row],[INVENTAIRE_THEORIQUE]]*RAPPORT_FINAL[[#This Row],[INVENTAIRE_THEORIQUE.Prix_vente]]</f>
        <v>6000</v>
      </c>
      <c r="AA120" s="85">
        <f>RAPPORT_FINAL[[#This Row],[INVENTAIRE.Quantite]]-RAPPORT_FINAL[[#This Row],[INVENTAIRE_THEORIQUE]]</f>
        <v>0</v>
      </c>
      <c r="AB120" s="90">
        <f>IFERROR(RAPPORT_FINAL[[#This Row],[ECART.Total_cout]]/RAPPORT_FINAL[[#This Row],[ECART.Quantite]],0)</f>
        <v>0</v>
      </c>
      <c r="AC120" s="91">
        <f>IFERROR(RAPPORT_FINAL[[#This Row],[ECART.Quantite]]*RAPPORT_FINAL[[#This Row],[INVENTAIRE.Prix_cout]],"")</f>
        <v>0</v>
      </c>
      <c r="AD120" s="83">
        <f>IFERROR(RAPPORT_FINAL[[#This Row],[ECART.Total_vente]]/RAPPORT_FINAL[[#This Row],[ECART.Quantite]],0)</f>
        <v>0</v>
      </c>
      <c r="AE120" s="92">
        <f>IFERROR(RAPPORT_FINAL[[#This Row],[ECART.Quantite]]*RAPPORT_FINAL[[#This Row],[INVENTAIRE.Prix_vente]],"")</f>
        <v>0</v>
      </c>
    </row>
    <row r="121" spans="1:31" x14ac:dyDescent="0.25">
      <c r="A121" s="82" t="s">
        <v>30</v>
      </c>
      <c r="B121" s="3" t="s">
        <v>76</v>
      </c>
      <c r="C121" s="80" t="s">
        <v>283</v>
      </c>
      <c r="D121" s="3" t="s">
        <v>83</v>
      </c>
      <c r="E121" s="31" t="s">
        <v>97</v>
      </c>
      <c r="F121" s="85" cm="1">
        <f t="array" ref="F12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121" s="80" cm="1">
        <f t="array" ref="G12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121" s="80">
        <f>IF(RAPPORT_FINAL[[#This Row],[INVENTAIRE_PREC.Prix_vente]]="","",RAPPORT_FINAL[[#This Row],[INVENTAIRE_PREC.Quantite]]*RAPPORT_FINAL[[#This Row],[INVENTAIRE_PREC.Prix_cout]])</f>
        <v>0</v>
      </c>
      <c r="I121" s="83" cm="1">
        <f t="array" ref="I12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121" s="88">
        <f>IF(RAPPORT_FINAL[[#This Row],[INVENTAIRE_PREC.Prix_vente]]="","",RAPPORT_FINAL[[#This Row],[INVENTAIRE_PREC.Quantite]]*RAPPORT_FINAL[[#This Row],[INVENTAIRE_PREC.Prix_vente]])</f>
        <v>0</v>
      </c>
      <c r="K121" s="24"/>
      <c r="L121" s="11"/>
      <c r="M121" s="25"/>
      <c r="N121" s="24"/>
      <c r="O121" s="11"/>
      <c r="P121" s="25"/>
      <c r="Q121" s="85">
        <v>1</v>
      </c>
      <c r="R121" s="80" cm="1">
        <f t="array" ref="R12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121" s="80">
        <f>RAPPORT_FINAL[[#This Row],[INVENTAIRE.Quantite]]*RAPPORT_FINAL[[#This Row],[INVENTAIRE.Prix_cout]]</f>
        <v>0</v>
      </c>
      <c r="T121" s="83" cm="1">
        <f t="array" ref="T12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0</v>
      </c>
      <c r="U121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2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21" s="24">
        <f>RAPPORT_FINAL[[#This Row],[INVENTAIRE.Prix_cout]]</f>
        <v>0</v>
      </c>
      <c r="X121" s="85">
        <f>RAPPORT_FINAL[[#This Row],[INVENTAIRE_THEORIQUE]]*RAPPORT_FINAL[[#This Row],[INVENTAIRE_THEORIQUE.Prix_cout]]</f>
        <v>0</v>
      </c>
      <c r="Y121" s="85">
        <f>RAPPORT_FINAL[[#This Row],[INVENTAIRE.Prix_vente]]</f>
        <v>0</v>
      </c>
      <c r="Z121" s="85">
        <f>RAPPORT_FINAL[[#This Row],[INVENTAIRE_THEORIQUE]]*RAPPORT_FINAL[[#This Row],[INVENTAIRE_THEORIQUE.Prix_vente]]</f>
        <v>0</v>
      </c>
      <c r="AA121" s="85">
        <f>RAPPORT_FINAL[[#This Row],[INVENTAIRE.Quantite]]-RAPPORT_FINAL[[#This Row],[INVENTAIRE_THEORIQUE]]</f>
        <v>0</v>
      </c>
      <c r="AB121" s="90">
        <f>IFERROR(RAPPORT_FINAL[[#This Row],[ECART.Total_cout]]/RAPPORT_FINAL[[#This Row],[ECART.Quantite]],0)</f>
        <v>0</v>
      </c>
      <c r="AC121" s="91">
        <f>IFERROR(RAPPORT_FINAL[[#This Row],[ECART.Quantite]]*RAPPORT_FINAL[[#This Row],[INVENTAIRE.Prix_cout]],"")</f>
        <v>0</v>
      </c>
      <c r="AD121" s="83">
        <f>IFERROR(RAPPORT_FINAL[[#This Row],[ECART.Total_vente]]/RAPPORT_FINAL[[#This Row],[ECART.Quantite]],0)</f>
        <v>0</v>
      </c>
      <c r="AE121" s="92">
        <f>IFERROR(RAPPORT_FINAL[[#This Row],[ECART.Quantite]]*RAPPORT_FINAL[[#This Row],[INVENTAIRE.Prix_vente]],"")</f>
        <v>0</v>
      </c>
    </row>
    <row r="122" spans="1:31" x14ac:dyDescent="0.25">
      <c r="A122" s="82" t="s">
        <v>30</v>
      </c>
      <c r="B122" s="3" t="s">
        <v>76</v>
      </c>
      <c r="C122" s="80" t="s">
        <v>283</v>
      </c>
      <c r="D122" s="3" t="s">
        <v>83</v>
      </c>
      <c r="E122" s="31" t="s">
        <v>97</v>
      </c>
      <c r="F122" s="85" cm="1">
        <f t="array" ref="F12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122" s="80" cm="1">
        <f t="array" ref="G12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122" s="80">
        <f>IF(RAPPORT_FINAL[[#This Row],[INVENTAIRE_PREC.Prix_vente]]="","",RAPPORT_FINAL[[#This Row],[INVENTAIRE_PREC.Quantite]]*RAPPORT_FINAL[[#This Row],[INVENTAIRE_PREC.Prix_cout]])</f>
        <v>0</v>
      </c>
      <c r="I122" s="83" cm="1">
        <f t="array" ref="I12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122" s="88">
        <f>IF(RAPPORT_FINAL[[#This Row],[INVENTAIRE_PREC.Prix_vente]]="","",RAPPORT_FINAL[[#This Row],[INVENTAIRE_PREC.Quantite]]*RAPPORT_FINAL[[#This Row],[INVENTAIRE_PREC.Prix_vente]])</f>
        <v>0</v>
      </c>
      <c r="K122" s="24"/>
      <c r="L122" s="11"/>
      <c r="M122" s="25"/>
      <c r="N122" s="24"/>
      <c r="O122" s="11"/>
      <c r="P122" s="25"/>
      <c r="Q122" s="85">
        <v>1</v>
      </c>
      <c r="R122" s="80" cm="1">
        <f t="array" ref="R12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122" s="80">
        <f>RAPPORT_FINAL[[#This Row],[INVENTAIRE.Quantite]]*RAPPORT_FINAL[[#This Row],[INVENTAIRE.Prix_cout]]</f>
        <v>0</v>
      </c>
      <c r="T122" s="83" cm="1">
        <f t="array" ref="T12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0</v>
      </c>
      <c r="U122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2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22" s="24">
        <f>RAPPORT_FINAL[[#This Row],[INVENTAIRE.Prix_cout]]</f>
        <v>0</v>
      </c>
      <c r="X122" s="85">
        <f>RAPPORT_FINAL[[#This Row],[INVENTAIRE_THEORIQUE]]*RAPPORT_FINAL[[#This Row],[INVENTAIRE_THEORIQUE.Prix_cout]]</f>
        <v>0</v>
      </c>
      <c r="Y122" s="85">
        <f>RAPPORT_FINAL[[#This Row],[INVENTAIRE.Prix_vente]]</f>
        <v>0</v>
      </c>
      <c r="Z122" s="85">
        <f>RAPPORT_FINAL[[#This Row],[INVENTAIRE_THEORIQUE]]*RAPPORT_FINAL[[#This Row],[INVENTAIRE_THEORIQUE.Prix_vente]]</f>
        <v>0</v>
      </c>
      <c r="AA122" s="85">
        <f>RAPPORT_FINAL[[#This Row],[INVENTAIRE.Quantite]]-RAPPORT_FINAL[[#This Row],[INVENTAIRE_THEORIQUE]]</f>
        <v>0</v>
      </c>
      <c r="AB122" s="90">
        <f>IFERROR(RAPPORT_FINAL[[#This Row],[ECART.Total_cout]]/RAPPORT_FINAL[[#This Row],[ECART.Quantite]],0)</f>
        <v>0</v>
      </c>
      <c r="AC122" s="91">
        <f>IFERROR(RAPPORT_FINAL[[#This Row],[ECART.Quantite]]*RAPPORT_FINAL[[#This Row],[INVENTAIRE.Prix_cout]],"")</f>
        <v>0</v>
      </c>
      <c r="AD122" s="83">
        <f>IFERROR(RAPPORT_FINAL[[#This Row],[ECART.Total_vente]]/RAPPORT_FINAL[[#This Row],[ECART.Quantite]],0)</f>
        <v>0</v>
      </c>
      <c r="AE122" s="92">
        <f>IFERROR(RAPPORT_FINAL[[#This Row],[ECART.Quantite]]*RAPPORT_FINAL[[#This Row],[INVENTAIRE.Prix_vente]],"")</f>
        <v>0</v>
      </c>
    </row>
    <row r="123" spans="1:31" hidden="1" x14ac:dyDescent="0.25">
      <c r="A123" s="82" t="s">
        <v>30</v>
      </c>
      <c r="B123" s="3" t="s">
        <v>76</v>
      </c>
      <c r="C123" s="80" t="s">
        <v>283</v>
      </c>
      <c r="D123" s="3" t="s">
        <v>38</v>
      </c>
      <c r="E123" s="31" t="s">
        <v>97</v>
      </c>
      <c r="F123" s="85" cm="1">
        <f t="array" ref="F12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9</v>
      </c>
      <c r="G123" s="80" cm="1">
        <f t="array" ref="G12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595.83000000000004</v>
      </c>
      <c r="H123" s="80">
        <f>IF(RAPPORT_FINAL[[#This Row],[INVENTAIRE_PREC.Prix_vente]]="","",RAPPORT_FINAL[[#This Row],[INVENTAIRE_PREC.Quantite]]*RAPPORT_FINAL[[#This Row],[INVENTAIRE_PREC.Prix_cout]])</f>
        <v>5362.47</v>
      </c>
      <c r="I123" s="83" cm="1">
        <f t="array" ref="I12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23" s="88">
        <f>IF(RAPPORT_FINAL[[#This Row],[INVENTAIRE_PREC.Prix_vente]]="","",RAPPORT_FINAL[[#This Row],[INVENTAIRE_PREC.Quantite]]*RAPPORT_FINAL[[#This Row],[INVENTAIRE_PREC.Prix_vente]])</f>
        <v>9000</v>
      </c>
      <c r="K123" s="24">
        <v>24</v>
      </c>
      <c r="L123" s="11">
        <v>645.83333333333337</v>
      </c>
      <c r="M123" s="25">
        <v>15500</v>
      </c>
      <c r="N123" s="24">
        <v>7</v>
      </c>
      <c r="O123" s="11">
        <v>1000</v>
      </c>
      <c r="P123" s="25">
        <v>7000</v>
      </c>
      <c r="Q123" s="85">
        <v>26</v>
      </c>
      <c r="R123" s="80" cm="1">
        <f t="array" ref="R12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632.19606060606066</v>
      </c>
      <c r="S123" s="80">
        <f>RAPPORT_FINAL[[#This Row],[INVENTAIRE.Quantite]]*RAPPORT_FINAL[[#This Row],[INVENTAIRE.Prix_cout]]</f>
        <v>16437.097575757576</v>
      </c>
      <c r="T123" s="83" cm="1">
        <f t="array" ref="T12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23" s="88">
        <f>IF(OR(RAPPORT_FINAL[[#This Row],[INVENTAIRE.Quantite]]="",RAPPORT_FINAL[[#This Row],[INVENTAIRE.Prix_vente]]=""),"",RAPPORT_FINAL[[#This Row],[INVENTAIRE.Quantite]]*RAPPORT_FINAL[[#This Row],[INVENTAIRE.Prix_vente]])</f>
        <v>26000</v>
      </c>
      <c r="V12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26</v>
      </c>
      <c r="W123" s="24">
        <f>RAPPORT_FINAL[[#This Row],[INVENTAIRE.Prix_cout]]</f>
        <v>632.19606060606066</v>
      </c>
      <c r="X123" s="85">
        <f>RAPPORT_FINAL[[#This Row],[INVENTAIRE_THEORIQUE]]*RAPPORT_FINAL[[#This Row],[INVENTAIRE_THEORIQUE.Prix_cout]]</f>
        <v>16437.097575757576</v>
      </c>
      <c r="Y123" s="85">
        <f>RAPPORT_FINAL[[#This Row],[INVENTAIRE.Prix_vente]]</f>
        <v>1000</v>
      </c>
      <c r="Z123" s="85">
        <f>RAPPORT_FINAL[[#This Row],[INVENTAIRE_THEORIQUE]]*RAPPORT_FINAL[[#This Row],[INVENTAIRE_THEORIQUE.Prix_vente]]</f>
        <v>26000</v>
      </c>
      <c r="AA123" s="85">
        <f>RAPPORT_FINAL[[#This Row],[INVENTAIRE.Quantite]]-RAPPORT_FINAL[[#This Row],[INVENTAIRE_THEORIQUE]]</f>
        <v>0</v>
      </c>
      <c r="AB123" s="90">
        <f>IFERROR(RAPPORT_FINAL[[#This Row],[ECART.Total_cout]]/RAPPORT_FINAL[[#This Row],[ECART.Quantite]],0)</f>
        <v>0</v>
      </c>
      <c r="AC123" s="91">
        <f>IFERROR(RAPPORT_FINAL[[#This Row],[ECART.Quantite]]*RAPPORT_FINAL[[#This Row],[INVENTAIRE.Prix_cout]],"")</f>
        <v>0</v>
      </c>
      <c r="AD123" s="83">
        <f>IFERROR(RAPPORT_FINAL[[#This Row],[ECART.Total_vente]]/RAPPORT_FINAL[[#This Row],[ECART.Quantite]],0)</f>
        <v>0</v>
      </c>
      <c r="AE123" s="92">
        <f>IFERROR(RAPPORT_FINAL[[#This Row],[ECART.Quantite]]*RAPPORT_FINAL[[#This Row],[INVENTAIRE.Prix_vente]],"")</f>
        <v>0</v>
      </c>
    </row>
    <row r="124" spans="1:31" hidden="1" x14ac:dyDescent="0.25">
      <c r="A124" s="82" t="s">
        <v>30</v>
      </c>
      <c r="B124" s="3" t="s">
        <v>76</v>
      </c>
      <c r="C124" s="80" t="s">
        <v>283</v>
      </c>
      <c r="D124" s="3" t="s">
        <v>80</v>
      </c>
      <c r="E124" s="31" t="s">
        <v>97</v>
      </c>
      <c r="F124" s="85" cm="1">
        <f t="array" ref="F12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124" s="80" cm="1">
        <f t="array" ref="G12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9850</v>
      </c>
      <c r="H124" s="80">
        <f>IF(RAPPORT_FINAL[[#This Row],[INVENTAIRE_PREC.Prix_vente]]="","",RAPPORT_FINAL[[#This Row],[INVENTAIRE_PREC.Quantite]]*RAPPORT_FINAL[[#This Row],[INVENTAIRE_PREC.Prix_cout]])</f>
        <v>9850</v>
      </c>
      <c r="I124" s="83" cm="1">
        <f t="array" ref="I12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15000</v>
      </c>
      <c r="J124" s="88">
        <f>IF(RAPPORT_FINAL[[#This Row],[INVENTAIRE_PREC.Prix_vente]]="","",RAPPORT_FINAL[[#This Row],[INVENTAIRE_PREC.Quantite]]*RAPPORT_FINAL[[#This Row],[INVENTAIRE_PREC.Prix_vente]])</f>
        <v>15000</v>
      </c>
      <c r="K124" s="24"/>
      <c r="L124" s="11"/>
      <c r="M124" s="25"/>
      <c r="N124" s="24"/>
      <c r="O124" s="11"/>
      <c r="P124" s="25"/>
      <c r="Q124" s="85">
        <v>1</v>
      </c>
      <c r="R124" s="80" cm="1">
        <f t="array" ref="R12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9850</v>
      </c>
      <c r="S124" s="80">
        <f>RAPPORT_FINAL[[#This Row],[INVENTAIRE.Quantite]]*RAPPORT_FINAL[[#This Row],[INVENTAIRE.Prix_cout]]</f>
        <v>9850</v>
      </c>
      <c r="T124" s="83" cm="1">
        <f t="array" ref="T12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15000</v>
      </c>
      <c r="U124" s="88">
        <f>IF(OR(RAPPORT_FINAL[[#This Row],[INVENTAIRE.Quantite]]="",RAPPORT_FINAL[[#This Row],[INVENTAIRE.Prix_vente]]=""),"",RAPPORT_FINAL[[#This Row],[INVENTAIRE.Quantite]]*RAPPORT_FINAL[[#This Row],[INVENTAIRE.Prix_vente]])</f>
        <v>15000</v>
      </c>
      <c r="V12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24" s="24">
        <f>RAPPORT_FINAL[[#This Row],[INVENTAIRE.Prix_cout]]</f>
        <v>9850</v>
      </c>
      <c r="X124" s="85">
        <f>RAPPORT_FINAL[[#This Row],[INVENTAIRE_THEORIQUE]]*RAPPORT_FINAL[[#This Row],[INVENTAIRE_THEORIQUE.Prix_cout]]</f>
        <v>9850</v>
      </c>
      <c r="Y124" s="85">
        <f>RAPPORT_FINAL[[#This Row],[INVENTAIRE.Prix_vente]]</f>
        <v>15000</v>
      </c>
      <c r="Z124" s="85">
        <f>RAPPORT_FINAL[[#This Row],[INVENTAIRE_THEORIQUE]]*RAPPORT_FINAL[[#This Row],[INVENTAIRE_THEORIQUE.Prix_vente]]</f>
        <v>15000</v>
      </c>
      <c r="AA124" s="85">
        <f>RAPPORT_FINAL[[#This Row],[INVENTAIRE.Quantite]]-RAPPORT_FINAL[[#This Row],[INVENTAIRE_THEORIQUE]]</f>
        <v>0</v>
      </c>
      <c r="AB124" s="90">
        <f>IFERROR(RAPPORT_FINAL[[#This Row],[ECART.Total_cout]]/RAPPORT_FINAL[[#This Row],[ECART.Quantite]],0)</f>
        <v>0</v>
      </c>
      <c r="AC124" s="91">
        <f>IFERROR(RAPPORT_FINAL[[#This Row],[ECART.Quantite]]*RAPPORT_FINAL[[#This Row],[INVENTAIRE.Prix_cout]],"")</f>
        <v>0</v>
      </c>
      <c r="AD124" s="83">
        <f>IFERROR(RAPPORT_FINAL[[#This Row],[ECART.Total_vente]]/RAPPORT_FINAL[[#This Row],[ECART.Quantite]],0)</f>
        <v>0</v>
      </c>
      <c r="AE124" s="92">
        <f>IFERROR(RAPPORT_FINAL[[#This Row],[ECART.Quantite]]*RAPPORT_FINAL[[#This Row],[INVENTAIRE.Prix_vente]],"")</f>
        <v>0</v>
      </c>
    </row>
    <row r="125" spans="1:31" hidden="1" x14ac:dyDescent="0.25">
      <c r="A125" s="82" t="s">
        <v>30</v>
      </c>
      <c r="B125" s="3" t="s">
        <v>76</v>
      </c>
      <c r="C125" s="80" t="s">
        <v>283</v>
      </c>
      <c r="D125" s="3" t="s">
        <v>42</v>
      </c>
      <c r="E125" s="31" t="s">
        <v>97</v>
      </c>
      <c r="F125" s="85" cm="1">
        <f t="array" ref="F12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3</v>
      </c>
      <c r="G125" s="80" cm="1">
        <f t="array" ref="G12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608.33000000000004</v>
      </c>
      <c r="H125" s="80">
        <f>IF(RAPPORT_FINAL[[#This Row],[INVENTAIRE_PREC.Prix_vente]]="","",RAPPORT_FINAL[[#This Row],[INVENTAIRE_PREC.Quantite]]*RAPPORT_FINAL[[#This Row],[INVENTAIRE_PREC.Prix_cout]])</f>
        <v>1824.9900000000002</v>
      </c>
      <c r="I125" s="83" cm="1">
        <f t="array" ref="I12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25" s="88">
        <f>IF(RAPPORT_FINAL[[#This Row],[INVENTAIRE_PREC.Prix_vente]]="","",RAPPORT_FINAL[[#This Row],[INVENTAIRE_PREC.Quantite]]*RAPPORT_FINAL[[#This Row],[INVENTAIRE_PREC.Prix_vente]])</f>
        <v>3000</v>
      </c>
      <c r="K125" s="24"/>
      <c r="L125" s="11"/>
      <c r="M125" s="25"/>
      <c r="N125" s="24">
        <v>2</v>
      </c>
      <c r="O125" s="11">
        <v>1000</v>
      </c>
      <c r="P125" s="25">
        <v>2000</v>
      </c>
      <c r="Q125" s="85">
        <v>1</v>
      </c>
      <c r="R125" s="80" cm="1">
        <f t="array" ref="R12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608.33000000000004</v>
      </c>
      <c r="S125" s="80">
        <f>RAPPORT_FINAL[[#This Row],[INVENTAIRE.Quantite]]*RAPPORT_FINAL[[#This Row],[INVENTAIRE.Prix_cout]]</f>
        <v>608.33000000000004</v>
      </c>
      <c r="T125" s="83" cm="1">
        <f t="array" ref="T12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25" s="88">
        <f>IF(OR(RAPPORT_FINAL[[#This Row],[INVENTAIRE.Quantite]]="",RAPPORT_FINAL[[#This Row],[INVENTAIRE.Prix_vente]]=""),"",RAPPORT_FINAL[[#This Row],[INVENTAIRE.Quantite]]*RAPPORT_FINAL[[#This Row],[INVENTAIRE.Prix_vente]])</f>
        <v>1000</v>
      </c>
      <c r="V12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25" s="24">
        <f>RAPPORT_FINAL[[#This Row],[INVENTAIRE.Prix_cout]]</f>
        <v>608.33000000000004</v>
      </c>
      <c r="X125" s="85">
        <f>RAPPORT_FINAL[[#This Row],[INVENTAIRE_THEORIQUE]]*RAPPORT_FINAL[[#This Row],[INVENTAIRE_THEORIQUE.Prix_cout]]</f>
        <v>608.33000000000004</v>
      </c>
      <c r="Y125" s="85">
        <f>RAPPORT_FINAL[[#This Row],[INVENTAIRE.Prix_vente]]</f>
        <v>1000</v>
      </c>
      <c r="Z125" s="85">
        <f>RAPPORT_FINAL[[#This Row],[INVENTAIRE_THEORIQUE]]*RAPPORT_FINAL[[#This Row],[INVENTAIRE_THEORIQUE.Prix_vente]]</f>
        <v>1000</v>
      </c>
      <c r="AA125" s="85">
        <f>RAPPORT_FINAL[[#This Row],[INVENTAIRE.Quantite]]-RAPPORT_FINAL[[#This Row],[INVENTAIRE_THEORIQUE]]</f>
        <v>0</v>
      </c>
      <c r="AB125" s="90">
        <f>IFERROR(RAPPORT_FINAL[[#This Row],[ECART.Total_cout]]/RAPPORT_FINAL[[#This Row],[ECART.Quantite]],0)</f>
        <v>0</v>
      </c>
      <c r="AC125" s="91">
        <f>IFERROR(RAPPORT_FINAL[[#This Row],[ECART.Quantite]]*RAPPORT_FINAL[[#This Row],[INVENTAIRE.Prix_cout]],"")</f>
        <v>0</v>
      </c>
      <c r="AD125" s="83">
        <f>IFERROR(RAPPORT_FINAL[[#This Row],[ECART.Total_vente]]/RAPPORT_FINAL[[#This Row],[ECART.Quantite]],0)</f>
        <v>0</v>
      </c>
      <c r="AE125" s="92">
        <f>IFERROR(RAPPORT_FINAL[[#This Row],[ECART.Quantite]]*RAPPORT_FINAL[[#This Row],[INVENTAIRE.Prix_vente]],"")</f>
        <v>0</v>
      </c>
    </row>
    <row r="126" spans="1:31" hidden="1" x14ac:dyDescent="0.25">
      <c r="A126" s="82" t="s">
        <v>30</v>
      </c>
      <c r="B126" s="3" t="s">
        <v>76</v>
      </c>
      <c r="C126" s="80" t="s">
        <v>283</v>
      </c>
      <c r="D126" s="3" t="s">
        <v>40</v>
      </c>
      <c r="E126" s="31" t="s">
        <v>97</v>
      </c>
      <c r="F126" s="85" cm="1">
        <f t="array" ref="F12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11</v>
      </c>
      <c r="G126" s="80" cm="1">
        <f t="array" ref="G12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741.67</v>
      </c>
      <c r="H126" s="80">
        <f>IF(RAPPORT_FINAL[[#This Row],[INVENTAIRE_PREC.Prix_vente]]="","",RAPPORT_FINAL[[#This Row],[INVENTAIRE_PREC.Quantite]]*RAPPORT_FINAL[[#This Row],[INVENTAIRE_PREC.Prix_cout]])</f>
        <v>8158.37</v>
      </c>
      <c r="I126" s="83" cm="1">
        <f t="array" ref="I12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26" s="88">
        <f>IF(RAPPORT_FINAL[[#This Row],[INVENTAIRE_PREC.Prix_vente]]="","",RAPPORT_FINAL[[#This Row],[INVENTAIRE_PREC.Quantite]]*RAPPORT_FINAL[[#This Row],[INVENTAIRE_PREC.Prix_vente]])</f>
        <v>11000</v>
      </c>
      <c r="K126" s="24"/>
      <c r="L126" s="11"/>
      <c r="M126" s="25"/>
      <c r="N126" s="24">
        <v>3</v>
      </c>
      <c r="O126" s="11">
        <v>1000</v>
      </c>
      <c r="P126" s="25">
        <v>3000</v>
      </c>
      <c r="Q126" s="85">
        <v>8</v>
      </c>
      <c r="R126" s="80" cm="1">
        <f t="array" ref="R12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741.67</v>
      </c>
      <c r="S126" s="80">
        <f>RAPPORT_FINAL[[#This Row],[INVENTAIRE.Quantite]]*RAPPORT_FINAL[[#This Row],[INVENTAIRE.Prix_cout]]</f>
        <v>5933.36</v>
      </c>
      <c r="T126" s="83" cm="1">
        <f t="array" ref="T12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26" s="88">
        <f>IF(OR(RAPPORT_FINAL[[#This Row],[INVENTAIRE.Quantite]]="",RAPPORT_FINAL[[#This Row],[INVENTAIRE.Prix_vente]]=""),"",RAPPORT_FINAL[[#This Row],[INVENTAIRE.Quantite]]*RAPPORT_FINAL[[#This Row],[INVENTAIRE.Prix_vente]])</f>
        <v>8000</v>
      </c>
      <c r="V12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8</v>
      </c>
      <c r="W126" s="24">
        <f>RAPPORT_FINAL[[#This Row],[INVENTAIRE.Prix_cout]]</f>
        <v>741.67</v>
      </c>
      <c r="X126" s="85">
        <f>RAPPORT_FINAL[[#This Row],[INVENTAIRE_THEORIQUE]]*RAPPORT_FINAL[[#This Row],[INVENTAIRE_THEORIQUE.Prix_cout]]</f>
        <v>5933.36</v>
      </c>
      <c r="Y126" s="85">
        <f>RAPPORT_FINAL[[#This Row],[INVENTAIRE.Prix_vente]]</f>
        <v>1000</v>
      </c>
      <c r="Z126" s="85">
        <f>RAPPORT_FINAL[[#This Row],[INVENTAIRE_THEORIQUE]]*RAPPORT_FINAL[[#This Row],[INVENTAIRE_THEORIQUE.Prix_vente]]</f>
        <v>8000</v>
      </c>
      <c r="AA126" s="85">
        <f>RAPPORT_FINAL[[#This Row],[INVENTAIRE.Quantite]]-RAPPORT_FINAL[[#This Row],[INVENTAIRE_THEORIQUE]]</f>
        <v>0</v>
      </c>
      <c r="AB126" s="90">
        <f>IFERROR(RAPPORT_FINAL[[#This Row],[ECART.Total_cout]]/RAPPORT_FINAL[[#This Row],[ECART.Quantite]],0)</f>
        <v>0</v>
      </c>
      <c r="AC126" s="91">
        <f>IFERROR(RAPPORT_FINAL[[#This Row],[ECART.Quantite]]*RAPPORT_FINAL[[#This Row],[INVENTAIRE.Prix_cout]],"")</f>
        <v>0</v>
      </c>
      <c r="AD126" s="83">
        <f>IFERROR(RAPPORT_FINAL[[#This Row],[ECART.Total_vente]]/RAPPORT_FINAL[[#This Row],[ECART.Quantite]],0)</f>
        <v>0</v>
      </c>
      <c r="AE126" s="92">
        <f>IFERROR(RAPPORT_FINAL[[#This Row],[ECART.Quantite]]*RAPPORT_FINAL[[#This Row],[INVENTAIRE.Prix_vente]],"")</f>
        <v>0</v>
      </c>
    </row>
    <row r="127" spans="1:31" x14ac:dyDescent="0.25">
      <c r="A127" s="82" t="s">
        <v>30</v>
      </c>
      <c r="B127" s="3" t="s">
        <v>76</v>
      </c>
      <c r="C127" s="80" t="s">
        <v>283</v>
      </c>
      <c r="D127" s="3" t="s">
        <v>55</v>
      </c>
      <c r="E127" s="31" t="s">
        <v>97</v>
      </c>
      <c r="F127" s="85" cm="1">
        <f t="array" ref="F12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27" s="80" cm="1">
        <f t="array" ref="G12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127" s="80">
        <f>IF(RAPPORT_FINAL[[#This Row],[INVENTAIRE_PREC.Prix_vente]]="","",RAPPORT_FINAL[[#This Row],[INVENTAIRE_PREC.Quantite]]*RAPPORT_FINAL[[#This Row],[INVENTAIRE_PREC.Prix_cout]])</f>
        <v>0</v>
      </c>
      <c r="I127" s="83" cm="1">
        <f t="array" ref="I12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127" s="88">
        <f>IF(RAPPORT_FINAL[[#This Row],[INVENTAIRE_PREC.Prix_vente]]="","",RAPPORT_FINAL[[#This Row],[INVENTAIRE_PREC.Quantite]]*RAPPORT_FINAL[[#This Row],[INVENTAIRE_PREC.Prix_vente]])</f>
        <v>0</v>
      </c>
      <c r="K127" s="24"/>
      <c r="L127" s="11"/>
      <c r="M127" s="25"/>
      <c r="N127" s="24"/>
      <c r="O127" s="11"/>
      <c r="P127" s="25"/>
      <c r="Q127" s="85">
        <v>0</v>
      </c>
      <c r="R127" s="80" cm="1">
        <f t="array" ref="R12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127" s="80">
        <f>RAPPORT_FINAL[[#This Row],[INVENTAIRE.Quantite]]*RAPPORT_FINAL[[#This Row],[INVENTAIRE.Prix_cout]]</f>
        <v>0</v>
      </c>
      <c r="T127" s="83" cm="1">
        <f t="array" ref="T12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127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2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127" s="24">
        <f>RAPPORT_FINAL[[#This Row],[INVENTAIRE.Prix_cout]]</f>
        <v>0</v>
      </c>
      <c r="X127" s="85">
        <f>RAPPORT_FINAL[[#This Row],[INVENTAIRE_THEORIQUE]]*RAPPORT_FINAL[[#This Row],[INVENTAIRE_THEORIQUE.Prix_cout]]</f>
        <v>0</v>
      </c>
      <c r="Y127" s="85">
        <f>RAPPORT_FINAL[[#This Row],[INVENTAIRE.Prix_vente]]</f>
        <v>800</v>
      </c>
      <c r="Z127" s="85">
        <f>RAPPORT_FINAL[[#This Row],[INVENTAIRE_THEORIQUE]]*RAPPORT_FINAL[[#This Row],[INVENTAIRE_THEORIQUE.Prix_vente]]</f>
        <v>0</v>
      </c>
      <c r="AA127" s="85">
        <f>RAPPORT_FINAL[[#This Row],[INVENTAIRE.Quantite]]-RAPPORT_FINAL[[#This Row],[INVENTAIRE_THEORIQUE]]</f>
        <v>0</v>
      </c>
      <c r="AB127" s="90">
        <f>IFERROR(RAPPORT_FINAL[[#This Row],[ECART.Total_cout]]/RAPPORT_FINAL[[#This Row],[ECART.Quantite]],0)</f>
        <v>0</v>
      </c>
      <c r="AC127" s="91">
        <f>IFERROR(RAPPORT_FINAL[[#This Row],[ECART.Quantite]]*RAPPORT_FINAL[[#This Row],[INVENTAIRE.Prix_cout]],"")</f>
        <v>0</v>
      </c>
      <c r="AD127" s="83">
        <f>IFERROR(RAPPORT_FINAL[[#This Row],[ECART.Total_vente]]/RAPPORT_FINAL[[#This Row],[ECART.Quantite]],0)</f>
        <v>0</v>
      </c>
      <c r="AE127" s="92">
        <f>IFERROR(RAPPORT_FINAL[[#This Row],[ECART.Quantite]]*RAPPORT_FINAL[[#This Row],[INVENTAIRE.Prix_vente]],"")</f>
        <v>0</v>
      </c>
    </row>
    <row r="128" spans="1:31" hidden="1" x14ac:dyDescent="0.25">
      <c r="A128" s="82" t="s">
        <v>30</v>
      </c>
      <c r="B128" s="3" t="s">
        <v>76</v>
      </c>
      <c r="C128" s="80" t="s">
        <v>283</v>
      </c>
      <c r="D128" s="3" t="s">
        <v>81</v>
      </c>
      <c r="E128" s="31" t="s">
        <v>97</v>
      </c>
      <c r="F128" s="85" cm="1">
        <f t="array" ref="F12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128" s="80" cm="1">
        <f t="array" ref="G12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2350</v>
      </c>
      <c r="H128" s="80">
        <f>IF(RAPPORT_FINAL[[#This Row],[INVENTAIRE_PREC.Prix_vente]]="","",RAPPORT_FINAL[[#This Row],[INVENTAIRE_PREC.Quantite]]*RAPPORT_FINAL[[#This Row],[INVENTAIRE_PREC.Prix_cout]])</f>
        <v>4700</v>
      </c>
      <c r="I128" s="83" cm="1">
        <f t="array" ref="I12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2500</v>
      </c>
      <c r="J128" s="88">
        <f>IF(RAPPORT_FINAL[[#This Row],[INVENTAIRE_PREC.Prix_vente]]="","",RAPPORT_FINAL[[#This Row],[INVENTAIRE_PREC.Quantite]]*RAPPORT_FINAL[[#This Row],[INVENTAIRE_PREC.Prix_vente]])</f>
        <v>5000</v>
      </c>
      <c r="K128" s="24"/>
      <c r="L128" s="11"/>
      <c r="M128" s="25"/>
      <c r="N128" s="24"/>
      <c r="O128" s="11"/>
      <c r="P128" s="25"/>
      <c r="Q128" s="85">
        <v>2</v>
      </c>
      <c r="R128" s="80" cm="1">
        <f t="array" ref="R12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2350</v>
      </c>
      <c r="S128" s="80">
        <f>RAPPORT_FINAL[[#This Row],[INVENTAIRE.Quantite]]*RAPPORT_FINAL[[#This Row],[INVENTAIRE.Prix_cout]]</f>
        <v>4700</v>
      </c>
      <c r="T128" s="83" cm="1">
        <f t="array" ref="T12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</v>
      </c>
      <c r="U128" s="88">
        <f>IF(OR(RAPPORT_FINAL[[#This Row],[INVENTAIRE.Quantite]]="",RAPPORT_FINAL[[#This Row],[INVENTAIRE.Prix_vente]]=""),"",RAPPORT_FINAL[[#This Row],[INVENTAIRE.Quantite]]*RAPPORT_FINAL[[#This Row],[INVENTAIRE.Prix_vente]])</f>
        <v>5000</v>
      </c>
      <c r="V12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128" s="24">
        <f>RAPPORT_FINAL[[#This Row],[INVENTAIRE.Prix_cout]]</f>
        <v>2350</v>
      </c>
      <c r="X128" s="85">
        <f>RAPPORT_FINAL[[#This Row],[INVENTAIRE_THEORIQUE]]*RAPPORT_FINAL[[#This Row],[INVENTAIRE_THEORIQUE.Prix_cout]]</f>
        <v>4700</v>
      </c>
      <c r="Y128" s="85">
        <f>RAPPORT_FINAL[[#This Row],[INVENTAIRE.Prix_vente]]</f>
        <v>2500</v>
      </c>
      <c r="Z128" s="85">
        <f>RAPPORT_FINAL[[#This Row],[INVENTAIRE_THEORIQUE]]*RAPPORT_FINAL[[#This Row],[INVENTAIRE_THEORIQUE.Prix_vente]]</f>
        <v>5000</v>
      </c>
      <c r="AA128" s="85">
        <f>RAPPORT_FINAL[[#This Row],[INVENTAIRE.Quantite]]-RAPPORT_FINAL[[#This Row],[INVENTAIRE_THEORIQUE]]</f>
        <v>0</v>
      </c>
      <c r="AB128" s="90">
        <f>IFERROR(RAPPORT_FINAL[[#This Row],[ECART.Total_cout]]/RAPPORT_FINAL[[#This Row],[ECART.Quantite]],0)</f>
        <v>0</v>
      </c>
      <c r="AC128" s="91">
        <f>IFERROR(RAPPORT_FINAL[[#This Row],[ECART.Quantite]]*RAPPORT_FINAL[[#This Row],[INVENTAIRE.Prix_cout]],"")</f>
        <v>0</v>
      </c>
      <c r="AD128" s="83">
        <f>IFERROR(RAPPORT_FINAL[[#This Row],[ECART.Total_vente]]/RAPPORT_FINAL[[#This Row],[ECART.Quantite]],0)</f>
        <v>0</v>
      </c>
      <c r="AE128" s="92">
        <f>IFERROR(RAPPORT_FINAL[[#This Row],[ECART.Quantite]]*RAPPORT_FINAL[[#This Row],[INVENTAIRE.Prix_vente]],"")</f>
        <v>0</v>
      </c>
    </row>
    <row r="129" spans="1:31" hidden="1" x14ac:dyDescent="0.25">
      <c r="A129" s="82" t="s">
        <v>30</v>
      </c>
      <c r="B129" s="3" t="s">
        <v>76</v>
      </c>
      <c r="C129" s="80" t="s">
        <v>283</v>
      </c>
      <c r="D129" s="3" t="s">
        <v>38</v>
      </c>
      <c r="E129" s="31" t="s">
        <v>97</v>
      </c>
      <c r="F129" s="85" cm="1">
        <f t="array" ref="F12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9</v>
      </c>
      <c r="G129" s="80" cm="1">
        <f t="array" ref="G12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595.83000000000004</v>
      </c>
      <c r="H129" s="80">
        <f>IF(RAPPORT_FINAL[[#This Row],[INVENTAIRE_PREC.Prix_vente]]="","",RAPPORT_FINAL[[#This Row],[INVENTAIRE_PREC.Quantite]]*RAPPORT_FINAL[[#This Row],[INVENTAIRE_PREC.Prix_cout]])</f>
        <v>5362.47</v>
      </c>
      <c r="I129" s="83" cm="1">
        <f t="array" ref="I12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29" s="88">
        <f>IF(RAPPORT_FINAL[[#This Row],[INVENTAIRE_PREC.Prix_vente]]="","",RAPPORT_FINAL[[#This Row],[INVENTAIRE_PREC.Quantite]]*RAPPORT_FINAL[[#This Row],[INVENTAIRE_PREC.Prix_vente]])</f>
        <v>9000</v>
      </c>
      <c r="K129" s="24">
        <v>24</v>
      </c>
      <c r="L129" s="11">
        <v>645.83333333333337</v>
      </c>
      <c r="M129" s="25">
        <v>15500</v>
      </c>
      <c r="N129" s="24">
        <v>7</v>
      </c>
      <c r="O129" s="11">
        <v>1000</v>
      </c>
      <c r="P129" s="25">
        <v>7000</v>
      </c>
      <c r="Q129" s="85">
        <v>26</v>
      </c>
      <c r="R129" s="80" cm="1">
        <f t="array" ref="R12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632.19606060606066</v>
      </c>
      <c r="S129" s="80">
        <f>RAPPORT_FINAL[[#This Row],[INVENTAIRE.Quantite]]*RAPPORT_FINAL[[#This Row],[INVENTAIRE.Prix_cout]]</f>
        <v>16437.097575757576</v>
      </c>
      <c r="T129" s="83" cm="1">
        <f t="array" ref="T12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29" s="88">
        <f>IF(OR(RAPPORT_FINAL[[#This Row],[INVENTAIRE.Quantite]]="",RAPPORT_FINAL[[#This Row],[INVENTAIRE.Prix_vente]]=""),"",RAPPORT_FINAL[[#This Row],[INVENTAIRE.Quantite]]*RAPPORT_FINAL[[#This Row],[INVENTAIRE.Prix_vente]])</f>
        <v>26000</v>
      </c>
      <c r="V12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26</v>
      </c>
      <c r="W129" s="24">
        <f>RAPPORT_FINAL[[#This Row],[INVENTAIRE.Prix_cout]]</f>
        <v>632.19606060606066</v>
      </c>
      <c r="X129" s="85">
        <f>RAPPORT_FINAL[[#This Row],[INVENTAIRE_THEORIQUE]]*RAPPORT_FINAL[[#This Row],[INVENTAIRE_THEORIQUE.Prix_cout]]</f>
        <v>16437.097575757576</v>
      </c>
      <c r="Y129" s="85">
        <f>RAPPORT_FINAL[[#This Row],[INVENTAIRE.Prix_vente]]</f>
        <v>1000</v>
      </c>
      <c r="Z129" s="85">
        <f>RAPPORT_FINAL[[#This Row],[INVENTAIRE_THEORIQUE]]*RAPPORT_FINAL[[#This Row],[INVENTAIRE_THEORIQUE.Prix_vente]]</f>
        <v>26000</v>
      </c>
      <c r="AA129" s="85">
        <f>RAPPORT_FINAL[[#This Row],[INVENTAIRE.Quantite]]-RAPPORT_FINAL[[#This Row],[INVENTAIRE_THEORIQUE]]</f>
        <v>0</v>
      </c>
      <c r="AB129" s="90">
        <f>IFERROR(RAPPORT_FINAL[[#This Row],[ECART.Total_cout]]/RAPPORT_FINAL[[#This Row],[ECART.Quantite]],0)</f>
        <v>0</v>
      </c>
      <c r="AC129" s="91">
        <f>IFERROR(RAPPORT_FINAL[[#This Row],[ECART.Quantite]]*RAPPORT_FINAL[[#This Row],[INVENTAIRE.Prix_cout]],"")</f>
        <v>0</v>
      </c>
      <c r="AD129" s="83">
        <f>IFERROR(RAPPORT_FINAL[[#This Row],[ECART.Total_vente]]/RAPPORT_FINAL[[#This Row],[ECART.Quantite]],0)</f>
        <v>0</v>
      </c>
      <c r="AE129" s="92">
        <f>IFERROR(RAPPORT_FINAL[[#This Row],[ECART.Quantite]]*RAPPORT_FINAL[[#This Row],[INVENTAIRE.Prix_vente]],"")</f>
        <v>0</v>
      </c>
    </row>
    <row r="130" spans="1:31" hidden="1" x14ac:dyDescent="0.25">
      <c r="A130" s="82" t="s">
        <v>30</v>
      </c>
      <c r="B130" s="3" t="s">
        <v>76</v>
      </c>
      <c r="C130" s="80" t="s">
        <v>283</v>
      </c>
      <c r="D130" s="3" t="s">
        <v>45</v>
      </c>
      <c r="E130" s="31" t="s">
        <v>97</v>
      </c>
      <c r="F130" s="85" cm="1">
        <f t="array" ref="F13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26</v>
      </c>
      <c r="G130" s="80" cm="1">
        <f t="array" ref="G13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562.5</v>
      </c>
      <c r="H130" s="80">
        <f>IF(RAPPORT_FINAL[[#This Row],[INVENTAIRE_PREC.Prix_vente]]="","",RAPPORT_FINAL[[#This Row],[INVENTAIRE_PREC.Quantite]]*RAPPORT_FINAL[[#This Row],[INVENTAIRE_PREC.Prix_cout]])</f>
        <v>14625</v>
      </c>
      <c r="I130" s="83" cm="1">
        <f t="array" ref="I13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30" s="88">
        <f>IF(RAPPORT_FINAL[[#This Row],[INVENTAIRE_PREC.Prix_vente]]="","",RAPPORT_FINAL[[#This Row],[INVENTAIRE_PREC.Quantite]]*RAPPORT_FINAL[[#This Row],[INVENTAIRE_PREC.Prix_vente]])</f>
        <v>26000</v>
      </c>
      <c r="K130" s="24"/>
      <c r="L130" s="11"/>
      <c r="M130" s="25"/>
      <c r="N130" s="24">
        <v>9</v>
      </c>
      <c r="O130" s="11">
        <v>1000</v>
      </c>
      <c r="P130" s="25">
        <v>9000</v>
      </c>
      <c r="Q130" s="85">
        <v>15</v>
      </c>
      <c r="R130" s="80" cm="1">
        <f t="array" ref="R13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562.5</v>
      </c>
      <c r="S130" s="80">
        <f>RAPPORT_FINAL[[#This Row],[INVENTAIRE.Quantite]]*RAPPORT_FINAL[[#This Row],[INVENTAIRE.Prix_cout]]</f>
        <v>8437.5</v>
      </c>
      <c r="T130" s="83" cm="1">
        <f t="array" ref="T13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30" s="88">
        <f>IF(OR(RAPPORT_FINAL[[#This Row],[INVENTAIRE.Quantite]]="",RAPPORT_FINAL[[#This Row],[INVENTAIRE.Prix_vente]]=""),"",RAPPORT_FINAL[[#This Row],[INVENTAIRE.Quantite]]*RAPPORT_FINAL[[#This Row],[INVENTAIRE.Prix_vente]])</f>
        <v>15000</v>
      </c>
      <c r="V13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17</v>
      </c>
      <c r="W130" s="24">
        <f>RAPPORT_FINAL[[#This Row],[INVENTAIRE.Prix_cout]]</f>
        <v>562.5</v>
      </c>
      <c r="X130" s="85">
        <f>RAPPORT_FINAL[[#This Row],[INVENTAIRE_THEORIQUE]]*RAPPORT_FINAL[[#This Row],[INVENTAIRE_THEORIQUE.Prix_cout]]</f>
        <v>9562.5</v>
      </c>
      <c r="Y130" s="85">
        <f>RAPPORT_FINAL[[#This Row],[INVENTAIRE.Prix_vente]]</f>
        <v>1000</v>
      </c>
      <c r="Z130" s="85">
        <f>RAPPORT_FINAL[[#This Row],[INVENTAIRE_THEORIQUE]]*RAPPORT_FINAL[[#This Row],[INVENTAIRE_THEORIQUE.Prix_vente]]</f>
        <v>17000</v>
      </c>
      <c r="AA130" s="85">
        <f>RAPPORT_FINAL[[#This Row],[INVENTAIRE.Quantite]]-RAPPORT_FINAL[[#This Row],[INVENTAIRE_THEORIQUE]]</f>
        <v>-2</v>
      </c>
      <c r="AB130" s="90">
        <f>IFERROR(RAPPORT_FINAL[[#This Row],[ECART.Total_cout]]/RAPPORT_FINAL[[#This Row],[ECART.Quantite]],0)</f>
        <v>562.5</v>
      </c>
      <c r="AC130" s="91">
        <f>IFERROR(RAPPORT_FINAL[[#This Row],[ECART.Quantite]]*RAPPORT_FINAL[[#This Row],[INVENTAIRE.Prix_cout]],"")</f>
        <v>-1125</v>
      </c>
      <c r="AD130" s="83">
        <f>IFERROR(RAPPORT_FINAL[[#This Row],[ECART.Total_vente]]/RAPPORT_FINAL[[#This Row],[ECART.Quantite]],0)</f>
        <v>1000</v>
      </c>
      <c r="AE130" s="92">
        <f>IFERROR(RAPPORT_FINAL[[#This Row],[ECART.Quantite]]*RAPPORT_FINAL[[#This Row],[INVENTAIRE.Prix_vente]],"")</f>
        <v>-2000</v>
      </c>
    </row>
    <row r="131" spans="1:31" hidden="1" x14ac:dyDescent="0.25">
      <c r="A131" s="82" t="s">
        <v>30</v>
      </c>
      <c r="B131" s="3" t="s">
        <v>76</v>
      </c>
      <c r="C131" s="80" t="s">
        <v>283</v>
      </c>
      <c r="D131" s="3" t="s">
        <v>45</v>
      </c>
      <c r="E131" s="31" t="s">
        <v>97</v>
      </c>
      <c r="F131" s="85" cm="1">
        <f t="array" ref="F13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26</v>
      </c>
      <c r="G131" s="80" cm="1">
        <f t="array" ref="G13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562.5</v>
      </c>
      <c r="H131" s="80">
        <f>IF(RAPPORT_FINAL[[#This Row],[INVENTAIRE_PREC.Prix_vente]]="","",RAPPORT_FINAL[[#This Row],[INVENTAIRE_PREC.Quantite]]*RAPPORT_FINAL[[#This Row],[INVENTAIRE_PREC.Prix_cout]])</f>
        <v>14625</v>
      </c>
      <c r="I131" s="83" cm="1">
        <f t="array" ref="I13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31" s="88">
        <f>IF(RAPPORT_FINAL[[#This Row],[INVENTAIRE_PREC.Prix_vente]]="","",RAPPORT_FINAL[[#This Row],[INVENTAIRE_PREC.Quantite]]*RAPPORT_FINAL[[#This Row],[INVENTAIRE_PREC.Prix_vente]])</f>
        <v>26000</v>
      </c>
      <c r="K131" s="24"/>
      <c r="L131" s="11"/>
      <c r="M131" s="25"/>
      <c r="N131" s="24">
        <v>9</v>
      </c>
      <c r="O131" s="11">
        <v>1000</v>
      </c>
      <c r="P131" s="25">
        <v>9000</v>
      </c>
      <c r="Q131" s="85">
        <v>15</v>
      </c>
      <c r="R131" s="80" cm="1">
        <f t="array" ref="R13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562.5</v>
      </c>
      <c r="S131" s="80">
        <f>RAPPORT_FINAL[[#This Row],[INVENTAIRE.Quantite]]*RAPPORT_FINAL[[#This Row],[INVENTAIRE.Prix_cout]]</f>
        <v>8437.5</v>
      </c>
      <c r="T131" s="83" cm="1">
        <f t="array" ref="T13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31" s="88">
        <f>IF(OR(RAPPORT_FINAL[[#This Row],[INVENTAIRE.Quantite]]="",RAPPORT_FINAL[[#This Row],[INVENTAIRE.Prix_vente]]=""),"",RAPPORT_FINAL[[#This Row],[INVENTAIRE.Quantite]]*RAPPORT_FINAL[[#This Row],[INVENTAIRE.Prix_vente]])</f>
        <v>15000</v>
      </c>
      <c r="V13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17</v>
      </c>
      <c r="W131" s="24">
        <f>RAPPORT_FINAL[[#This Row],[INVENTAIRE.Prix_cout]]</f>
        <v>562.5</v>
      </c>
      <c r="X131" s="85">
        <f>RAPPORT_FINAL[[#This Row],[INVENTAIRE_THEORIQUE]]*RAPPORT_FINAL[[#This Row],[INVENTAIRE_THEORIQUE.Prix_cout]]</f>
        <v>9562.5</v>
      </c>
      <c r="Y131" s="85">
        <f>RAPPORT_FINAL[[#This Row],[INVENTAIRE.Prix_vente]]</f>
        <v>1000</v>
      </c>
      <c r="Z131" s="85">
        <f>RAPPORT_FINAL[[#This Row],[INVENTAIRE_THEORIQUE]]*RAPPORT_FINAL[[#This Row],[INVENTAIRE_THEORIQUE.Prix_vente]]</f>
        <v>17000</v>
      </c>
      <c r="AA131" s="85">
        <f>RAPPORT_FINAL[[#This Row],[INVENTAIRE.Quantite]]-RAPPORT_FINAL[[#This Row],[INVENTAIRE_THEORIQUE]]</f>
        <v>-2</v>
      </c>
      <c r="AB131" s="90">
        <f>IFERROR(RAPPORT_FINAL[[#This Row],[ECART.Total_cout]]/RAPPORT_FINAL[[#This Row],[ECART.Quantite]],0)</f>
        <v>562.5</v>
      </c>
      <c r="AC131" s="91">
        <f>IFERROR(RAPPORT_FINAL[[#This Row],[ECART.Quantite]]*RAPPORT_FINAL[[#This Row],[INVENTAIRE.Prix_cout]],"")</f>
        <v>-1125</v>
      </c>
      <c r="AD131" s="83">
        <f>IFERROR(RAPPORT_FINAL[[#This Row],[ECART.Total_vente]]/RAPPORT_FINAL[[#This Row],[ECART.Quantite]],0)</f>
        <v>1000</v>
      </c>
      <c r="AE131" s="92">
        <f>IFERROR(RAPPORT_FINAL[[#This Row],[ECART.Quantite]]*RAPPORT_FINAL[[#This Row],[INVENTAIRE.Prix_vente]],"")</f>
        <v>-2000</v>
      </c>
    </row>
    <row r="132" spans="1:31" x14ac:dyDescent="0.25">
      <c r="A132" s="82" t="s">
        <v>30</v>
      </c>
      <c r="B132" s="3" t="s">
        <v>76</v>
      </c>
      <c r="C132" s="80" t="s">
        <v>283</v>
      </c>
      <c r="D132" s="3" t="s">
        <v>54</v>
      </c>
      <c r="E132" s="31" t="s">
        <v>97</v>
      </c>
      <c r="F132" s="85" cm="1">
        <f t="array" ref="F13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32" s="80" cm="1">
        <f t="array" ref="G13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132" s="80">
        <f>IF(RAPPORT_FINAL[[#This Row],[INVENTAIRE_PREC.Prix_vente]]="","",RAPPORT_FINAL[[#This Row],[INVENTAIRE_PREC.Quantite]]*RAPPORT_FINAL[[#This Row],[INVENTAIRE_PREC.Prix_cout]])</f>
        <v>0</v>
      </c>
      <c r="I132" s="83" cm="1">
        <f t="array" ref="I13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132" s="88">
        <f>IF(RAPPORT_FINAL[[#This Row],[INVENTAIRE_PREC.Prix_vente]]="","",RAPPORT_FINAL[[#This Row],[INVENTAIRE_PREC.Quantite]]*RAPPORT_FINAL[[#This Row],[INVENTAIRE_PREC.Prix_vente]])</f>
        <v>0</v>
      </c>
      <c r="K132" s="24"/>
      <c r="L132" s="11"/>
      <c r="M132" s="25"/>
      <c r="N132" s="24"/>
      <c r="O132" s="11"/>
      <c r="P132" s="25"/>
      <c r="Q132" s="85">
        <v>0</v>
      </c>
      <c r="R132" s="80" cm="1">
        <f t="array" ref="R13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132" s="80">
        <f>RAPPORT_FINAL[[#This Row],[INVENTAIRE.Quantite]]*RAPPORT_FINAL[[#This Row],[INVENTAIRE.Prix_cout]]</f>
        <v>0</v>
      </c>
      <c r="T132" s="83" cm="1">
        <f t="array" ref="T13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132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3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132" s="24">
        <f>RAPPORT_FINAL[[#This Row],[INVENTAIRE.Prix_cout]]</f>
        <v>0</v>
      </c>
      <c r="X132" s="85">
        <f>RAPPORT_FINAL[[#This Row],[INVENTAIRE_THEORIQUE]]*RAPPORT_FINAL[[#This Row],[INVENTAIRE_THEORIQUE.Prix_cout]]</f>
        <v>0</v>
      </c>
      <c r="Y132" s="85">
        <f>RAPPORT_FINAL[[#This Row],[INVENTAIRE.Prix_vente]]</f>
        <v>800</v>
      </c>
      <c r="Z132" s="85">
        <f>RAPPORT_FINAL[[#This Row],[INVENTAIRE_THEORIQUE]]*RAPPORT_FINAL[[#This Row],[INVENTAIRE_THEORIQUE.Prix_vente]]</f>
        <v>0</v>
      </c>
      <c r="AA132" s="85">
        <f>RAPPORT_FINAL[[#This Row],[INVENTAIRE.Quantite]]-RAPPORT_FINAL[[#This Row],[INVENTAIRE_THEORIQUE]]</f>
        <v>0</v>
      </c>
      <c r="AB132" s="90">
        <f>IFERROR(RAPPORT_FINAL[[#This Row],[ECART.Total_cout]]/RAPPORT_FINAL[[#This Row],[ECART.Quantite]],0)</f>
        <v>0</v>
      </c>
      <c r="AC132" s="91">
        <f>IFERROR(RAPPORT_FINAL[[#This Row],[ECART.Quantite]]*RAPPORT_FINAL[[#This Row],[INVENTAIRE.Prix_cout]],"")</f>
        <v>0</v>
      </c>
      <c r="AD132" s="83">
        <f>IFERROR(RAPPORT_FINAL[[#This Row],[ECART.Total_vente]]/RAPPORT_FINAL[[#This Row],[ECART.Quantite]],0)</f>
        <v>0</v>
      </c>
      <c r="AE132" s="92">
        <f>IFERROR(RAPPORT_FINAL[[#This Row],[ECART.Quantite]]*RAPPORT_FINAL[[#This Row],[INVENTAIRE.Prix_vente]],"")</f>
        <v>0</v>
      </c>
    </row>
    <row r="133" spans="1:31" x14ac:dyDescent="0.25">
      <c r="A133" s="82" t="s">
        <v>30</v>
      </c>
      <c r="B133" s="3" t="s">
        <v>76</v>
      </c>
      <c r="C133" s="80" t="s">
        <v>283</v>
      </c>
      <c r="D133" s="3" t="s">
        <v>303</v>
      </c>
      <c r="E133" s="31" t="s">
        <v>134</v>
      </c>
      <c r="F133" s="85" cm="1">
        <f t="array" ref="F13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133" s="80" cm="1">
        <f t="array" ref="G13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748</v>
      </c>
      <c r="H133" s="80">
        <f>IF(RAPPORT_FINAL[[#This Row],[INVENTAIRE_PREC.Prix_vente]]="","",RAPPORT_FINAL[[#This Row],[INVENTAIRE_PREC.Quantite]]*RAPPORT_FINAL[[#This Row],[INVENTAIRE_PREC.Prix_cout]])</f>
        <v>1496</v>
      </c>
      <c r="I133" s="83" cm="1">
        <f t="array" ref="I13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1500</v>
      </c>
      <c r="J133" s="88">
        <f>IF(RAPPORT_FINAL[[#This Row],[INVENTAIRE_PREC.Prix_vente]]="","",RAPPORT_FINAL[[#This Row],[INVENTAIRE_PREC.Quantite]]*RAPPORT_FINAL[[#This Row],[INVENTAIRE_PREC.Prix_vente]])</f>
        <v>3000</v>
      </c>
      <c r="K133" s="24"/>
      <c r="L133" s="11"/>
      <c r="M133" s="25"/>
      <c r="N133" s="24"/>
      <c r="O133" s="11"/>
      <c r="P133" s="25"/>
      <c r="Q133" s="85">
        <v>0</v>
      </c>
      <c r="R133" s="80" cm="1">
        <f t="array" ref="R13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748</v>
      </c>
      <c r="S133" s="80">
        <f>RAPPORT_FINAL[[#This Row],[INVENTAIRE.Quantite]]*RAPPORT_FINAL[[#This Row],[INVENTAIRE.Prix_cout]]</f>
        <v>0</v>
      </c>
      <c r="T133" s="83" cm="1">
        <f t="array" ref="T13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</v>
      </c>
      <c r="U133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3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133" s="24">
        <f>RAPPORT_FINAL[[#This Row],[INVENTAIRE.Prix_cout]]</f>
        <v>748</v>
      </c>
      <c r="X133" s="85">
        <f>RAPPORT_FINAL[[#This Row],[INVENTAIRE_THEORIQUE]]*RAPPORT_FINAL[[#This Row],[INVENTAIRE_THEORIQUE.Prix_cout]]</f>
        <v>1496</v>
      </c>
      <c r="Y133" s="85">
        <f>RAPPORT_FINAL[[#This Row],[INVENTAIRE.Prix_vente]]</f>
        <v>1500</v>
      </c>
      <c r="Z133" s="85">
        <f>RAPPORT_FINAL[[#This Row],[INVENTAIRE_THEORIQUE]]*RAPPORT_FINAL[[#This Row],[INVENTAIRE_THEORIQUE.Prix_vente]]</f>
        <v>3000</v>
      </c>
      <c r="AA133" s="85">
        <f>RAPPORT_FINAL[[#This Row],[INVENTAIRE.Quantite]]-RAPPORT_FINAL[[#This Row],[INVENTAIRE_THEORIQUE]]</f>
        <v>-2</v>
      </c>
      <c r="AB133" s="90">
        <f>IFERROR(RAPPORT_FINAL[[#This Row],[ECART.Total_cout]]/RAPPORT_FINAL[[#This Row],[ECART.Quantite]],0)</f>
        <v>748</v>
      </c>
      <c r="AC133" s="91">
        <f>IFERROR(RAPPORT_FINAL[[#This Row],[ECART.Quantite]]*RAPPORT_FINAL[[#This Row],[INVENTAIRE.Prix_cout]],"")</f>
        <v>-1496</v>
      </c>
      <c r="AD133" s="83">
        <f>IFERROR(RAPPORT_FINAL[[#This Row],[ECART.Total_vente]]/RAPPORT_FINAL[[#This Row],[ECART.Quantite]],0)</f>
        <v>1500</v>
      </c>
      <c r="AE133" s="92">
        <f>IFERROR(RAPPORT_FINAL[[#This Row],[ECART.Quantite]]*RAPPORT_FINAL[[#This Row],[INVENTAIRE.Prix_vente]],"")</f>
        <v>-3000</v>
      </c>
    </row>
    <row r="134" spans="1:31" hidden="1" x14ac:dyDescent="0.25">
      <c r="A134" s="82" t="s">
        <v>30</v>
      </c>
      <c r="B134" s="3" t="s">
        <v>76</v>
      </c>
      <c r="C134" s="80" t="s">
        <v>283</v>
      </c>
      <c r="D134" s="3" t="s">
        <v>59</v>
      </c>
      <c r="E134" s="31" t="s">
        <v>97</v>
      </c>
      <c r="F134" s="85" cm="1">
        <f t="array" ref="F13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20</v>
      </c>
      <c r="G134" s="80" cm="1">
        <f t="array" ref="G13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208.33</v>
      </c>
      <c r="H134" s="80">
        <f>IF(RAPPORT_FINAL[[#This Row],[INVENTAIRE_PREC.Prix_vente]]="","",RAPPORT_FINAL[[#This Row],[INVENTAIRE_PREC.Quantite]]*RAPPORT_FINAL[[#This Row],[INVENTAIRE_PREC.Prix_cout]])</f>
        <v>4166.6000000000004</v>
      </c>
      <c r="I134" s="83" cm="1">
        <f t="array" ref="I13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500</v>
      </c>
      <c r="J134" s="88">
        <f>IF(RAPPORT_FINAL[[#This Row],[INVENTAIRE_PREC.Prix_vente]]="","",RAPPORT_FINAL[[#This Row],[INVENTAIRE_PREC.Quantite]]*RAPPORT_FINAL[[#This Row],[INVENTAIRE_PREC.Prix_vente]])</f>
        <v>10000</v>
      </c>
      <c r="K134" s="24">
        <v>18</v>
      </c>
      <c r="L134" s="11">
        <v>191.66666666666666</v>
      </c>
      <c r="M134" s="25">
        <v>3450</v>
      </c>
      <c r="N134" s="24">
        <v>20</v>
      </c>
      <c r="O134" s="11">
        <v>500</v>
      </c>
      <c r="P134" s="25">
        <v>10000</v>
      </c>
      <c r="Q134" s="85">
        <v>18</v>
      </c>
      <c r="R134" s="80" cm="1">
        <f t="array" ref="R13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200.43684210526317</v>
      </c>
      <c r="S134" s="80">
        <f>RAPPORT_FINAL[[#This Row],[INVENTAIRE.Quantite]]*RAPPORT_FINAL[[#This Row],[INVENTAIRE.Prix_cout]]</f>
        <v>3607.863157894737</v>
      </c>
      <c r="T134" s="83" cm="1">
        <f t="array" ref="T13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134" s="88">
        <f>IF(OR(RAPPORT_FINAL[[#This Row],[INVENTAIRE.Quantite]]="",RAPPORT_FINAL[[#This Row],[INVENTAIRE.Prix_vente]]=""),"",RAPPORT_FINAL[[#This Row],[INVENTAIRE.Quantite]]*RAPPORT_FINAL[[#This Row],[INVENTAIRE.Prix_vente]])</f>
        <v>9000</v>
      </c>
      <c r="V13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18</v>
      </c>
      <c r="W134" s="24">
        <f>RAPPORT_FINAL[[#This Row],[INVENTAIRE.Prix_cout]]</f>
        <v>200.43684210526317</v>
      </c>
      <c r="X134" s="85">
        <f>RAPPORT_FINAL[[#This Row],[INVENTAIRE_THEORIQUE]]*RAPPORT_FINAL[[#This Row],[INVENTAIRE_THEORIQUE.Prix_cout]]</f>
        <v>3607.863157894737</v>
      </c>
      <c r="Y134" s="85">
        <f>RAPPORT_FINAL[[#This Row],[INVENTAIRE.Prix_vente]]</f>
        <v>500</v>
      </c>
      <c r="Z134" s="85">
        <f>RAPPORT_FINAL[[#This Row],[INVENTAIRE_THEORIQUE]]*RAPPORT_FINAL[[#This Row],[INVENTAIRE_THEORIQUE.Prix_vente]]</f>
        <v>9000</v>
      </c>
      <c r="AA134" s="85">
        <f>RAPPORT_FINAL[[#This Row],[INVENTAIRE.Quantite]]-RAPPORT_FINAL[[#This Row],[INVENTAIRE_THEORIQUE]]</f>
        <v>0</v>
      </c>
      <c r="AB134" s="90">
        <f>IFERROR(RAPPORT_FINAL[[#This Row],[ECART.Total_cout]]/RAPPORT_FINAL[[#This Row],[ECART.Quantite]],0)</f>
        <v>0</v>
      </c>
      <c r="AC134" s="91">
        <f>IFERROR(RAPPORT_FINAL[[#This Row],[ECART.Quantite]]*RAPPORT_FINAL[[#This Row],[INVENTAIRE.Prix_cout]],"")</f>
        <v>0</v>
      </c>
      <c r="AD134" s="83">
        <f>IFERROR(RAPPORT_FINAL[[#This Row],[ECART.Total_vente]]/RAPPORT_FINAL[[#This Row],[ECART.Quantite]],0)</f>
        <v>0</v>
      </c>
      <c r="AE134" s="92">
        <f>IFERROR(RAPPORT_FINAL[[#This Row],[ECART.Quantite]]*RAPPORT_FINAL[[#This Row],[INVENTAIRE.Prix_vente]],"")</f>
        <v>0</v>
      </c>
    </row>
    <row r="135" spans="1:31" hidden="1" x14ac:dyDescent="0.25">
      <c r="A135" s="82" t="s">
        <v>30</v>
      </c>
      <c r="B135" s="3" t="s">
        <v>76</v>
      </c>
      <c r="C135" s="80" t="s">
        <v>283</v>
      </c>
      <c r="D135" s="3" t="s">
        <v>53</v>
      </c>
      <c r="E135" s="31" t="s">
        <v>97</v>
      </c>
      <c r="F135" s="85" cm="1">
        <f t="array" ref="F13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12</v>
      </c>
      <c r="G135" s="80" cm="1">
        <f t="array" ref="G13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562.5</v>
      </c>
      <c r="H135" s="80">
        <f>IF(RAPPORT_FINAL[[#This Row],[INVENTAIRE_PREC.Prix_vente]]="","",RAPPORT_FINAL[[#This Row],[INVENTAIRE_PREC.Quantite]]*RAPPORT_FINAL[[#This Row],[INVENTAIRE_PREC.Prix_cout]])</f>
        <v>6750</v>
      </c>
      <c r="I135" s="83" cm="1">
        <f t="array" ref="I13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35" s="88">
        <f>IF(RAPPORT_FINAL[[#This Row],[INVENTAIRE_PREC.Prix_vente]]="","",RAPPORT_FINAL[[#This Row],[INVENTAIRE_PREC.Quantite]]*RAPPORT_FINAL[[#This Row],[INVENTAIRE_PREC.Prix_vente]])</f>
        <v>12000</v>
      </c>
      <c r="K135" s="24"/>
      <c r="L135" s="11"/>
      <c r="M135" s="25"/>
      <c r="N135" s="24">
        <v>7</v>
      </c>
      <c r="O135" s="11">
        <v>1000</v>
      </c>
      <c r="P135" s="25">
        <v>7000</v>
      </c>
      <c r="Q135" s="85">
        <v>2</v>
      </c>
      <c r="R135" s="80" cm="1">
        <f t="array" ref="R13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562.5</v>
      </c>
      <c r="S135" s="80">
        <f>RAPPORT_FINAL[[#This Row],[INVENTAIRE.Quantite]]*RAPPORT_FINAL[[#This Row],[INVENTAIRE.Prix_cout]]</f>
        <v>1125</v>
      </c>
      <c r="T135" s="83" cm="1">
        <f t="array" ref="T13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35" s="88">
        <f>IF(OR(RAPPORT_FINAL[[#This Row],[INVENTAIRE.Quantite]]="",RAPPORT_FINAL[[#This Row],[INVENTAIRE.Prix_vente]]=""),"",RAPPORT_FINAL[[#This Row],[INVENTAIRE.Quantite]]*RAPPORT_FINAL[[#This Row],[INVENTAIRE.Prix_vente]])</f>
        <v>2000</v>
      </c>
      <c r="V13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5</v>
      </c>
      <c r="W135" s="24">
        <f>RAPPORT_FINAL[[#This Row],[INVENTAIRE.Prix_cout]]</f>
        <v>562.5</v>
      </c>
      <c r="X135" s="85">
        <f>RAPPORT_FINAL[[#This Row],[INVENTAIRE_THEORIQUE]]*RAPPORT_FINAL[[#This Row],[INVENTAIRE_THEORIQUE.Prix_cout]]</f>
        <v>2812.5</v>
      </c>
      <c r="Y135" s="85">
        <f>RAPPORT_FINAL[[#This Row],[INVENTAIRE.Prix_vente]]</f>
        <v>1000</v>
      </c>
      <c r="Z135" s="85">
        <f>RAPPORT_FINAL[[#This Row],[INVENTAIRE_THEORIQUE]]*RAPPORT_FINAL[[#This Row],[INVENTAIRE_THEORIQUE.Prix_vente]]</f>
        <v>5000</v>
      </c>
      <c r="AA135" s="85">
        <f>RAPPORT_FINAL[[#This Row],[INVENTAIRE.Quantite]]-RAPPORT_FINAL[[#This Row],[INVENTAIRE_THEORIQUE]]</f>
        <v>-3</v>
      </c>
      <c r="AB135" s="90">
        <f>IFERROR(RAPPORT_FINAL[[#This Row],[ECART.Total_cout]]/RAPPORT_FINAL[[#This Row],[ECART.Quantite]],0)</f>
        <v>562.5</v>
      </c>
      <c r="AC135" s="91">
        <f>IFERROR(RAPPORT_FINAL[[#This Row],[ECART.Quantite]]*RAPPORT_FINAL[[#This Row],[INVENTAIRE.Prix_cout]],"")</f>
        <v>-1687.5</v>
      </c>
      <c r="AD135" s="83">
        <f>IFERROR(RAPPORT_FINAL[[#This Row],[ECART.Total_vente]]/RAPPORT_FINAL[[#This Row],[ECART.Quantite]],0)</f>
        <v>1000</v>
      </c>
      <c r="AE135" s="92">
        <f>IFERROR(RAPPORT_FINAL[[#This Row],[ECART.Quantite]]*RAPPORT_FINAL[[#This Row],[INVENTAIRE.Prix_vente]],"")</f>
        <v>-3000</v>
      </c>
    </row>
    <row r="136" spans="1:31" hidden="1" x14ac:dyDescent="0.25">
      <c r="A136" s="82" t="s">
        <v>30</v>
      </c>
      <c r="B136" s="3" t="s">
        <v>76</v>
      </c>
      <c r="C136" s="80" t="s">
        <v>283</v>
      </c>
      <c r="D136" s="3" t="s">
        <v>59</v>
      </c>
      <c r="E136" s="31" t="s">
        <v>97</v>
      </c>
      <c r="F136" s="85" cm="1">
        <f t="array" ref="F13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20</v>
      </c>
      <c r="G136" s="80" cm="1">
        <f t="array" ref="G13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208.33</v>
      </c>
      <c r="H136" s="80">
        <f>IF(RAPPORT_FINAL[[#This Row],[INVENTAIRE_PREC.Prix_vente]]="","",RAPPORT_FINAL[[#This Row],[INVENTAIRE_PREC.Quantite]]*RAPPORT_FINAL[[#This Row],[INVENTAIRE_PREC.Prix_cout]])</f>
        <v>4166.6000000000004</v>
      </c>
      <c r="I136" s="83" cm="1">
        <f t="array" ref="I13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500</v>
      </c>
      <c r="J136" s="88">
        <f>IF(RAPPORT_FINAL[[#This Row],[INVENTAIRE_PREC.Prix_vente]]="","",RAPPORT_FINAL[[#This Row],[INVENTAIRE_PREC.Quantite]]*RAPPORT_FINAL[[#This Row],[INVENTAIRE_PREC.Prix_vente]])</f>
        <v>10000</v>
      </c>
      <c r="K136" s="24">
        <v>18</v>
      </c>
      <c r="L136" s="11">
        <v>191.66666666666666</v>
      </c>
      <c r="M136" s="25">
        <v>3450</v>
      </c>
      <c r="N136" s="24">
        <v>20</v>
      </c>
      <c r="O136" s="11">
        <v>500</v>
      </c>
      <c r="P136" s="25">
        <v>10000</v>
      </c>
      <c r="Q136" s="85">
        <v>18</v>
      </c>
      <c r="R136" s="80" cm="1">
        <f t="array" ref="R13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200.43684210526317</v>
      </c>
      <c r="S136" s="80">
        <f>RAPPORT_FINAL[[#This Row],[INVENTAIRE.Quantite]]*RAPPORT_FINAL[[#This Row],[INVENTAIRE.Prix_cout]]</f>
        <v>3607.863157894737</v>
      </c>
      <c r="T136" s="83" cm="1">
        <f t="array" ref="T13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136" s="88">
        <f>IF(OR(RAPPORT_FINAL[[#This Row],[INVENTAIRE.Quantite]]="",RAPPORT_FINAL[[#This Row],[INVENTAIRE.Prix_vente]]=""),"",RAPPORT_FINAL[[#This Row],[INVENTAIRE.Quantite]]*RAPPORT_FINAL[[#This Row],[INVENTAIRE.Prix_vente]])</f>
        <v>9000</v>
      </c>
      <c r="V13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18</v>
      </c>
      <c r="W136" s="24">
        <f>RAPPORT_FINAL[[#This Row],[INVENTAIRE.Prix_cout]]</f>
        <v>200.43684210526317</v>
      </c>
      <c r="X136" s="85">
        <f>RAPPORT_FINAL[[#This Row],[INVENTAIRE_THEORIQUE]]*RAPPORT_FINAL[[#This Row],[INVENTAIRE_THEORIQUE.Prix_cout]]</f>
        <v>3607.863157894737</v>
      </c>
      <c r="Y136" s="85">
        <f>RAPPORT_FINAL[[#This Row],[INVENTAIRE.Prix_vente]]</f>
        <v>500</v>
      </c>
      <c r="Z136" s="85">
        <f>RAPPORT_FINAL[[#This Row],[INVENTAIRE_THEORIQUE]]*RAPPORT_FINAL[[#This Row],[INVENTAIRE_THEORIQUE.Prix_vente]]</f>
        <v>9000</v>
      </c>
      <c r="AA136" s="85">
        <f>RAPPORT_FINAL[[#This Row],[INVENTAIRE.Quantite]]-RAPPORT_FINAL[[#This Row],[INVENTAIRE_THEORIQUE]]</f>
        <v>0</v>
      </c>
      <c r="AB136" s="90">
        <f>IFERROR(RAPPORT_FINAL[[#This Row],[ECART.Total_cout]]/RAPPORT_FINAL[[#This Row],[ECART.Quantite]],0)</f>
        <v>0</v>
      </c>
      <c r="AC136" s="91">
        <f>IFERROR(RAPPORT_FINAL[[#This Row],[ECART.Quantite]]*RAPPORT_FINAL[[#This Row],[INVENTAIRE.Prix_cout]],"")</f>
        <v>0</v>
      </c>
      <c r="AD136" s="83">
        <f>IFERROR(RAPPORT_FINAL[[#This Row],[ECART.Total_vente]]/RAPPORT_FINAL[[#This Row],[ECART.Quantite]],0)</f>
        <v>0</v>
      </c>
      <c r="AE136" s="92">
        <f>IFERROR(RAPPORT_FINAL[[#This Row],[ECART.Quantite]]*RAPPORT_FINAL[[#This Row],[INVENTAIRE.Prix_vente]],"")</f>
        <v>0</v>
      </c>
    </row>
    <row r="137" spans="1:31" hidden="1" x14ac:dyDescent="0.25">
      <c r="A137" s="82" t="s">
        <v>30</v>
      </c>
      <c r="B137" s="3" t="s">
        <v>76</v>
      </c>
      <c r="C137" s="80" t="s">
        <v>283</v>
      </c>
      <c r="D137" s="3" t="s">
        <v>60</v>
      </c>
      <c r="E137" s="31" t="s">
        <v>97</v>
      </c>
      <c r="F137" s="85" cm="1">
        <f t="array" ref="F13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3</v>
      </c>
      <c r="G137" s="80" cm="1">
        <f t="array" ref="G13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250</v>
      </c>
      <c r="H137" s="80">
        <f>IF(RAPPORT_FINAL[[#This Row],[INVENTAIRE_PREC.Prix_vente]]="","",RAPPORT_FINAL[[#This Row],[INVENTAIRE_PREC.Quantite]]*RAPPORT_FINAL[[#This Row],[INVENTAIRE_PREC.Prix_cout]])</f>
        <v>750</v>
      </c>
      <c r="I137" s="83" cm="1">
        <f t="array" ref="I13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137" s="88">
        <f>IF(RAPPORT_FINAL[[#This Row],[INVENTAIRE_PREC.Prix_vente]]="","",RAPPORT_FINAL[[#This Row],[INVENTAIRE_PREC.Quantite]]*RAPPORT_FINAL[[#This Row],[INVENTAIRE_PREC.Prix_vente]])</f>
        <v>2400</v>
      </c>
      <c r="K137" s="24">
        <v>30</v>
      </c>
      <c r="L137" s="11">
        <v>241.66666666666666</v>
      </c>
      <c r="M137" s="25">
        <v>7250</v>
      </c>
      <c r="N137" s="24">
        <v>27</v>
      </c>
      <c r="O137" s="11">
        <v>800</v>
      </c>
      <c r="P137" s="25">
        <v>21600</v>
      </c>
      <c r="Q137" s="85">
        <v>6</v>
      </c>
      <c r="R137" s="80" cm="1">
        <f t="array" ref="R13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242.42424242424244</v>
      </c>
      <c r="S137" s="80">
        <f>RAPPORT_FINAL[[#This Row],[INVENTAIRE.Quantite]]*RAPPORT_FINAL[[#This Row],[INVENTAIRE.Prix_cout]]</f>
        <v>1454.5454545454545</v>
      </c>
      <c r="T137" s="83" cm="1">
        <f t="array" ref="T13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137" s="88">
        <f>IF(OR(RAPPORT_FINAL[[#This Row],[INVENTAIRE.Quantite]]="",RAPPORT_FINAL[[#This Row],[INVENTAIRE.Prix_vente]]=""),"",RAPPORT_FINAL[[#This Row],[INVENTAIRE.Quantite]]*RAPPORT_FINAL[[#This Row],[INVENTAIRE.Prix_vente]])</f>
        <v>4800</v>
      </c>
      <c r="V13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137" s="24">
        <f>RAPPORT_FINAL[[#This Row],[INVENTAIRE.Prix_cout]]</f>
        <v>242.42424242424244</v>
      </c>
      <c r="X137" s="85">
        <f>RAPPORT_FINAL[[#This Row],[INVENTAIRE_THEORIQUE]]*RAPPORT_FINAL[[#This Row],[INVENTAIRE_THEORIQUE.Prix_cout]]</f>
        <v>1454.5454545454545</v>
      </c>
      <c r="Y137" s="85">
        <f>RAPPORT_FINAL[[#This Row],[INVENTAIRE.Prix_vente]]</f>
        <v>800</v>
      </c>
      <c r="Z137" s="85">
        <f>RAPPORT_FINAL[[#This Row],[INVENTAIRE_THEORIQUE]]*RAPPORT_FINAL[[#This Row],[INVENTAIRE_THEORIQUE.Prix_vente]]</f>
        <v>4800</v>
      </c>
      <c r="AA137" s="85">
        <f>RAPPORT_FINAL[[#This Row],[INVENTAIRE.Quantite]]-RAPPORT_FINAL[[#This Row],[INVENTAIRE_THEORIQUE]]</f>
        <v>0</v>
      </c>
      <c r="AB137" s="90">
        <f>IFERROR(RAPPORT_FINAL[[#This Row],[ECART.Total_cout]]/RAPPORT_FINAL[[#This Row],[ECART.Quantite]],0)</f>
        <v>0</v>
      </c>
      <c r="AC137" s="91">
        <f>IFERROR(RAPPORT_FINAL[[#This Row],[ECART.Quantite]]*RAPPORT_FINAL[[#This Row],[INVENTAIRE.Prix_cout]],"")</f>
        <v>0</v>
      </c>
      <c r="AD137" s="83">
        <f>IFERROR(RAPPORT_FINAL[[#This Row],[ECART.Total_vente]]/RAPPORT_FINAL[[#This Row],[ECART.Quantite]],0)</f>
        <v>0</v>
      </c>
      <c r="AE137" s="92">
        <f>IFERROR(RAPPORT_FINAL[[#This Row],[ECART.Quantite]]*RAPPORT_FINAL[[#This Row],[INVENTAIRE.Prix_vente]],"")</f>
        <v>0</v>
      </c>
    </row>
    <row r="138" spans="1:31" hidden="1" x14ac:dyDescent="0.25">
      <c r="A138" s="82" t="s">
        <v>30</v>
      </c>
      <c r="B138" s="3" t="s">
        <v>76</v>
      </c>
      <c r="C138" s="80" t="s">
        <v>283</v>
      </c>
      <c r="D138" s="3" t="s">
        <v>36</v>
      </c>
      <c r="E138" s="31" t="s">
        <v>97</v>
      </c>
      <c r="F138" s="85" cm="1">
        <f t="array" ref="F13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11</v>
      </c>
      <c r="G138" s="80" cm="1">
        <f t="array" ref="G13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691.67</v>
      </c>
      <c r="H138" s="80">
        <f>IF(RAPPORT_FINAL[[#This Row],[INVENTAIRE_PREC.Prix_vente]]="","",RAPPORT_FINAL[[#This Row],[INVENTAIRE_PREC.Quantite]]*RAPPORT_FINAL[[#This Row],[INVENTAIRE_PREC.Prix_cout]])</f>
        <v>7608.37</v>
      </c>
      <c r="I138" s="83" cm="1">
        <f t="array" ref="I13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38" s="88">
        <f>IF(RAPPORT_FINAL[[#This Row],[INVENTAIRE_PREC.Prix_vente]]="","",RAPPORT_FINAL[[#This Row],[INVENTAIRE_PREC.Quantite]]*RAPPORT_FINAL[[#This Row],[INVENTAIRE_PREC.Prix_vente]])</f>
        <v>11000</v>
      </c>
      <c r="K138" s="24">
        <v>24</v>
      </c>
      <c r="L138" s="11">
        <v>750</v>
      </c>
      <c r="M138" s="25">
        <v>18000</v>
      </c>
      <c r="N138" s="24">
        <v>10</v>
      </c>
      <c r="O138" s="11">
        <v>1000</v>
      </c>
      <c r="P138" s="25">
        <v>10000</v>
      </c>
      <c r="Q138" s="85">
        <v>24</v>
      </c>
      <c r="R138" s="80" cm="1">
        <f t="array" ref="R13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731.66771428571428</v>
      </c>
      <c r="S138" s="80">
        <f>RAPPORT_FINAL[[#This Row],[INVENTAIRE.Quantite]]*RAPPORT_FINAL[[#This Row],[INVENTAIRE.Prix_cout]]</f>
        <v>17560.025142857143</v>
      </c>
      <c r="T138" s="83" cm="1">
        <f t="array" ref="T13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38" s="88">
        <f>IF(OR(RAPPORT_FINAL[[#This Row],[INVENTAIRE.Quantite]]="",RAPPORT_FINAL[[#This Row],[INVENTAIRE.Prix_vente]]=""),"",RAPPORT_FINAL[[#This Row],[INVENTAIRE.Quantite]]*RAPPORT_FINAL[[#This Row],[INVENTAIRE.Prix_vente]])</f>
        <v>24000</v>
      </c>
      <c r="V13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25</v>
      </c>
      <c r="W138" s="24">
        <f>RAPPORT_FINAL[[#This Row],[INVENTAIRE.Prix_cout]]</f>
        <v>731.66771428571428</v>
      </c>
      <c r="X138" s="85">
        <f>RAPPORT_FINAL[[#This Row],[INVENTAIRE_THEORIQUE]]*RAPPORT_FINAL[[#This Row],[INVENTAIRE_THEORIQUE.Prix_cout]]</f>
        <v>18291.692857142858</v>
      </c>
      <c r="Y138" s="85">
        <f>RAPPORT_FINAL[[#This Row],[INVENTAIRE.Prix_vente]]</f>
        <v>1000</v>
      </c>
      <c r="Z138" s="85">
        <f>RAPPORT_FINAL[[#This Row],[INVENTAIRE_THEORIQUE]]*RAPPORT_FINAL[[#This Row],[INVENTAIRE_THEORIQUE.Prix_vente]]</f>
        <v>25000</v>
      </c>
      <c r="AA138" s="85">
        <f>RAPPORT_FINAL[[#This Row],[INVENTAIRE.Quantite]]-RAPPORT_FINAL[[#This Row],[INVENTAIRE_THEORIQUE]]</f>
        <v>-1</v>
      </c>
      <c r="AB138" s="90">
        <f>IFERROR(RAPPORT_FINAL[[#This Row],[ECART.Total_cout]]/RAPPORT_FINAL[[#This Row],[ECART.Quantite]],0)</f>
        <v>731.66771428571428</v>
      </c>
      <c r="AC138" s="91">
        <f>IFERROR(RAPPORT_FINAL[[#This Row],[ECART.Quantite]]*RAPPORT_FINAL[[#This Row],[INVENTAIRE.Prix_cout]],"")</f>
        <v>-731.66771428571428</v>
      </c>
      <c r="AD138" s="83">
        <f>IFERROR(RAPPORT_FINAL[[#This Row],[ECART.Total_vente]]/RAPPORT_FINAL[[#This Row],[ECART.Quantite]],0)</f>
        <v>1000</v>
      </c>
      <c r="AE138" s="92">
        <f>IFERROR(RAPPORT_FINAL[[#This Row],[ECART.Quantite]]*RAPPORT_FINAL[[#This Row],[INVENTAIRE.Prix_vente]],"")</f>
        <v>-1000</v>
      </c>
    </row>
    <row r="139" spans="1:31" hidden="1" x14ac:dyDescent="0.25">
      <c r="A139" s="82" t="s">
        <v>30</v>
      </c>
      <c r="B139" s="3" t="s">
        <v>76</v>
      </c>
      <c r="C139" s="80" t="s">
        <v>283</v>
      </c>
      <c r="D139" s="3" t="s">
        <v>61</v>
      </c>
      <c r="E139" s="31" t="s">
        <v>97</v>
      </c>
      <c r="F139" s="85" cm="1">
        <f t="array" ref="F13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6</v>
      </c>
      <c r="G139" s="80" cm="1">
        <f t="array" ref="G13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166.67</v>
      </c>
      <c r="H139" s="80">
        <f>IF(RAPPORT_FINAL[[#This Row],[INVENTAIRE_PREC.Prix_vente]]="","",RAPPORT_FINAL[[#This Row],[INVENTAIRE_PREC.Quantite]]*RAPPORT_FINAL[[#This Row],[INVENTAIRE_PREC.Prix_cout]])</f>
        <v>1000.02</v>
      </c>
      <c r="I139" s="83" cm="1">
        <f t="array" ref="I13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350</v>
      </c>
      <c r="J139" s="88">
        <f>IF(RAPPORT_FINAL[[#This Row],[INVENTAIRE_PREC.Prix_vente]]="","",RAPPORT_FINAL[[#This Row],[INVENTAIRE_PREC.Quantite]]*RAPPORT_FINAL[[#This Row],[INVENTAIRE_PREC.Prix_vente]])</f>
        <v>2100</v>
      </c>
      <c r="K139" s="24">
        <v>12</v>
      </c>
      <c r="L139" s="11">
        <v>166.66666666666666</v>
      </c>
      <c r="M139" s="25">
        <v>2000</v>
      </c>
      <c r="N139" s="24">
        <v>4</v>
      </c>
      <c r="O139" s="11">
        <v>350</v>
      </c>
      <c r="P139" s="25">
        <v>1400</v>
      </c>
      <c r="Q139" s="85">
        <v>12</v>
      </c>
      <c r="R139" s="80" cm="1">
        <f t="array" ref="R13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166.66777777777779</v>
      </c>
      <c r="S139" s="80">
        <f>RAPPORT_FINAL[[#This Row],[INVENTAIRE.Quantite]]*RAPPORT_FINAL[[#This Row],[INVENTAIRE.Prix_cout]]</f>
        <v>2000.0133333333333</v>
      </c>
      <c r="T139" s="83" cm="1">
        <f t="array" ref="T13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</v>
      </c>
      <c r="U139" s="88">
        <f>IF(OR(RAPPORT_FINAL[[#This Row],[INVENTAIRE.Quantite]]="",RAPPORT_FINAL[[#This Row],[INVENTAIRE.Prix_vente]]=""),"",RAPPORT_FINAL[[#This Row],[INVENTAIRE.Quantite]]*RAPPORT_FINAL[[#This Row],[INVENTAIRE.Prix_vente]])</f>
        <v>4200</v>
      </c>
      <c r="V13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14</v>
      </c>
      <c r="W139" s="24">
        <f>RAPPORT_FINAL[[#This Row],[INVENTAIRE.Prix_cout]]</f>
        <v>166.66777777777779</v>
      </c>
      <c r="X139" s="85">
        <f>RAPPORT_FINAL[[#This Row],[INVENTAIRE_THEORIQUE]]*RAPPORT_FINAL[[#This Row],[INVENTAIRE_THEORIQUE.Prix_cout]]</f>
        <v>2333.3488888888892</v>
      </c>
      <c r="Y139" s="85">
        <f>RAPPORT_FINAL[[#This Row],[INVENTAIRE.Prix_vente]]</f>
        <v>350</v>
      </c>
      <c r="Z139" s="85">
        <f>RAPPORT_FINAL[[#This Row],[INVENTAIRE_THEORIQUE]]*RAPPORT_FINAL[[#This Row],[INVENTAIRE_THEORIQUE.Prix_vente]]</f>
        <v>4900</v>
      </c>
      <c r="AA139" s="85">
        <f>RAPPORT_FINAL[[#This Row],[INVENTAIRE.Quantite]]-RAPPORT_FINAL[[#This Row],[INVENTAIRE_THEORIQUE]]</f>
        <v>-2</v>
      </c>
      <c r="AB139" s="90">
        <f>IFERROR(RAPPORT_FINAL[[#This Row],[ECART.Total_cout]]/RAPPORT_FINAL[[#This Row],[ECART.Quantite]],0)</f>
        <v>166.66777777777779</v>
      </c>
      <c r="AC139" s="91">
        <f>IFERROR(RAPPORT_FINAL[[#This Row],[ECART.Quantite]]*RAPPORT_FINAL[[#This Row],[INVENTAIRE.Prix_cout]],"")</f>
        <v>-333.33555555555557</v>
      </c>
      <c r="AD139" s="83">
        <f>IFERROR(RAPPORT_FINAL[[#This Row],[ECART.Total_vente]]/RAPPORT_FINAL[[#This Row],[ECART.Quantite]],0)</f>
        <v>350</v>
      </c>
      <c r="AE139" s="92">
        <f>IFERROR(RAPPORT_FINAL[[#This Row],[ECART.Quantite]]*RAPPORT_FINAL[[#This Row],[INVENTAIRE.Prix_vente]],"")</f>
        <v>-700</v>
      </c>
    </row>
    <row r="140" spans="1:31" hidden="1" x14ac:dyDescent="0.25">
      <c r="A140" s="82" t="s">
        <v>30</v>
      </c>
      <c r="B140" s="3" t="s">
        <v>76</v>
      </c>
      <c r="C140" s="80" t="s">
        <v>283</v>
      </c>
      <c r="D140" s="3" t="s">
        <v>61</v>
      </c>
      <c r="E140" s="31" t="s">
        <v>97</v>
      </c>
      <c r="F140" s="85" cm="1">
        <f t="array" ref="F14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6</v>
      </c>
      <c r="G140" s="80" cm="1">
        <f t="array" ref="G14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166.67</v>
      </c>
      <c r="H140" s="80">
        <f>IF(RAPPORT_FINAL[[#This Row],[INVENTAIRE_PREC.Prix_vente]]="","",RAPPORT_FINAL[[#This Row],[INVENTAIRE_PREC.Quantite]]*RAPPORT_FINAL[[#This Row],[INVENTAIRE_PREC.Prix_cout]])</f>
        <v>1000.02</v>
      </c>
      <c r="I140" s="83" cm="1">
        <f t="array" ref="I14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350</v>
      </c>
      <c r="J140" s="88">
        <f>IF(RAPPORT_FINAL[[#This Row],[INVENTAIRE_PREC.Prix_vente]]="","",RAPPORT_FINAL[[#This Row],[INVENTAIRE_PREC.Quantite]]*RAPPORT_FINAL[[#This Row],[INVENTAIRE_PREC.Prix_vente]])</f>
        <v>2100</v>
      </c>
      <c r="K140" s="24">
        <v>12</v>
      </c>
      <c r="L140" s="11">
        <v>166.66666666666666</v>
      </c>
      <c r="M140" s="25">
        <v>2000</v>
      </c>
      <c r="N140" s="24">
        <v>4</v>
      </c>
      <c r="O140" s="11">
        <v>350</v>
      </c>
      <c r="P140" s="25">
        <v>1400</v>
      </c>
      <c r="Q140" s="85">
        <v>12</v>
      </c>
      <c r="R140" s="80" cm="1">
        <f t="array" ref="R14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166.66777777777779</v>
      </c>
      <c r="S140" s="80">
        <f>RAPPORT_FINAL[[#This Row],[INVENTAIRE.Quantite]]*RAPPORT_FINAL[[#This Row],[INVENTAIRE.Prix_cout]]</f>
        <v>2000.0133333333333</v>
      </c>
      <c r="T140" s="83" cm="1">
        <f t="array" ref="T14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</v>
      </c>
      <c r="U140" s="88">
        <f>IF(OR(RAPPORT_FINAL[[#This Row],[INVENTAIRE.Quantite]]="",RAPPORT_FINAL[[#This Row],[INVENTAIRE.Prix_vente]]=""),"",RAPPORT_FINAL[[#This Row],[INVENTAIRE.Quantite]]*RAPPORT_FINAL[[#This Row],[INVENTAIRE.Prix_vente]])</f>
        <v>4200</v>
      </c>
      <c r="V14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14</v>
      </c>
      <c r="W140" s="24">
        <f>RAPPORT_FINAL[[#This Row],[INVENTAIRE.Prix_cout]]</f>
        <v>166.66777777777779</v>
      </c>
      <c r="X140" s="85">
        <f>RAPPORT_FINAL[[#This Row],[INVENTAIRE_THEORIQUE]]*RAPPORT_FINAL[[#This Row],[INVENTAIRE_THEORIQUE.Prix_cout]]</f>
        <v>2333.3488888888892</v>
      </c>
      <c r="Y140" s="85">
        <f>RAPPORT_FINAL[[#This Row],[INVENTAIRE.Prix_vente]]</f>
        <v>350</v>
      </c>
      <c r="Z140" s="85">
        <f>RAPPORT_FINAL[[#This Row],[INVENTAIRE_THEORIQUE]]*RAPPORT_FINAL[[#This Row],[INVENTAIRE_THEORIQUE.Prix_vente]]</f>
        <v>4900</v>
      </c>
      <c r="AA140" s="85">
        <f>RAPPORT_FINAL[[#This Row],[INVENTAIRE.Quantite]]-RAPPORT_FINAL[[#This Row],[INVENTAIRE_THEORIQUE]]</f>
        <v>-2</v>
      </c>
      <c r="AB140" s="90">
        <f>IFERROR(RAPPORT_FINAL[[#This Row],[ECART.Total_cout]]/RAPPORT_FINAL[[#This Row],[ECART.Quantite]],0)</f>
        <v>166.66777777777779</v>
      </c>
      <c r="AC140" s="91">
        <f>IFERROR(RAPPORT_FINAL[[#This Row],[ECART.Quantite]]*RAPPORT_FINAL[[#This Row],[INVENTAIRE.Prix_cout]],"")</f>
        <v>-333.33555555555557</v>
      </c>
      <c r="AD140" s="83">
        <f>IFERROR(RAPPORT_FINAL[[#This Row],[ECART.Total_vente]]/RAPPORT_FINAL[[#This Row],[ECART.Quantite]],0)</f>
        <v>350</v>
      </c>
      <c r="AE140" s="92">
        <f>IFERROR(RAPPORT_FINAL[[#This Row],[ECART.Quantite]]*RAPPORT_FINAL[[#This Row],[INVENTAIRE.Prix_vente]],"")</f>
        <v>-700</v>
      </c>
    </row>
    <row r="141" spans="1:31" hidden="1" x14ac:dyDescent="0.25">
      <c r="A141" s="82" t="s">
        <v>30</v>
      </c>
      <c r="B141" s="3" t="s">
        <v>76</v>
      </c>
      <c r="C141" s="80" t="s">
        <v>283</v>
      </c>
      <c r="D141" s="3" t="s">
        <v>35</v>
      </c>
      <c r="E141" s="31" t="s">
        <v>97</v>
      </c>
      <c r="F141" s="85" cm="1">
        <f t="array" ref="F14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</v>
      </c>
      <c r="G141" s="80" cm="1">
        <f t="array" ref="G14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600</v>
      </c>
      <c r="H141" s="80">
        <f>IF(RAPPORT_FINAL[[#This Row],[INVENTAIRE_PREC.Prix_vente]]="","",RAPPORT_FINAL[[#This Row],[INVENTAIRE_PREC.Quantite]]*RAPPORT_FINAL[[#This Row],[INVENTAIRE_PREC.Prix_cout]])</f>
        <v>3000</v>
      </c>
      <c r="I141" s="83" cm="1">
        <f t="array" ref="I14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41" s="88">
        <f>IF(RAPPORT_FINAL[[#This Row],[INVENTAIRE_PREC.Prix_vente]]="","",RAPPORT_FINAL[[#This Row],[INVENTAIRE_PREC.Quantite]]*RAPPORT_FINAL[[#This Row],[INVENTAIRE_PREC.Prix_vente]])</f>
        <v>5000</v>
      </c>
      <c r="K141" s="24"/>
      <c r="L141" s="11"/>
      <c r="M141" s="25"/>
      <c r="N141" s="24">
        <v>3</v>
      </c>
      <c r="O141" s="11">
        <v>1000</v>
      </c>
      <c r="P141" s="25">
        <v>3000</v>
      </c>
      <c r="Q141" s="85">
        <v>2</v>
      </c>
      <c r="R141" s="80" cm="1">
        <f t="array" ref="R14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600</v>
      </c>
      <c r="S141" s="80">
        <f>RAPPORT_FINAL[[#This Row],[INVENTAIRE.Quantite]]*RAPPORT_FINAL[[#This Row],[INVENTAIRE.Prix_cout]]</f>
        <v>1200</v>
      </c>
      <c r="T141" s="83" cm="1">
        <f t="array" ref="T14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41" s="88">
        <f>IF(OR(RAPPORT_FINAL[[#This Row],[INVENTAIRE.Quantite]]="",RAPPORT_FINAL[[#This Row],[INVENTAIRE.Prix_vente]]=""),"",RAPPORT_FINAL[[#This Row],[INVENTAIRE.Quantite]]*RAPPORT_FINAL[[#This Row],[INVENTAIRE.Prix_vente]])</f>
        <v>2000</v>
      </c>
      <c r="V14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141" s="24">
        <f>RAPPORT_FINAL[[#This Row],[INVENTAIRE.Prix_cout]]</f>
        <v>600</v>
      </c>
      <c r="X141" s="85">
        <f>RAPPORT_FINAL[[#This Row],[INVENTAIRE_THEORIQUE]]*RAPPORT_FINAL[[#This Row],[INVENTAIRE_THEORIQUE.Prix_cout]]</f>
        <v>1200</v>
      </c>
      <c r="Y141" s="85">
        <f>RAPPORT_FINAL[[#This Row],[INVENTAIRE.Prix_vente]]</f>
        <v>1000</v>
      </c>
      <c r="Z141" s="85">
        <f>RAPPORT_FINAL[[#This Row],[INVENTAIRE_THEORIQUE]]*RAPPORT_FINAL[[#This Row],[INVENTAIRE_THEORIQUE.Prix_vente]]</f>
        <v>2000</v>
      </c>
      <c r="AA141" s="85">
        <f>RAPPORT_FINAL[[#This Row],[INVENTAIRE.Quantite]]-RAPPORT_FINAL[[#This Row],[INVENTAIRE_THEORIQUE]]</f>
        <v>0</v>
      </c>
      <c r="AB141" s="90">
        <f>IFERROR(RAPPORT_FINAL[[#This Row],[ECART.Total_cout]]/RAPPORT_FINAL[[#This Row],[ECART.Quantite]],0)</f>
        <v>0</v>
      </c>
      <c r="AC141" s="91">
        <f>IFERROR(RAPPORT_FINAL[[#This Row],[ECART.Quantite]]*RAPPORT_FINAL[[#This Row],[INVENTAIRE.Prix_cout]],"")</f>
        <v>0</v>
      </c>
      <c r="AD141" s="83">
        <f>IFERROR(RAPPORT_FINAL[[#This Row],[ECART.Total_vente]]/RAPPORT_FINAL[[#This Row],[ECART.Quantite]],0)</f>
        <v>0</v>
      </c>
      <c r="AE141" s="92">
        <f>IFERROR(RAPPORT_FINAL[[#This Row],[ECART.Quantite]]*RAPPORT_FINAL[[#This Row],[INVENTAIRE.Prix_vente]],"")</f>
        <v>0</v>
      </c>
    </row>
    <row r="142" spans="1:31" hidden="1" x14ac:dyDescent="0.25">
      <c r="A142" s="82" t="s">
        <v>30</v>
      </c>
      <c r="B142" s="3" t="s">
        <v>76</v>
      </c>
      <c r="C142" s="80" t="s">
        <v>283</v>
      </c>
      <c r="D142" s="3" t="s">
        <v>35</v>
      </c>
      <c r="E142" s="31" t="s">
        <v>97</v>
      </c>
      <c r="F142" s="85" cm="1">
        <f t="array" ref="F14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</v>
      </c>
      <c r="G142" s="80" cm="1">
        <f t="array" ref="G14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600</v>
      </c>
      <c r="H142" s="80">
        <f>IF(RAPPORT_FINAL[[#This Row],[INVENTAIRE_PREC.Prix_vente]]="","",RAPPORT_FINAL[[#This Row],[INVENTAIRE_PREC.Quantite]]*RAPPORT_FINAL[[#This Row],[INVENTAIRE_PREC.Prix_cout]])</f>
        <v>3000</v>
      </c>
      <c r="I142" s="83" cm="1">
        <f t="array" ref="I14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42" s="88">
        <f>IF(RAPPORT_FINAL[[#This Row],[INVENTAIRE_PREC.Prix_vente]]="","",RAPPORT_FINAL[[#This Row],[INVENTAIRE_PREC.Quantite]]*RAPPORT_FINAL[[#This Row],[INVENTAIRE_PREC.Prix_vente]])</f>
        <v>5000</v>
      </c>
      <c r="K142" s="24"/>
      <c r="L142" s="11"/>
      <c r="M142" s="25"/>
      <c r="N142" s="24">
        <v>3</v>
      </c>
      <c r="O142" s="11">
        <v>1000</v>
      </c>
      <c r="P142" s="25">
        <v>3000</v>
      </c>
      <c r="Q142" s="85">
        <v>2</v>
      </c>
      <c r="R142" s="80" cm="1">
        <f t="array" ref="R14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600</v>
      </c>
      <c r="S142" s="80">
        <f>RAPPORT_FINAL[[#This Row],[INVENTAIRE.Quantite]]*RAPPORT_FINAL[[#This Row],[INVENTAIRE.Prix_cout]]</f>
        <v>1200</v>
      </c>
      <c r="T142" s="83" cm="1">
        <f t="array" ref="T14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42" s="88">
        <f>IF(OR(RAPPORT_FINAL[[#This Row],[INVENTAIRE.Quantite]]="",RAPPORT_FINAL[[#This Row],[INVENTAIRE.Prix_vente]]=""),"",RAPPORT_FINAL[[#This Row],[INVENTAIRE.Quantite]]*RAPPORT_FINAL[[#This Row],[INVENTAIRE.Prix_vente]])</f>
        <v>2000</v>
      </c>
      <c r="V14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142" s="24">
        <f>RAPPORT_FINAL[[#This Row],[INVENTAIRE.Prix_cout]]</f>
        <v>600</v>
      </c>
      <c r="X142" s="85">
        <f>RAPPORT_FINAL[[#This Row],[INVENTAIRE_THEORIQUE]]*RAPPORT_FINAL[[#This Row],[INVENTAIRE_THEORIQUE.Prix_cout]]</f>
        <v>1200</v>
      </c>
      <c r="Y142" s="85">
        <f>RAPPORT_FINAL[[#This Row],[INVENTAIRE.Prix_vente]]</f>
        <v>1000</v>
      </c>
      <c r="Z142" s="85">
        <f>RAPPORT_FINAL[[#This Row],[INVENTAIRE_THEORIQUE]]*RAPPORT_FINAL[[#This Row],[INVENTAIRE_THEORIQUE.Prix_vente]]</f>
        <v>2000</v>
      </c>
      <c r="AA142" s="85">
        <f>RAPPORT_FINAL[[#This Row],[INVENTAIRE.Quantite]]-RAPPORT_FINAL[[#This Row],[INVENTAIRE_THEORIQUE]]</f>
        <v>0</v>
      </c>
      <c r="AB142" s="90">
        <f>IFERROR(RAPPORT_FINAL[[#This Row],[ECART.Total_cout]]/RAPPORT_FINAL[[#This Row],[ECART.Quantite]],0)</f>
        <v>0</v>
      </c>
      <c r="AC142" s="91">
        <f>IFERROR(RAPPORT_FINAL[[#This Row],[ECART.Quantite]]*RAPPORT_FINAL[[#This Row],[INVENTAIRE.Prix_cout]],"")</f>
        <v>0</v>
      </c>
      <c r="AD142" s="83">
        <f>IFERROR(RAPPORT_FINAL[[#This Row],[ECART.Total_vente]]/RAPPORT_FINAL[[#This Row],[ECART.Quantite]],0)</f>
        <v>0</v>
      </c>
      <c r="AE142" s="92">
        <f>IFERROR(RAPPORT_FINAL[[#This Row],[ECART.Quantite]]*RAPPORT_FINAL[[#This Row],[INVENTAIRE.Prix_vente]],"")</f>
        <v>0</v>
      </c>
    </row>
    <row r="143" spans="1:31" hidden="1" x14ac:dyDescent="0.25">
      <c r="A143" s="82" t="s">
        <v>30</v>
      </c>
      <c r="B143" s="3" t="s">
        <v>76</v>
      </c>
      <c r="C143" s="80" t="s">
        <v>283</v>
      </c>
      <c r="D143" s="3" t="s">
        <v>36</v>
      </c>
      <c r="E143" s="31" t="s">
        <v>97</v>
      </c>
      <c r="F143" s="85" cm="1">
        <f t="array" ref="F14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11</v>
      </c>
      <c r="G143" s="80" cm="1">
        <f t="array" ref="G14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691.67</v>
      </c>
      <c r="H143" s="80">
        <f>IF(RAPPORT_FINAL[[#This Row],[INVENTAIRE_PREC.Prix_vente]]="","",RAPPORT_FINAL[[#This Row],[INVENTAIRE_PREC.Quantite]]*RAPPORT_FINAL[[#This Row],[INVENTAIRE_PREC.Prix_cout]])</f>
        <v>7608.37</v>
      </c>
      <c r="I143" s="83" cm="1">
        <f t="array" ref="I14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43" s="88">
        <f>IF(RAPPORT_FINAL[[#This Row],[INVENTAIRE_PREC.Prix_vente]]="","",RAPPORT_FINAL[[#This Row],[INVENTAIRE_PREC.Quantite]]*RAPPORT_FINAL[[#This Row],[INVENTAIRE_PREC.Prix_vente]])</f>
        <v>11000</v>
      </c>
      <c r="K143" s="24">
        <v>24</v>
      </c>
      <c r="L143" s="11">
        <v>750</v>
      </c>
      <c r="M143" s="25">
        <v>18000</v>
      </c>
      <c r="N143" s="24">
        <v>10</v>
      </c>
      <c r="O143" s="11">
        <v>1000</v>
      </c>
      <c r="P143" s="25">
        <v>10000</v>
      </c>
      <c r="Q143" s="85">
        <v>24</v>
      </c>
      <c r="R143" s="80" cm="1">
        <f t="array" ref="R14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731.66771428571428</v>
      </c>
      <c r="S143" s="80">
        <f>RAPPORT_FINAL[[#This Row],[INVENTAIRE.Quantite]]*RAPPORT_FINAL[[#This Row],[INVENTAIRE.Prix_cout]]</f>
        <v>17560.025142857143</v>
      </c>
      <c r="T143" s="83" cm="1">
        <f t="array" ref="T14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43" s="88">
        <f>IF(OR(RAPPORT_FINAL[[#This Row],[INVENTAIRE.Quantite]]="",RAPPORT_FINAL[[#This Row],[INVENTAIRE.Prix_vente]]=""),"",RAPPORT_FINAL[[#This Row],[INVENTAIRE.Quantite]]*RAPPORT_FINAL[[#This Row],[INVENTAIRE.Prix_vente]])</f>
        <v>24000</v>
      </c>
      <c r="V14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25</v>
      </c>
      <c r="W143" s="24">
        <f>RAPPORT_FINAL[[#This Row],[INVENTAIRE.Prix_cout]]</f>
        <v>731.66771428571428</v>
      </c>
      <c r="X143" s="85">
        <f>RAPPORT_FINAL[[#This Row],[INVENTAIRE_THEORIQUE]]*RAPPORT_FINAL[[#This Row],[INVENTAIRE_THEORIQUE.Prix_cout]]</f>
        <v>18291.692857142858</v>
      </c>
      <c r="Y143" s="85">
        <f>RAPPORT_FINAL[[#This Row],[INVENTAIRE.Prix_vente]]</f>
        <v>1000</v>
      </c>
      <c r="Z143" s="85">
        <f>RAPPORT_FINAL[[#This Row],[INVENTAIRE_THEORIQUE]]*RAPPORT_FINAL[[#This Row],[INVENTAIRE_THEORIQUE.Prix_vente]]</f>
        <v>25000</v>
      </c>
      <c r="AA143" s="85">
        <f>RAPPORT_FINAL[[#This Row],[INVENTAIRE.Quantite]]-RAPPORT_FINAL[[#This Row],[INVENTAIRE_THEORIQUE]]</f>
        <v>-1</v>
      </c>
      <c r="AB143" s="90">
        <f>IFERROR(RAPPORT_FINAL[[#This Row],[ECART.Total_cout]]/RAPPORT_FINAL[[#This Row],[ECART.Quantite]],0)</f>
        <v>731.66771428571428</v>
      </c>
      <c r="AC143" s="91">
        <f>IFERROR(RAPPORT_FINAL[[#This Row],[ECART.Quantite]]*RAPPORT_FINAL[[#This Row],[INVENTAIRE.Prix_cout]],"")</f>
        <v>-731.66771428571428</v>
      </c>
      <c r="AD143" s="83">
        <f>IFERROR(RAPPORT_FINAL[[#This Row],[ECART.Total_vente]]/RAPPORT_FINAL[[#This Row],[ECART.Quantite]],0)</f>
        <v>1000</v>
      </c>
      <c r="AE143" s="92">
        <f>IFERROR(RAPPORT_FINAL[[#This Row],[ECART.Quantite]]*RAPPORT_FINAL[[#This Row],[INVENTAIRE.Prix_vente]],"")</f>
        <v>-1000</v>
      </c>
    </row>
    <row r="144" spans="1:31" hidden="1" x14ac:dyDescent="0.25">
      <c r="A144" s="82" t="s">
        <v>30</v>
      </c>
      <c r="B144" s="3" t="s">
        <v>76</v>
      </c>
      <c r="C144" s="80" t="s">
        <v>283</v>
      </c>
      <c r="D144" s="3" t="s">
        <v>42</v>
      </c>
      <c r="E144" s="31" t="s">
        <v>97</v>
      </c>
      <c r="F144" s="85" cm="1">
        <f t="array" ref="F14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3</v>
      </c>
      <c r="G144" s="80" cm="1">
        <f t="array" ref="G14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608.33000000000004</v>
      </c>
      <c r="H144" s="80">
        <f>IF(RAPPORT_FINAL[[#This Row],[INVENTAIRE_PREC.Prix_vente]]="","",RAPPORT_FINAL[[#This Row],[INVENTAIRE_PREC.Quantite]]*RAPPORT_FINAL[[#This Row],[INVENTAIRE_PREC.Prix_cout]])</f>
        <v>1824.9900000000002</v>
      </c>
      <c r="I144" s="83" cm="1">
        <f t="array" ref="I14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44" s="88">
        <f>IF(RAPPORT_FINAL[[#This Row],[INVENTAIRE_PREC.Prix_vente]]="","",RAPPORT_FINAL[[#This Row],[INVENTAIRE_PREC.Quantite]]*RAPPORT_FINAL[[#This Row],[INVENTAIRE_PREC.Prix_vente]])</f>
        <v>3000</v>
      </c>
      <c r="K144" s="24"/>
      <c r="L144" s="11"/>
      <c r="M144" s="25"/>
      <c r="N144" s="24">
        <v>2</v>
      </c>
      <c r="O144" s="11">
        <v>1000</v>
      </c>
      <c r="P144" s="25">
        <v>2000</v>
      </c>
      <c r="Q144" s="85">
        <v>1</v>
      </c>
      <c r="R144" s="80" cm="1">
        <f t="array" ref="R14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608.33000000000004</v>
      </c>
      <c r="S144" s="80">
        <f>RAPPORT_FINAL[[#This Row],[INVENTAIRE.Quantite]]*RAPPORT_FINAL[[#This Row],[INVENTAIRE.Prix_cout]]</f>
        <v>608.33000000000004</v>
      </c>
      <c r="T144" s="83" cm="1">
        <f t="array" ref="T14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44" s="88">
        <f>IF(OR(RAPPORT_FINAL[[#This Row],[INVENTAIRE.Quantite]]="",RAPPORT_FINAL[[#This Row],[INVENTAIRE.Prix_vente]]=""),"",RAPPORT_FINAL[[#This Row],[INVENTAIRE.Quantite]]*RAPPORT_FINAL[[#This Row],[INVENTAIRE.Prix_vente]])</f>
        <v>1000</v>
      </c>
      <c r="V14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44" s="24">
        <f>RAPPORT_FINAL[[#This Row],[INVENTAIRE.Prix_cout]]</f>
        <v>608.33000000000004</v>
      </c>
      <c r="X144" s="85">
        <f>RAPPORT_FINAL[[#This Row],[INVENTAIRE_THEORIQUE]]*RAPPORT_FINAL[[#This Row],[INVENTAIRE_THEORIQUE.Prix_cout]]</f>
        <v>608.33000000000004</v>
      </c>
      <c r="Y144" s="85">
        <f>RAPPORT_FINAL[[#This Row],[INVENTAIRE.Prix_vente]]</f>
        <v>1000</v>
      </c>
      <c r="Z144" s="85">
        <f>RAPPORT_FINAL[[#This Row],[INVENTAIRE_THEORIQUE]]*RAPPORT_FINAL[[#This Row],[INVENTAIRE_THEORIQUE.Prix_vente]]</f>
        <v>1000</v>
      </c>
      <c r="AA144" s="85">
        <f>RAPPORT_FINAL[[#This Row],[INVENTAIRE.Quantite]]-RAPPORT_FINAL[[#This Row],[INVENTAIRE_THEORIQUE]]</f>
        <v>0</v>
      </c>
      <c r="AB144" s="90">
        <f>IFERROR(RAPPORT_FINAL[[#This Row],[ECART.Total_cout]]/RAPPORT_FINAL[[#This Row],[ECART.Quantite]],0)</f>
        <v>0</v>
      </c>
      <c r="AC144" s="91">
        <f>IFERROR(RAPPORT_FINAL[[#This Row],[ECART.Quantite]]*RAPPORT_FINAL[[#This Row],[INVENTAIRE.Prix_cout]],"")</f>
        <v>0</v>
      </c>
      <c r="AD144" s="83">
        <f>IFERROR(RAPPORT_FINAL[[#This Row],[ECART.Total_vente]]/RAPPORT_FINAL[[#This Row],[ECART.Quantite]],0)</f>
        <v>0</v>
      </c>
      <c r="AE144" s="92">
        <f>IFERROR(RAPPORT_FINAL[[#This Row],[ECART.Quantite]]*RAPPORT_FINAL[[#This Row],[INVENTAIRE.Prix_vente]],"")</f>
        <v>0</v>
      </c>
    </row>
    <row r="145" spans="1:31" hidden="1" x14ac:dyDescent="0.25">
      <c r="A145" s="82" t="s">
        <v>30</v>
      </c>
      <c r="B145" s="3" t="s">
        <v>76</v>
      </c>
      <c r="C145" s="80" t="s">
        <v>283</v>
      </c>
      <c r="D145" s="3" t="s">
        <v>60</v>
      </c>
      <c r="E145" s="31" t="s">
        <v>97</v>
      </c>
      <c r="F145" s="85" cm="1">
        <f t="array" ref="F14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3</v>
      </c>
      <c r="G145" s="80" cm="1">
        <f t="array" ref="G14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250</v>
      </c>
      <c r="H145" s="80">
        <f>IF(RAPPORT_FINAL[[#This Row],[INVENTAIRE_PREC.Prix_vente]]="","",RAPPORT_FINAL[[#This Row],[INVENTAIRE_PREC.Quantite]]*RAPPORT_FINAL[[#This Row],[INVENTAIRE_PREC.Prix_cout]])</f>
        <v>750</v>
      </c>
      <c r="I145" s="83" cm="1">
        <f t="array" ref="I14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145" s="88">
        <f>IF(RAPPORT_FINAL[[#This Row],[INVENTAIRE_PREC.Prix_vente]]="","",RAPPORT_FINAL[[#This Row],[INVENTAIRE_PREC.Quantite]]*RAPPORT_FINAL[[#This Row],[INVENTAIRE_PREC.Prix_vente]])</f>
        <v>2400</v>
      </c>
      <c r="K145" s="24">
        <v>30</v>
      </c>
      <c r="L145" s="11">
        <v>241.66666666666666</v>
      </c>
      <c r="M145" s="25">
        <v>7250</v>
      </c>
      <c r="N145" s="24">
        <v>27</v>
      </c>
      <c r="O145" s="11">
        <v>800</v>
      </c>
      <c r="P145" s="25">
        <v>21600</v>
      </c>
      <c r="Q145" s="85">
        <v>6</v>
      </c>
      <c r="R145" s="80" cm="1">
        <f t="array" ref="R14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242.42424242424244</v>
      </c>
      <c r="S145" s="80">
        <f>RAPPORT_FINAL[[#This Row],[INVENTAIRE.Quantite]]*RAPPORT_FINAL[[#This Row],[INVENTAIRE.Prix_cout]]</f>
        <v>1454.5454545454545</v>
      </c>
      <c r="T145" s="83" cm="1">
        <f t="array" ref="T14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145" s="88">
        <f>IF(OR(RAPPORT_FINAL[[#This Row],[INVENTAIRE.Quantite]]="",RAPPORT_FINAL[[#This Row],[INVENTAIRE.Prix_vente]]=""),"",RAPPORT_FINAL[[#This Row],[INVENTAIRE.Quantite]]*RAPPORT_FINAL[[#This Row],[INVENTAIRE.Prix_vente]])</f>
        <v>4800</v>
      </c>
      <c r="V14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145" s="24">
        <f>RAPPORT_FINAL[[#This Row],[INVENTAIRE.Prix_cout]]</f>
        <v>242.42424242424244</v>
      </c>
      <c r="X145" s="85">
        <f>RAPPORT_FINAL[[#This Row],[INVENTAIRE_THEORIQUE]]*RAPPORT_FINAL[[#This Row],[INVENTAIRE_THEORIQUE.Prix_cout]]</f>
        <v>1454.5454545454545</v>
      </c>
      <c r="Y145" s="85">
        <f>RAPPORT_FINAL[[#This Row],[INVENTAIRE.Prix_vente]]</f>
        <v>800</v>
      </c>
      <c r="Z145" s="85">
        <f>RAPPORT_FINAL[[#This Row],[INVENTAIRE_THEORIQUE]]*RAPPORT_FINAL[[#This Row],[INVENTAIRE_THEORIQUE.Prix_vente]]</f>
        <v>4800</v>
      </c>
      <c r="AA145" s="85">
        <f>RAPPORT_FINAL[[#This Row],[INVENTAIRE.Quantite]]-RAPPORT_FINAL[[#This Row],[INVENTAIRE_THEORIQUE]]</f>
        <v>0</v>
      </c>
      <c r="AB145" s="90">
        <f>IFERROR(RAPPORT_FINAL[[#This Row],[ECART.Total_cout]]/RAPPORT_FINAL[[#This Row],[ECART.Quantite]],0)</f>
        <v>0</v>
      </c>
      <c r="AC145" s="91">
        <f>IFERROR(RAPPORT_FINAL[[#This Row],[ECART.Quantite]]*RAPPORT_FINAL[[#This Row],[INVENTAIRE.Prix_cout]],"")</f>
        <v>0</v>
      </c>
      <c r="AD145" s="83">
        <f>IFERROR(RAPPORT_FINAL[[#This Row],[ECART.Total_vente]]/RAPPORT_FINAL[[#This Row],[ECART.Quantite]],0)</f>
        <v>0</v>
      </c>
      <c r="AE145" s="92">
        <f>IFERROR(RAPPORT_FINAL[[#This Row],[ECART.Quantite]]*RAPPORT_FINAL[[#This Row],[INVENTAIRE.Prix_vente]],"")</f>
        <v>0</v>
      </c>
    </row>
    <row r="146" spans="1:31" hidden="1" x14ac:dyDescent="0.25">
      <c r="A146" s="82" t="s">
        <v>30</v>
      </c>
      <c r="B146" s="3" t="s">
        <v>76</v>
      </c>
      <c r="C146" s="80" t="s">
        <v>283</v>
      </c>
      <c r="D146" s="3" t="s">
        <v>53</v>
      </c>
      <c r="E146" s="31" t="s">
        <v>97</v>
      </c>
      <c r="F146" s="85" cm="1">
        <f t="array" ref="F14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12</v>
      </c>
      <c r="G146" s="80" cm="1">
        <f t="array" ref="G14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562.5</v>
      </c>
      <c r="H146" s="80">
        <f>IF(RAPPORT_FINAL[[#This Row],[INVENTAIRE_PREC.Prix_vente]]="","",RAPPORT_FINAL[[#This Row],[INVENTAIRE_PREC.Quantite]]*RAPPORT_FINAL[[#This Row],[INVENTAIRE_PREC.Prix_cout]])</f>
        <v>6750</v>
      </c>
      <c r="I146" s="83" cm="1">
        <f t="array" ref="I14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46" s="88">
        <f>IF(RAPPORT_FINAL[[#This Row],[INVENTAIRE_PREC.Prix_vente]]="","",RAPPORT_FINAL[[#This Row],[INVENTAIRE_PREC.Quantite]]*RAPPORT_FINAL[[#This Row],[INVENTAIRE_PREC.Prix_vente]])</f>
        <v>12000</v>
      </c>
      <c r="K146" s="24"/>
      <c r="L146" s="11"/>
      <c r="M146" s="25"/>
      <c r="N146" s="24">
        <v>7</v>
      </c>
      <c r="O146" s="11">
        <v>1000</v>
      </c>
      <c r="P146" s="25">
        <v>7000</v>
      </c>
      <c r="Q146" s="85">
        <v>2</v>
      </c>
      <c r="R146" s="80" cm="1">
        <f t="array" ref="R14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562.5</v>
      </c>
      <c r="S146" s="80">
        <f>RAPPORT_FINAL[[#This Row],[INVENTAIRE.Quantite]]*RAPPORT_FINAL[[#This Row],[INVENTAIRE.Prix_cout]]</f>
        <v>1125</v>
      </c>
      <c r="T146" s="83" cm="1">
        <f t="array" ref="T14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46" s="88">
        <f>IF(OR(RAPPORT_FINAL[[#This Row],[INVENTAIRE.Quantite]]="",RAPPORT_FINAL[[#This Row],[INVENTAIRE.Prix_vente]]=""),"",RAPPORT_FINAL[[#This Row],[INVENTAIRE.Quantite]]*RAPPORT_FINAL[[#This Row],[INVENTAIRE.Prix_vente]])</f>
        <v>2000</v>
      </c>
      <c r="V14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5</v>
      </c>
      <c r="W146" s="24">
        <f>RAPPORT_FINAL[[#This Row],[INVENTAIRE.Prix_cout]]</f>
        <v>562.5</v>
      </c>
      <c r="X146" s="85">
        <f>RAPPORT_FINAL[[#This Row],[INVENTAIRE_THEORIQUE]]*RAPPORT_FINAL[[#This Row],[INVENTAIRE_THEORIQUE.Prix_cout]]</f>
        <v>2812.5</v>
      </c>
      <c r="Y146" s="85">
        <f>RAPPORT_FINAL[[#This Row],[INVENTAIRE.Prix_vente]]</f>
        <v>1000</v>
      </c>
      <c r="Z146" s="85">
        <f>RAPPORT_FINAL[[#This Row],[INVENTAIRE_THEORIQUE]]*RAPPORT_FINAL[[#This Row],[INVENTAIRE_THEORIQUE.Prix_vente]]</f>
        <v>5000</v>
      </c>
      <c r="AA146" s="85">
        <f>RAPPORT_FINAL[[#This Row],[INVENTAIRE.Quantite]]-RAPPORT_FINAL[[#This Row],[INVENTAIRE_THEORIQUE]]</f>
        <v>-3</v>
      </c>
      <c r="AB146" s="90">
        <f>IFERROR(RAPPORT_FINAL[[#This Row],[ECART.Total_cout]]/RAPPORT_FINAL[[#This Row],[ECART.Quantite]],0)</f>
        <v>562.5</v>
      </c>
      <c r="AC146" s="91">
        <f>IFERROR(RAPPORT_FINAL[[#This Row],[ECART.Quantite]]*RAPPORT_FINAL[[#This Row],[INVENTAIRE.Prix_cout]],"")</f>
        <v>-1687.5</v>
      </c>
      <c r="AD146" s="83">
        <f>IFERROR(RAPPORT_FINAL[[#This Row],[ECART.Total_vente]]/RAPPORT_FINAL[[#This Row],[ECART.Quantite]],0)</f>
        <v>1000</v>
      </c>
      <c r="AE146" s="92">
        <f>IFERROR(RAPPORT_FINAL[[#This Row],[ECART.Quantite]]*RAPPORT_FINAL[[#This Row],[INVENTAIRE.Prix_vente]],"")</f>
        <v>-3000</v>
      </c>
    </row>
    <row r="147" spans="1:31" hidden="1" x14ac:dyDescent="0.25">
      <c r="A147" s="82" t="s">
        <v>30</v>
      </c>
      <c r="B147" s="3" t="s">
        <v>76</v>
      </c>
      <c r="C147" s="80" t="s">
        <v>283</v>
      </c>
      <c r="D147" s="3" t="s">
        <v>81</v>
      </c>
      <c r="E147" s="31" t="s">
        <v>97</v>
      </c>
      <c r="F147" s="85" cm="1">
        <f t="array" ref="F14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147" s="80" cm="1">
        <f t="array" ref="G14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2350</v>
      </c>
      <c r="H147" s="80">
        <f>IF(RAPPORT_FINAL[[#This Row],[INVENTAIRE_PREC.Prix_vente]]="","",RAPPORT_FINAL[[#This Row],[INVENTAIRE_PREC.Quantite]]*RAPPORT_FINAL[[#This Row],[INVENTAIRE_PREC.Prix_cout]])</f>
        <v>4700</v>
      </c>
      <c r="I147" s="83" cm="1">
        <f t="array" ref="I14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2500</v>
      </c>
      <c r="J147" s="88">
        <f>IF(RAPPORT_FINAL[[#This Row],[INVENTAIRE_PREC.Prix_vente]]="","",RAPPORT_FINAL[[#This Row],[INVENTAIRE_PREC.Quantite]]*RAPPORT_FINAL[[#This Row],[INVENTAIRE_PREC.Prix_vente]])</f>
        <v>5000</v>
      </c>
      <c r="K147" s="24"/>
      <c r="L147" s="11"/>
      <c r="M147" s="25"/>
      <c r="N147" s="24"/>
      <c r="O147" s="11"/>
      <c r="P147" s="25"/>
      <c r="Q147" s="85">
        <v>2</v>
      </c>
      <c r="R147" s="80" cm="1">
        <f t="array" ref="R14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2350</v>
      </c>
      <c r="S147" s="80">
        <f>RAPPORT_FINAL[[#This Row],[INVENTAIRE.Quantite]]*RAPPORT_FINAL[[#This Row],[INVENTAIRE.Prix_cout]]</f>
        <v>4700</v>
      </c>
      <c r="T147" s="83" cm="1">
        <f t="array" ref="T14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</v>
      </c>
      <c r="U147" s="88">
        <f>IF(OR(RAPPORT_FINAL[[#This Row],[INVENTAIRE.Quantite]]="",RAPPORT_FINAL[[#This Row],[INVENTAIRE.Prix_vente]]=""),"",RAPPORT_FINAL[[#This Row],[INVENTAIRE.Quantite]]*RAPPORT_FINAL[[#This Row],[INVENTAIRE.Prix_vente]])</f>
        <v>5000</v>
      </c>
      <c r="V14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147" s="24">
        <f>RAPPORT_FINAL[[#This Row],[INVENTAIRE.Prix_cout]]</f>
        <v>2350</v>
      </c>
      <c r="X147" s="85">
        <f>RAPPORT_FINAL[[#This Row],[INVENTAIRE_THEORIQUE]]*RAPPORT_FINAL[[#This Row],[INVENTAIRE_THEORIQUE.Prix_cout]]</f>
        <v>4700</v>
      </c>
      <c r="Y147" s="85">
        <f>RAPPORT_FINAL[[#This Row],[INVENTAIRE.Prix_vente]]</f>
        <v>2500</v>
      </c>
      <c r="Z147" s="85">
        <f>RAPPORT_FINAL[[#This Row],[INVENTAIRE_THEORIQUE]]*RAPPORT_FINAL[[#This Row],[INVENTAIRE_THEORIQUE.Prix_vente]]</f>
        <v>5000</v>
      </c>
      <c r="AA147" s="85">
        <f>RAPPORT_FINAL[[#This Row],[INVENTAIRE.Quantite]]-RAPPORT_FINAL[[#This Row],[INVENTAIRE_THEORIQUE]]</f>
        <v>0</v>
      </c>
      <c r="AB147" s="90">
        <f>IFERROR(RAPPORT_FINAL[[#This Row],[ECART.Total_cout]]/RAPPORT_FINAL[[#This Row],[ECART.Quantite]],0)</f>
        <v>0</v>
      </c>
      <c r="AC147" s="91">
        <f>IFERROR(RAPPORT_FINAL[[#This Row],[ECART.Quantite]]*RAPPORT_FINAL[[#This Row],[INVENTAIRE.Prix_cout]],"")</f>
        <v>0</v>
      </c>
      <c r="AD147" s="83">
        <f>IFERROR(RAPPORT_FINAL[[#This Row],[ECART.Total_vente]]/RAPPORT_FINAL[[#This Row],[ECART.Quantite]],0)</f>
        <v>0</v>
      </c>
      <c r="AE147" s="92">
        <f>IFERROR(RAPPORT_FINAL[[#This Row],[ECART.Quantite]]*RAPPORT_FINAL[[#This Row],[INVENTAIRE.Prix_vente]],"")</f>
        <v>0</v>
      </c>
    </row>
    <row r="148" spans="1:31" hidden="1" x14ac:dyDescent="0.25">
      <c r="A148" s="82" t="s">
        <v>30</v>
      </c>
      <c r="B148" s="3" t="s">
        <v>76</v>
      </c>
      <c r="C148" s="80" t="s">
        <v>283</v>
      </c>
      <c r="D148" s="3" t="s">
        <v>156</v>
      </c>
      <c r="E148" s="31" t="s">
        <v>97</v>
      </c>
      <c r="F148" s="85" cm="1">
        <f t="array" ref="F14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15</v>
      </c>
      <c r="G148" s="80" cm="1">
        <f t="array" ref="G14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479.17</v>
      </c>
      <c r="H148" s="80">
        <f>IF(RAPPORT_FINAL[[#This Row],[INVENTAIRE_PREC.Prix_vente]]="","",RAPPORT_FINAL[[#This Row],[INVENTAIRE_PREC.Quantite]]*RAPPORT_FINAL[[#This Row],[INVENTAIRE_PREC.Prix_cout]])</f>
        <v>7187.55</v>
      </c>
      <c r="I148" s="83" cm="1">
        <f t="array" ref="I14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148" s="88">
        <f>IF(RAPPORT_FINAL[[#This Row],[INVENTAIRE_PREC.Prix_vente]]="","",RAPPORT_FINAL[[#This Row],[INVENTAIRE_PREC.Quantite]]*RAPPORT_FINAL[[#This Row],[INVENTAIRE_PREC.Prix_vente]])</f>
        <v>12000</v>
      </c>
      <c r="K148" s="24">
        <v>12</v>
      </c>
      <c r="L148" s="11">
        <v>466.66666666666669</v>
      </c>
      <c r="M148" s="25">
        <v>5600</v>
      </c>
      <c r="N148" s="24">
        <v>7</v>
      </c>
      <c r="O148" s="11">
        <v>800</v>
      </c>
      <c r="P148" s="25">
        <v>5600</v>
      </c>
      <c r="Q148" s="85">
        <v>20</v>
      </c>
      <c r="R148" s="80" cm="1">
        <f t="array" ref="R14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473.61296296296291</v>
      </c>
      <c r="S148" s="80">
        <f>RAPPORT_FINAL[[#This Row],[INVENTAIRE.Quantite]]*RAPPORT_FINAL[[#This Row],[INVENTAIRE.Prix_cout]]</f>
        <v>9472.2592592592591</v>
      </c>
      <c r="T148" s="83" cm="1">
        <f t="array" ref="T14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148" s="88">
        <f>IF(OR(RAPPORT_FINAL[[#This Row],[INVENTAIRE.Quantite]]="",RAPPORT_FINAL[[#This Row],[INVENTAIRE.Prix_vente]]=""),"",RAPPORT_FINAL[[#This Row],[INVENTAIRE.Quantite]]*RAPPORT_FINAL[[#This Row],[INVENTAIRE.Prix_vente]])</f>
        <v>16000</v>
      </c>
      <c r="V14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20</v>
      </c>
      <c r="W148" s="24">
        <f>RAPPORT_FINAL[[#This Row],[INVENTAIRE.Prix_cout]]</f>
        <v>473.61296296296291</v>
      </c>
      <c r="X148" s="85">
        <f>RAPPORT_FINAL[[#This Row],[INVENTAIRE_THEORIQUE]]*RAPPORT_FINAL[[#This Row],[INVENTAIRE_THEORIQUE.Prix_cout]]</f>
        <v>9472.2592592592591</v>
      </c>
      <c r="Y148" s="85">
        <f>RAPPORT_FINAL[[#This Row],[INVENTAIRE.Prix_vente]]</f>
        <v>800</v>
      </c>
      <c r="Z148" s="85">
        <f>RAPPORT_FINAL[[#This Row],[INVENTAIRE_THEORIQUE]]*RAPPORT_FINAL[[#This Row],[INVENTAIRE_THEORIQUE.Prix_vente]]</f>
        <v>16000</v>
      </c>
      <c r="AA148" s="85">
        <f>RAPPORT_FINAL[[#This Row],[INVENTAIRE.Quantite]]-RAPPORT_FINAL[[#This Row],[INVENTAIRE_THEORIQUE]]</f>
        <v>0</v>
      </c>
      <c r="AB148" s="90">
        <f>IFERROR(RAPPORT_FINAL[[#This Row],[ECART.Total_cout]]/RAPPORT_FINAL[[#This Row],[ECART.Quantite]],0)</f>
        <v>0</v>
      </c>
      <c r="AC148" s="91">
        <f>IFERROR(RAPPORT_FINAL[[#This Row],[ECART.Quantite]]*RAPPORT_FINAL[[#This Row],[INVENTAIRE.Prix_cout]],"")</f>
        <v>0</v>
      </c>
      <c r="AD148" s="83">
        <f>IFERROR(RAPPORT_FINAL[[#This Row],[ECART.Total_vente]]/RAPPORT_FINAL[[#This Row],[ECART.Quantite]],0)</f>
        <v>0</v>
      </c>
      <c r="AE148" s="92">
        <f>IFERROR(RAPPORT_FINAL[[#This Row],[ECART.Quantite]]*RAPPORT_FINAL[[#This Row],[INVENTAIRE.Prix_vente]],"")</f>
        <v>0</v>
      </c>
    </row>
    <row r="149" spans="1:31" hidden="1" x14ac:dyDescent="0.25">
      <c r="A149" s="82" t="s">
        <v>30</v>
      </c>
      <c r="B149" s="3" t="s">
        <v>76</v>
      </c>
      <c r="C149" s="80" t="s">
        <v>283</v>
      </c>
      <c r="D149" s="3" t="s">
        <v>82</v>
      </c>
      <c r="E149" s="31" t="s">
        <v>97</v>
      </c>
      <c r="F149" s="85" cm="1">
        <f t="array" ref="F14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149" s="80" cm="1">
        <f t="array" ref="G14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6800</v>
      </c>
      <c r="H149" s="80">
        <f>IF(RAPPORT_FINAL[[#This Row],[INVENTAIRE_PREC.Prix_vente]]="","",RAPPORT_FINAL[[#This Row],[INVENTAIRE_PREC.Quantite]]*RAPPORT_FINAL[[#This Row],[INVENTAIRE_PREC.Prix_cout]])</f>
        <v>6800</v>
      </c>
      <c r="I149" s="83" cm="1">
        <f t="array" ref="I14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10000</v>
      </c>
      <c r="J149" s="88">
        <f>IF(RAPPORT_FINAL[[#This Row],[INVENTAIRE_PREC.Prix_vente]]="","",RAPPORT_FINAL[[#This Row],[INVENTAIRE_PREC.Quantite]]*RAPPORT_FINAL[[#This Row],[INVENTAIRE_PREC.Prix_vente]])</f>
        <v>10000</v>
      </c>
      <c r="K149" s="24"/>
      <c r="L149" s="11"/>
      <c r="M149" s="25"/>
      <c r="N149" s="24"/>
      <c r="O149" s="11"/>
      <c r="P149" s="25"/>
      <c r="Q149" s="85">
        <v>1</v>
      </c>
      <c r="R149" s="80" cm="1">
        <f t="array" ref="R14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6800</v>
      </c>
      <c r="S149" s="80">
        <f>RAPPORT_FINAL[[#This Row],[INVENTAIRE.Quantite]]*RAPPORT_FINAL[[#This Row],[INVENTAIRE.Prix_cout]]</f>
        <v>6800</v>
      </c>
      <c r="T149" s="83" cm="1">
        <f t="array" ref="T14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10000</v>
      </c>
      <c r="U149" s="88">
        <f>IF(OR(RAPPORT_FINAL[[#This Row],[INVENTAIRE.Quantite]]="",RAPPORT_FINAL[[#This Row],[INVENTAIRE.Prix_vente]]=""),"",RAPPORT_FINAL[[#This Row],[INVENTAIRE.Quantite]]*RAPPORT_FINAL[[#This Row],[INVENTAIRE.Prix_vente]])</f>
        <v>10000</v>
      </c>
      <c r="V14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49" s="24">
        <f>RAPPORT_FINAL[[#This Row],[INVENTAIRE.Prix_cout]]</f>
        <v>6800</v>
      </c>
      <c r="X149" s="85">
        <f>RAPPORT_FINAL[[#This Row],[INVENTAIRE_THEORIQUE]]*RAPPORT_FINAL[[#This Row],[INVENTAIRE_THEORIQUE.Prix_cout]]</f>
        <v>6800</v>
      </c>
      <c r="Y149" s="85">
        <f>RAPPORT_FINAL[[#This Row],[INVENTAIRE.Prix_vente]]</f>
        <v>10000</v>
      </c>
      <c r="Z149" s="85">
        <f>RAPPORT_FINAL[[#This Row],[INVENTAIRE_THEORIQUE]]*RAPPORT_FINAL[[#This Row],[INVENTAIRE_THEORIQUE.Prix_vente]]</f>
        <v>10000</v>
      </c>
      <c r="AA149" s="85">
        <f>RAPPORT_FINAL[[#This Row],[INVENTAIRE.Quantite]]-RAPPORT_FINAL[[#This Row],[INVENTAIRE_THEORIQUE]]</f>
        <v>0</v>
      </c>
      <c r="AB149" s="90">
        <f>IFERROR(RAPPORT_FINAL[[#This Row],[ECART.Total_cout]]/RAPPORT_FINAL[[#This Row],[ECART.Quantite]],0)</f>
        <v>0</v>
      </c>
      <c r="AC149" s="91">
        <f>IFERROR(RAPPORT_FINAL[[#This Row],[ECART.Quantite]]*RAPPORT_FINAL[[#This Row],[INVENTAIRE.Prix_cout]],"")</f>
        <v>0</v>
      </c>
      <c r="AD149" s="83">
        <f>IFERROR(RAPPORT_FINAL[[#This Row],[ECART.Total_vente]]/RAPPORT_FINAL[[#This Row],[ECART.Quantite]],0)</f>
        <v>0</v>
      </c>
      <c r="AE149" s="92">
        <f>IFERROR(RAPPORT_FINAL[[#This Row],[ECART.Quantite]]*RAPPORT_FINAL[[#This Row],[INVENTAIRE.Prix_vente]],"")</f>
        <v>0</v>
      </c>
    </row>
    <row r="150" spans="1:31" hidden="1" x14ac:dyDescent="0.25">
      <c r="A150" s="82" t="s">
        <v>30</v>
      </c>
      <c r="B150" s="3" t="s">
        <v>76</v>
      </c>
      <c r="C150" s="80" t="s">
        <v>283</v>
      </c>
      <c r="D150" s="3" t="s">
        <v>82</v>
      </c>
      <c r="E150" s="31" t="s">
        <v>97</v>
      </c>
      <c r="F150" s="85" cm="1">
        <f t="array" ref="F15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150" s="80" cm="1">
        <f t="array" ref="G15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6800</v>
      </c>
      <c r="H150" s="80">
        <f>IF(RAPPORT_FINAL[[#This Row],[INVENTAIRE_PREC.Prix_vente]]="","",RAPPORT_FINAL[[#This Row],[INVENTAIRE_PREC.Quantite]]*RAPPORT_FINAL[[#This Row],[INVENTAIRE_PREC.Prix_cout]])</f>
        <v>6800</v>
      </c>
      <c r="I150" s="83" cm="1">
        <f t="array" ref="I15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10000</v>
      </c>
      <c r="J150" s="88">
        <f>IF(RAPPORT_FINAL[[#This Row],[INVENTAIRE_PREC.Prix_vente]]="","",RAPPORT_FINAL[[#This Row],[INVENTAIRE_PREC.Quantite]]*RAPPORT_FINAL[[#This Row],[INVENTAIRE_PREC.Prix_vente]])</f>
        <v>10000</v>
      </c>
      <c r="K150" s="24"/>
      <c r="L150" s="11"/>
      <c r="M150" s="25"/>
      <c r="N150" s="24"/>
      <c r="O150" s="11"/>
      <c r="P150" s="25"/>
      <c r="Q150" s="85">
        <v>1</v>
      </c>
      <c r="R150" s="80" cm="1">
        <f t="array" ref="R15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6800</v>
      </c>
      <c r="S150" s="80">
        <f>RAPPORT_FINAL[[#This Row],[INVENTAIRE.Quantite]]*RAPPORT_FINAL[[#This Row],[INVENTAIRE.Prix_cout]]</f>
        <v>6800</v>
      </c>
      <c r="T150" s="83" cm="1">
        <f t="array" ref="T15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10000</v>
      </c>
      <c r="U150" s="88">
        <f>IF(OR(RAPPORT_FINAL[[#This Row],[INVENTAIRE.Quantite]]="",RAPPORT_FINAL[[#This Row],[INVENTAIRE.Prix_vente]]=""),"",RAPPORT_FINAL[[#This Row],[INVENTAIRE.Quantite]]*RAPPORT_FINAL[[#This Row],[INVENTAIRE.Prix_vente]])</f>
        <v>10000</v>
      </c>
      <c r="V15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50" s="24">
        <f>RAPPORT_FINAL[[#This Row],[INVENTAIRE.Prix_cout]]</f>
        <v>6800</v>
      </c>
      <c r="X150" s="85">
        <f>RAPPORT_FINAL[[#This Row],[INVENTAIRE_THEORIQUE]]*RAPPORT_FINAL[[#This Row],[INVENTAIRE_THEORIQUE.Prix_cout]]</f>
        <v>6800</v>
      </c>
      <c r="Y150" s="85">
        <f>RAPPORT_FINAL[[#This Row],[INVENTAIRE.Prix_vente]]</f>
        <v>10000</v>
      </c>
      <c r="Z150" s="85">
        <f>RAPPORT_FINAL[[#This Row],[INVENTAIRE_THEORIQUE]]*RAPPORT_FINAL[[#This Row],[INVENTAIRE_THEORIQUE.Prix_vente]]</f>
        <v>10000</v>
      </c>
      <c r="AA150" s="85">
        <f>RAPPORT_FINAL[[#This Row],[INVENTAIRE.Quantite]]-RAPPORT_FINAL[[#This Row],[INVENTAIRE_THEORIQUE]]</f>
        <v>0</v>
      </c>
      <c r="AB150" s="90">
        <f>IFERROR(RAPPORT_FINAL[[#This Row],[ECART.Total_cout]]/RAPPORT_FINAL[[#This Row],[ECART.Quantite]],0)</f>
        <v>0</v>
      </c>
      <c r="AC150" s="91">
        <f>IFERROR(RAPPORT_FINAL[[#This Row],[ECART.Quantite]]*RAPPORT_FINAL[[#This Row],[INVENTAIRE.Prix_cout]],"")</f>
        <v>0</v>
      </c>
      <c r="AD150" s="83">
        <f>IFERROR(RAPPORT_FINAL[[#This Row],[ECART.Total_vente]]/RAPPORT_FINAL[[#This Row],[ECART.Quantite]],0)</f>
        <v>0</v>
      </c>
      <c r="AE150" s="92">
        <f>IFERROR(RAPPORT_FINAL[[#This Row],[ECART.Quantite]]*RAPPORT_FINAL[[#This Row],[INVENTAIRE.Prix_vente]],"")</f>
        <v>0</v>
      </c>
    </row>
    <row r="151" spans="1:31" hidden="1" x14ac:dyDescent="0.25">
      <c r="A151" s="82" t="s">
        <v>30</v>
      </c>
      <c r="B151" s="3" t="s">
        <v>76</v>
      </c>
      <c r="C151" s="80" t="s">
        <v>283</v>
      </c>
      <c r="D151" s="3" t="s">
        <v>40</v>
      </c>
      <c r="E151" s="31" t="s">
        <v>97</v>
      </c>
      <c r="F151" s="85" cm="1">
        <f t="array" ref="F15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11</v>
      </c>
      <c r="G151" s="80" cm="1">
        <f t="array" ref="G15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741.67</v>
      </c>
      <c r="H151" s="80">
        <f>IF(RAPPORT_FINAL[[#This Row],[INVENTAIRE_PREC.Prix_vente]]="","",RAPPORT_FINAL[[#This Row],[INVENTAIRE_PREC.Quantite]]*RAPPORT_FINAL[[#This Row],[INVENTAIRE_PREC.Prix_cout]])</f>
        <v>8158.37</v>
      </c>
      <c r="I151" s="83" cm="1">
        <f t="array" ref="I15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51" s="88">
        <f>IF(RAPPORT_FINAL[[#This Row],[INVENTAIRE_PREC.Prix_vente]]="","",RAPPORT_FINAL[[#This Row],[INVENTAIRE_PREC.Quantite]]*RAPPORT_FINAL[[#This Row],[INVENTAIRE_PREC.Prix_vente]])</f>
        <v>11000</v>
      </c>
      <c r="K151" s="24"/>
      <c r="L151" s="11"/>
      <c r="M151" s="25"/>
      <c r="N151" s="24">
        <v>3</v>
      </c>
      <c r="O151" s="11">
        <v>1000</v>
      </c>
      <c r="P151" s="25">
        <v>3000</v>
      </c>
      <c r="Q151" s="85">
        <v>8</v>
      </c>
      <c r="R151" s="80" cm="1">
        <f t="array" ref="R15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741.67</v>
      </c>
      <c r="S151" s="80">
        <f>RAPPORT_FINAL[[#This Row],[INVENTAIRE.Quantite]]*RAPPORT_FINAL[[#This Row],[INVENTAIRE.Prix_cout]]</f>
        <v>5933.36</v>
      </c>
      <c r="T151" s="83" cm="1">
        <f t="array" ref="T15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51" s="88">
        <f>IF(OR(RAPPORT_FINAL[[#This Row],[INVENTAIRE.Quantite]]="",RAPPORT_FINAL[[#This Row],[INVENTAIRE.Prix_vente]]=""),"",RAPPORT_FINAL[[#This Row],[INVENTAIRE.Quantite]]*RAPPORT_FINAL[[#This Row],[INVENTAIRE.Prix_vente]])</f>
        <v>8000</v>
      </c>
      <c r="V15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8</v>
      </c>
      <c r="W151" s="24">
        <f>RAPPORT_FINAL[[#This Row],[INVENTAIRE.Prix_cout]]</f>
        <v>741.67</v>
      </c>
      <c r="X151" s="85">
        <f>RAPPORT_FINAL[[#This Row],[INVENTAIRE_THEORIQUE]]*RAPPORT_FINAL[[#This Row],[INVENTAIRE_THEORIQUE.Prix_cout]]</f>
        <v>5933.36</v>
      </c>
      <c r="Y151" s="85">
        <f>RAPPORT_FINAL[[#This Row],[INVENTAIRE.Prix_vente]]</f>
        <v>1000</v>
      </c>
      <c r="Z151" s="85">
        <f>RAPPORT_FINAL[[#This Row],[INVENTAIRE_THEORIQUE]]*RAPPORT_FINAL[[#This Row],[INVENTAIRE_THEORIQUE.Prix_vente]]</f>
        <v>8000</v>
      </c>
      <c r="AA151" s="85">
        <f>RAPPORT_FINAL[[#This Row],[INVENTAIRE.Quantite]]-RAPPORT_FINAL[[#This Row],[INVENTAIRE_THEORIQUE]]</f>
        <v>0</v>
      </c>
      <c r="AB151" s="90">
        <f>IFERROR(RAPPORT_FINAL[[#This Row],[ECART.Total_cout]]/RAPPORT_FINAL[[#This Row],[ECART.Quantite]],0)</f>
        <v>0</v>
      </c>
      <c r="AC151" s="91">
        <f>IFERROR(RAPPORT_FINAL[[#This Row],[ECART.Quantite]]*RAPPORT_FINAL[[#This Row],[INVENTAIRE.Prix_cout]],"")</f>
        <v>0</v>
      </c>
      <c r="AD151" s="83">
        <f>IFERROR(RAPPORT_FINAL[[#This Row],[ECART.Total_vente]]/RAPPORT_FINAL[[#This Row],[ECART.Quantite]],0)</f>
        <v>0</v>
      </c>
      <c r="AE151" s="92">
        <f>IFERROR(RAPPORT_FINAL[[#This Row],[ECART.Quantite]]*RAPPORT_FINAL[[#This Row],[INVENTAIRE.Prix_vente]],"")</f>
        <v>0</v>
      </c>
    </row>
    <row r="152" spans="1:31" x14ac:dyDescent="0.25">
      <c r="A152" s="82" t="s">
        <v>30</v>
      </c>
      <c r="B152" s="3" t="s">
        <v>76</v>
      </c>
      <c r="C152" s="80" t="s">
        <v>283</v>
      </c>
      <c r="D152" s="3" t="s">
        <v>43</v>
      </c>
      <c r="E152" s="31" t="s">
        <v>97</v>
      </c>
      <c r="F152" s="85" cm="1">
        <f t="array" ref="F15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</v>
      </c>
      <c r="G152" s="80" cm="1">
        <f t="array" ref="G15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600</v>
      </c>
      <c r="H152" s="80">
        <f>IF(RAPPORT_FINAL[[#This Row],[INVENTAIRE_PREC.Prix_vente]]="","",RAPPORT_FINAL[[#This Row],[INVENTAIRE_PREC.Quantite]]*RAPPORT_FINAL[[#This Row],[INVENTAIRE_PREC.Prix_cout]])</f>
        <v>3000</v>
      </c>
      <c r="I152" s="83" cm="1">
        <f t="array" ref="I15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52" s="88">
        <f>IF(RAPPORT_FINAL[[#This Row],[INVENTAIRE_PREC.Prix_vente]]="","",RAPPORT_FINAL[[#This Row],[INVENTAIRE_PREC.Quantite]]*RAPPORT_FINAL[[#This Row],[INVENTAIRE_PREC.Prix_vente]])</f>
        <v>5000</v>
      </c>
      <c r="K152" s="24"/>
      <c r="L152" s="11"/>
      <c r="M152" s="25"/>
      <c r="N152" s="24">
        <v>5</v>
      </c>
      <c r="O152" s="11">
        <v>1000</v>
      </c>
      <c r="P152" s="25">
        <v>5000</v>
      </c>
      <c r="Q152" s="85">
        <v>0</v>
      </c>
      <c r="R152" s="80" cm="1">
        <f t="array" ref="R15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600</v>
      </c>
      <c r="S152" s="80">
        <f>RAPPORT_FINAL[[#This Row],[INVENTAIRE.Quantite]]*RAPPORT_FINAL[[#This Row],[INVENTAIRE.Prix_cout]]</f>
        <v>0</v>
      </c>
      <c r="T152" s="83" cm="1">
        <f t="array" ref="T15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52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5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152" s="24">
        <f>RAPPORT_FINAL[[#This Row],[INVENTAIRE.Prix_cout]]</f>
        <v>600</v>
      </c>
      <c r="X152" s="85">
        <f>RAPPORT_FINAL[[#This Row],[INVENTAIRE_THEORIQUE]]*RAPPORT_FINAL[[#This Row],[INVENTAIRE_THEORIQUE.Prix_cout]]</f>
        <v>0</v>
      </c>
      <c r="Y152" s="85">
        <f>RAPPORT_FINAL[[#This Row],[INVENTAIRE.Prix_vente]]</f>
        <v>1000</v>
      </c>
      <c r="Z152" s="85">
        <f>RAPPORT_FINAL[[#This Row],[INVENTAIRE_THEORIQUE]]*RAPPORT_FINAL[[#This Row],[INVENTAIRE_THEORIQUE.Prix_vente]]</f>
        <v>0</v>
      </c>
      <c r="AA152" s="85">
        <f>RAPPORT_FINAL[[#This Row],[INVENTAIRE.Quantite]]-RAPPORT_FINAL[[#This Row],[INVENTAIRE_THEORIQUE]]</f>
        <v>0</v>
      </c>
      <c r="AB152" s="90">
        <f>IFERROR(RAPPORT_FINAL[[#This Row],[ECART.Total_cout]]/RAPPORT_FINAL[[#This Row],[ECART.Quantite]],0)</f>
        <v>0</v>
      </c>
      <c r="AC152" s="91">
        <f>IFERROR(RAPPORT_FINAL[[#This Row],[ECART.Quantite]]*RAPPORT_FINAL[[#This Row],[INVENTAIRE.Prix_cout]],"")</f>
        <v>0</v>
      </c>
      <c r="AD152" s="83">
        <f>IFERROR(RAPPORT_FINAL[[#This Row],[ECART.Total_vente]]/RAPPORT_FINAL[[#This Row],[ECART.Quantite]],0)</f>
        <v>0</v>
      </c>
      <c r="AE152" s="92">
        <f>IFERROR(RAPPORT_FINAL[[#This Row],[ECART.Quantite]]*RAPPORT_FINAL[[#This Row],[INVENTAIRE.Prix_vente]],"")</f>
        <v>0</v>
      </c>
    </row>
    <row r="153" spans="1:31" x14ac:dyDescent="0.25">
      <c r="A153" s="82" t="s">
        <v>30</v>
      </c>
      <c r="B153" s="3" t="s">
        <v>76</v>
      </c>
      <c r="C153" s="80" t="s">
        <v>283</v>
      </c>
      <c r="D153" s="3" t="s">
        <v>32</v>
      </c>
      <c r="E153" s="31" t="s">
        <v>97</v>
      </c>
      <c r="F153" s="85" cm="1">
        <f t="array" ref="F15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</v>
      </c>
      <c r="G153" s="80" cm="1">
        <f t="array" ref="G15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458.33</v>
      </c>
      <c r="H153" s="80">
        <f>IF(RAPPORT_FINAL[[#This Row],[INVENTAIRE_PREC.Prix_vente]]="","",RAPPORT_FINAL[[#This Row],[INVENTAIRE_PREC.Quantite]]*RAPPORT_FINAL[[#This Row],[INVENTAIRE_PREC.Prix_cout]])</f>
        <v>1833.32</v>
      </c>
      <c r="I153" s="83" cm="1">
        <f t="array" ref="I15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53" s="88">
        <f>IF(RAPPORT_FINAL[[#This Row],[INVENTAIRE_PREC.Prix_vente]]="","",RAPPORT_FINAL[[#This Row],[INVENTAIRE_PREC.Quantite]]*RAPPORT_FINAL[[#This Row],[INVENTAIRE_PREC.Prix_vente]])</f>
        <v>4000</v>
      </c>
      <c r="K153" s="24"/>
      <c r="L153" s="11"/>
      <c r="M153" s="25"/>
      <c r="N153" s="24">
        <v>4</v>
      </c>
      <c r="O153" s="11">
        <v>1000</v>
      </c>
      <c r="P153" s="25">
        <v>4000</v>
      </c>
      <c r="Q153" s="85">
        <v>0</v>
      </c>
      <c r="R153" s="80" cm="1">
        <f t="array" ref="R15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458.33</v>
      </c>
      <c r="S153" s="80">
        <f>RAPPORT_FINAL[[#This Row],[INVENTAIRE.Quantite]]*RAPPORT_FINAL[[#This Row],[INVENTAIRE.Prix_cout]]</f>
        <v>0</v>
      </c>
      <c r="T153" s="83" cm="1">
        <f t="array" ref="T15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53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5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153" s="24">
        <f>RAPPORT_FINAL[[#This Row],[INVENTAIRE.Prix_cout]]</f>
        <v>458.33</v>
      </c>
      <c r="X153" s="85">
        <f>RAPPORT_FINAL[[#This Row],[INVENTAIRE_THEORIQUE]]*RAPPORT_FINAL[[#This Row],[INVENTAIRE_THEORIQUE.Prix_cout]]</f>
        <v>0</v>
      </c>
      <c r="Y153" s="85">
        <f>RAPPORT_FINAL[[#This Row],[INVENTAIRE.Prix_vente]]</f>
        <v>1000</v>
      </c>
      <c r="Z153" s="85">
        <f>RAPPORT_FINAL[[#This Row],[INVENTAIRE_THEORIQUE]]*RAPPORT_FINAL[[#This Row],[INVENTAIRE_THEORIQUE.Prix_vente]]</f>
        <v>0</v>
      </c>
      <c r="AA153" s="85">
        <f>RAPPORT_FINAL[[#This Row],[INVENTAIRE.Quantite]]-RAPPORT_FINAL[[#This Row],[INVENTAIRE_THEORIQUE]]</f>
        <v>0</v>
      </c>
      <c r="AB153" s="90">
        <f>IFERROR(RAPPORT_FINAL[[#This Row],[ECART.Total_cout]]/RAPPORT_FINAL[[#This Row],[ECART.Quantite]],0)</f>
        <v>0</v>
      </c>
      <c r="AC153" s="91">
        <f>IFERROR(RAPPORT_FINAL[[#This Row],[ECART.Quantite]]*RAPPORT_FINAL[[#This Row],[INVENTAIRE.Prix_cout]],"")</f>
        <v>0</v>
      </c>
      <c r="AD153" s="83">
        <f>IFERROR(RAPPORT_FINAL[[#This Row],[ECART.Total_vente]]/RAPPORT_FINAL[[#This Row],[ECART.Quantite]],0)</f>
        <v>0</v>
      </c>
      <c r="AE153" s="92">
        <f>IFERROR(RAPPORT_FINAL[[#This Row],[ECART.Quantite]]*RAPPORT_FINAL[[#This Row],[INVENTAIRE.Prix_vente]],"")</f>
        <v>0</v>
      </c>
    </row>
    <row r="154" spans="1:31" x14ac:dyDescent="0.25">
      <c r="A154" s="82" t="s">
        <v>30</v>
      </c>
      <c r="B154" s="3" t="s">
        <v>76</v>
      </c>
      <c r="C154" s="80" t="s">
        <v>283</v>
      </c>
      <c r="D154" s="3" t="s">
        <v>41</v>
      </c>
      <c r="E154" s="31" t="s">
        <v>97</v>
      </c>
      <c r="F154" s="85" cm="1">
        <f t="array" ref="F15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7</v>
      </c>
      <c r="G154" s="80" cm="1">
        <f t="array" ref="G15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600</v>
      </c>
      <c r="H154" s="80">
        <f>IF(RAPPORT_FINAL[[#This Row],[INVENTAIRE_PREC.Prix_vente]]="","",RAPPORT_FINAL[[#This Row],[INVENTAIRE_PREC.Quantite]]*RAPPORT_FINAL[[#This Row],[INVENTAIRE_PREC.Prix_cout]])</f>
        <v>4200</v>
      </c>
      <c r="I154" s="83" cm="1">
        <f t="array" ref="I15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54" s="88">
        <f>IF(RAPPORT_FINAL[[#This Row],[INVENTAIRE_PREC.Prix_vente]]="","",RAPPORT_FINAL[[#This Row],[INVENTAIRE_PREC.Quantite]]*RAPPORT_FINAL[[#This Row],[INVENTAIRE_PREC.Prix_vente]])</f>
        <v>7000</v>
      </c>
      <c r="K154" s="24"/>
      <c r="L154" s="11"/>
      <c r="M154" s="25"/>
      <c r="N154" s="24">
        <v>7</v>
      </c>
      <c r="O154" s="11">
        <v>1000</v>
      </c>
      <c r="P154" s="25">
        <v>7000</v>
      </c>
      <c r="Q154" s="85">
        <v>0</v>
      </c>
      <c r="R154" s="80" cm="1">
        <f t="array" ref="R15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600</v>
      </c>
      <c r="S154" s="80">
        <f>RAPPORT_FINAL[[#This Row],[INVENTAIRE.Quantite]]*RAPPORT_FINAL[[#This Row],[INVENTAIRE.Prix_cout]]</f>
        <v>0</v>
      </c>
      <c r="T154" s="83" cm="1">
        <f t="array" ref="T15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54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5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154" s="24">
        <f>RAPPORT_FINAL[[#This Row],[INVENTAIRE.Prix_cout]]</f>
        <v>600</v>
      </c>
      <c r="X154" s="85">
        <f>RAPPORT_FINAL[[#This Row],[INVENTAIRE_THEORIQUE]]*RAPPORT_FINAL[[#This Row],[INVENTAIRE_THEORIQUE.Prix_cout]]</f>
        <v>0</v>
      </c>
      <c r="Y154" s="85">
        <f>RAPPORT_FINAL[[#This Row],[INVENTAIRE.Prix_vente]]</f>
        <v>1000</v>
      </c>
      <c r="Z154" s="85">
        <f>RAPPORT_FINAL[[#This Row],[INVENTAIRE_THEORIQUE]]*RAPPORT_FINAL[[#This Row],[INVENTAIRE_THEORIQUE.Prix_vente]]</f>
        <v>0</v>
      </c>
      <c r="AA154" s="85">
        <f>RAPPORT_FINAL[[#This Row],[INVENTAIRE.Quantite]]-RAPPORT_FINAL[[#This Row],[INVENTAIRE_THEORIQUE]]</f>
        <v>0</v>
      </c>
      <c r="AB154" s="90">
        <f>IFERROR(RAPPORT_FINAL[[#This Row],[ECART.Total_cout]]/RAPPORT_FINAL[[#This Row],[ECART.Quantite]],0)</f>
        <v>0</v>
      </c>
      <c r="AC154" s="91">
        <f>IFERROR(RAPPORT_FINAL[[#This Row],[ECART.Quantite]]*RAPPORT_FINAL[[#This Row],[INVENTAIRE.Prix_cout]],"")</f>
        <v>0</v>
      </c>
      <c r="AD154" s="83">
        <f>IFERROR(RAPPORT_FINAL[[#This Row],[ECART.Total_vente]]/RAPPORT_FINAL[[#This Row],[ECART.Quantite]],0)</f>
        <v>0</v>
      </c>
      <c r="AE154" s="92">
        <f>IFERROR(RAPPORT_FINAL[[#This Row],[ECART.Quantite]]*RAPPORT_FINAL[[#This Row],[INVENTAIRE.Prix_vente]],"")</f>
        <v>0</v>
      </c>
    </row>
    <row r="155" spans="1:31" x14ac:dyDescent="0.25">
      <c r="A155" s="82" t="s">
        <v>30</v>
      </c>
      <c r="B155" s="3" t="s">
        <v>76</v>
      </c>
      <c r="C155" s="80" t="s">
        <v>283</v>
      </c>
      <c r="D155" s="3" t="s">
        <v>47</v>
      </c>
      <c r="E155" s="31" t="s">
        <v>97</v>
      </c>
      <c r="F155" s="85" cm="1">
        <f t="array" ref="F15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155" s="80" cm="1">
        <f t="array" ref="G15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600</v>
      </c>
      <c r="H155" s="80">
        <f>IF(RAPPORT_FINAL[[#This Row],[INVENTAIRE_PREC.Prix_vente]]="","",RAPPORT_FINAL[[#This Row],[INVENTAIRE_PREC.Quantite]]*RAPPORT_FINAL[[#This Row],[INVENTAIRE_PREC.Prix_cout]])</f>
        <v>1200</v>
      </c>
      <c r="I155" s="83" cm="1">
        <f t="array" ref="I15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55" s="88">
        <f>IF(RAPPORT_FINAL[[#This Row],[INVENTAIRE_PREC.Prix_vente]]="","",RAPPORT_FINAL[[#This Row],[INVENTAIRE_PREC.Quantite]]*RAPPORT_FINAL[[#This Row],[INVENTAIRE_PREC.Prix_vente]])</f>
        <v>2000</v>
      </c>
      <c r="K155" s="24"/>
      <c r="L155" s="11"/>
      <c r="M155" s="25"/>
      <c r="N155" s="24">
        <v>2</v>
      </c>
      <c r="O155" s="11">
        <v>1000</v>
      </c>
      <c r="P155" s="25">
        <v>2000</v>
      </c>
      <c r="Q155" s="85">
        <v>0</v>
      </c>
      <c r="R155" s="80" cm="1">
        <f t="array" ref="R15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600</v>
      </c>
      <c r="S155" s="80">
        <f>RAPPORT_FINAL[[#This Row],[INVENTAIRE.Quantite]]*RAPPORT_FINAL[[#This Row],[INVENTAIRE.Prix_cout]]</f>
        <v>0</v>
      </c>
      <c r="T155" s="83" cm="1">
        <f t="array" ref="T15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55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5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155" s="24">
        <f>RAPPORT_FINAL[[#This Row],[INVENTAIRE.Prix_cout]]</f>
        <v>600</v>
      </c>
      <c r="X155" s="85">
        <f>RAPPORT_FINAL[[#This Row],[INVENTAIRE_THEORIQUE]]*RAPPORT_FINAL[[#This Row],[INVENTAIRE_THEORIQUE.Prix_cout]]</f>
        <v>0</v>
      </c>
      <c r="Y155" s="85">
        <f>RAPPORT_FINAL[[#This Row],[INVENTAIRE.Prix_vente]]</f>
        <v>1000</v>
      </c>
      <c r="Z155" s="85">
        <f>RAPPORT_FINAL[[#This Row],[INVENTAIRE_THEORIQUE]]*RAPPORT_FINAL[[#This Row],[INVENTAIRE_THEORIQUE.Prix_vente]]</f>
        <v>0</v>
      </c>
      <c r="AA155" s="85">
        <f>RAPPORT_FINAL[[#This Row],[INVENTAIRE.Quantite]]-RAPPORT_FINAL[[#This Row],[INVENTAIRE_THEORIQUE]]</f>
        <v>0</v>
      </c>
      <c r="AB155" s="90">
        <f>IFERROR(RAPPORT_FINAL[[#This Row],[ECART.Total_cout]]/RAPPORT_FINAL[[#This Row],[ECART.Quantite]],0)</f>
        <v>0</v>
      </c>
      <c r="AC155" s="91">
        <f>IFERROR(RAPPORT_FINAL[[#This Row],[ECART.Quantite]]*RAPPORT_FINAL[[#This Row],[INVENTAIRE.Prix_cout]],"")</f>
        <v>0</v>
      </c>
      <c r="AD155" s="83">
        <f>IFERROR(RAPPORT_FINAL[[#This Row],[ECART.Total_vente]]/RAPPORT_FINAL[[#This Row],[ECART.Quantite]],0)</f>
        <v>0</v>
      </c>
      <c r="AE155" s="92">
        <f>IFERROR(RAPPORT_FINAL[[#This Row],[ECART.Quantite]]*RAPPORT_FINAL[[#This Row],[INVENTAIRE.Prix_vente]],"")</f>
        <v>0</v>
      </c>
    </row>
    <row r="156" spans="1:31" x14ac:dyDescent="0.25">
      <c r="A156" s="82" t="s">
        <v>30</v>
      </c>
      <c r="B156" s="3" t="s">
        <v>76</v>
      </c>
      <c r="C156" s="80" t="s">
        <v>283</v>
      </c>
      <c r="D156" s="3" t="s">
        <v>129</v>
      </c>
      <c r="E156" s="31" t="s">
        <v>130</v>
      </c>
      <c r="F156" s="85" cm="1">
        <f t="array" ref="F15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156" s="80" cm="1">
        <f t="array" ref="G15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175</v>
      </c>
      <c r="H156" s="80">
        <f>IF(RAPPORT_FINAL[[#This Row],[INVENTAIRE_PREC.Prix_vente]]="","",RAPPORT_FINAL[[#This Row],[INVENTAIRE_PREC.Quantite]]*RAPPORT_FINAL[[#This Row],[INVENTAIRE_PREC.Prix_cout]])</f>
        <v>175</v>
      </c>
      <c r="I156" s="83" cm="1">
        <f t="array" ref="I15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200</v>
      </c>
      <c r="J156" s="88">
        <f>IF(RAPPORT_FINAL[[#This Row],[INVENTAIRE_PREC.Prix_vente]]="","",RAPPORT_FINAL[[#This Row],[INVENTAIRE_PREC.Quantite]]*RAPPORT_FINAL[[#This Row],[INVENTAIRE_PREC.Prix_vente]])</f>
        <v>200</v>
      </c>
      <c r="K156" s="24"/>
      <c r="L156" s="11"/>
      <c r="M156" s="25"/>
      <c r="N156" s="24">
        <v>1</v>
      </c>
      <c r="O156" s="11">
        <v>200</v>
      </c>
      <c r="P156" s="25">
        <v>200</v>
      </c>
      <c r="Q156" s="85">
        <v>0</v>
      </c>
      <c r="R156" s="80" cm="1">
        <f t="array" ref="R15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175</v>
      </c>
      <c r="S156" s="80">
        <f>RAPPORT_FINAL[[#This Row],[INVENTAIRE.Quantite]]*RAPPORT_FINAL[[#This Row],[INVENTAIRE.Prix_cout]]</f>
        <v>0</v>
      </c>
      <c r="T156" s="83" cm="1">
        <f t="array" ref="T15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200</v>
      </c>
      <c r="U156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5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156" s="24">
        <f>RAPPORT_FINAL[[#This Row],[INVENTAIRE.Prix_cout]]</f>
        <v>175</v>
      </c>
      <c r="X156" s="85">
        <f>RAPPORT_FINAL[[#This Row],[INVENTAIRE_THEORIQUE]]*RAPPORT_FINAL[[#This Row],[INVENTAIRE_THEORIQUE.Prix_cout]]</f>
        <v>0</v>
      </c>
      <c r="Y156" s="85">
        <f>RAPPORT_FINAL[[#This Row],[INVENTAIRE.Prix_vente]]</f>
        <v>200</v>
      </c>
      <c r="Z156" s="85">
        <f>RAPPORT_FINAL[[#This Row],[INVENTAIRE_THEORIQUE]]*RAPPORT_FINAL[[#This Row],[INVENTAIRE_THEORIQUE.Prix_vente]]</f>
        <v>0</v>
      </c>
      <c r="AA156" s="85">
        <f>RAPPORT_FINAL[[#This Row],[INVENTAIRE.Quantite]]-RAPPORT_FINAL[[#This Row],[INVENTAIRE_THEORIQUE]]</f>
        <v>0</v>
      </c>
      <c r="AB156" s="90">
        <f>IFERROR(RAPPORT_FINAL[[#This Row],[ECART.Total_cout]]/RAPPORT_FINAL[[#This Row],[ECART.Quantite]],0)</f>
        <v>0</v>
      </c>
      <c r="AC156" s="91">
        <f>IFERROR(RAPPORT_FINAL[[#This Row],[ECART.Quantite]]*RAPPORT_FINAL[[#This Row],[INVENTAIRE.Prix_cout]],"")</f>
        <v>0</v>
      </c>
      <c r="AD156" s="83">
        <f>IFERROR(RAPPORT_FINAL[[#This Row],[ECART.Total_vente]]/RAPPORT_FINAL[[#This Row],[ECART.Quantite]],0)</f>
        <v>0</v>
      </c>
      <c r="AE156" s="92">
        <f>IFERROR(RAPPORT_FINAL[[#This Row],[ECART.Quantite]]*RAPPORT_FINAL[[#This Row],[INVENTAIRE.Prix_vente]],"")</f>
        <v>0</v>
      </c>
    </row>
    <row r="157" spans="1:31" x14ac:dyDescent="0.25">
      <c r="A157" s="82" t="s">
        <v>30</v>
      </c>
      <c r="B157" s="3" t="s">
        <v>76</v>
      </c>
      <c r="C157" s="80" t="s">
        <v>283</v>
      </c>
      <c r="D157" s="3" t="s">
        <v>51</v>
      </c>
      <c r="E157" s="31" t="s">
        <v>97</v>
      </c>
      <c r="F157" s="85" cm="1">
        <f t="array" ref="F15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</v>
      </c>
      <c r="G157" s="80" cm="1">
        <f t="array" ref="G15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416.67</v>
      </c>
      <c r="H157" s="80">
        <f>IF(RAPPORT_FINAL[[#This Row],[INVENTAIRE_PREC.Prix_vente]]="","",RAPPORT_FINAL[[#This Row],[INVENTAIRE_PREC.Quantite]]*RAPPORT_FINAL[[#This Row],[INVENTAIRE_PREC.Prix_cout]])</f>
        <v>1666.68</v>
      </c>
      <c r="I157" s="83" cm="1">
        <f t="array" ref="I15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157" s="88">
        <f>IF(RAPPORT_FINAL[[#This Row],[INVENTAIRE_PREC.Prix_vente]]="","",RAPPORT_FINAL[[#This Row],[INVENTAIRE_PREC.Quantite]]*RAPPORT_FINAL[[#This Row],[INVENTAIRE_PREC.Prix_vente]])</f>
        <v>3200</v>
      </c>
      <c r="K157" s="24"/>
      <c r="L157" s="11"/>
      <c r="M157" s="25"/>
      <c r="N157" s="24">
        <v>4</v>
      </c>
      <c r="O157" s="11">
        <v>800</v>
      </c>
      <c r="P157" s="25">
        <v>3200</v>
      </c>
      <c r="Q157" s="85">
        <v>0</v>
      </c>
      <c r="R157" s="80" cm="1">
        <f t="array" ref="R15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416.67</v>
      </c>
      <c r="S157" s="80">
        <f>RAPPORT_FINAL[[#This Row],[INVENTAIRE.Quantite]]*RAPPORT_FINAL[[#This Row],[INVENTAIRE.Prix_cout]]</f>
        <v>0</v>
      </c>
      <c r="T157" s="83" cm="1">
        <f t="array" ref="T15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157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5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157" s="24">
        <f>RAPPORT_FINAL[[#This Row],[INVENTAIRE.Prix_cout]]</f>
        <v>416.67</v>
      </c>
      <c r="X157" s="85">
        <f>RAPPORT_FINAL[[#This Row],[INVENTAIRE_THEORIQUE]]*RAPPORT_FINAL[[#This Row],[INVENTAIRE_THEORIQUE.Prix_cout]]</f>
        <v>0</v>
      </c>
      <c r="Y157" s="85">
        <f>RAPPORT_FINAL[[#This Row],[INVENTAIRE.Prix_vente]]</f>
        <v>800</v>
      </c>
      <c r="Z157" s="85">
        <f>RAPPORT_FINAL[[#This Row],[INVENTAIRE_THEORIQUE]]*RAPPORT_FINAL[[#This Row],[INVENTAIRE_THEORIQUE.Prix_vente]]</f>
        <v>0</v>
      </c>
      <c r="AA157" s="85">
        <f>RAPPORT_FINAL[[#This Row],[INVENTAIRE.Quantite]]-RAPPORT_FINAL[[#This Row],[INVENTAIRE_THEORIQUE]]</f>
        <v>0</v>
      </c>
      <c r="AB157" s="90">
        <f>IFERROR(RAPPORT_FINAL[[#This Row],[ECART.Total_cout]]/RAPPORT_FINAL[[#This Row],[ECART.Quantite]],0)</f>
        <v>0</v>
      </c>
      <c r="AC157" s="91">
        <f>IFERROR(RAPPORT_FINAL[[#This Row],[ECART.Quantite]]*RAPPORT_FINAL[[#This Row],[INVENTAIRE.Prix_cout]],"")</f>
        <v>0</v>
      </c>
      <c r="AD157" s="83">
        <f>IFERROR(RAPPORT_FINAL[[#This Row],[ECART.Total_vente]]/RAPPORT_FINAL[[#This Row],[ECART.Quantite]],0)</f>
        <v>0</v>
      </c>
      <c r="AE157" s="92">
        <f>IFERROR(RAPPORT_FINAL[[#This Row],[ECART.Quantite]]*RAPPORT_FINAL[[#This Row],[INVENTAIRE.Prix_vente]],"")</f>
        <v>0</v>
      </c>
    </row>
    <row r="158" spans="1:31" x14ac:dyDescent="0.25">
      <c r="A158" s="82" t="s">
        <v>30</v>
      </c>
      <c r="B158" s="3" t="s">
        <v>76</v>
      </c>
      <c r="C158" s="80" t="s">
        <v>283</v>
      </c>
      <c r="D158" s="3" t="s">
        <v>50</v>
      </c>
      <c r="E158" s="31" t="s">
        <v>97</v>
      </c>
      <c r="F158" s="85" cm="1">
        <f t="array" ref="F15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158" s="80" cm="1">
        <f t="array" ref="G15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333.33</v>
      </c>
      <c r="H158" s="80">
        <f>IF(RAPPORT_FINAL[[#This Row],[INVENTAIRE_PREC.Prix_vente]]="","",RAPPORT_FINAL[[#This Row],[INVENTAIRE_PREC.Quantite]]*RAPPORT_FINAL[[#This Row],[INVENTAIRE_PREC.Prix_cout]])</f>
        <v>666.66</v>
      </c>
      <c r="I158" s="83" cm="1">
        <f t="array" ref="I15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158" s="88">
        <f>IF(RAPPORT_FINAL[[#This Row],[INVENTAIRE_PREC.Prix_vente]]="","",RAPPORT_FINAL[[#This Row],[INVENTAIRE_PREC.Quantite]]*RAPPORT_FINAL[[#This Row],[INVENTAIRE_PREC.Prix_vente]])</f>
        <v>1600</v>
      </c>
      <c r="K158" s="24"/>
      <c r="L158" s="11"/>
      <c r="M158" s="25"/>
      <c r="N158" s="24">
        <v>2</v>
      </c>
      <c r="O158" s="11">
        <v>800</v>
      </c>
      <c r="P158" s="25">
        <v>1600</v>
      </c>
      <c r="Q158" s="85">
        <v>0</v>
      </c>
      <c r="R158" s="80" cm="1">
        <f t="array" ref="R15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333.33</v>
      </c>
      <c r="S158" s="80">
        <f>RAPPORT_FINAL[[#This Row],[INVENTAIRE.Quantite]]*RAPPORT_FINAL[[#This Row],[INVENTAIRE.Prix_cout]]</f>
        <v>0</v>
      </c>
      <c r="T158" s="83" cm="1">
        <f t="array" ref="T15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158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5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158" s="24">
        <f>RAPPORT_FINAL[[#This Row],[INVENTAIRE.Prix_cout]]</f>
        <v>333.33</v>
      </c>
      <c r="X158" s="85">
        <f>RAPPORT_FINAL[[#This Row],[INVENTAIRE_THEORIQUE]]*RAPPORT_FINAL[[#This Row],[INVENTAIRE_THEORIQUE.Prix_cout]]</f>
        <v>0</v>
      </c>
      <c r="Y158" s="85">
        <f>RAPPORT_FINAL[[#This Row],[INVENTAIRE.Prix_vente]]</f>
        <v>800</v>
      </c>
      <c r="Z158" s="85">
        <f>RAPPORT_FINAL[[#This Row],[INVENTAIRE_THEORIQUE]]*RAPPORT_FINAL[[#This Row],[INVENTAIRE_THEORIQUE.Prix_vente]]</f>
        <v>0</v>
      </c>
      <c r="AA158" s="85">
        <f>RAPPORT_FINAL[[#This Row],[INVENTAIRE.Quantite]]-RAPPORT_FINAL[[#This Row],[INVENTAIRE_THEORIQUE]]</f>
        <v>0</v>
      </c>
      <c r="AB158" s="90">
        <f>IFERROR(RAPPORT_FINAL[[#This Row],[ECART.Total_cout]]/RAPPORT_FINAL[[#This Row],[ECART.Quantite]],0)</f>
        <v>0</v>
      </c>
      <c r="AC158" s="91">
        <f>IFERROR(RAPPORT_FINAL[[#This Row],[ECART.Quantite]]*RAPPORT_FINAL[[#This Row],[INVENTAIRE.Prix_cout]],"")</f>
        <v>0</v>
      </c>
      <c r="AD158" s="83">
        <f>IFERROR(RAPPORT_FINAL[[#This Row],[ECART.Total_vente]]/RAPPORT_FINAL[[#This Row],[ECART.Quantite]],0)</f>
        <v>0</v>
      </c>
      <c r="AE158" s="92">
        <f>IFERROR(RAPPORT_FINAL[[#This Row],[ECART.Quantite]]*RAPPORT_FINAL[[#This Row],[INVENTAIRE.Prix_vente]],"")</f>
        <v>0</v>
      </c>
    </row>
    <row r="159" spans="1:31" hidden="1" x14ac:dyDescent="0.25">
      <c r="A159" s="82" t="s">
        <v>30</v>
      </c>
      <c r="B159" s="3" t="s">
        <v>76</v>
      </c>
      <c r="C159" s="80" t="s">
        <v>283</v>
      </c>
      <c r="D159" s="3" t="s">
        <v>46</v>
      </c>
      <c r="E159" s="31" t="s">
        <v>97</v>
      </c>
      <c r="F159" s="85" cm="1">
        <f t="array" ref="F15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18</v>
      </c>
      <c r="G159" s="80" cm="1">
        <f t="array" ref="G15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800</v>
      </c>
      <c r="H159" s="80">
        <f>IF(RAPPORT_FINAL[[#This Row],[INVENTAIRE_PREC.Prix_vente]]="","",RAPPORT_FINAL[[#This Row],[INVENTAIRE_PREC.Quantite]]*RAPPORT_FINAL[[#This Row],[INVENTAIRE_PREC.Prix_cout]])</f>
        <v>14400</v>
      </c>
      <c r="I159" s="83" cm="1">
        <f t="array" ref="I15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59" s="88">
        <f>IF(RAPPORT_FINAL[[#This Row],[INVENTAIRE_PREC.Prix_vente]]="","",RAPPORT_FINAL[[#This Row],[INVENTAIRE_PREC.Quantite]]*RAPPORT_FINAL[[#This Row],[INVENTAIRE_PREC.Prix_vente]])</f>
        <v>18000</v>
      </c>
      <c r="K159" s="24"/>
      <c r="L159" s="11"/>
      <c r="M159" s="25"/>
      <c r="N159" s="24">
        <v>4</v>
      </c>
      <c r="O159" s="11">
        <v>1000</v>
      </c>
      <c r="P159" s="25">
        <v>4000</v>
      </c>
      <c r="Q159" s="85">
        <v>13</v>
      </c>
      <c r="R159" s="80" cm="1">
        <f t="array" ref="R15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800</v>
      </c>
      <c r="S159" s="80">
        <f>RAPPORT_FINAL[[#This Row],[INVENTAIRE.Quantite]]*RAPPORT_FINAL[[#This Row],[INVENTAIRE.Prix_cout]]</f>
        <v>10400</v>
      </c>
      <c r="T159" s="83" cm="1">
        <f t="array" ref="T15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59" s="88">
        <f>IF(OR(RAPPORT_FINAL[[#This Row],[INVENTAIRE.Quantite]]="",RAPPORT_FINAL[[#This Row],[INVENTAIRE.Prix_vente]]=""),"",RAPPORT_FINAL[[#This Row],[INVENTAIRE.Quantite]]*RAPPORT_FINAL[[#This Row],[INVENTAIRE.Prix_vente]])</f>
        <v>13000</v>
      </c>
      <c r="V15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14</v>
      </c>
      <c r="W159" s="24">
        <f>RAPPORT_FINAL[[#This Row],[INVENTAIRE.Prix_cout]]</f>
        <v>800</v>
      </c>
      <c r="X159" s="85">
        <f>RAPPORT_FINAL[[#This Row],[INVENTAIRE_THEORIQUE]]*RAPPORT_FINAL[[#This Row],[INVENTAIRE_THEORIQUE.Prix_cout]]</f>
        <v>11200</v>
      </c>
      <c r="Y159" s="85">
        <f>RAPPORT_FINAL[[#This Row],[INVENTAIRE.Prix_vente]]</f>
        <v>1000</v>
      </c>
      <c r="Z159" s="85">
        <f>RAPPORT_FINAL[[#This Row],[INVENTAIRE_THEORIQUE]]*RAPPORT_FINAL[[#This Row],[INVENTAIRE_THEORIQUE.Prix_vente]]</f>
        <v>14000</v>
      </c>
      <c r="AA159" s="85">
        <f>RAPPORT_FINAL[[#This Row],[INVENTAIRE.Quantite]]-RAPPORT_FINAL[[#This Row],[INVENTAIRE_THEORIQUE]]</f>
        <v>-1</v>
      </c>
      <c r="AB159" s="90">
        <f>IFERROR(RAPPORT_FINAL[[#This Row],[ECART.Total_cout]]/RAPPORT_FINAL[[#This Row],[ECART.Quantite]],0)</f>
        <v>800</v>
      </c>
      <c r="AC159" s="91">
        <f>IFERROR(RAPPORT_FINAL[[#This Row],[ECART.Quantite]]*RAPPORT_FINAL[[#This Row],[INVENTAIRE.Prix_cout]],"")</f>
        <v>-800</v>
      </c>
      <c r="AD159" s="83">
        <f>IFERROR(RAPPORT_FINAL[[#This Row],[ECART.Total_vente]]/RAPPORT_FINAL[[#This Row],[ECART.Quantite]],0)</f>
        <v>1000</v>
      </c>
      <c r="AE159" s="92">
        <f>IFERROR(RAPPORT_FINAL[[#This Row],[ECART.Quantite]]*RAPPORT_FINAL[[#This Row],[INVENTAIRE.Prix_vente]],"")</f>
        <v>-1000</v>
      </c>
    </row>
    <row r="160" spans="1:31" hidden="1" x14ac:dyDescent="0.25">
      <c r="A160" s="82" t="s">
        <v>30</v>
      </c>
      <c r="B160" s="3" t="s">
        <v>76</v>
      </c>
      <c r="C160" s="80" t="s">
        <v>283</v>
      </c>
      <c r="D160" s="3" t="s">
        <v>156</v>
      </c>
      <c r="E160" s="31" t="s">
        <v>97</v>
      </c>
      <c r="F160" s="85" cm="1">
        <f t="array" ref="F16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15</v>
      </c>
      <c r="G160" s="80" cm="1">
        <f t="array" ref="G16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479.17</v>
      </c>
      <c r="H160" s="80">
        <f>IF(RAPPORT_FINAL[[#This Row],[INVENTAIRE_PREC.Prix_vente]]="","",RAPPORT_FINAL[[#This Row],[INVENTAIRE_PREC.Quantite]]*RAPPORT_FINAL[[#This Row],[INVENTAIRE_PREC.Prix_cout]])</f>
        <v>7187.55</v>
      </c>
      <c r="I160" s="83" cm="1">
        <f t="array" ref="I16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160" s="88">
        <f>IF(RAPPORT_FINAL[[#This Row],[INVENTAIRE_PREC.Prix_vente]]="","",RAPPORT_FINAL[[#This Row],[INVENTAIRE_PREC.Quantite]]*RAPPORT_FINAL[[#This Row],[INVENTAIRE_PREC.Prix_vente]])</f>
        <v>12000</v>
      </c>
      <c r="K160" s="24">
        <v>12</v>
      </c>
      <c r="L160" s="11">
        <v>466.66666666666669</v>
      </c>
      <c r="M160" s="25">
        <v>5600</v>
      </c>
      <c r="N160" s="24">
        <v>7</v>
      </c>
      <c r="O160" s="11">
        <v>800</v>
      </c>
      <c r="P160" s="25">
        <v>5600</v>
      </c>
      <c r="Q160" s="85">
        <v>20</v>
      </c>
      <c r="R160" s="80" cm="1">
        <f t="array" ref="R16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473.61296296296291</v>
      </c>
      <c r="S160" s="80">
        <f>RAPPORT_FINAL[[#This Row],[INVENTAIRE.Quantite]]*RAPPORT_FINAL[[#This Row],[INVENTAIRE.Prix_cout]]</f>
        <v>9472.2592592592591</v>
      </c>
      <c r="T160" s="83" cm="1">
        <f t="array" ref="T16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160" s="88">
        <f>IF(OR(RAPPORT_FINAL[[#This Row],[INVENTAIRE.Quantite]]="",RAPPORT_FINAL[[#This Row],[INVENTAIRE.Prix_vente]]=""),"",RAPPORT_FINAL[[#This Row],[INVENTAIRE.Quantite]]*RAPPORT_FINAL[[#This Row],[INVENTAIRE.Prix_vente]])</f>
        <v>16000</v>
      </c>
      <c r="V16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20</v>
      </c>
      <c r="W160" s="24">
        <f>RAPPORT_FINAL[[#This Row],[INVENTAIRE.Prix_cout]]</f>
        <v>473.61296296296291</v>
      </c>
      <c r="X160" s="85">
        <f>RAPPORT_FINAL[[#This Row],[INVENTAIRE_THEORIQUE]]*RAPPORT_FINAL[[#This Row],[INVENTAIRE_THEORIQUE.Prix_cout]]</f>
        <v>9472.2592592592591</v>
      </c>
      <c r="Y160" s="85">
        <f>RAPPORT_FINAL[[#This Row],[INVENTAIRE.Prix_vente]]</f>
        <v>800</v>
      </c>
      <c r="Z160" s="85">
        <f>RAPPORT_FINAL[[#This Row],[INVENTAIRE_THEORIQUE]]*RAPPORT_FINAL[[#This Row],[INVENTAIRE_THEORIQUE.Prix_vente]]</f>
        <v>16000</v>
      </c>
      <c r="AA160" s="85">
        <f>RAPPORT_FINAL[[#This Row],[INVENTAIRE.Quantite]]-RAPPORT_FINAL[[#This Row],[INVENTAIRE_THEORIQUE]]</f>
        <v>0</v>
      </c>
      <c r="AB160" s="90">
        <f>IFERROR(RAPPORT_FINAL[[#This Row],[ECART.Total_cout]]/RAPPORT_FINAL[[#This Row],[ECART.Quantite]],0)</f>
        <v>0</v>
      </c>
      <c r="AC160" s="91">
        <f>IFERROR(RAPPORT_FINAL[[#This Row],[ECART.Quantite]]*RAPPORT_FINAL[[#This Row],[INVENTAIRE.Prix_cout]],"")</f>
        <v>0</v>
      </c>
      <c r="AD160" s="83">
        <f>IFERROR(RAPPORT_FINAL[[#This Row],[ECART.Total_vente]]/RAPPORT_FINAL[[#This Row],[ECART.Quantite]],0)</f>
        <v>0</v>
      </c>
      <c r="AE160" s="92">
        <f>IFERROR(RAPPORT_FINAL[[#This Row],[ECART.Quantite]]*RAPPORT_FINAL[[#This Row],[INVENTAIRE.Prix_vente]],"")</f>
        <v>0</v>
      </c>
    </row>
    <row r="161" spans="1:31" hidden="1" x14ac:dyDescent="0.25">
      <c r="A161" s="81" t="s">
        <v>30</v>
      </c>
      <c r="B161" s="3" t="s">
        <v>76</v>
      </c>
      <c r="C161" s="80" t="s">
        <v>283</v>
      </c>
      <c r="D161" s="3" t="s">
        <v>146</v>
      </c>
      <c r="E161" s="31" t="s">
        <v>97</v>
      </c>
      <c r="F161" s="85" cm="1">
        <f t="array" ref="F16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</v>
      </c>
      <c r="G161" s="87" cm="1">
        <f t="array" ref="G16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11200</v>
      </c>
      <c r="H161" s="87">
        <f>IF(RAPPORT_FINAL[[#This Row],[INVENTAIRE_PREC.Prix_vente]]="","",RAPPORT_FINAL[[#This Row],[INVENTAIRE_PREC.Quantite]]*RAPPORT_FINAL[[#This Row],[INVENTAIRE_PREC.Prix_cout]])</f>
        <v>11200</v>
      </c>
      <c r="I161" s="83" cm="1">
        <f t="array" ref="I16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25000</v>
      </c>
      <c r="J161" s="88">
        <f>IF(RAPPORT_FINAL[[#This Row],[INVENTAIRE_PREC.Prix_vente]]="","",RAPPORT_FINAL[[#This Row],[INVENTAIRE_PREC.Quantite]]*RAPPORT_FINAL[[#This Row],[INVENTAIRE_PREC.Prix_vente]])</f>
        <v>25000</v>
      </c>
      <c r="K161" s="24"/>
      <c r="L161" s="11"/>
      <c r="M161" s="25"/>
      <c r="N161" s="24"/>
      <c r="O161" s="11"/>
      <c r="P161" s="25"/>
      <c r="Q161" s="85">
        <v>1</v>
      </c>
      <c r="R161" s="87" cm="1">
        <f t="array" ref="R16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11200</v>
      </c>
      <c r="S161" s="87">
        <f>RAPPORT_FINAL[[#This Row],[INVENTAIRE.Quantite]]*RAPPORT_FINAL[[#This Row],[INVENTAIRE.Prix_cout]]</f>
        <v>11200</v>
      </c>
      <c r="T161" s="83" cm="1">
        <f t="array" ref="T16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25000</v>
      </c>
      <c r="U161" s="88">
        <f>IF(OR(RAPPORT_FINAL[[#This Row],[INVENTAIRE.Quantite]]="",RAPPORT_FINAL[[#This Row],[INVENTAIRE.Prix_vente]]=""),"",RAPPORT_FINAL[[#This Row],[INVENTAIRE.Quantite]]*RAPPORT_FINAL[[#This Row],[INVENTAIRE.Prix_vente]])</f>
        <v>25000</v>
      </c>
      <c r="V16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61" s="24">
        <f>RAPPORT_FINAL[[#This Row],[INVENTAIRE.Prix_cout]]</f>
        <v>11200</v>
      </c>
      <c r="X161" s="85">
        <f>RAPPORT_FINAL[[#This Row],[INVENTAIRE_THEORIQUE]]*RAPPORT_FINAL[[#This Row],[INVENTAIRE_THEORIQUE.Prix_cout]]</f>
        <v>11200</v>
      </c>
      <c r="Y161" s="85">
        <f>RAPPORT_FINAL[[#This Row],[INVENTAIRE.Prix_vente]]</f>
        <v>25000</v>
      </c>
      <c r="Z161" s="85">
        <f>RAPPORT_FINAL[[#This Row],[INVENTAIRE_THEORIQUE]]*RAPPORT_FINAL[[#This Row],[INVENTAIRE_THEORIQUE.Prix_vente]]</f>
        <v>25000</v>
      </c>
      <c r="AA161" s="85">
        <f>RAPPORT_FINAL[[#This Row],[INVENTAIRE.Quantite]]-RAPPORT_FINAL[[#This Row],[INVENTAIRE_THEORIQUE]]</f>
        <v>0</v>
      </c>
      <c r="AB161" s="90">
        <f>IFERROR(RAPPORT_FINAL[[#This Row],[ECART.Total_cout]]/RAPPORT_FINAL[[#This Row],[ECART.Quantite]],0)</f>
        <v>0</v>
      </c>
      <c r="AC161" s="91">
        <f>IFERROR(RAPPORT_FINAL[[#This Row],[ECART.Quantite]]*RAPPORT_FINAL[[#This Row],[INVENTAIRE.Prix_cout]],"")</f>
        <v>0</v>
      </c>
      <c r="AD161" s="83">
        <f>IFERROR(RAPPORT_FINAL[[#This Row],[ECART.Total_vente]]/RAPPORT_FINAL[[#This Row],[ECART.Quantite]],0)</f>
        <v>0</v>
      </c>
      <c r="AE161" s="92">
        <f>IFERROR(RAPPORT_FINAL[[#This Row],[ECART.Quantite]]*RAPPORT_FINAL[[#This Row],[INVENTAIRE.Prix_vente]],"")</f>
        <v>0</v>
      </c>
    </row>
    <row r="162" spans="1:31" hidden="1" x14ac:dyDescent="0.25">
      <c r="A162" s="83" t="s">
        <v>30</v>
      </c>
      <c r="B162" s="3" t="s">
        <v>76</v>
      </c>
      <c r="C162" s="80" t="s">
        <v>283</v>
      </c>
      <c r="D162" s="3" t="s">
        <v>155</v>
      </c>
      <c r="E162" s="31" t="s">
        <v>97</v>
      </c>
      <c r="F162" s="85" cm="1">
        <f t="array" ref="F16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19</v>
      </c>
      <c r="G162" s="80" cm="1">
        <f t="array" ref="G16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333.33</v>
      </c>
      <c r="H162" s="80">
        <f>IF(RAPPORT_FINAL[[#This Row],[INVENTAIRE_PREC.Prix_vente]]="","",RAPPORT_FINAL[[#This Row],[INVENTAIRE_PREC.Quantite]]*RAPPORT_FINAL[[#This Row],[INVENTAIRE_PREC.Prix_cout]])</f>
        <v>6333.2699999999995</v>
      </c>
      <c r="I162" s="83" cm="1">
        <f t="array" ref="I16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162" s="88">
        <f>IF(RAPPORT_FINAL[[#This Row],[INVENTAIRE_PREC.Prix_vente]]="","",RAPPORT_FINAL[[#This Row],[INVENTAIRE_PREC.Quantite]]*RAPPORT_FINAL[[#This Row],[INVENTAIRE_PREC.Prix_vente]])</f>
        <v>15200</v>
      </c>
      <c r="K162" s="24"/>
      <c r="L162" s="11"/>
      <c r="M162" s="25"/>
      <c r="N162" s="24">
        <v>12</v>
      </c>
      <c r="O162" s="11">
        <v>800</v>
      </c>
      <c r="P162" s="25">
        <v>9600</v>
      </c>
      <c r="Q162" s="85">
        <v>6</v>
      </c>
      <c r="R162" s="80" cm="1">
        <f t="array" ref="R16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333.33</v>
      </c>
      <c r="S162" s="80">
        <f>RAPPORT_FINAL[[#This Row],[INVENTAIRE.Quantite]]*RAPPORT_FINAL[[#This Row],[INVENTAIRE.Prix_cout]]</f>
        <v>1999.98</v>
      </c>
      <c r="T162" s="83" cm="1">
        <f t="array" ref="T16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162" s="88">
        <f>IF(OR(RAPPORT_FINAL[[#This Row],[INVENTAIRE.Quantite]]="",RAPPORT_FINAL[[#This Row],[INVENTAIRE.Prix_vente]]=""),"",RAPPORT_FINAL[[#This Row],[INVENTAIRE.Quantite]]*RAPPORT_FINAL[[#This Row],[INVENTAIRE.Prix_vente]])</f>
        <v>4800</v>
      </c>
      <c r="V16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</v>
      </c>
      <c r="W162" s="24">
        <f>RAPPORT_FINAL[[#This Row],[INVENTAIRE.Prix_cout]]</f>
        <v>333.33</v>
      </c>
      <c r="X162" s="85">
        <f>RAPPORT_FINAL[[#This Row],[INVENTAIRE_THEORIQUE]]*RAPPORT_FINAL[[#This Row],[INVENTAIRE_THEORIQUE.Prix_cout]]</f>
        <v>2333.31</v>
      </c>
      <c r="Y162" s="85">
        <f>RAPPORT_FINAL[[#This Row],[INVENTAIRE.Prix_vente]]</f>
        <v>800</v>
      </c>
      <c r="Z162" s="85">
        <f>RAPPORT_FINAL[[#This Row],[INVENTAIRE_THEORIQUE]]*RAPPORT_FINAL[[#This Row],[INVENTAIRE_THEORIQUE.Prix_vente]]</f>
        <v>5600</v>
      </c>
      <c r="AA162" s="85">
        <f>RAPPORT_FINAL[[#This Row],[INVENTAIRE.Quantite]]-RAPPORT_FINAL[[#This Row],[INVENTAIRE_THEORIQUE]]</f>
        <v>-1</v>
      </c>
      <c r="AB162" s="90">
        <f>IFERROR(RAPPORT_FINAL[[#This Row],[ECART.Total_cout]]/RAPPORT_FINAL[[#This Row],[ECART.Quantite]],0)</f>
        <v>333.33</v>
      </c>
      <c r="AC162" s="91">
        <f>IFERROR(RAPPORT_FINAL[[#This Row],[ECART.Quantite]]*RAPPORT_FINAL[[#This Row],[INVENTAIRE.Prix_cout]],"")</f>
        <v>-333.33</v>
      </c>
      <c r="AD162" s="83">
        <f>IFERROR(RAPPORT_FINAL[[#This Row],[ECART.Total_vente]]/RAPPORT_FINAL[[#This Row],[ECART.Quantite]],0)</f>
        <v>800</v>
      </c>
      <c r="AE162" s="92">
        <f>IFERROR(RAPPORT_FINAL[[#This Row],[ECART.Quantite]]*RAPPORT_FINAL[[#This Row],[INVENTAIRE.Prix_vente]],"")</f>
        <v>-800</v>
      </c>
    </row>
    <row r="163" spans="1:31" x14ac:dyDescent="0.25">
      <c r="A163" s="83" t="s">
        <v>30</v>
      </c>
      <c r="B163" s="3" t="s">
        <v>76</v>
      </c>
      <c r="C163" s="80" t="s">
        <v>283</v>
      </c>
      <c r="D163" s="3" t="s">
        <v>48</v>
      </c>
      <c r="E163" s="31" t="s">
        <v>97</v>
      </c>
      <c r="F163" s="85" cm="1">
        <f t="array" ref="F16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</v>
      </c>
      <c r="G163" s="80" cm="1">
        <f t="array" ref="G16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291.67</v>
      </c>
      <c r="H163" s="80">
        <f>IF(RAPPORT_FINAL[[#This Row],[INVENTAIRE_PREC.Prix_vente]]="","",RAPPORT_FINAL[[#This Row],[INVENTAIRE_PREC.Quantite]]*RAPPORT_FINAL[[#This Row],[INVENTAIRE_PREC.Prix_cout]])</f>
        <v>1166.68</v>
      </c>
      <c r="I163" s="83" cm="1">
        <f t="array" ref="I16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163" s="88">
        <f>IF(RAPPORT_FINAL[[#This Row],[INVENTAIRE_PREC.Prix_vente]]="","",RAPPORT_FINAL[[#This Row],[INVENTAIRE_PREC.Quantite]]*RAPPORT_FINAL[[#This Row],[INVENTAIRE_PREC.Prix_vente]])</f>
        <v>3200</v>
      </c>
      <c r="K163" s="24"/>
      <c r="L163" s="11"/>
      <c r="M163" s="25"/>
      <c r="N163" s="24">
        <v>3</v>
      </c>
      <c r="O163" s="11">
        <v>800</v>
      </c>
      <c r="P163" s="25">
        <v>2400</v>
      </c>
      <c r="Q163" s="85">
        <v>0</v>
      </c>
      <c r="R163" s="80" cm="1">
        <f t="array" ref="R16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291.67</v>
      </c>
      <c r="S163" s="80">
        <f>RAPPORT_FINAL[[#This Row],[INVENTAIRE.Quantite]]*RAPPORT_FINAL[[#This Row],[INVENTAIRE.Prix_cout]]</f>
        <v>0</v>
      </c>
      <c r="T163" s="83" cm="1">
        <f t="array" ref="T16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163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6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163" s="24">
        <f>RAPPORT_FINAL[[#This Row],[INVENTAIRE.Prix_cout]]</f>
        <v>291.67</v>
      </c>
      <c r="X163" s="85">
        <f>RAPPORT_FINAL[[#This Row],[INVENTAIRE_THEORIQUE]]*RAPPORT_FINAL[[#This Row],[INVENTAIRE_THEORIQUE.Prix_cout]]</f>
        <v>291.67</v>
      </c>
      <c r="Y163" s="85">
        <f>RAPPORT_FINAL[[#This Row],[INVENTAIRE.Prix_vente]]</f>
        <v>800</v>
      </c>
      <c r="Z163" s="85">
        <f>RAPPORT_FINAL[[#This Row],[INVENTAIRE_THEORIQUE]]*RAPPORT_FINAL[[#This Row],[INVENTAIRE_THEORIQUE.Prix_vente]]</f>
        <v>800</v>
      </c>
      <c r="AA163" s="85">
        <f>RAPPORT_FINAL[[#This Row],[INVENTAIRE.Quantite]]-RAPPORT_FINAL[[#This Row],[INVENTAIRE_THEORIQUE]]</f>
        <v>-1</v>
      </c>
      <c r="AB163" s="90">
        <f>IFERROR(RAPPORT_FINAL[[#This Row],[ECART.Total_cout]]/RAPPORT_FINAL[[#This Row],[ECART.Quantite]],0)</f>
        <v>291.67</v>
      </c>
      <c r="AC163" s="91">
        <f>IFERROR(RAPPORT_FINAL[[#This Row],[ECART.Quantite]]*RAPPORT_FINAL[[#This Row],[INVENTAIRE.Prix_cout]],"")</f>
        <v>-291.67</v>
      </c>
      <c r="AD163" s="83">
        <f>IFERROR(RAPPORT_FINAL[[#This Row],[ECART.Total_vente]]/RAPPORT_FINAL[[#This Row],[ECART.Quantite]],0)</f>
        <v>800</v>
      </c>
      <c r="AE163" s="92">
        <f>IFERROR(RAPPORT_FINAL[[#This Row],[ECART.Quantite]]*RAPPORT_FINAL[[#This Row],[INVENTAIRE.Prix_vente]],"")</f>
        <v>-800</v>
      </c>
    </row>
    <row r="164" spans="1:31" hidden="1" x14ac:dyDescent="0.25">
      <c r="A164" s="83" t="s">
        <v>30</v>
      </c>
      <c r="B164" s="3" t="s">
        <v>76</v>
      </c>
      <c r="C164" s="80" t="s">
        <v>283</v>
      </c>
      <c r="D164" s="3" t="s">
        <v>49</v>
      </c>
      <c r="E164" s="31" t="s">
        <v>97</v>
      </c>
      <c r="F164" s="85" cm="1">
        <f t="array" ref="F16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164" s="80" cm="1">
        <f t="array" ref="G16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291.67</v>
      </c>
      <c r="H164" s="80">
        <f>IF(RAPPORT_FINAL[[#This Row],[INVENTAIRE_PREC.Prix_vente]]="","",RAPPORT_FINAL[[#This Row],[INVENTAIRE_PREC.Quantite]]*RAPPORT_FINAL[[#This Row],[INVENTAIRE_PREC.Prix_cout]])</f>
        <v>583.34</v>
      </c>
      <c r="I164" s="83" cm="1">
        <f t="array" ref="I16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164" s="88">
        <f>IF(RAPPORT_FINAL[[#This Row],[INVENTAIRE_PREC.Prix_vente]]="","",RAPPORT_FINAL[[#This Row],[INVENTAIRE_PREC.Quantite]]*RAPPORT_FINAL[[#This Row],[INVENTAIRE_PREC.Prix_vente]])</f>
        <v>1600</v>
      </c>
      <c r="K164" s="24"/>
      <c r="L164" s="11"/>
      <c r="M164" s="25"/>
      <c r="N164" s="24"/>
      <c r="O164" s="11"/>
      <c r="P164" s="25"/>
      <c r="Q164" s="85">
        <v>2</v>
      </c>
      <c r="R164" s="80" cm="1">
        <f t="array" ref="R16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291.67</v>
      </c>
      <c r="S164" s="80">
        <f>RAPPORT_FINAL[[#This Row],[INVENTAIRE.Quantite]]*RAPPORT_FINAL[[#This Row],[INVENTAIRE.Prix_cout]]</f>
        <v>583.34</v>
      </c>
      <c r="T164" s="83" cm="1">
        <f t="array" ref="T16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164" s="88">
        <f>IF(OR(RAPPORT_FINAL[[#This Row],[INVENTAIRE.Quantite]]="",RAPPORT_FINAL[[#This Row],[INVENTAIRE.Prix_vente]]=""),"",RAPPORT_FINAL[[#This Row],[INVENTAIRE.Quantite]]*RAPPORT_FINAL[[#This Row],[INVENTAIRE.Prix_vente]])</f>
        <v>1600</v>
      </c>
      <c r="V16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164" s="24">
        <f>RAPPORT_FINAL[[#This Row],[INVENTAIRE.Prix_cout]]</f>
        <v>291.67</v>
      </c>
      <c r="X164" s="85">
        <f>RAPPORT_FINAL[[#This Row],[INVENTAIRE_THEORIQUE]]*RAPPORT_FINAL[[#This Row],[INVENTAIRE_THEORIQUE.Prix_cout]]</f>
        <v>583.34</v>
      </c>
      <c r="Y164" s="85">
        <f>RAPPORT_FINAL[[#This Row],[INVENTAIRE.Prix_vente]]</f>
        <v>800</v>
      </c>
      <c r="Z164" s="85">
        <f>RAPPORT_FINAL[[#This Row],[INVENTAIRE_THEORIQUE]]*RAPPORT_FINAL[[#This Row],[INVENTAIRE_THEORIQUE.Prix_vente]]</f>
        <v>1600</v>
      </c>
      <c r="AA164" s="85">
        <f>RAPPORT_FINAL[[#This Row],[INVENTAIRE.Quantite]]-RAPPORT_FINAL[[#This Row],[INVENTAIRE_THEORIQUE]]</f>
        <v>0</v>
      </c>
      <c r="AB164" s="90">
        <f>IFERROR(RAPPORT_FINAL[[#This Row],[ECART.Total_cout]]/RAPPORT_FINAL[[#This Row],[ECART.Quantite]],0)</f>
        <v>0</v>
      </c>
      <c r="AC164" s="91">
        <f>IFERROR(RAPPORT_FINAL[[#This Row],[ECART.Quantite]]*RAPPORT_FINAL[[#This Row],[INVENTAIRE.Prix_cout]],"")</f>
        <v>0</v>
      </c>
      <c r="AD164" s="83">
        <f>IFERROR(RAPPORT_FINAL[[#This Row],[ECART.Total_vente]]/RAPPORT_FINAL[[#This Row],[ECART.Quantite]],0)</f>
        <v>0</v>
      </c>
      <c r="AE164" s="92">
        <f>IFERROR(RAPPORT_FINAL[[#This Row],[ECART.Quantite]]*RAPPORT_FINAL[[#This Row],[INVENTAIRE.Prix_vente]],"")</f>
        <v>0</v>
      </c>
    </row>
    <row r="165" spans="1:31" x14ac:dyDescent="0.25">
      <c r="A165" s="83" t="s">
        <v>30</v>
      </c>
      <c r="B165" s="3" t="s">
        <v>76</v>
      </c>
      <c r="C165" s="80" t="s">
        <v>283</v>
      </c>
      <c r="D165" s="3" t="s">
        <v>52</v>
      </c>
      <c r="E165" s="31" t="s">
        <v>97</v>
      </c>
      <c r="F165" s="85" cm="1">
        <f t="array" ref="F16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165" s="80" cm="1">
        <f t="array" ref="G16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416.67</v>
      </c>
      <c r="H165" s="80">
        <f>IF(RAPPORT_FINAL[[#This Row],[INVENTAIRE_PREC.Prix_vente]]="","",RAPPORT_FINAL[[#This Row],[INVENTAIRE_PREC.Quantite]]*RAPPORT_FINAL[[#This Row],[INVENTAIRE_PREC.Prix_cout]])</f>
        <v>833.34</v>
      </c>
      <c r="I165" s="83" cm="1">
        <f t="array" ref="I16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165" s="88">
        <f>IF(RAPPORT_FINAL[[#This Row],[INVENTAIRE_PREC.Prix_vente]]="","",RAPPORT_FINAL[[#This Row],[INVENTAIRE_PREC.Quantite]]*RAPPORT_FINAL[[#This Row],[INVENTAIRE_PREC.Prix_vente]])</f>
        <v>1600</v>
      </c>
      <c r="K165" s="24"/>
      <c r="L165" s="11"/>
      <c r="M165" s="25"/>
      <c r="N165" s="24">
        <v>2</v>
      </c>
      <c r="O165" s="11">
        <v>800</v>
      </c>
      <c r="P165" s="25">
        <v>1600</v>
      </c>
      <c r="Q165" s="85">
        <v>0</v>
      </c>
      <c r="R165" s="80" cm="1">
        <f t="array" ref="R16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416.67</v>
      </c>
      <c r="S165" s="80">
        <f>RAPPORT_FINAL[[#This Row],[INVENTAIRE.Quantite]]*RAPPORT_FINAL[[#This Row],[INVENTAIRE.Prix_cout]]</f>
        <v>0</v>
      </c>
      <c r="T165" s="83" cm="1">
        <f t="array" ref="T16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165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6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165" s="24">
        <f>RAPPORT_FINAL[[#This Row],[INVENTAIRE.Prix_cout]]</f>
        <v>416.67</v>
      </c>
      <c r="X165" s="85">
        <f>RAPPORT_FINAL[[#This Row],[INVENTAIRE_THEORIQUE]]*RAPPORT_FINAL[[#This Row],[INVENTAIRE_THEORIQUE.Prix_cout]]</f>
        <v>0</v>
      </c>
      <c r="Y165" s="85">
        <f>RAPPORT_FINAL[[#This Row],[INVENTAIRE.Prix_vente]]</f>
        <v>800</v>
      </c>
      <c r="Z165" s="85">
        <f>RAPPORT_FINAL[[#This Row],[INVENTAIRE_THEORIQUE]]*RAPPORT_FINAL[[#This Row],[INVENTAIRE_THEORIQUE.Prix_vente]]</f>
        <v>0</v>
      </c>
      <c r="AA165" s="85">
        <f>RAPPORT_FINAL[[#This Row],[INVENTAIRE.Quantite]]-RAPPORT_FINAL[[#This Row],[INVENTAIRE_THEORIQUE]]</f>
        <v>0</v>
      </c>
      <c r="AB165" s="90">
        <f>IFERROR(RAPPORT_FINAL[[#This Row],[ECART.Total_cout]]/RAPPORT_FINAL[[#This Row],[ECART.Quantite]],0)</f>
        <v>0</v>
      </c>
      <c r="AC165" s="91">
        <f>IFERROR(RAPPORT_FINAL[[#This Row],[ECART.Quantite]]*RAPPORT_FINAL[[#This Row],[INVENTAIRE.Prix_cout]],"")</f>
        <v>0</v>
      </c>
      <c r="AD165" s="83">
        <f>IFERROR(RAPPORT_FINAL[[#This Row],[ECART.Total_vente]]/RAPPORT_FINAL[[#This Row],[ECART.Quantite]],0)</f>
        <v>0</v>
      </c>
      <c r="AE165" s="92">
        <f>IFERROR(RAPPORT_FINAL[[#This Row],[ECART.Quantite]]*RAPPORT_FINAL[[#This Row],[INVENTAIRE.Prix_vente]],"")</f>
        <v>0</v>
      </c>
    </row>
    <row r="166" spans="1:31" hidden="1" x14ac:dyDescent="0.25">
      <c r="A166" s="83" t="s">
        <v>30</v>
      </c>
      <c r="B166" s="3" t="s">
        <v>76</v>
      </c>
      <c r="C166" s="80" t="s">
        <v>283</v>
      </c>
      <c r="D166" s="3" t="s">
        <v>49</v>
      </c>
      <c r="E166" s="31" t="s">
        <v>97</v>
      </c>
      <c r="F166" s="85" cm="1">
        <f t="array" ref="F16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166" s="80" cm="1">
        <f t="array" ref="G16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291.67</v>
      </c>
      <c r="H166" s="80">
        <f>IF(RAPPORT_FINAL[[#This Row],[INVENTAIRE_PREC.Prix_vente]]="","",RAPPORT_FINAL[[#This Row],[INVENTAIRE_PREC.Quantite]]*RAPPORT_FINAL[[#This Row],[INVENTAIRE_PREC.Prix_cout]])</f>
        <v>583.34</v>
      </c>
      <c r="I166" s="83" cm="1">
        <f t="array" ref="I16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166" s="88">
        <f>IF(RAPPORT_FINAL[[#This Row],[INVENTAIRE_PREC.Prix_vente]]="","",RAPPORT_FINAL[[#This Row],[INVENTAIRE_PREC.Quantite]]*RAPPORT_FINAL[[#This Row],[INVENTAIRE_PREC.Prix_vente]])</f>
        <v>1600</v>
      </c>
      <c r="K166" s="24"/>
      <c r="L166" s="11"/>
      <c r="M166" s="25"/>
      <c r="N166" s="24"/>
      <c r="O166" s="11"/>
      <c r="P166" s="25"/>
      <c r="Q166" s="85">
        <v>2</v>
      </c>
      <c r="R166" s="80" cm="1">
        <f t="array" ref="R16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291.67</v>
      </c>
      <c r="S166" s="80">
        <f>RAPPORT_FINAL[[#This Row],[INVENTAIRE.Quantite]]*RAPPORT_FINAL[[#This Row],[INVENTAIRE.Prix_cout]]</f>
        <v>583.34</v>
      </c>
      <c r="T166" s="83" cm="1">
        <f t="array" ref="T16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166" s="88">
        <f>IF(OR(RAPPORT_FINAL[[#This Row],[INVENTAIRE.Quantite]]="",RAPPORT_FINAL[[#This Row],[INVENTAIRE.Prix_vente]]=""),"",RAPPORT_FINAL[[#This Row],[INVENTAIRE.Quantite]]*RAPPORT_FINAL[[#This Row],[INVENTAIRE.Prix_vente]])</f>
        <v>1600</v>
      </c>
      <c r="V16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166" s="24">
        <f>RAPPORT_FINAL[[#This Row],[INVENTAIRE.Prix_cout]]</f>
        <v>291.67</v>
      </c>
      <c r="X166" s="85">
        <f>RAPPORT_FINAL[[#This Row],[INVENTAIRE_THEORIQUE]]*RAPPORT_FINAL[[#This Row],[INVENTAIRE_THEORIQUE.Prix_cout]]</f>
        <v>583.34</v>
      </c>
      <c r="Y166" s="85">
        <f>RAPPORT_FINAL[[#This Row],[INVENTAIRE.Prix_vente]]</f>
        <v>800</v>
      </c>
      <c r="Z166" s="85">
        <f>RAPPORT_FINAL[[#This Row],[INVENTAIRE_THEORIQUE]]*RAPPORT_FINAL[[#This Row],[INVENTAIRE_THEORIQUE.Prix_vente]]</f>
        <v>1600</v>
      </c>
      <c r="AA166" s="85">
        <f>RAPPORT_FINAL[[#This Row],[INVENTAIRE.Quantite]]-RAPPORT_FINAL[[#This Row],[INVENTAIRE_THEORIQUE]]</f>
        <v>0</v>
      </c>
      <c r="AB166" s="90">
        <f>IFERROR(RAPPORT_FINAL[[#This Row],[ECART.Total_cout]]/RAPPORT_FINAL[[#This Row],[ECART.Quantite]],0)</f>
        <v>0</v>
      </c>
      <c r="AC166" s="91">
        <f>IFERROR(RAPPORT_FINAL[[#This Row],[ECART.Quantite]]*RAPPORT_FINAL[[#This Row],[INVENTAIRE.Prix_cout]],"")</f>
        <v>0</v>
      </c>
      <c r="AD166" s="83">
        <f>IFERROR(RAPPORT_FINAL[[#This Row],[ECART.Total_vente]]/RAPPORT_FINAL[[#This Row],[ECART.Quantite]],0)</f>
        <v>0</v>
      </c>
      <c r="AE166" s="92">
        <f>IFERROR(RAPPORT_FINAL[[#This Row],[ECART.Quantite]]*RAPPORT_FINAL[[#This Row],[INVENTAIRE.Prix_vente]],"")</f>
        <v>0</v>
      </c>
    </row>
    <row r="167" spans="1:31" hidden="1" x14ac:dyDescent="0.25">
      <c r="A167" s="83" t="s">
        <v>30</v>
      </c>
      <c r="B167" s="3" t="s">
        <v>76</v>
      </c>
      <c r="C167" s="80" t="s">
        <v>283</v>
      </c>
      <c r="D167" s="3" t="s">
        <v>155</v>
      </c>
      <c r="E167" s="31" t="s">
        <v>97</v>
      </c>
      <c r="F167" s="85" cm="1">
        <f t="array" ref="F16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19</v>
      </c>
      <c r="G167" s="80" cm="1">
        <f t="array" ref="G16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333.33</v>
      </c>
      <c r="H167" s="80">
        <f>IF(RAPPORT_FINAL[[#This Row],[INVENTAIRE_PREC.Prix_vente]]="","",RAPPORT_FINAL[[#This Row],[INVENTAIRE_PREC.Quantite]]*RAPPORT_FINAL[[#This Row],[INVENTAIRE_PREC.Prix_cout]])</f>
        <v>6333.2699999999995</v>
      </c>
      <c r="I167" s="83" cm="1">
        <f t="array" ref="I16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800</v>
      </c>
      <c r="J167" s="88">
        <f>IF(RAPPORT_FINAL[[#This Row],[INVENTAIRE_PREC.Prix_vente]]="","",RAPPORT_FINAL[[#This Row],[INVENTAIRE_PREC.Quantite]]*RAPPORT_FINAL[[#This Row],[INVENTAIRE_PREC.Prix_vente]])</f>
        <v>15200</v>
      </c>
      <c r="K167" s="24"/>
      <c r="L167" s="11"/>
      <c r="M167" s="25"/>
      <c r="N167" s="24">
        <v>12</v>
      </c>
      <c r="O167" s="11">
        <v>800</v>
      </c>
      <c r="P167" s="25">
        <v>9600</v>
      </c>
      <c r="Q167" s="85">
        <v>6</v>
      </c>
      <c r="R167" s="80" cm="1">
        <f t="array" ref="R16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333.33</v>
      </c>
      <c r="S167" s="80">
        <f>RAPPORT_FINAL[[#This Row],[INVENTAIRE.Quantite]]*RAPPORT_FINAL[[#This Row],[INVENTAIRE.Prix_cout]]</f>
        <v>1999.98</v>
      </c>
      <c r="T167" s="83" cm="1">
        <f t="array" ref="T16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167" s="88">
        <f>IF(OR(RAPPORT_FINAL[[#This Row],[INVENTAIRE.Quantite]]="",RAPPORT_FINAL[[#This Row],[INVENTAIRE.Prix_vente]]=""),"",RAPPORT_FINAL[[#This Row],[INVENTAIRE.Quantite]]*RAPPORT_FINAL[[#This Row],[INVENTAIRE.Prix_vente]])</f>
        <v>4800</v>
      </c>
      <c r="V16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</v>
      </c>
      <c r="W167" s="24">
        <f>RAPPORT_FINAL[[#This Row],[INVENTAIRE.Prix_cout]]</f>
        <v>333.33</v>
      </c>
      <c r="X167" s="85">
        <f>RAPPORT_FINAL[[#This Row],[INVENTAIRE_THEORIQUE]]*RAPPORT_FINAL[[#This Row],[INVENTAIRE_THEORIQUE.Prix_cout]]</f>
        <v>2333.31</v>
      </c>
      <c r="Y167" s="85">
        <f>RAPPORT_FINAL[[#This Row],[INVENTAIRE.Prix_vente]]</f>
        <v>800</v>
      </c>
      <c r="Z167" s="85">
        <f>RAPPORT_FINAL[[#This Row],[INVENTAIRE_THEORIQUE]]*RAPPORT_FINAL[[#This Row],[INVENTAIRE_THEORIQUE.Prix_vente]]</f>
        <v>5600</v>
      </c>
      <c r="AA167" s="85">
        <f>RAPPORT_FINAL[[#This Row],[INVENTAIRE.Quantite]]-RAPPORT_FINAL[[#This Row],[INVENTAIRE_THEORIQUE]]</f>
        <v>-1</v>
      </c>
      <c r="AB167" s="90">
        <f>IFERROR(RAPPORT_FINAL[[#This Row],[ECART.Total_cout]]/RAPPORT_FINAL[[#This Row],[ECART.Quantite]],0)</f>
        <v>333.33</v>
      </c>
      <c r="AC167" s="91">
        <f>IFERROR(RAPPORT_FINAL[[#This Row],[ECART.Quantite]]*RAPPORT_FINAL[[#This Row],[INVENTAIRE.Prix_cout]],"")</f>
        <v>-333.33</v>
      </c>
      <c r="AD167" s="83">
        <f>IFERROR(RAPPORT_FINAL[[#This Row],[ECART.Total_vente]]/RAPPORT_FINAL[[#This Row],[ECART.Quantite]],0)</f>
        <v>800</v>
      </c>
      <c r="AE167" s="92">
        <f>IFERROR(RAPPORT_FINAL[[#This Row],[ECART.Quantite]]*RAPPORT_FINAL[[#This Row],[INVENTAIRE.Prix_vente]],"")</f>
        <v>-800</v>
      </c>
    </row>
    <row r="168" spans="1:31" hidden="1" x14ac:dyDescent="0.25">
      <c r="A168" s="83" t="s">
        <v>30</v>
      </c>
      <c r="B168" s="3" t="s">
        <v>76</v>
      </c>
      <c r="C168" s="80" t="s">
        <v>283</v>
      </c>
      <c r="D168" s="3" t="s">
        <v>46</v>
      </c>
      <c r="E168" s="31" t="s">
        <v>97</v>
      </c>
      <c r="F168" s="85" cm="1">
        <f t="array" ref="F16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18</v>
      </c>
      <c r="G168" s="80" cm="1">
        <f t="array" ref="G16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800</v>
      </c>
      <c r="H168" s="80">
        <f>IF(RAPPORT_FINAL[[#This Row],[INVENTAIRE_PREC.Prix_vente]]="","",RAPPORT_FINAL[[#This Row],[INVENTAIRE_PREC.Quantite]]*RAPPORT_FINAL[[#This Row],[INVENTAIRE_PREC.Prix_cout]])</f>
        <v>14400</v>
      </c>
      <c r="I168" s="83" cm="1">
        <f t="array" ref="I16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1000</v>
      </c>
      <c r="J168" s="88">
        <f>IF(RAPPORT_FINAL[[#This Row],[INVENTAIRE_PREC.Prix_vente]]="","",RAPPORT_FINAL[[#This Row],[INVENTAIRE_PREC.Quantite]]*RAPPORT_FINAL[[#This Row],[INVENTAIRE_PREC.Prix_vente]])</f>
        <v>18000</v>
      </c>
      <c r="K168" s="24"/>
      <c r="L168" s="11"/>
      <c r="M168" s="25"/>
      <c r="N168" s="24">
        <v>4</v>
      </c>
      <c r="O168" s="11">
        <v>1000</v>
      </c>
      <c r="P168" s="25">
        <v>4000</v>
      </c>
      <c r="Q168" s="85">
        <v>13</v>
      </c>
      <c r="R168" s="80" cm="1">
        <f t="array" ref="R16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800</v>
      </c>
      <c r="S168" s="80">
        <f>RAPPORT_FINAL[[#This Row],[INVENTAIRE.Quantite]]*RAPPORT_FINAL[[#This Row],[INVENTAIRE.Prix_cout]]</f>
        <v>10400</v>
      </c>
      <c r="T168" s="83" cm="1">
        <f t="array" ref="T16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168" s="88">
        <f>IF(OR(RAPPORT_FINAL[[#This Row],[INVENTAIRE.Quantite]]="",RAPPORT_FINAL[[#This Row],[INVENTAIRE.Prix_vente]]=""),"",RAPPORT_FINAL[[#This Row],[INVENTAIRE.Quantite]]*RAPPORT_FINAL[[#This Row],[INVENTAIRE.Prix_vente]])</f>
        <v>13000</v>
      </c>
      <c r="V16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14</v>
      </c>
      <c r="W168" s="24">
        <f>RAPPORT_FINAL[[#This Row],[INVENTAIRE.Prix_cout]]</f>
        <v>800</v>
      </c>
      <c r="X168" s="85">
        <f>RAPPORT_FINAL[[#This Row],[INVENTAIRE_THEORIQUE]]*RAPPORT_FINAL[[#This Row],[INVENTAIRE_THEORIQUE.Prix_cout]]</f>
        <v>11200</v>
      </c>
      <c r="Y168" s="85">
        <f>RAPPORT_FINAL[[#This Row],[INVENTAIRE.Prix_vente]]</f>
        <v>1000</v>
      </c>
      <c r="Z168" s="85">
        <f>RAPPORT_FINAL[[#This Row],[INVENTAIRE_THEORIQUE]]*RAPPORT_FINAL[[#This Row],[INVENTAIRE_THEORIQUE.Prix_vente]]</f>
        <v>14000</v>
      </c>
      <c r="AA168" s="85">
        <f>RAPPORT_FINAL[[#This Row],[INVENTAIRE.Quantite]]-RAPPORT_FINAL[[#This Row],[INVENTAIRE_THEORIQUE]]</f>
        <v>-1</v>
      </c>
      <c r="AB168" s="90">
        <f>IFERROR(RAPPORT_FINAL[[#This Row],[ECART.Total_cout]]/RAPPORT_FINAL[[#This Row],[ECART.Quantite]],0)</f>
        <v>800</v>
      </c>
      <c r="AC168" s="91">
        <f>IFERROR(RAPPORT_FINAL[[#This Row],[ECART.Quantite]]*RAPPORT_FINAL[[#This Row],[INVENTAIRE.Prix_cout]],"")</f>
        <v>-800</v>
      </c>
      <c r="AD168" s="83">
        <f>IFERROR(RAPPORT_FINAL[[#This Row],[ECART.Total_vente]]/RAPPORT_FINAL[[#This Row],[ECART.Quantite]],0)</f>
        <v>1000</v>
      </c>
      <c r="AE168" s="92">
        <f>IFERROR(RAPPORT_FINAL[[#This Row],[ECART.Quantite]]*RAPPORT_FINAL[[#This Row],[INVENTAIRE.Prix_vente]],"")</f>
        <v>-1000</v>
      </c>
    </row>
    <row r="169" spans="1:31" hidden="1" x14ac:dyDescent="0.25">
      <c r="A169" s="83" t="s">
        <v>30</v>
      </c>
      <c r="B169" s="3" t="s">
        <v>149</v>
      </c>
      <c r="C169" s="80" t="s">
        <v>283</v>
      </c>
      <c r="D169" s="3" t="s">
        <v>148</v>
      </c>
      <c r="E169" s="31" t="s">
        <v>150</v>
      </c>
      <c r="F169" s="85" cm="1">
        <f t="array" ref="F16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11</v>
      </c>
      <c r="G169" s="80" cm="1">
        <f t="array" ref="G16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80</v>
      </c>
      <c r="H169" s="80">
        <f>IF(RAPPORT_FINAL[[#This Row],[INVENTAIRE_PREC.Prix_vente]]="","",RAPPORT_FINAL[[#This Row],[INVENTAIRE_PREC.Quantite]]*RAPPORT_FINAL[[#This Row],[INVENTAIRE_PREC.Prix_cout]])</f>
        <v>880</v>
      </c>
      <c r="I169" s="83" cm="1">
        <f t="array" ref="I16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500</v>
      </c>
      <c r="J169" s="88">
        <f>IF(RAPPORT_FINAL[[#This Row],[INVENTAIRE_PREC.Prix_vente]]="","",RAPPORT_FINAL[[#This Row],[INVENTAIRE_PREC.Quantite]]*RAPPORT_FINAL[[#This Row],[INVENTAIRE_PREC.Prix_vente]])</f>
        <v>5500</v>
      </c>
      <c r="K169" s="24"/>
      <c r="L169" s="11"/>
      <c r="M169" s="25"/>
      <c r="N169" s="24">
        <v>4</v>
      </c>
      <c r="O169" s="11">
        <v>500</v>
      </c>
      <c r="P169" s="25">
        <v>2000</v>
      </c>
      <c r="Q169" s="85">
        <v>7</v>
      </c>
      <c r="R169" s="80" cm="1">
        <f t="array" ref="R16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80</v>
      </c>
      <c r="S169" s="80">
        <f>RAPPORT_FINAL[[#This Row],[INVENTAIRE.Quantite]]*RAPPORT_FINAL[[#This Row],[INVENTAIRE.Prix_cout]]</f>
        <v>560</v>
      </c>
      <c r="T169" s="83" cm="1">
        <f t="array" ref="T16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169" s="88">
        <f>IF(OR(RAPPORT_FINAL[[#This Row],[INVENTAIRE.Quantite]]="",RAPPORT_FINAL[[#This Row],[INVENTAIRE.Prix_vente]]=""),"",RAPPORT_FINAL[[#This Row],[INVENTAIRE.Quantite]]*RAPPORT_FINAL[[#This Row],[INVENTAIRE.Prix_vente]])</f>
        <v>3500</v>
      </c>
      <c r="V16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</v>
      </c>
      <c r="W169" s="24">
        <f>RAPPORT_FINAL[[#This Row],[INVENTAIRE.Prix_cout]]</f>
        <v>80</v>
      </c>
      <c r="X169" s="85">
        <f>RAPPORT_FINAL[[#This Row],[INVENTAIRE_THEORIQUE]]*RAPPORT_FINAL[[#This Row],[INVENTAIRE_THEORIQUE.Prix_cout]]</f>
        <v>560</v>
      </c>
      <c r="Y169" s="85">
        <f>RAPPORT_FINAL[[#This Row],[INVENTAIRE.Prix_vente]]</f>
        <v>500</v>
      </c>
      <c r="Z169" s="85">
        <f>RAPPORT_FINAL[[#This Row],[INVENTAIRE_THEORIQUE]]*RAPPORT_FINAL[[#This Row],[INVENTAIRE_THEORIQUE.Prix_vente]]</f>
        <v>3500</v>
      </c>
      <c r="AA169" s="85">
        <f>RAPPORT_FINAL[[#This Row],[INVENTAIRE.Quantite]]-RAPPORT_FINAL[[#This Row],[INVENTAIRE_THEORIQUE]]</f>
        <v>0</v>
      </c>
      <c r="AB169" s="90">
        <f>IFERROR(RAPPORT_FINAL[[#This Row],[ECART.Total_cout]]/RAPPORT_FINAL[[#This Row],[ECART.Quantite]],0)</f>
        <v>0</v>
      </c>
      <c r="AC169" s="91">
        <f>IFERROR(RAPPORT_FINAL[[#This Row],[ECART.Quantite]]*RAPPORT_FINAL[[#This Row],[INVENTAIRE.Prix_cout]],"")</f>
        <v>0</v>
      </c>
      <c r="AD169" s="83">
        <f>IFERROR(RAPPORT_FINAL[[#This Row],[ECART.Total_vente]]/RAPPORT_FINAL[[#This Row],[ECART.Quantite]],0)</f>
        <v>0</v>
      </c>
      <c r="AE169" s="92">
        <f>IFERROR(RAPPORT_FINAL[[#This Row],[ECART.Quantite]]*RAPPORT_FINAL[[#This Row],[INVENTAIRE.Prix_vente]],"")</f>
        <v>0</v>
      </c>
    </row>
    <row r="170" spans="1:31" hidden="1" x14ac:dyDescent="0.25">
      <c r="A170" s="83" t="s">
        <v>30</v>
      </c>
      <c r="B170" s="3" t="s">
        <v>149</v>
      </c>
      <c r="C170" s="80" t="s">
        <v>283</v>
      </c>
      <c r="D170" s="3" t="s">
        <v>148</v>
      </c>
      <c r="E170" s="31" t="s">
        <v>150</v>
      </c>
      <c r="F170" s="85" cm="1">
        <f t="array" ref="F17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11</v>
      </c>
      <c r="G170" s="80" cm="1">
        <f t="array" ref="G17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80</v>
      </c>
      <c r="H170" s="80">
        <f>IF(RAPPORT_FINAL[[#This Row],[INVENTAIRE_PREC.Prix_vente]]="","",RAPPORT_FINAL[[#This Row],[INVENTAIRE_PREC.Quantite]]*RAPPORT_FINAL[[#This Row],[INVENTAIRE_PREC.Prix_cout]])</f>
        <v>880</v>
      </c>
      <c r="I170" s="83" cm="1">
        <f t="array" ref="I17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500</v>
      </c>
      <c r="J170" s="88">
        <f>IF(RAPPORT_FINAL[[#This Row],[INVENTAIRE_PREC.Prix_vente]]="","",RAPPORT_FINAL[[#This Row],[INVENTAIRE_PREC.Quantite]]*RAPPORT_FINAL[[#This Row],[INVENTAIRE_PREC.Prix_vente]])</f>
        <v>5500</v>
      </c>
      <c r="K170" s="24"/>
      <c r="L170" s="11"/>
      <c r="M170" s="25"/>
      <c r="N170" s="24">
        <v>4</v>
      </c>
      <c r="O170" s="11">
        <v>500</v>
      </c>
      <c r="P170" s="25">
        <v>2000</v>
      </c>
      <c r="Q170" s="85">
        <v>7</v>
      </c>
      <c r="R170" s="80" cm="1">
        <f t="array" ref="R17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80</v>
      </c>
      <c r="S170" s="80">
        <f>RAPPORT_FINAL[[#This Row],[INVENTAIRE.Quantite]]*RAPPORT_FINAL[[#This Row],[INVENTAIRE.Prix_cout]]</f>
        <v>560</v>
      </c>
      <c r="T170" s="83" cm="1">
        <f t="array" ref="T17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170" s="88">
        <f>IF(OR(RAPPORT_FINAL[[#This Row],[INVENTAIRE.Quantite]]="",RAPPORT_FINAL[[#This Row],[INVENTAIRE.Prix_vente]]=""),"",RAPPORT_FINAL[[#This Row],[INVENTAIRE.Quantite]]*RAPPORT_FINAL[[#This Row],[INVENTAIRE.Prix_vente]])</f>
        <v>3500</v>
      </c>
      <c r="V17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</v>
      </c>
      <c r="W170" s="24">
        <f>RAPPORT_FINAL[[#This Row],[INVENTAIRE.Prix_cout]]</f>
        <v>80</v>
      </c>
      <c r="X170" s="85">
        <f>RAPPORT_FINAL[[#This Row],[INVENTAIRE_THEORIQUE]]*RAPPORT_FINAL[[#This Row],[INVENTAIRE_THEORIQUE.Prix_cout]]</f>
        <v>560</v>
      </c>
      <c r="Y170" s="85">
        <f>RAPPORT_FINAL[[#This Row],[INVENTAIRE.Prix_vente]]</f>
        <v>500</v>
      </c>
      <c r="Z170" s="85">
        <f>RAPPORT_FINAL[[#This Row],[INVENTAIRE_THEORIQUE]]*RAPPORT_FINAL[[#This Row],[INVENTAIRE_THEORIQUE.Prix_vente]]</f>
        <v>3500</v>
      </c>
      <c r="AA170" s="85">
        <f>RAPPORT_FINAL[[#This Row],[INVENTAIRE.Quantite]]-RAPPORT_FINAL[[#This Row],[INVENTAIRE_THEORIQUE]]</f>
        <v>0</v>
      </c>
      <c r="AB170" s="90">
        <f>IFERROR(RAPPORT_FINAL[[#This Row],[ECART.Total_cout]]/RAPPORT_FINAL[[#This Row],[ECART.Quantite]],0)</f>
        <v>0</v>
      </c>
      <c r="AC170" s="91">
        <f>IFERROR(RAPPORT_FINAL[[#This Row],[ECART.Quantite]]*RAPPORT_FINAL[[#This Row],[INVENTAIRE.Prix_cout]],"")</f>
        <v>0</v>
      </c>
      <c r="AD170" s="83">
        <f>IFERROR(RAPPORT_FINAL[[#This Row],[ECART.Total_vente]]/RAPPORT_FINAL[[#This Row],[ECART.Quantite]],0)</f>
        <v>0</v>
      </c>
      <c r="AE170" s="92">
        <f>IFERROR(RAPPORT_FINAL[[#This Row],[ECART.Quantite]]*RAPPORT_FINAL[[#This Row],[INVENTAIRE.Prix_vente]],"")</f>
        <v>0</v>
      </c>
    </row>
    <row r="171" spans="1:31" hidden="1" x14ac:dyDescent="0.25">
      <c r="A171" s="83" t="s">
        <v>30</v>
      </c>
      <c r="B171" s="3" t="s">
        <v>71</v>
      </c>
      <c r="C171" s="80" t="s">
        <v>284</v>
      </c>
      <c r="D171" s="3" t="s">
        <v>12</v>
      </c>
      <c r="E171" s="31" t="s">
        <v>108</v>
      </c>
      <c r="F171" s="85" cm="1">
        <f t="array" ref="F17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71" s="80" cm="1">
        <f t="array" ref="G17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171" s="80">
        <f>IF(RAPPORT_FINAL[[#This Row],[INVENTAIRE_PREC.Prix_vente]]="","",RAPPORT_FINAL[[#This Row],[INVENTAIRE_PREC.Quantite]]*RAPPORT_FINAL[[#This Row],[INVENTAIRE_PREC.Prix_cout]])</f>
        <v>0</v>
      </c>
      <c r="I171" s="83" cm="1">
        <f t="array" ref="I17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171" s="88">
        <f>IF(RAPPORT_FINAL[[#This Row],[INVENTAIRE_PREC.Prix_vente]]="","",RAPPORT_FINAL[[#This Row],[INVENTAIRE_PREC.Quantite]]*RAPPORT_FINAL[[#This Row],[INVENTAIRE_PREC.Prix_vente]])</f>
        <v>0</v>
      </c>
      <c r="K171" s="24">
        <v>7685</v>
      </c>
      <c r="L171" s="11">
        <v>1.3012361743656473</v>
      </c>
      <c r="M171" s="25">
        <v>10000</v>
      </c>
      <c r="N171" s="24">
        <v>689</v>
      </c>
      <c r="O171" s="11">
        <v>0.54999999999999993</v>
      </c>
      <c r="P171" s="25">
        <v>378.95</v>
      </c>
      <c r="Q171" s="85">
        <v>7000</v>
      </c>
      <c r="R171" s="80" cm="1">
        <f t="array" ref="R17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1.3012361743656473</v>
      </c>
      <c r="S171" s="80">
        <f>RAPPORT_FINAL[[#This Row],[INVENTAIRE.Quantite]]*RAPPORT_FINAL[[#This Row],[INVENTAIRE.Prix_cout]]</f>
        <v>9108.6532205595304</v>
      </c>
      <c r="T171" s="83" cm="1">
        <f t="array" ref="T17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1.3012361743656473</v>
      </c>
      <c r="U171" s="88">
        <f>IF(OR(RAPPORT_FINAL[[#This Row],[INVENTAIRE.Quantite]]="",RAPPORT_FINAL[[#This Row],[INVENTAIRE.Prix_vente]]=""),"",RAPPORT_FINAL[[#This Row],[INVENTAIRE.Quantite]]*RAPPORT_FINAL[[#This Row],[INVENTAIRE.Prix_vente]])</f>
        <v>9108.6532205595304</v>
      </c>
      <c r="V17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6996</v>
      </c>
      <c r="W171" s="24">
        <f>RAPPORT_FINAL[[#This Row],[INVENTAIRE.Prix_cout]]</f>
        <v>1.3012361743656473</v>
      </c>
      <c r="X171" s="85">
        <f>RAPPORT_FINAL[[#This Row],[INVENTAIRE_THEORIQUE]]*RAPPORT_FINAL[[#This Row],[INVENTAIRE_THEORIQUE.Prix_cout]]</f>
        <v>9103.4482758620688</v>
      </c>
      <c r="Y171" s="85">
        <f>RAPPORT_FINAL[[#This Row],[INVENTAIRE.Prix_vente]]</f>
        <v>1.3012361743656473</v>
      </c>
      <c r="Z171" s="85">
        <f>RAPPORT_FINAL[[#This Row],[INVENTAIRE_THEORIQUE]]*RAPPORT_FINAL[[#This Row],[INVENTAIRE_THEORIQUE.Prix_vente]]</f>
        <v>9103.4482758620688</v>
      </c>
      <c r="AA171" s="85">
        <f>RAPPORT_FINAL[[#This Row],[INVENTAIRE.Quantite]]-RAPPORT_FINAL[[#This Row],[INVENTAIRE_THEORIQUE]]</f>
        <v>4</v>
      </c>
      <c r="AB171" s="90">
        <f>IFERROR(RAPPORT_FINAL[[#This Row],[ECART.Total_cout]]/RAPPORT_FINAL[[#This Row],[ECART.Quantite]],0)</f>
        <v>1.3012361743656473</v>
      </c>
      <c r="AC171" s="91">
        <f>IFERROR(RAPPORT_FINAL[[#This Row],[ECART.Quantite]]*RAPPORT_FINAL[[#This Row],[INVENTAIRE.Prix_cout]],"")</f>
        <v>5.2049446974625893</v>
      </c>
      <c r="AD171" s="83">
        <f>IFERROR(RAPPORT_FINAL[[#This Row],[ECART.Total_vente]]/RAPPORT_FINAL[[#This Row],[ECART.Quantite]],0)</f>
        <v>1.3012361743656473</v>
      </c>
      <c r="AE171" s="92">
        <f>IFERROR(RAPPORT_FINAL[[#This Row],[ECART.Quantite]]*RAPPORT_FINAL[[#This Row],[INVENTAIRE.Prix_vente]],"")</f>
        <v>5.2049446974625893</v>
      </c>
    </row>
    <row r="172" spans="1:31" x14ac:dyDescent="0.25">
      <c r="A172" s="83" t="s">
        <v>30</v>
      </c>
      <c r="B172" s="3" t="s">
        <v>71</v>
      </c>
      <c r="C172" s="80" t="s">
        <v>284</v>
      </c>
      <c r="D172" s="3" t="s">
        <v>109</v>
      </c>
      <c r="E172" s="31" t="s">
        <v>96</v>
      </c>
      <c r="F172" s="85" cm="1">
        <f t="array" ref="F17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72" s="80" cm="1">
        <f t="array" ref="G17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172" s="80">
        <f>IF(RAPPORT_FINAL[[#This Row],[INVENTAIRE_PREC.Prix_vente]]="","",RAPPORT_FINAL[[#This Row],[INVENTAIRE_PREC.Quantite]]*RAPPORT_FINAL[[#This Row],[INVENTAIRE_PREC.Prix_cout]])</f>
        <v>0</v>
      </c>
      <c r="I172" s="83" cm="1">
        <f t="array" ref="I17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172" s="88">
        <f>IF(RAPPORT_FINAL[[#This Row],[INVENTAIRE_PREC.Prix_vente]]="","",RAPPORT_FINAL[[#This Row],[INVENTAIRE_PREC.Quantite]]*RAPPORT_FINAL[[#This Row],[INVENTAIRE_PREC.Prix_vente]])</f>
        <v>0</v>
      </c>
      <c r="K172" s="24"/>
      <c r="L172" s="11"/>
      <c r="M172" s="25"/>
      <c r="N172" s="24">
        <v>1</v>
      </c>
      <c r="O172" s="11">
        <v>250</v>
      </c>
      <c r="P172" s="25">
        <v>250</v>
      </c>
      <c r="Q172" s="85">
        <v>0</v>
      </c>
      <c r="R172" s="80" cm="1">
        <f t="array" ref="R17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172" s="80">
        <f>RAPPORT_FINAL[[#This Row],[INVENTAIRE.Quantite]]*RAPPORT_FINAL[[#This Row],[INVENTAIRE.Prix_cout]]</f>
        <v>0</v>
      </c>
      <c r="T172" s="83" cm="1">
        <f t="array" ref="T17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</v>
      </c>
      <c r="U172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7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-1</v>
      </c>
      <c r="W172" s="24">
        <f>RAPPORT_FINAL[[#This Row],[INVENTAIRE.Prix_cout]]</f>
        <v>0</v>
      </c>
      <c r="X172" s="85">
        <f>RAPPORT_FINAL[[#This Row],[INVENTAIRE_THEORIQUE]]*RAPPORT_FINAL[[#This Row],[INVENTAIRE_THEORIQUE.Prix_cout]]</f>
        <v>0</v>
      </c>
      <c r="Y172" s="85">
        <f>RAPPORT_FINAL[[#This Row],[INVENTAIRE.Prix_vente]]</f>
        <v>250</v>
      </c>
      <c r="Z172" s="85">
        <f>RAPPORT_FINAL[[#This Row],[INVENTAIRE_THEORIQUE]]*RAPPORT_FINAL[[#This Row],[INVENTAIRE_THEORIQUE.Prix_vente]]</f>
        <v>-250</v>
      </c>
      <c r="AA172" s="85">
        <f>RAPPORT_FINAL[[#This Row],[INVENTAIRE.Quantite]]-RAPPORT_FINAL[[#This Row],[INVENTAIRE_THEORIQUE]]</f>
        <v>1</v>
      </c>
      <c r="AB172" s="90">
        <f>IFERROR(RAPPORT_FINAL[[#This Row],[ECART.Total_cout]]/RAPPORT_FINAL[[#This Row],[ECART.Quantite]],0)</f>
        <v>0</v>
      </c>
      <c r="AC172" s="91">
        <f>IFERROR(RAPPORT_FINAL[[#This Row],[ECART.Quantite]]*RAPPORT_FINAL[[#This Row],[INVENTAIRE.Prix_cout]],"")</f>
        <v>0</v>
      </c>
      <c r="AD172" s="83">
        <f>IFERROR(RAPPORT_FINAL[[#This Row],[ECART.Total_vente]]/RAPPORT_FINAL[[#This Row],[ECART.Quantite]],0)</f>
        <v>250</v>
      </c>
      <c r="AE172" s="92">
        <f>IFERROR(RAPPORT_FINAL[[#This Row],[ECART.Quantite]]*RAPPORT_FINAL[[#This Row],[INVENTAIRE.Prix_vente]],"")</f>
        <v>250</v>
      </c>
    </row>
    <row r="173" spans="1:31" x14ac:dyDescent="0.25">
      <c r="A173" s="83" t="s">
        <v>30</v>
      </c>
      <c r="B173" s="3" t="s">
        <v>71</v>
      </c>
      <c r="C173" s="80" t="s">
        <v>284</v>
      </c>
      <c r="D173" s="3" t="s">
        <v>124</v>
      </c>
      <c r="E173" s="31" t="s">
        <v>99</v>
      </c>
      <c r="F173" s="85" cm="1">
        <f t="array" ref="F17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73" s="80" cm="1">
        <f t="array" ref="G17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173" s="80">
        <f>IF(RAPPORT_FINAL[[#This Row],[INVENTAIRE_PREC.Prix_vente]]="","",RAPPORT_FINAL[[#This Row],[INVENTAIRE_PREC.Quantite]]*RAPPORT_FINAL[[#This Row],[INVENTAIRE_PREC.Prix_cout]])</f>
        <v>0</v>
      </c>
      <c r="I173" s="83" cm="1">
        <f t="array" ref="I17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173" s="88">
        <f>IF(RAPPORT_FINAL[[#This Row],[INVENTAIRE_PREC.Prix_vente]]="","",RAPPORT_FINAL[[#This Row],[INVENTAIRE_PREC.Quantite]]*RAPPORT_FINAL[[#This Row],[INVENTAIRE_PREC.Prix_vente]])</f>
        <v>0</v>
      </c>
      <c r="K173" s="24"/>
      <c r="L173" s="11"/>
      <c r="M173" s="25"/>
      <c r="N173" s="24"/>
      <c r="O173" s="11"/>
      <c r="P173" s="25"/>
      <c r="Q173" s="85">
        <v>0</v>
      </c>
      <c r="R173" s="80" cm="1">
        <f t="array" ref="R17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173" s="80">
        <f>RAPPORT_FINAL[[#This Row],[INVENTAIRE.Quantite]]*RAPPORT_FINAL[[#This Row],[INVENTAIRE.Prix_cout]]</f>
        <v>0</v>
      </c>
      <c r="T173" s="83" cm="1">
        <f t="array" ref="T17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3.75</v>
      </c>
      <c r="U173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7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173" s="24">
        <f>RAPPORT_FINAL[[#This Row],[INVENTAIRE.Prix_cout]]</f>
        <v>0</v>
      </c>
      <c r="X173" s="85">
        <f>RAPPORT_FINAL[[#This Row],[INVENTAIRE_THEORIQUE]]*RAPPORT_FINAL[[#This Row],[INVENTAIRE_THEORIQUE.Prix_cout]]</f>
        <v>0</v>
      </c>
      <c r="Y173" s="85">
        <f>RAPPORT_FINAL[[#This Row],[INVENTAIRE.Prix_vente]]</f>
        <v>3.75</v>
      </c>
      <c r="Z173" s="85">
        <f>RAPPORT_FINAL[[#This Row],[INVENTAIRE_THEORIQUE]]*RAPPORT_FINAL[[#This Row],[INVENTAIRE_THEORIQUE.Prix_vente]]</f>
        <v>0</v>
      </c>
      <c r="AA173" s="85">
        <f>RAPPORT_FINAL[[#This Row],[INVENTAIRE.Quantite]]-RAPPORT_FINAL[[#This Row],[INVENTAIRE_THEORIQUE]]</f>
        <v>0</v>
      </c>
      <c r="AB173" s="90">
        <f>IFERROR(RAPPORT_FINAL[[#This Row],[ECART.Total_cout]]/RAPPORT_FINAL[[#This Row],[ECART.Quantite]],0)</f>
        <v>0</v>
      </c>
      <c r="AC173" s="91">
        <f>IFERROR(RAPPORT_FINAL[[#This Row],[ECART.Quantite]]*RAPPORT_FINAL[[#This Row],[INVENTAIRE.Prix_cout]],"")</f>
        <v>0</v>
      </c>
      <c r="AD173" s="83">
        <f>IFERROR(RAPPORT_FINAL[[#This Row],[ECART.Total_vente]]/RAPPORT_FINAL[[#This Row],[ECART.Quantite]],0)</f>
        <v>0</v>
      </c>
      <c r="AE173" s="92">
        <f>IFERROR(RAPPORT_FINAL[[#This Row],[ECART.Quantite]]*RAPPORT_FINAL[[#This Row],[INVENTAIRE.Prix_vente]],"")</f>
        <v>0</v>
      </c>
    </row>
    <row r="174" spans="1:31" hidden="1" x14ac:dyDescent="0.25">
      <c r="A174" s="83" t="s">
        <v>30</v>
      </c>
      <c r="B174" s="3" t="s">
        <v>71</v>
      </c>
      <c r="C174" s="80" t="s">
        <v>284</v>
      </c>
      <c r="D174" s="3" t="s">
        <v>12</v>
      </c>
      <c r="E174" s="31" t="s">
        <v>108</v>
      </c>
      <c r="F174" s="85" cm="1">
        <f t="array" ref="F17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74" s="80" cm="1">
        <f t="array" ref="G17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174" s="80">
        <f>IF(RAPPORT_FINAL[[#This Row],[INVENTAIRE_PREC.Prix_vente]]="","",RAPPORT_FINAL[[#This Row],[INVENTAIRE_PREC.Quantite]]*RAPPORT_FINAL[[#This Row],[INVENTAIRE_PREC.Prix_cout]])</f>
        <v>0</v>
      </c>
      <c r="I174" s="83" cm="1">
        <f t="array" ref="I17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174" s="88">
        <f>IF(RAPPORT_FINAL[[#This Row],[INVENTAIRE_PREC.Prix_vente]]="","",RAPPORT_FINAL[[#This Row],[INVENTAIRE_PREC.Quantite]]*RAPPORT_FINAL[[#This Row],[INVENTAIRE_PREC.Prix_vente]])</f>
        <v>0</v>
      </c>
      <c r="K174" s="24">
        <v>7685</v>
      </c>
      <c r="L174" s="11">
        <v>1.3012361743656473</v>
      </c>
      <c r="M174" s="25">
        <v>10000</v>
      </c>
      <c r="N174" s="24">
        <v>689</v>
      </c>
      <c r="O174" s="11">
        <v>0.54999999999999993</v>
      </c>
      <c r="P174" s="25">
        <v>378.95</v>
      </c>
      <c r="Q174" s="85">
        <v>7000</v>
      </c>
      <c r="R174" s="80" cm="1">
        <f t="array" ref="R17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1.3012361743656473</v>
      </c>
      <c r="S174" s="80">
        <f>RAPPORT_FINAL[[#This Row],[INVENTAIRE.Quantite]]*RAPPORT_FINAL[[#This Row],[INVENTAIRE.Prix_cout]]</f>
        <v>9108.6532205595304</v>
      </c>
      <c r="T174" s="83" cm="1">
        <f t="array" ref="T17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1.3012361743656473</v>
      </c>
      <c r="U174" s="88">
        <f>IF(OR(RAPPORT_FINAL[[#This Row],[INVENTAIRE.Quantite]]="",RAPPORT_FINAL[[#This Row],[INVENTAIRE.Prix_vente]]=""),"",RAPPORT_FINAL[[#This Row],[INVENTAIRE.Quantite]]*RAPPORT_FINAL[[#This Row],[INVENTAIRE.Prix_vente]])</f>
        <v>9108.6532205595304</v>
      </c>
      <c r="V17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6996</v>
      </c>
      <c r="W174" s="24">
        <f>RAPPORT_FINAL[[#This Row],[INVENTAIRE.Prix_cout]]</f>
        <v>1.3012361743656473</v>
      </c>
      <c r="X174" s="85">
        <f>RAPPORT_FINAL[[#This Row],[INVENTAIRE_THEORIQUE]]*RAPPORT_FINAL[[#This Row],[INVENTAIRE_THEORIQUE.Prix_cout]]</f>
        <v>9103.4482758620688</v>
      </c>
      <c r="Y174" s="85">
        <f>RAPPORT_FINAL[[#This Row],[INVENTAIRE.Prix_vente]]</f>
        <v>1.3012361743656473</v>
      </c>
      <c r="Z174" s="85">
        <f>RAPPORT_FINAL[[#This Row],[INVENTAIRE_THEORIQUE]]*RAPPORT_FINAL[[#This Row],[INVENTAIRE_THEORIQUE.Prix_vente]]</f>
        <v>9103.4482758620688</v>
      </c>
      <c r="AA174" s="85">
        <f>RAPPORT_FINAL[[#This Row],[INVENTAIRE.Quantite]]-RAPPORT_FINAL[[#This Row],[INVENTAIRE_THEORIQUE]]</f>
        <v>4</v>
      </c>
      <c r="AB174" s="90">
        <f>IFERROR(RAPPORT_FINAL[[#This Row],[ECART.Total_cout]]/RAPPORT_FINAL[[#This Row],[ECART.Quantite]],0)</f>
        <v>1.3012361743656473</v>
      </c>
      <c r="AC174" s="91">
        <f>IFERROR(RAPPORT_FINAL[[#This Row],[ECART.Quantite]]*RAPPORT_FINAL[[#This Row],[INVENTAIRE.Prix_cout]],"")</f>
        <v>5.2049446974625893</v>
      </c>
      <c r="AD174" s="83">
        <f>IFERROR(RAPPORT_FINAL[[#This Row],[ECART.Total_vente]]/RAPPORT_FINAL[[#This Row],[ECART.Quantite]],0)</f>
        <v>1.3012361743656473</v>
      </c>
      <c r="AE174" s="92">
        <f>IFERROR(RAPPORT_FINAL[[#This Row],[ECART.Quantite]]*RAPPORT_FINAL[[#This Row],[INVENTAIRE.Prix_vente]],"")</f>
        <v>5.2049446974625893</v>
      </c>
    </row>
    <row r="175" spans="1:31" x14ac:dyDescent="0.25">
      <c r="A175" s="83" t="s">
        <v>30</v>
      </c>
      <c r="B175" s="3" t="s">
        <v>71</v>
      </c>
      <c r="C175" s="80" t="s">
        <v>284</v>
      </c>
      <c r="D175" s="3" t="s">
        <v>123</v>
      </c>
      <c r="E175" s="31" t="s">
        <v>99</v>
      </c>
      <c r="F175" s="85" cm="1">
        <f t="array" ref="F17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75" s="80" cm="1">
        <f t="array" ref="G17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175" s="80">
        <f>IF(RAPPORT_FINAL[[#This Row],[INVENTAIRE_PREC.Prix_vente]]="","",RAPPORT_FINAL[[#This Row],[INVENTAIRE_PREC.Quantite]]*RAPPORT_FINAL[[#This Row],[INVENTAIRE_PREC.Prix_cout]])</f>
        <v>0</v>
      </c>
      <c r="I175" s="83" cm="1">
        <f t="array" ref="I17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175" s="88">
        <f>IF(RAPPORT_FINAL[[#This Row],[INVENTAIRE_PREC.Prix_vente]]="","",RAPPORT_FINAL[[#This Row],[INVENTAIRE_PREC.Quantite]]*RAPPORT_FINAL[[#This Row],[INVENTAIRE_PREC.Prix_vente]])</f>
        <v>0</v>
      </c>
      <c r="K175" s="24"/>
      <c r="L175" s="11"/>
      <c r="M175" s="25"/>
      <c r="N175" s="24"/>
      <c r="O175" s="11"/>
      <c r="P175" s="25"/>
      <c r="Q175" s="85">
        <v>0</v>
      </c>
      <c r="R175" s="80" cm="1">
        <f t="array" ref="R17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175" s="80">
        <f>RAPPORT_FINAL[[#This Row],[INVENTAIRE.Quantite]]*RAPPORT_FINAL[[#This Row],[INVENTAIRE.Prix_cout]]</f>
        <v>0</v>
      </c>
      <c r="T175" s="83" cm="1">
        <f t="array" ref="T17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2.8</v>
      </c>
      <c r="U175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7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175" s="24">
        <f>RAPPORT_FINAL[[#This Row],[INVENTAIRE.Prix_cout]]</f>
        <v>0</v>
      </c>
      <c r="X175" s="85">
        <f>RAPPORT_FINAL[[#This Row],[INVENTAIRE_THEORIQUE]]*RAPPORT_FINAL[[#This Row],[INVENTAIRE_THEORIQUE.Prix_cout]]</f>
        <v>0</v>
      </c>
      <c r="Y175" s="85">
        <f>RAPPORT_FINAL[[#This Row],[INVENTAIRE.Prix_vente]]</f>
        <v>2.8</v>
      </c>
      <c r="Z175" s="85">
        <f>RAPPORT_FINAL[[#This Row],[INVENTAIRE_THEORIQUE]]*RAPPORT_FINAL[[#This Row],[INVENTAIRE_THEORIQUE.Prix_vente]]</f>
        <v>0</v>
      </c>
      <c r="AA175" s="85">
        <f>RAPPORT_FINAL[[#This Row],[INVENTAIRE.Quantite]]-RAPPORT_FINAL[[#This Row],[INVENTAIRE_THEORIQUE]]</f>
        <v>0</v>
      </c>
      <c r="AB175" s="90">
        <f>IFERROR(RAPPORT_FINAL[[#This Row],[ECART.Total_cout]]/RAPPORT_FINAL[[#This Row],[ECART.Quantite]],0)</f>
        <v>0</v>
      </c>
      <c r="AC175" s="91">
        <f>IFERROR(RAPPORT_FINAL[[#This Row],[ECART.Quantite]]*RAPPORT_FINAL[[#This Row],[INVENTAIRE.Prix_cout]],"")</f>
        <v>0</v>
      </c>
      <c r="AD175" s="83">
        <f>IFERROR(RAPPORT_FINAL[[#This Row],[ECART.Total_vente]]/RAPPORT_FINAL[[#This Row],[ECART.Quantite]],0)</f>
        <v>0</v>
      </c>
      <c r="AE175" s="92">
        <f>IFERROR(RAPPORT_FINAL[[#This Row],[ECART.Quantite]]*RAPPORT_FINAL[[#This Row],[INVENTAIRE.Prix_vente]],"")</f>
        <v>0</v>
      </c>
    </row>
    <row r="176" spans="1:31" x14ac:dyDescent="0.25">
      <c r="A176" s="83" t="s">
        <v>30</v>
      </c>
      <c r="B176" s="3" t="s">
        <v>71</v>
      </c>
      <c r="C176" s="80" t="s">
        <v>284</v>
      </c>
      <c r="D176" s="3" t="s">
        <v>13</v>
      </c>
      <c r="E176" s="31" t="s">
        <v>108</v>
      </c>
      <c r="F176" s="85" cm="1">
        <f t="array" ref="F17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76" s="80" cm="1">
        <f t="array" ref="G17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176" s="80">
        <f>IF(RAPPORT_FINAL[[#This Row],[INVENTAIRE_PREC.Prix_vente]]="","",RAPPORT_FINAL[[#This Row],[INVENTAIRE_PREC.Quantite]]*RAPPORT_FINAL[[#This Row],[INVENTAIRE_PREC.Prix_cout]])</f>
        <v>0</v>
      </c>
      <c r="I176" s="83" cm="1">
        <f t="array" ref="I17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176" s="88">
        <f>IF(RAPPORT_FINAL[[#This Row],[INVENTAIRE_PREC.Prix_vente]]="","",RAPPORT_FINAL[[#This Row],[INVENTAIRE_PREC.Quantite]]*RAPPORT_FINAL[[#This Row],[INVENTAIRE_PREC.Prix_vente]])</f>
        <v>0</v>
      </c>
      <c r="K176" s="24"/>
      <c r="L176" s="11"/>
      <c r="M176" s="25"/>
      <c r="N176" s="24">
        <v>170</v>
      </c>
      <c r="O176" s="11">
        <v>1.1399999999999999</v>
      </c>
      <c r="P176" s="25">
        <v>193.79999999999998</v>
      </c>
      <c r="Q176" s="85">
        <v>0</v>
      </c>
      <c r="R176" s="80" cm="1">
        <f t="array" ref="R17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176" s="80">
        <f>RAPPORT_FINAL[[#This Row],[INVENTAIRE.Quantite]]*RAPPORT_FINAL[[#This Row],[INVENTAIRE.Prix_cout]]</f>
        <v>0</v>
      </c>
      <c r="T176" s="83" cm="1">
        <f t="array" ref="T17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1.1399999999999999</v>
      </c>
      <c r="U176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7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-170</v>
      </c>
      <c r="W176" s="24">
        <f>RAPPORT_FINAL[[#This Row],[INVENTAIRE.Prix_cout]]</f>
        <v>0</v>
      </c>
      <c r="X176" s="85">
        <f>RAPPORT_FINAL[[#This Row],[INVENTAIRE_THEORIQUE]]*RAPPORT_FINAL[[#This Row],[INVENTAIRE_THEORIQUE.Prix_cout]]</f>
        <v>0</v>
      </c>
      <c r="Y176" s="85">
        <f>RAPPORT_FINAL[[#This Row],[INVENTAIRE.Prix_vente]]</f>
        <v>1.1399999999999999</v>
      </c>
      <c r="Z176" s="85">
        <f>RAPPORT_FINAL[[#This Row],[INVENTAIRE_THEORIQUE]]*RAPPORT_FINAL[[#This Row],[INVENTAIRE_THEORIQUE.Prix_vente]]</f>
        <v>-193.79999999999998</v>
      </c>
      <c r="AA176" s="85">
        <f>RAPPORT_FINAL[[#This Row],[INVENTAIRE.Quantite]]-RAPPORT_FINAL[[#This Row],[INVENTAIRE_THEORIQUE]]</f>
        <v>170</v>
      </c>
      <c r="AB176" s="90">
        <f>IFERROR(RAPPORT_FINAL[[#This Row],[ECART.Total_cout]]/RAPPORT_FINAL[[#This Row],[ECART.Quantite]],0)</f>
        <v>0</v>
      </c>
      <c r="AC176" s="91">
        <f>IFERROR(RAPPORT_FINAL[[#This Row],[ECART.Quantite]]*RAPPORT_FINAL[[#This Row],[INVENTAIRE.Prix_cout]],"")</f>
        <v>0</v>
      </c>
      <c r="AD176" s="83">
        <f>IFERROR(RAPPORT_FINAL[[#This Row],[ECART.Total_vente]]/RAPPORT_FINAL[[#This Row],[ECART.Quantite]],0)</f>
        <v>1.1399999999999999</v>
      </c>
      <c r="AE176" s="92">
        <f>IFERROR(RAPPORT_FINAL[[#This Row],[ECART.Quantite]]*RAPPORT_FINAL[[#This Row],[INVENTAIRE.Prix_vente]],"")</f>
        <v>193.79999999999998</v>
      </c>
    </row>
    <row r="177" spans="1:31" hidden="1" x14ac:dyDescent="0.25">
      <c r="A177" s="83" t="s">
        <v>30</v>
      </c>
      <c r="B177" s="3" t="s">
        <v>71</v>
      </c>
      <c r="C177" s="80" t="s">
        <v>284</v>
      </c>
      <c r="D177" s="3" t="s">
        <v>125</v>
      </c>
      <c r="E177" s="31" t="s">
        <v>126</v>
      </c>
      <c r="F177" s="85" cm="1">
        <f t="array" ref="F17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77" s="80" cm="1">
        <f t="array" ref="G17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177" s="80">
        <f>IF(RAPPORT_FINAL[[#This Row],[INVENTAIRE_PREC.Prix_vente]]="","",RAPPORT_FINAL[[#This Row],[INVENTAIRE_PREC.Quantite]]*RAPPORT_FINAL[[#This Row],[INVENTAIRE_PREC.Prix_cout]])</f>
        <v>0</v>
      </c>
      <c r="I177" s="83" cm="1">
        <f t="array" ref="I17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177" s="88">
        <f>IF(RAPPORT_FINAL[[#This Row],[INVENTAIRE_PREC.Prix_vente]]="","",RAPPORT_FINAL[[#This Row],[INVENTAIRE_PREC.Quantite]]*RAPPORT_FINAL[[#This Row],[INVENTAIRE_PREC.Prix_vente]])</f>
        <v>0</v>
      </c>
      <c r="K177" s="24">
        <v>2</v>
      </c>
      <c r="L177" s="11">
        <v>500</v>
      </c>
      <c r="M177" s="25">
        <v>1000</v>
      </c>
      <c r="N177" s="24"/>
      <c r="O177" s="11"/>
      <c r="P177" s="25"/>
      <c r="Q177" s="85">
        <v>2</v>
      </c>
      <c r="R177" s="80" cm="1">
        <f t="array" ref="R17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500</v>
      </c>
      <c r="S177" s="80">
        <f>RAPPORT_FINAL[[#This Row],[INVENTAIRE.Quantite]]*RAPPORT_FINAL[[#This Row],[INVENTAIRE.Prix_cout]]</f>
        <v>1000</v>
      </c>
      <c r="T177" s="83" cm="1">
        <f t="array" ref="T17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177" s="88">
        <f>IF(OR(RAPPORT_FINAL[[#This Row],[INVENTAIRE.Quantite]]="",RAPPORT_FINAL[[#This Row],[INVENTAIRE.Prix_vente]]=""),"",RAPPORT_FINAL[[#This Row],[INVENTAIRE.Quantite]]*RAPPORT_FINAL[[#This Row],[INVENTAIRE.Prix_vente]])</f>
        <v>1000</v>
      </c>
      <c r="V17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177" s="24">
        <f>RAPPORT_FINAL[[#This Row],[INVENTAIRE.Prix_cout]]</f>
        <v>500</v>
      </c>
      <c r="X177" s="85">
        <f>RAPPORT_FINAL[[#This Row],[INVENTAIRE_THEORIQUE]]*RAPPORT_FINAL[[#This Row],[INVENTAIRE_THEORIQUE.Prix_cout]]</f>
        <v>1000</v>
      </c>
      <c r="Y177" s="85">
        <f>RAPPORT_FINAL[[#This Row],[INVENTAIRE.Prix_vente]]</f>
        <v>500</v>
      </c>
      <c r="Z177" s="85">
        <f>RAPPORT_FINAL[[#This Row],[INVENTAIRE_THEORIQUE]]*RAPPORT_FINAL[[#This Row],[INVENTAIRE_THEORIQUE.Prix_vente]]</f>
        <v>1000</v>
      </c>
      <c r="AA177" s="85">
        <f>RAPPORT_FINAL[[#This Row],[INVENTAIRE.Quantite]]-RAPPORT_FINAL[[#This Row],[INVENTAIRE_THEORIQUE]]</f>
        <v>0</v>
      </c>
      <c r="AB177" s="90">
        <f>IFERROR(RAPPORT_FINAL[[#This Row],[ECART.Total_cout]]/RAPPORT_FINAL[[#This Row],[ECART.Quantite]],0)</f>
        <v>0</v>
      </c>
      <c r="AC177" s="91">
        <f>IFERROR(RAPPORT_FINAL[[#This Row],[ECART.Quantite]]*RAPPORT_FINAL[[#This Row],[INVENTAIRE.Prix_cout]],"")</f>
        <v>0</v>
      </c>
      <c r="AD177" s="83">
        <f>IFERROR(RAPPORT_FINAL[[#This Row],[ECART.Total_vente]]/RAPPORT_FINAL[[#This Row],[ECART.Quantite]],0)</f>
        <v>0</v>
      </c>
      <c r="AE177" s="92">
        <f>IFERROR(RAPPORT_FINAL[[#This Row],[ECART.Quantite]]*RAPPORT_FINAL[[#This Row],[INVENTAIRE.Prix_vente]],"")</f>
        <v>0</v>
      </c>
    </row>
    <row r="178" spans="1:31" x14ac:dyDescent="0.25">
      <c r="A178" s="83" t="s">
        <v>30</v>
      </c>
      <c r="B178" s="3" t="s">
        <v>71</v>
      </c>
      <c r="C178" s="80" t="s">
        <v>284</v>
      </c>
      <c r="D178" s="3" t="s">
        <v>10</v>
      </c>
      <c r="E178" s="31" t="s">
        <v>108</v>
      </c>
      <c r="F178" s="85" cm="1">
        <f t="array" ref="F17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78" s="80" cm="1">
        <f t="array" ref="G17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178" s="80">
        <f>IF(RAPPORT_FINAL[[#This Row],[INVENTAIRE_PREC.Prix_vente]]="","",RAPPORT_FINAL[[#This Row],[INVENTAIRE_PREC.Quantite]]*RAPPORT_FINAL[[#This Row],[INVENTAIRE_PREC.Prix_cout]])</f>
        <v>0</v>
      </c>
      <c r="I178" s="83" cm="1">
        <f t="array" ref="I17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178" s="88">
        <f>IF(RAPPORT_FINAL[[#This Row],[INVENTAIRE_PREC.Prix_vente]]="","",RAPPORT_FINAL[[#This Row],[INVENTAIRE_PREC.Quantite]]*RAPPORT_FINAL[[#This Row],[INVENTAIRE_PREC.Prix_vente]])</f>
        <v>0</v>
      </c>
      <c r="K178" s="24"/>
      <c r="L178" s="11"/>
      <c r="M178" s="25"/>
      <c r="N178" s="24">
        <v>3.4</v>
      </c>
      <c r="O178" s="11">
        <v>0.19999999999999998</v>
      </c>
      <c r="P178" s="25">
        <v>0.68</v>
      </c>
      <c r="Q178" s="85">
        <v>0</v>
      </c>
      <c r="R178" s="80" cm="1">
        <f t="array" ref="R17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178" s="80">
        <f>RAPPORT_FINAL[[#This Row],[INVENTAIRE.Quantite]]*RAPPORT_FINAL[[#This Row],[INVENTAIRE.Prix_cout]]</f>
        <v>0</v>
      </c>
      <c r="T178" s="83" cm="1">
        <f t="array" ref="T17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0.2</v>
      </c>
      <c r="U178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7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-3.4</v>
      </c>
      <c r="W178" s="24">
        <f>RAPPORT_FINAL[[#This Row],[INVENTAIRE.Prix_cout]]</f>
        <v>0</v>
      </c>
      <c r="X178" s="85">
        <f>RAPPORT_FINAL[[#This Row],[INVENTAIRE_THEORIQUE]]*RAPPORT_FINAL[[#This Row],[INVENTAIRE_THEORIQUE.Prix_cout]]</f>
        <v>0</v>
      </c>
      <c r="Y178" s="85">
        <f>RAPPORT_FINAL[[#This Row],[INVENTAIRE.Prix_vente]]</f>
        <v>0.2</v>
      </c>
      <c r="Z178" s="85">
        <f>RAPPORT_FINAL[[#This Row],[INVENTAIRE_THEORIQUE]]*RAPPORT_FINAL[[#This Row],[INVENTAIRE_THEORIQUE.Prix_vente]]</f>
        <v>-0.68</v>
      </c>
      <c r="AA178" s="85">
        <f>RAPPORT_FINAL[[#This Row],[INVENTAIRE.Quantite]]-RAPPORT_FINAL[[#This Row],[INVENTAIRE_THEORIQUE]]</f>
        <v>3.4</v>
      </c>
      <c r="AB178" s="90">
        <f>IFERROR(RAPPORT_FINAL[[#This Row],[ECART.Total_cout]]/RAPPORT_FINAL[[#This Row],[ECART.Quantite]],0)</f>
        <v>0</v>
      </c>
      <c r="AC178" s="91">
        <f>IFERROR(RAPPORT_FINAL[[#This Row],[ECART.Quantite]]*RAPPORT_FINAL[[#This Row],[INVENTAIRE.Prix_cout]],"")</f>
        <v>0</v>
      </c>
      <c r="AD178" s="83">
        <f>IFERROR(RAPPORT_FINAL[[#This Row],[ECART.Total_vente]]/RAPPORT_FINAL[[#This Row],[ECART.Quantite]],0)</f>
        <v>0.2</v>
      </c>
      <c r="AE178" s="92">
        <f>IFERROR(RAPPORT_FINAL[[#This Row],[ECART.Quantite]]*RAPPORT_FINAL[[#This Row],[INVENTAIRE.Prix_vente]],"")</f>
        <v>0.68</v>
      </c>
    </row>
    <row r="179" spans="1:31" x14ac:dyDescent="0.25">
      <c r="A179" s="83" t="s">
        <v>30</v>
      </c>
      <c r="B179" s="3" t="s">
        <v>71</v>
      </c>
      <c r="C179" s="80" t="s">
        <v>284</v>
      </c>
      <c r="D179" s="3" t="s">
        <v>11</v>
      </c>
      <c r="E179" s="31" t="s">
        <v>108</v>
      </c>
      <c r="F179" s="85" cm="1">
        <f t="array" ref="F17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79" s="80" cm="1">
        <f t="array" ref="G17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179" s="80">
        <f>IF(RAPPORT_FINAL[[#This Row],[INVENTAIRE_PREC.Prix_vente]]="","",RAPPORT_FINAL[[#This Row],[INVENTAIRE_PREC.Quantite]]*RAPPORT_FINAL[[#This Row],[INVENTAIRE_PREC.Prix_cout]])</f>
        <v>0</v>
      </c>
      <c r="I179" s="83" cm="1">
        <f t="array" ref="I17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179" s="88">
        <f>IF(RAPPORT_FINAL[[#This Row],[INVENTAIRE_PREC.Prix_vente]]="","",RAPPORT_FINAL[[#This Row],[INVENTAIRE_PREC.Quantite]]*RAPPORT_FINAL[[#This Row],[INVENTAIRE_PREC.Prix_vente]])</f>
        <v>0</v>
      </c>
      <c r="K179" s="24"/>
      <c r="L179" s="11"/>
      <c r="M179" s="25"/>
      <c r="N179" s="24">
        <v>3.4</v>
      </c>
      <c r="O179" s="11">
        <v>1</v>
      </c>
      <c r="P179" s="25">
        <v>3.4</v>
      </c>
      <c r="Q179" s="85">
        <v>0</v>
      </c>
      <c r="R179" s="80" cm="1">
        <f t="array" ref="R17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179" s="80">
        <f>RAPPORT_FINAL[[#This Row],[INVENTAIRE.Quantite]]*RAPPORT_FINAL[[#This Row],[INVENTAIRE.Prix_cout]]</f>
        <v>0</v>
      </c>
      <c r="T179" s="83" cm="1">
        <f t="array" ref="T17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</v>
      </c>
      <c r="U179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17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-3.4</v>
      </c>
      <c r="W179" s="24">
        <f>RAPPORT_FINAL[[#This Row],[INVENTAIRE.Prix_cout]]</f>
        <v>0</v>
      </c>
      <c r="X179" s="85">
        <f>RAPPORT_FINAL[[#This Row],[INVENTAIRE_THEORIQUE]]*RAPPORT_FINAL[[#This Row],[INVENTAIRE_THEORIQUE.Prix_cout]]</f>
        <v>0</v>
      </c>
      <c r="Y179" s="85">
        <f>RAPPORT_FINAL[[#This Row],[INVENTAIRE.Prix_vente]]</f>
        <v>1</v>
      </c>
      <c r="Z179" s="85">
        <f>RAPPORT_FINAL[[#This Row],[INVENTAIRE_THEORIQUE]]*RAPPORT_FINAL[[#This Row],[INVENTAIRE_THEORIQUE.Prix_vente]]</f>
        <v>-3.4</v>
      </c>
      <c r="AA179" s="85">
        <f>RAPPORT_FINAL[[#This Row],[INVENTAIRE.Quantite]]-RAPPORT_FINAL[[#This Row],[INVENTAIRE_THEORIQUE]]</f>
        <v>3.4</v>
      </c>
      <c r="AB179" s="90">
        <f>IFERROR(RAPPORT_FINAL[[#This Row],[ECART.Total_cout]]/RAPPORT_FINAL[[#This Row],[ECART.Quantite]],0)</f>
        <v>0</v>
      </c>
      <c r="AC179" s="91">
        <f>IFERROR(RAPPORT_FINAL[[#This Row],[ECART.Quantite]]*RAPPORT_FINAL[[#This Row],[INVENTAIRE.Prix_cout]],"")</f>
        <v>0</v>
      </c>
      <c r="AD179" s="83">
        <f>IFERROR(RAPPORT_FINAL[[#This Row],[ECART.Total_vente]]/RAPPORT_FINAL[[#This Row],[ECART.Quantite]],0)</f>
        <v>1</v>
      </c>
      <c r="AE179" s="92">
        <f>IFERROR(RAPPORT_FINAL[[#This Row],[ECART.Quantite]]*RAPPORT_FINAL[[#This Row],[INVENTAIRE.Prix_vente]],"")</f>
        <v>3.4</v>
      </c>
    </row>
    <row r="180" spans="1:31" hidden="1" x14ac:dyDescent="0.25">
      <c r="A180" s="83" t="s">
        <v>30</v>
      </c>
      <c r="B180" s="3" t="s">
        <v>71</v>
      </c>
      <c r="C180" s="80" t="s">
        <v>284</v>
      </c>
      <c r="D180" s="3" t="s">
        <v>125</v>
      </c>
      <c r="E180" s="31" t="s">
        <v>126</v>
      </c>
      <c r="F180" s="85" cm="1">
        <f t="array" ref="F18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80" s="80" cm="1">
        <f t="array" ref="G18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180" s="80">
        <f>IF(RAPPORT_FINAL[[#This Row],[INVENTAIRE_PREC.Prix_vente]]="","",RAPPORT_FINAL[[#This Row],[INVENTAIRE_PREC.Quantite]]*RAPPORT_FINAL[[#This Row],[INVENTAIRE_PREC.Prix_cout]])</f>
        <v>0</v>
      </c>
      <c r="I180" s="83" cm="1">
        <f t="array" ref="I18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180" s="88">
        <f>IF(RAPPORT_FINAL[[#This Row],[INVENTAIRE_PREC.Prix_vente]]="","",RAPPORT_FINAL[[#This Row],[INVENTAIRE_PREC.Quantite]]*RAPPORT_FINAL[[#This Row],[INVENTAIRE_PREC.Prix_vente]])</f>
        <v>0</v>
      </c>
      <c r="K180" s="24">
        <v>2</v>
      </c>
      <c r="L180" s="11">
        <v>500</v>
      </c>
      <c r="M180" s="25">
        <v>1000</v>
      </c>
      <c r="N180" s="24"/>
      <c r="O180" s="11"/>
      <c r="P180" s="25"/>
      <c r="Q180" s="85">
        <v>2</v>
      </c>
      <c r="R180" s="80" cm="1">
        <f t="array" ref="R18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500</v>
      </c>
      <c r="S180" s="80">
        <f>RAPPORT_FINAL[[#This Row],[INVENTAIRE.Quantite]]*RAPPORT_FINAL[[#This Row],[INVENTAIRE.Prix_cout]]</f>
        <v>1000</v>
      </c>
      <c r="T180" s="83" cm="1">
        <f t="array" ref="T18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180" s="88">
        <f>IF(OR(RAPPORT_FINAL[[#This Row],[INVENTAIRE.Quantite]]="",RAPPORT_FINAL[[#This Row],[INVENTAIRE.Prix_vente]]=""),"",RAPPORT_FINAL[[#This Row],[INVENTAIRE.Quantite]]*RAPPORT_FINAL[[#This Row],[INVENTAIRE.Prix_vente]])</f>
        <v>1000</v>
      </c>
      <c r="V18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180" s="24">
        <f>RAPPORT_FINAL[[#This Row],[INVENTAIRE.Prix_cout]]</f>
        <v>500</v>
      </c>
      <c r="X180" s="85">
        <f>RAPPORT_FINAL[[#This Row],[INVENTAIRE_THEORIQUE]]*RAPPORT_FINAL[[#This Row],[INVENTAIRE_THEORIQUE.Prix_cout]]</f>
        <v>1000</v>
      </c>
      <c r="Y180" s="85">
        <f>RAPPORT_FINAL[[#This Row],[INVENTAIRE.Prix_vente]]</f>
        <v>500</v>
      </c>
      <c r="Z180" s="85">
        <f>RAPPORT_FINAL[[#This Row],[INVENTAIRE_THEORIQUE]]*RAPPORT_FINAL[[#This Row],[INVENTAIRE_THEORIQUE.Prix_vente]]</f>
        <v>1000</v>
      </c>
      <c r="AA180" s="85">
        <f>RAPPORT_FINAL[[#This Row],[INVENTAIRE.Quantite]]-RAPPORT_FINAL[[#This Row],[INVENTAIRE_THEORIQUE]]</f>
        <v>0</v>
      </c>
      <c r="AB180" s="90">
        <f>IFERROR(RAPPORT_FINAL[[#This Row],[ECART.Total_cout]]/RAPPORT_FINAL[[#This Row],[ECART.Quantite]],0)</f>
        <v>0</v>
      </c>
      <c r="AC180" s="91">
        <f>IFERROR(RAPPORT_FINAL[[#This Row],[ECART.Quantite]]*RAPPORT_FINAL[[#This Row],[INVENTAIRE.Prix_cout]],"")</f>
        <v>0</v>
      </c>
      <c r="AD180" s="83">
        <f>IFERROR(RAPPORT_FINAL[[#This Row],[ECART.Total_vente]]/RAPPORT_FINAL[[#This Row],[ECART.Quantite]],0)</f>
        <v>0</v>
      </c>
      <c r="AE180" s="92">
        <f>IFERROR(RAPPORT_FINAL[[#This Row],[ECART.Quantite]]*RAPPORT_FINAL[[#This Row],[INVENTAIRE.Prix_vente]],"")</f>
        <v>0</v>
      </c>
    </row>
    <row r="181" spans="1:31" hidden="1" x14ac:dyDescent="0.25">
      <c r="A181" s="83" t="s">
        <v>30</v>
      </c>
      <c r="B181" s="3" t="s">
        <v>71</v>
      </c>
      <c r="C181" s="80" t="s">
        <v>285</v>
      </c>
      <c r="D181" s="3" t="s">
        <v>16</v>
      </c>
      <c r="E181" s="31" t="s">
        <v>96</v>
      </c>
      <c r="F181" s="85" cm="1">
        <f t="array" ref="F18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9</v>
      </c>
      <c r="G181" s="80" cm="1">
        <f t="array" ref="G18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954.54999999999984</v>
      </c>
      <c r="H181" s="80">
        <f>IF(RAPPORT_FINAL[[#This Row],[INVENTAIRE_PREC.Prix_vente]]="","",RAPPORT_FINAL[[#This Row],[INVENTAIRE_PREC.Quantite]]*RAPPORT_FINAL[[#This Row],[INVENTAIRE_PREC.Prix_cout]])</f>
        <v>8590.9499999999989</v>
      </c>
      <c r="I181" s="83" cm="1">
        <f t="array" ref="I18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954.54999999999984</v>
      </c>
      <c r="J181" s="88">
        <f>IF(RAPPORT_FINAL[[#This Row],[INVENTAIRE_PREC.Prix_vente]]="","",RAPPORT_FINAL[[#This Row],[INVENTAIRE_PREC.Quantite]]*RAPPORT_FINAL[[#This Row],[INVENTAIRE_PREC.Prix_vente]])</f>
        <v>8590.9499999999989</v>
      </c>
      <c r="K181" s="24"/>
      <c r="L181" s="11"/>
      <c r="M181" s="25"/>
      <c r="N181" s="24">
        <v>7</v>
      </c>
      <c r="O181" s="11">
        <v>3000</v>
      </c>
      <c r="P181" s="25">
        <v>21000</v>
      </c>
      <c r="Q181" s="85">
        <v>2</v>
      </c>
      <c r="R181" s="80" cm="1">
        <f t="array" ref="R18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954.54999999999984</v>
      </c>
      <c r="S181" s="80">
        <f>RAPPORT_FINAL[[#This Row],[INVENTAIRE.Quantite]]*RAPPORT_FINAL[[#This Row],[INVENTAIRE.Prix_cout]]</f>
        <v>1909.0999999999997</v>
      </c>
      <c r="T181" s="83" cm="1">
        <f t="array" ref="T18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181" s="88">
        <f>IF(OR(RAPPORT_FINAL[[#This Row],[INVENTAIRE.Quantite]]="",RAPPORT_FINAL[[#This Row],[INVENTAIRE.Prix_vente]]=""),"",RAPPORT_FINAL[[#This Row],[INVENTAIRE.Quantite]]*RAPPORT_FINAL[[#This Row],[INVENTAIRE.Prix_vente]])</f>
        <v>6000</v>
      </c>
      <c r="V18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181" s="24">
        <f>RAPPORT_FINAL[[#This Row],[INVENTAIRE.Prix_cout]]</f>
        <v>954.54999999999984</v>
      </c>
      <c r="X181" s="85">
        <f>RAPPORT_FINAL[[#This Row],[INVENTAIRE_THEORIQUE]]*RAPPORT_FINAL[[#This Row],[INVENTAIRE_THEORIQUE.Prix_cout]]</f>
        <v>1909.0999999999997</v>
      </c>
      <c r="Y181" s="85">
        <f>RAPPORT_FINAL[[#This Row],[INVENTAIRE.Prix_vente]]</f>
        <v>3000</v>
      </c>
      <c r="Z181" s="85">
        <f>RAPPORT_FINAL[[#This Row],[INVENTAIRE_THEORIQUE]]*RAPPORT_FINAL[[#This Row],[INVENTAIRE_THEORIQUE.Prix_vente]]</f>
        <v>6000</v>
      </c>
      <c r="AA181" s="85">
        <f>RAPPORT_FINAL[[#This Row],[INVENTAIRE.Quantite]]-RAPPORT_FINAL[[#This Row],[INVENTAIRE_THEORIQUE]]</f>
        <v>0</v>
      </c>
      <c r="AB181" s="90">
        <f>IFERROR(RAPPORT_FINAL[[#This Row],[ECART.Total_cout]]/RAPPORT_FINAL[[#This Row],[ECART.Quantite]],0)</f>
        <v>0</v>
      </c>
      <c r="AC181" s="91">
        <f>IFERROR(RAPPORT_FINAL[[#This Row],[ECART.Quantite]]*RAPPORT_FINAL[[#This Row],[INVENTAIRE.Prix_cout]],"")</f>
        <v>0</v>
      </c>
      <c r="AD181" s="83">
        <f>IFERROR(RAPPORT_FINAL[[#This Row],[ECART.Total_vente]]/RAPPORT_FINAL[[#This Row],[ECART.Quantite]],0)</f>
        <v>0</v>
      </c>
      <c r="AE181" s="92">
        <f>IFERROR(RAPPORT_FINAL[[#This Row],[ECART.Quantite]]*RAPPORT_FINAL[[#This Row],[INVENTAIRE.Prix_vente]],"")</f>
        <v>0</v>
      </c>
    </row>
    <row r="182" spans="1:31" hidden="1" x14ac:dyDescent="0.25">
      <c r="A182" s="83" t="s">
        <v>30</v>
      </c>
      <c r="B182" s="3" t="s">
        <v>71</v>
      </c>
      <c r="C182" s="80" t="s">
        <v>285</v>
      </c>
      <c r="D182" s="3" t="s">
        <v>29</v>
      </c>
      <c r="E182" s="31" t="s">
        <v>168</v>
      </c>
      <c r="F182" s="85" cm="1">
        <f t="array" ref="F18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</v>
      </c>
      <c r="G182" s="80" cm="1">
        <f t="array" ref="G18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937.5</v>
      </c>
      <c r="H182" s="80">
        <f>IF(RAPPORT_FINAL[[#This Row],[INVENTAIRE_PREC.Prix_vente]]="","",RAPPORT_FINAL[[#This Row],[INVENTAIRE_PREC.Quantite]]*RAPPORT_FINAL[[#This Row],[INVENTAIRE_PREC.Prix_cout]])</f>
        <v>4687.5</v>
      </c>
      <c r="I182" s="83" cm="1">
        <f t="array" ref="I18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937.5</v>
      </c>
      <c r="J182" s="88">
        <f>IF(RAPPORT_FINAL[[#This Row],[INVENTAIRE_PREC.Prix_vente]]="","",RAPPORT_FINAL[[#This Row],[INVENTAIRE_PREC.Quantite]]*RAPPORT_FINAL[[#This Row],[INVENTAIRE_PREC.Prix_vente]])</f>
        <v>4687.5</v>
      </c>
      <c r="K182" s="24">
        <v>8</v>
      </c>
      <c r="L182" s="11">
        <v>1437.5</v>
      </c>
      <c r="M182" s="25">
        <v>11500</v>
      </c>
      <c r="N182" s="24">
        <v>5</v>
      </c>
      <c r="O182" s="11">
        <v>3500</v>
      </c>
      <c r="P182" s="25">
        <v>17500</v>
      </c>
      <c r="Q182" s="85">
        <v>7</v>
      </c>
      <c r="R182" s="80" cm="1">
        <f t="array" ref="R18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1245.1923076923076</v>
      </c>
      <c r="S182" s="80">
        <f>RAPPORT_FINAL[[#This Row],[INVENTAIRE.Quantite]]*RAPPORT_FINAL[[#This Row],[INVENTAIRE.Prix_cout]]</f>
        <v>8716.3461538461524</v>
      </c>
      <c r="T182" s="83" cm="1">
        <f t="array" ref="T18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182" s="88">
        <f>IF(OR(RAPPORT_FINAL[[#This Row],[INVENTAIRE.Quantite]]="",RAPPORT_FINAL[[#This Row],[INVENTAIRE.Prix_vente]]=""),"",RAPPORT_FINAL[[#This Row],[INVENTAIRE.Quantite]]*RAPPORT_FINAL[[#This Row],[INVENTAIRE.Prix_vente]])</f>
        <v>24500</v>
      </c>
      <c r="V18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8</v>
      </c>
      <c r="W182" s="24">
        <f>RAPPORT_FINAL[[#This Row],[INVENTAIRE.Prix_cout]]</f>
        <v>1245.1923076923076</v>
      </c>
      <c r="X182" s="85">
        <f>RAPPORT_FINAL[[#This Row],[INVENTAIRE_THEORIQUE]]*RAPPORT_FINAL[[#This Row],[INVENTAIRE_THEORIQUE.Prix_cout]]</f>
        <v>9961.538461538461</v>
      </c>
      <c r="Y182" s="85">
        <f>RAPPORT_FINAL[[#This Row],[INVENTAIRE.Prix_vente]]</f>
        <v>3500</v>
      </c>
      <c r="Z182" s="85">
        <f>RAPPORT_FINAL[[#This Row],[INVENTAIRE_THEORIQUE]]*RAPPORT_FINAL[[#This Row],[INVENTAIRE_THEORIQUE.Prix_vente]]</f>
        <v>28000</v>
      </c>
      <c r="AA182" s="85">
        <f>RAPPORT_FINAL[[#This Row],[INVENTAIRE.Quantite]]-RAPPORT_FINAL[[#This Row],[INVENTAIRE_THEORIQUE]]</f>
        <v>-1</v>
      </c>
      <c r="AB182" s="90">
        <f>IFERROR(RAPPORT_FINAL[[#This Row],[ECART.Total_cout]]/RAPPORT_FINAL[[#This Row],[ECART.Quantite]],0)</f>
        <v>1245.1923076923076</v>
      </c>
      <c r="AC182" s="91">
        <f>IFERROR(RAPPORT_FINAL[[#This Row],[ECART.Quantite]]*RAPPORT_FINAL[[#This Row],[INVENTAIRE.Prix_cout]],"")</f>
        <v>-1245.1923076923076</v>
      </c>
      <c r="AD182" s="83">
        <f>IFERROR(RAPPORT_FINAL[[#This Row],[ECART.Total_vente]]/RAPPORT_FINAL[[#This Row],[ECART.Quantite]],0)</f>
        <v>3500</v>
      </c>
      <c r="AE182" s="92">
        <f>IFERROR(RAPPORT_FINAL[[#This Row],[ECART.Quantite]]*RAPPORT_FINAL[[#This Row],[INVENTAIRE.Prix_vente]],"")</f>
        <v>-3500</v>
      </c>
    </row>
    <row r="183" spans="1:31" hidden="1" x14ac:dyDescent="0.25">
      <c r="A183" s="83" t="s">
        <v>30</v>
      </c>
      <c r="B183" s="3" t="s">
        <v>71</v>
      </c>
      <c r="C183" s="80" t="s">
        <v>285</v>
      </c>
      <c r="D183" s="3" t="s">
        <v>29</v>
      </c>
      <c r="E183" s="31" t="s">
        <v>168</v>
      </c>
      <c r="F183" s="85" cm="1">
        <f t="array" ref="F18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</v>
      </c>
      <c r="G183" s="80" cm="1">
        <f t="array" ref="G18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937.5</v>
      </c>
      <c r="H183" s="80">
        <f>IF(RAPPORT_FINAL[[#This Row],[INVENTAIRE_PREC.Prix_vente]]="","",RAPPORT_FINAL[[#This Row],[INVENTAIRE_PREC.Quantite]]*RAPPORT_FINAL[[#This Row],[INVENTAIRE_PREC.Prix_cout]])</f>
        <v>4687.5</v>
      </c>
      <c r="I183" s="83" cm="1">
        <f t="array" ref="I18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937.5</v>
      </c>
      <c r="J183" s="88">
        <f>IF(RAPPORT_FINAL[[#This Row],[INVENTAIRE_PREC.Prix_vente]]="","",RAPPORT_FINAL[[#This Row],[INVENTAIRE_PREC.Quantite]]*RAPPORT_FINAL[[#This Row],[INVENTAIRE_PREC.Prix_vente]])</f>
        <v>4687.5</v>
      </c>
      <c r="K183" s="24">
        <v>8</v>
      </c>
      <c r="L183" s="11">
        <v>1437.5</v>
      </c>
      <c r="M183" s="25">
        <v>11500</v>
      </c>
      <c r="N183" s="24">
        <v>8</v>
      </c>
      <c r="O183" s="11">
        <v>2187.5</v>
      </c>
      <c r="P183" s="25">
        <v>17500</v>
      </c>
      <c r="Q183" s="85">
        <v>7</v>
      </c>
      <c r="R183" s="80" cm="1">
        <f t="array" ref="R18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1245.1923076923076</v>
      </c>
      <c r="S183" s="80">
        <f>RAPPORT_FINAL[[#This Row],[INVENTAIRE.Quantite]]*RAPPORT_FINAL[[#This Row],[INVENTAIRE.Prix_cout]]</f>
        <v>8716.3461538461524</v>
      </c>
      <c r="T183" s="83" cm="1">
        <f t="array" ref="T18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183" s="88">
        <f>IF(OR(RAPPORT_FINAL[[#This Row],[INVENTAIRE.Quantite]]="",RAPPORT_FINAL[[#This Row],[INVENTAIRE.Prix_vente]]=""),"",RAPPORT_FINAL[[#This Row],[INVENTAIRE.Quantite]]*RAPPORT_FINAL[[#This Row],[INVENTAIRE.Prix_vente]])</f>
        <v>24500</v>
      </c>
      <c r="V18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5</v>
      </c>
      <c r="W183" s="24">
        <f>RAPPORT_FINAL[[#This Row],[INVENTAIRE.Prix_cout]]</f>
        <v>1245.1923076923076</v>
      </c>
      <c r="X183" s="85">
        <f>RAPPORT_FINAL[[#This Row],[INVENTAIRE_THEORIQUE]]*RAPPORT_FINAL[[#This Row],[INVENTAIRE_THEORIQUE.Prix_cout]]</f>
        <v>6225.9615384615381</v>
      </c>
      <c r="Y183" s="85">
        <f>RAPPORT_FINAL[[#This Row],[INVENTAIRE.Prix_vente]]</f>
        <v>3500</v>
      </c>
      <c r="Z183" s="85">
        <f>RAPPORT_FINAL[[#This Row],[INVENTAIRE_THEORIQUE]]*RAPPORT_FINAL[[#This Row],[INVENTAIRE_THEORIQUE.Prix_vente]]</f>
        <v>17500</v>
      </c>
      <c r="AA183" s="85">
        <f>RAPPORT_FINAL[[#This Row],[INVENTAIRE.Quantite]]-RAPPORT_FINAL[[#This Row],[INVENTAIRE_THEORIQUE]]</f>
        <v>2</v>
      </c>
      <c r="AB183" s="90">
        <f>IFERROR(RAPPORT_FINAL[[#This Row],[ECART.Total_cout]]/RAPPORT_FINAL[[#This Row],[ECART.Quantite]],0)</f>
        <v>1245.1923076923076</v>
      </c>
      <c r="AC183" s="91">
        <f>IFERROR(RAPPORT_FINAL[[#This Row],[ECART.Quantite]]*RAPPORT_FINAL[[#This Row],[INVENTAIRE.Prix_cout]],"")</f>
        <v>2490.3846153846152</v>
      </c>
      <c r="AD183" s="83">
        <f>IFERROR(RAPPORT_FINAL[[#This Row],[ECART.Total_vente]]/RAPPORT_FINAL[[#This Row],[ECART.Quantite]],0)</f>
        <v>3500</v>
      </c>
      <c r="AE183" s="92">
        <f>IFERROR(RAPPORT_FINAL[[#This Row],[ECART.Quantite]]*RAPPORT_FINAL[[#This Row],[INVENTAIRE.Prix_vente]],"")</f>
        <v>7000</v>
      </c>
    </row>
    <row r="184" spans="1:31" hidden="1" x14ac:dyDescent="0.25">
      <c r="A184" s="83" t="s">
        <v>30</v>
      </c>
      <c r="B184" s="3" t="s">
        <v>71</v>
      </c>
      <c r="C184" s="80" t="s">
        <v>285</v>
      </c>
      <c r="D184" s="3" t="s">
        <v>29</v>
      </c>
      <c r="E184" s="31" t="s">
        <v>168</v>
      </c>
      <c r="F184" s="85" cm="1">
        <f t="array" ref="F18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</v>
      </c>
      <c r="G184" s="80" cm="1">
        <f t="array" ref="G18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937.5</v>
      </c>
      <c r="H184" s="80">
        <f>IF(RAPPORT_FINAL[[#This Row],[INVENTAIRE_PREC.Prix_vente]]="","",RAPPORT_FINAL[[#This Row],[INVENTAIRE_PREC.Quantite]]*RAPPORT_FINAL[[#This Row],[INVENTAIRE_PREC.Prix_cout]])</f>
        <v>4687.5</v>
      </c>
      <c r="I184" s="83" cm="1">
        <f t="array" ref="I18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937.5</v>
      </c>
      <c r="J184" s="88">
        <f>IF(RAPPORT_FINAL[[#This Row],[INVENTAIRE_PREC.Prix_vente]]="","",RAPPORT_FINAL[[#This Row],[INVENTAIRE_PREC.Quantite]]*RAPPORT_FINAL[[#This Row],[INVENTAIRE_PREC.Prix_vente]])</f>
        <v>4687.5</v>
      </c>
      <c r="K184" s="24">
        <v>8</v>
      </c>
      <c r="L184" s="11">
        <v>1437.5</v>
      </c>
      <c r="M184" s="25">
        <v>11500</v>
      </c>
      <c r="N184" s="24">
        <v>8</v>
      </c>
      <c r="O184" s="11">
        <v>2187.5</v>
      </c>
      <c r="P184" s="25">
        <v>17500</v>
      </c>
      <c r="Q184" s="85">
        <v>7</v>
      </c>
      <c r="R184" s="80" cm="1">
        <f t="array" ref="R18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1245.1923076923076</v>
      </c>
      <c r="S184" s="80">
        <f>RAPPORT_FINAL[[#This Row],[INVENTAIRE.Quantite]]*RAPPORT_FINAL[[#This Row],[INVENTAIRE.Prix_cout]]</f>
        <v>8716.3461538461524</v>
      </c>
      <c r="T184" s="83" cm="1">
        <f t="array" ref="T18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184" s="88">
        <f>IF(OR(RAPPORT_FINAL[[#This Row],[INVENTAIRE.Quantite]]="",RAPPORT_FINAL[[#This Row],[INVENTAIRE.Prix_vente]]=""),"",RAPPORT_FINAL[[#This Row],[INVENTAIRE.Quantite]]*RAPPORT_FINAL[[#This Row],[INVENTAIRE.Prix_vente]])</f>
        <v>24500</v>
      </c>
      <c r="V18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5</v>
      </c>
      <c r="W184" s="24">
        <f>RAPPORT_FINAL[[#This Row],[INVENTAIRE.Prix_cout]]</f>
        <v>1245.1923076923076</v>
      </c>
      <c r="X184" s="85">
        <f>RAPPORT_FINAL[[#This Row],[INVENTAIRE_THEORIQUE]]*RAPPORT_FINAL[[#This Row],[INVENTAIRE_THEORIQUE.Prix_cout]]</f>
        <v>6225.9615384615381</v>
      </c>
      <c r="Y184" s="85">
        <f>RAPPORT_FINAL[[#This Row],[INVENTAIRE.Prix_vente]]</f>
        <v>3500</v>
      </c>
      <c r="Z184" s="85">
        <f>RAPPORT_FINAL[[#This Row],[INVENTAIRE_THEORIQUE]]*RAPPORT_FINAL[[#This Row],[INVENTAIRE_THEORIQUE.Prix_vente]]</f>
        <v>17500</v>
      </c>
      <c r="AA184" s="85">
        <f>RAPPORT_FINAL[[#This Row],[INVENTAIRE.Quantite]]-RAPPORT_FINAL[[#This Row],[INVENTAIRE_THEORIQUE]]</f>
        <v>2</v>
      </c>
      <c r="AB184" s="90">
        <f>IFERROR(RAPPORT_FINAL[[#This Row],[ECART.Total_cout]]/RAPPORT_FINAL[[#This Row],[ECART.Quantite]],0)</f>
        <v>1245.1923076923076</v>
      </c>
      <c r="AC184" s="91">
        <f>IFERROR(RAPPORT_FINAL[[#This Row],[ECART.Quantite]]*RAPPORT_FINAL[[#This Row],[INVENTAIRE.Prix_cout]],"")</f>
        <v>2490.3846153846152</v>
      </c>
      <c r="AD184" s="83">
        <f>IFERROR(RAPPORT_FINAL[[#This Row],[ECART.Total_vente]]/RAPPORT_FINAL[[#This Row],[ECART.Quantite]],0)</f>
        <v>3500</v>
      </c>
      <c r="AE184" s="92">
        <f>IFERROR(RAPPORT_FINAL[[#This Row],[ECART.Quantite]]*RAPPORT_FINAL[[#This Row],[INVENTAIRE.Prix_vente]],"")</f>
        <v>7000</v>
      </c>
    </row>
    <row r="185" spans="1:31" hidden="1" x14ac:dyDescent="0.25">
      <c r="A185" s="83" t="s">
        <v>30</v>
      </c>
      <c r="B185" s="3" t="s">
        <v>71</v>
      </c>
      <c r="C185" s="80" t="s">
        <v>284</v>
      </c>
      <c r="D185" s="3" t="s">
        <v>23</v>
      </c>
      <c r="E185" s="31" t="s">
        <v>96</v>
      </c>
      <c r="F185" s="85" cm="1">
        <f t="array" ref="F18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</v>
      </c>
      <c r="G185" s="80" cm="1">
        <f t="array" ref="G18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159.1</v>
      </c>
      <c r="H185" s="80">
        <f>IF(RAPPORT_FINAL[[#This Row],[INVENTAIRE_PREC.Prix_vente]]="","",RAPPORT_FINAL[[#This Row],[INVENTAIRE_PREC.Quantite]]*RAPPORT_FINAL[[#This Row],[INVENTAIRE_PREC.Prix_cout]])</f>
        <v>795.5</v>
      </c>
      <c r="I185" s="83" cm="1">
        <f t="array" ref="I18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159.1</v>
      </c>
      <c r="J185" s="88">
        <f>IF(RAPPORT_FINAL[[#This Row],[INVENTAIRE_PREC.Prix_vente]]="","",RAPPORT_FINAL[[#This Row],[INVENTAIRE_PREC.Quantite]]*RAPPORT_FINAL[[#This Row],[INVENTAIRE_PREC.Prix_vente]])</f>
        <v>795.5</v>
      </c>
      <c r="K185" s="24">
        <v>6</v>
      </c>
      <c r="L185" s="11">
        <v>166.66666666666666</v>
      </c>
      <c r="M185" s="25">
        <v>1000</v>
      </c>
      <c r="N185" s="24">
        <v>9</v>
      </c>
      <c r="O185" s="11">
        <v>500</v>
      </c>
      <c r="P185" s="25">
        <v>4500</v>
      </c>
      <c r="Q185" s="85">
        <v>4</v>
      </c>
      <c r="R185" s="80" cm="1">
        <f t="array" ref="R18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163.22727272727272</v>
      </c>
      <c r="S185" s="80">
        <f>RAPPORT_FINAL[[#This Row],[INVENTAIRE.Quantite]]*RAPPORT_FINAL[[#This Row],[INVENTAIRE.Prix_cout]]</f>
        <v>652.90909090909088</v>
      </c>
      <c r="T185" s="83" cm="1">
        <f t="array" ref="T18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185" s="88">
        <f>IF(OR(RAPPORT_FINAL[[#This Row],[INVENTAIRE.Quantite]]="",RAPPORT_FINAL[[#This Row],[INVENTAIRE.Prix_vente]]=""),"",RAPPORT_FINAL[[#This Row],[INVENTAIRE.Quantite]]*RAPPORT_FINAL[[#This Row],[INVENTAIRE.Prix_vente]])</f>
        <v>2000</v>
      </c>
      <c r="V18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185" s="24">
        <f>RAPPORT_FINAL[[#This Row],[INVENTAIRE.Prix_cout]]</f>
        <v>163.22727272727272</v>
      </c>
      <c r="X185" s="85">
        <f>RAPPORT_FINAL[[#This Row],[INVENTAIRE_THEORIQUE]]*RAPPORT_FINAL[[#This Row],[INVENTAIRE_THEORIQUE.Prix_cout]]</f>
        <v>326.45454545454544</v>
      </c>
      <c r="Y185" s="85">
        <f>RAPPORT_FINAL[[#This Row],[INVENTAIRE.Prix_vente]]</f>
        <v>500</v>
      </c>
      <c r="Z185" s="85">
        <f>RAPPORT_FINAL[[#This Row],[INVENTAIRE_THEORIQUE]]*RAPPORT_FINAL[[#This Row],[INVENTAIRE_THEORIQUE.Prix_vente]]</f>
        <v>1000</v>
      </c>
      <c r="AA185" s="85">
        <f>RAPPORT_FINAL[[#This Row],[INVENTAIRE.Quantite]]-RAPPORT_FINAL[[#This Row],[INVENTAIRE_THEORIQUE]]</f>
        <v>2</v>
      </c>
      <c r="AB185" s="90">
        <f>IFERROR(RAPPORT_FINAL[[#This Row],[ECART.Total_cout]]/RAPPORT_FINAL[[#This Row],[ECART.Quantite]],0)</f>
        <v>163.22727272727272</v>
      </c>
      <c r="AC185" s="91">
        <f>IFERROR(RAPPORT_FINAL[[#This Row],[ECART.Quantite]]*RAPPORT_FINAL[[#This Row],[INVENTAIRE.Prix_cout]],"")</f>
        <v>326.45454545454544</v>
      </c>
      <c r="AD185" s="83">
        <f>IFERROR(RAPPORT_FINAL[[#This Row],[ECART.Total_vente]]/RAPPORT_FINAL[[#This Row],[ECART.Quantite]],0)</f>
        <v>500</v>
      </c>
      <c r="AE185" s="92">
        <f>IFERROR(RAPPORT_FINAL[[#This Row],[ECART.Quantite]]*RAPPORT_FINAL[[#This Row],[INVENTAIRE.Prix_vente]],"")</f>
        <v>1000</v>
      </c>
    </row>
    <row r="186" spans="1:31" hidden="1" x14ac:dyDescent="0.25">
      <c r="A186" s="83" t="s">
        <v>30</v>
      </c>
      <c r="B186" s="3" t="s">
        <v>71</v>
      </c>
      <c r="C186" s="80" t="s">
        <v>284</v>
      </c>
      <c r="D186" s="3" t="s">
        <v>23</v>
      </c>
      <c r="E186" s="31" t="s">
        <v>96</v>
      </c>
      <c r="F186" s="85" cm="1">
        <f t="array" ref="F18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</v>
      </c>
      <c r="G186" s="80" cm="1">
        <f t="array" ref="G18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159.1</v>
      </c>
      <c r="H186" s="80">
        <f>IF(RAPPORT_FINAL[[#This Row],[INVENTAIRE_PREC.Prix_vente]]="","",RAPPORT_FINAL[[#This Row],[INVENTAIRE_PREC.Quantite]]*RAPPORT_FINAL[[#This Row],[INVENTAIRE_PREC.Prix_cout]])</f>
        <v>795.5</v>
      </c>
      <c r="I186" s="83" cm="1">
        <f t="array" ref="I18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159.1</v>
      </c>
      <c r="J186" s="88">
        <f>IF(RAPPORT_FINAL[[#This Row],[INVENTAIRE_PREC.Prix_vente]]="","",RAPPORT_FINAL[[#This Row],[INVENTAIRE_PREC.Quantite]]*RAPPORT_FINAL[[#This Row],[INVENTAIRE_PREC.Prix_vente]])</f>
        <v>795.5</v>
      </c>
      <c r="K186" s="24">
        <v>6</v>
      </c>
      <c r="L186" s="11">
        <v>166.66666666666666</v>
      </c>
      <c r="M186" s="25">
        <v>1000</v>
      </c>
      <c r="N186" s="24">
        <v>9</v>
      </c>
      <c r="O186" s="11">
        <v>500</v>
      </c>
      <c r="P186" s="25">
        <v>4500</v>
      </c>
      <c r="Q186" s="85">
        <v>4</v>
      </c>
      <c r="R186" s="80" cm="1">
        <f t="array" ref="R18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163.22727272727272</v>
      </c>
      <c r="S186" s="80">
        <f>RAPPORT_FINAL[[#This Row],[INVENTAIRE.Quantite]]*RAPPORT_FINAL[[#This Row],[INVENTAIRE.Prix_cout]]</f>
        <v>652.90909090909088</v>
      </c>
      <c r="T186" s="83" cm="1">
        <f t="array" ref="T18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186" s="88">
        <f>IF(OR(RAPPORT_FINAL[[#This Row],[INVENTAIRE.Quantite]]="",RAPPORT_FINAL[[#This Row],[INVENTAIRE.Prix_vente]]=""),"",RAPPORT_FINAL[[#This Row],[INVENTAIRE.Quantite]]*RAPPORT_FINAL[[#This Row],[INVENTAIRE.Prix_vente]])</f>
        <v>2000</v>
      </c>
      <c r="V18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186" s="24">
        <f>RAPPORT_FINAL[[#This Row],[INVENTAIRE.Prix_cout]]</f>
        <v>163.22727272727272</v>
      </c>
      <c r="X186" s="85">
        <f>RAPPORT_FINAL[[#This Row],[INVENTAIRE_THEORIQUE]]*RAPPORT_FINAL[[#This Row],[INVENTAIRE_THEORIQUE.Prix_cout]]</f>
        <v>326.45454545454544</v>
      </c>
      <c r="Y186" s="85">
        <f>RAPPORT_FINAL[[#This Row],[INVENTAIRE.Prix_vente]]</f>
        <v>500</v>
      </c>
      <c r="Z186" s="85">
        <f>RAPPORT_FINAL[[#This Row],[INVENTAIRE_THEORIQUE]]*RAPPORT_FINAL[[#This Row],[INVENTAIRE_THEORIQUE.Prix_vente]]</f>
        <v>1000</v>
      </c>
      <c r="AA186" s="85">
        <f>RAPPORT_FINAL[[#This Row],[INVENTAIRE.Quantite]]-RAPPORT_FINAL[[#This Row],[INVENTAIRE_THEORIQUE]]</f>
        <v>2</v>
      </c>
      <c r="AB186" s="90">
        <f>IFERROR(RAPPORT_FINAL[[#This Row],[ECART.Total_cout]]/RAPPORT_FINAL[[#This Row],[ECART.Quantite]],0)</f>
        <v>163.22727272727272</v>
      </c>
      <c r="AC186" s="91">
        <f>IFERROR(RAPPORT_FINAL[[#This Row],[ECART.Quantite]]*RAPPORT_FINAL[[#This Row],[INVENTAIRE.Prix_cout]],"")</f>
        <v>326.45454545454544</v>
      </c>
      <c r="AD186" s="83">
        <f>IFERROR(RAPPORT_FINAL[[#This Row],[ECART.Total_vente]]/RAPPORT_FINAL[[#This Row],[ECART.Quantite]],0)</f>
        <v>500</v>
      </c>
      <c r="AE186" s="92">
        <f>IFERROR(RAPPORT_FINAL[[#This Row],[ECART.Quantite]]*RAPPORT_FINAL[[#This Row],[INVENTAIRE.Prix_vente]],"")</f>
        <v>1000</v>
      </c>
    </row>
    <row r="187" spans="1:31" hidden="1" x14ac:dyDescent="0.25">
      <c r="A187" s="83" t="s">
        <v>30</v>
      </c>
      <c r="B187" s="3" t="s">
        <v>71</v>
      </c>
      <c r="C187" s="80" t="s">
        <v>284</v>
      </c>
      <c r="D187" s="3" t="s">
        <v>23</v>
      </c>
      <c r="E187" s="31" t="s">
        <v>96</v>
      </c>
      <c r="F187" s="85" cm="1">
        <f t="array" ref="F18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</v>
      </c>
      <c r="G187" s="80" cm="1">
        <f t="array" ref="G18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159.1</v>
      </c>
      <c r="H187" s="80">
        <f>IF(RAPPORT_FINAL[[#This Row],[INVENTAIRE_PREC.Prix_vente]]="","",RAPPORT_FINAL[[#This Row],[INVENTAIRE_PREC.Quantite]]*RAPPORT_FINAL[[#This Row],[INVENTAIRE_PREC.Prix_cout]])</f>
        <v>795.5</v>
      </c>
      <c r="I187" s="83" cm="1">
        <f t="array" ref="I18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159.1</v>
      </c>
      <c r="J187" s="88">
        <f>IF(RAPPORT_FINAL[[#This Row],[INVENTAIRE_PREC.Prix_vente]]="","",RAPPORT_FINAL[[#This Row],[INVENTAIRE_PREC.Quantite]]*RAPPORT_FINAL[[#This Row],[INVENTAIRE_PREC.Prix_vente]])</f>
        <v>795.5</v>
      </c>
      <c r="K187" s="24">
        <v>6</v>
      </c>
      <c r="L187" s="11">
        <v>166.66666666666666</v>
      </c>
      <c r="M187" s="25">
        <v>1000</v>
      </c>
      <c r="N187" s="24">
        <v>17</v>
      </c>
      <c r="O187" s="11">
        <v>264.70588235294116</v>
      </c>
      <c r="P187" s="25">
        <v>4500</v>
      </c>
      <c r="Q187" s="85">
        <v>4</v>
      </c>
      <c r="R187" s="80" cm="1">
        <f t="array" ref="R18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163.22727272727272</v>
      </c>
      <c r="S187" s="80">
        <f>RAPPORT_FINAL[[#This Row],[INVENTAIRE.Quantite]]*RAPPORT_FINAL[[#This Row],[INVENTAIRE.Prix_cout]]</f>
        <v>652.90909090909088</v>
      </c>
      <c r="T187" s="83" cm="1">
        <f t="array" ref="T18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187" s="88">
        <f>IF(OR(RAPPORT_FINAL[[#This Row],[INVENTAIRE.Quantite]]="",RAPPORT_FINAL[[#This Row],[INVENTAIRE.Prix_vente]]=""),"",RAPPORT_FINAL[[#This Row],[INVENTAIRE.Quantite]]*RAPPORT_FINAL[[#This Row],[INVENTAIRE.Prix_vente]])</f>
        <v>2000</v>
      </c>
      <c r="V18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-6</v>
      </c>
      <c r="W187" s="24">
        <f>RAPPORT_FINAL[[#This Row],[INVENTAIRE.Prix_cout]]</f>
        <v>163.22727272727272</v>
      </c>
      <c r="X187" s="85">
        <f>RAPPORT_FINAL[[#This Row],[INVENTAIRE_THEORIQUE]]*RAPPORT_FINAL[[#This Row],[INVENTAIRE_THEORIQUE.Prix_cout]]</f>
        <v>-979.36363636363626</v>
      </c>
      <c r="Y187" s="85">
        <f>RAPPORT_FINAL[[#This Row],[INVENTAIRE.Prix_vente]]</f>
        <v>500</v>
      </c>
      <c r="Z187" s="85">
        <f>RAPPORT_FINAL[[#This Row],[INVENTAIRE_THEORIQUE]]*RAPPORT_FINAL[[#This Row],[INVENTAIRE_THEORIQUE.Prix_vente]]</f>
        <v>-3000</v>
      </c>
      <c r="AA187" s="85">
        <f>RAPPORT_FINAL[[#This Row],[INVENTAIRE.Quantite]]-RAPPORT_FINAL[[#This Row],[INVENTAIRE_THEORIQUE]]</f>
        <v>10</v>
      </c>
      <c r="AB187" s="90">
        <f>IFERROR(RAPPORT_FINAL[[#This Row],[ECART.Total_cout]]/RAPPORT_FINAL[[#This Row],[ECART.Quantite]],0)</f>
        <v>163.22727272727272</v>
      </c>
      <c r="AC187" s="91">
        <f>IFERROR(RAPPORT_FINAL[[#This Row],[ECART.Quantite]]*RAPPORT_FINAL[[#This Row],[INVENTAIRE.Prix_cout]],"")</f>
        <v>1632.2727272727273</v>
      </c>
      <c r="AD187" s="83">
        <f>IFERROR(RAPPORT_FINAL[[#This Row],[ECART.Total_vente]]/RAPPORT_FINAL[[#This Row],[ECART.Quantite]],0)</f>
        <v>500</v>
      </c>
      <c r="AE187" s="92">
        <f>IFERROR(RAPPORT_FINAL[[#This Row],[ECART.Quantite]]*RAPPORT_FINAL[[#This Row],[INVENTAIRE.Prix_vente]],"")</f>
        <v>5000</v>
      </c>
    </row>
    <row r="188" spans="1:31" hidden="1" x14ac:dyDescent="0.25">
      <c r="A188" s="83" t="s">
        <v>30</v>
      </c>
      <c r="B188" s="3" t="s">
        <v>71</v>
      </c>
      <c r="C188" s="80" t="s">
        <v>284</v>
      </c>
      <c r="D188" s="3" t="s">
        <v>23</v>
      </c>
      <c r="E188" s="31" t="s">
        <v>96</v>
      </c>
      <c r="F188" s="85" cm="1">
        <f t="array" ref="F18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</v>
      </c>
      <c r="G188" s="80" cm="1">
        <f t="array" ref="G18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159.1</v>
      </c>
      <c r="H188" s="80">
        <f>IF(RAPPORT_FINAL[[#This Row],[INVENTAIRE_PREC.Prix_vente]]="","",RAPPORT_FINAL[[#This Row],[INVENTAIRE_PREC.Quantite]]*RAPPORT_FINAL[[#This Row],[INVENTAIRE_PREC.Prix_cout]])</f>
        <v>795.5</v>
      </c>
      <c r="I188" s="83" cm="1">
        <f t="array" ref="I18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159.1</v>
      </c>
      <c r="J188" s="88">
        <f>IF(RAPPORT_FINAL[[#This Row],[INVENTAIRE_PREC.Prix_vente]]="","",RAPPORT_FINAL[[#This Row],[INVENTAIRE_PREC.Quantite]]*RAPPORT_FINAL[[#This Row],[INVENTAIRE_PREC.Prix_vente]])</f>
        <v>795.5</v>
      </c>
      <c r="K188" s="24">
        <v>6</v>
      </c>
      <c r="L188" s="11">
        <v>166.66666666666666</v>
      </c>
      <c r="M188" s="25">
        <v>1000</v>
      </c>
      <c r="N188" s="24">
        <v>17</v>
      </c>
      <c r="O188" s="11">
        <v>264.70588235294116</v>
      </c>
      <c r="P188" s="25">
        <v>4500</v>
      </c>
      <c r="Q188" s="85">
        <v>4</v>
      </c>
      <c r="R188" s="80" cm="1">
        <f t="array" ref="R18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163.22727272727272</v>
      </c>
      <c r="S188" s="80">
        <f>RAPPORT_FINAL[[#This Row],[INVENTAIRE.Quantite]]*RAPPORT_FINAL[[#This Row],[INVENTAIRE.Prix_cout]]</f>
        <v>652.90909090909088</v>
      </c>
      <c r="T188" s="83" cm="1">
        <f t="array" ref="T18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188" s="88">
        <f>IF(OR(RAPPORT_FINAL[[#This Row],[INVENTAIRE.Quantite]]="",RAPPORT_FINAL[[#This Row],[INVENTAIRE.Prix_vente]]=""),"",RAPPORT_FINAL[[#This Row],[INVENTAIRE.Quantite]]*RAPPORT_FINAL[[#This Row],[INVENTAIRE.Prix_vente]])</f>
        <v>2000</v>
      </c>
      <c r="V18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-6</v>
      </c>
      <c r="W188" s="24">
        <f>RAPPORT_FINAL[[#This Row],[INVENTAIRE.Prix_cout]]</f>
        <v>163.22727272727272</v>
      </c>
      <c r="X188" s="85">
        <f>RAPPORT_FINAL[[#This Row],[INVENTAIRE_THEORIQUE]]*RAPPORT_FINAL[[#This Row],[INVENTAIRE_THEORIQUE.Prix_cout]]</f>
        <v>-979.36363636363626</v>
      </c>
      <c r="Y188" s="85">
        <f>RAPPORT_FINAL[[#This Row],[INVENTAIRE.Prix_vente]]</f>
        <v>500</v>
      </c>
      <c r="Z188" s="85">
        <f>RAPPORT_FINAL[[#This Row],[INVENTAIRE_THEORIQUE]]*RAPPORT_FINAL[[#This Row],[INVENTAIRE_THEORIQUE.Prix_vente]]</f>
        <v>-3000</v>
      </c>
      <c r="AA188" s="85">
        <f>RAPPORT_FINAL[[#This Row],[INVENTAIRE.Quantite]]-RAPPORT_FINAL[[#This Row],[INVENTAIRE_THEORIQUE]]</f>
        <v>10</v>
      </c>
      <c r="AB188" s="90">
        <f>IFERROR(RAPPORT_FINAL[[#This Row],[ECART.Total_cout]]/RAPPORT_FINAL[[#This Row],[ECART.Quantite]],0)</f>
        <v>163.22727272727272</v>
      </c>
      <c r="AC188" s="91">
        <f>IFERROR(RAPPORT_FINAL[[#This Row],[ECART.Quantite]]*RAPPORT_FINAL[[#This Row],[INVENTAIRE.Prix_cout]],"")</f>
        <v>1632.2727272727273</v>
      </c>
      <c r="AD188" s="83">
        <f>IFERROR(RAPPORT_FINAL[[#This Row],[ECART.Total_vente]]/RAPPORT_FINAL[[#This Row],[ECART.Quantite]],0)</f>
        <v>500</v>
      </c>
      <c r="AE188" s="92">
        <f>IFERROR(RAPPORT_FINAL[[#This Row],[ECART.Quantite]]*RAPPORT_FINAL[[#This Row],[INVENTAIRE.Prix_vente]],"")</f>
        <v>5000</v>
      </c>
    </row>
    <row r="189" spans="1:31" hidden="1" x14ac:dyDescent="0.25">
      <c r="A189" s="83" t="s">
        <v>30</v>
      </c>
      <c r="B189" s="3" t="s">
        <v>71</v>
      </c>
      <c r="C189" s="80" t="s">
        <v>284</v>
      </c>
      <c r="D189" s="3" t="s">
        <v>121</v>
      </c>
      <c r="E189" s="31" t="s">
        <v>122</v>
      </c>
      <c r="F189" s="85" cm="1">
        <f t="array" ref="F18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189" s="80" cm="1">
        <f t="array" ref="G18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189" s="80">
        <f>IF(RAPPORT_FINAL[[#This Row],[INVENTAIRE_PREC.Prix_vente]]="","",RAPPORT_FINAL[[#This Row],[INVENTAIRE_PREC.Quantite]]*RAPPORT_FINAL[[#This Row],[INVENTAIRE_PREC.Prix_cout]])</f>
        <v>0</v>
      </c>
      <c r="I189" s="83" cm="1">
        <f t="array" ref="I18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189" s="88">
        <f>IF(RAPPORT_FINAL[[#This Row],[INVENTAIRE_PREC.Prix_vente]]="","",RAPPORT_FINAL[[#This Row],[INVENTAIRE_PREC.Quantite]]*RAPPORT_FINAL[[#This Row],[INVENTAIRE_PREC.Prix_vente]])</f>
        <v>0</v>
      </c>
      <c r="K189" s="24">
        <v>20</v>
      </c>
      <c r="L189" s="11">
        <v>150</v>
      </c>
      <c r="M189" s="25">
        <v>3000</v>
      </c>
      <c r="N189" s="24">
        <v>6</v>
      </c>
      <c r="O189" s="11">
        <v>150</v>
      </c>
      <c r="P189" s="25">
        <v>900</v>
      </c>
      <c r="Q189" s="85">
        <v>17</v>
      </c>
      <c r="R189" s="80" cm="1">
        <f t="array" ref="R18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150</v>
      </c>
      <c r="S189" s="80">
        <f>RAPPORT_FINAL[[#This Row],[INVENTAIRE.Quantite]]*RAPPORT_FINAL[[#This Row],[INVENTAIRE.Prix_cout]]</f>
        <v>2550</v>
      </c>
      <c r="T189" s="83" cm="1">
        <f t="array" ref="T18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</v>
      </c>
      <c r="U189" s="88">
        <f>IF(OR(RAPPORT_FINAL[[#This Row],[INVENTAIRE.Quantite]]="",RAPPORT_FINAL[[#This Row],[INVENTAIRE.Prix_vente]]=""),"",RAPPORT_FINAL[[#This Row],[INVENTAIRE.Quantite]]*RAPPORT_FINAL[[#This Row],[INVENTAIRE.Prix_vente]])</f>
        <v>2550</v>
      </c>
      <c r="V18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14</v>
      </c>
      <c r="W189" s="24">
        <f>RAPPORT_FINAL[[#This Row],[INVENTAIRE.Prix_cout]]</f>
        <v>150</v>
      </c>
      <c r="X189" s="85">
        <f>RAPPORT_FINAL[[#This Row],[INVENTAIRE_THEORIQUE]]*RAPPORT_FINAL[[#This Row],[INVENTAIRE_THEORIQUE.Prix_cout]]</f>
        <v>2100</v>
      </c>
      <c r="Y189" s="85">
        <f>RAPPORT_FINAL[[#This Row],[INVENTAIRE.Prix_vente]]</f>
        <v>150</v>
      </c>
      <c r="Z189" s="85">
        <f>RAPPORT_FINAL[[#This Row],[INVENTAIRE_THEORIQUE]]*RAPPORT_FINAL[[#This Row],[INVENTAIRE_THEORIQUE.Prix_vente]]</f>
        <v>2100</v>
      </c>
      <c r="AA189" s="85">
        <f>RAPPORT_FINAL[[#This Row],[INVENTAIRE.Quantite]]-RAPPORT_FINAL[[#This Row],[INVENTAIRE_THEORIQUE]]</f>
        <v>3</v>
      </c>
      <c r="AB189" s="90">
        <f>IFERROR(RAPPORT_FINAL[[#This Row],[ECART.Total_cout]]/RAPPORT_FINAL[[#This Row],[ECART.Quantite]],0)</f>
        <v>150</v>
      </c>
      <c r="AC189" s="91">
        <f>IFERROR(RAPPORT_FINAL[[#This Row],[ECART.Quantite]]*RAPPORT_FINAL[[#This Row],[INVENTAIRE.Prix_cout]],"")</f>
        <v>450</v>
      </c>
      <c r="AD189" s="83">
        <f>IFERROR(RAPPORT_FINAL[[#This Row],[ECART.Total_vente]]/RAPPORT_FINAL[[#This Row],[ECART.Quantite]],0)</f>
        <v>150</v>
      </c>
      <c r="AE189" s="92">
        <f>IFERROR(RAPPORT_FINAL[[#This Row],[ECART.Quantite]]*RAPPORT_FINAL[[#This Row],[INVENTAIRE.Prix_vente]],"")</f>
        <v>450</v>
      </c>
    </row>
    <row r="190" spans="1:31" hidden="1" x14ac:dyDescent="0.25">
      <c r="A190" s="83" t="s">
        <v>30</v>
      </c>
      <c r="B190" s="3" t="s">
        <v>71</v>
      </c>
      <c r="C190" s="80" t="s">
        <v>284</v>
      </c>
      <c r="D190" s="3" t="s">
        <v>135</v>
      </c>
      <c r="E190" s="31" t="s">
        <v>145</v>
      </c>
      <c r="F190" s="85" cm="1">
        <f t="array" ref="F19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46</v>
      </c>
      <c r="G190" s="80" cm="1">
        <f t="array" ref="G19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83.34</v>
      </c>
      <c r="H190" s="80">
        <f>IF(RAPPORT_FINAL[[#This Row],[INVENTAIRE_PREC.Prix_vente]]="","",RAPPORT_FINAL[[#This Row],[INVENTAIRE_PREC.Quantite]]*RAPPORT_FINAL[[#This Row],[INVENTAIRE_PREC.Prix_cout]])</f>
        <v>3833.6400000000003</v>
      </c>
      <c r="I190" s="83" cm="1">
        <f t="array" ref="I19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83.34</v>
      </c>
      <c r="J190" s="88">
        <f>IF(RAPPORT_FINAL[[#This Row],[INVENTAIRE_PREC.Prix_vente]]="","",RAPPORT_FINAL[[#This Row],[INVENTAIRE_PREC.Quantite]]*RAPPORT_FINAL[[#This Row],[INVENTAIRE_PREC.Prix_vente]])</f>
        <v>3833.6400000000003</v>
      </c>
      <c r="K190" s="24">
        <v>60</v>
      </c>
      <c r="L190" s="11">
        <v>83.333333333333329</v>
      </c>
      <c r="M190" s="25">
        <v>5000</v>
      </c>
      <c r="N190" s="24">
        <v>14</v>
      </c>
      <c r="O190" s="11">
        <v>892.85714285714289</v>
      </c>
      <c r="P190" s="25">
        <v>12500</v>
      </c>
      <c r="Q190" s="85">
        <v>88</v>
      </c>
      <c r="R190" s="80" cm="1">
        <f t="array" ref="R19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83.33622641509433</v>
      </c>
      <c r="S190" s="80">
        <f>RAPPORT_FINAL[[#This Row],[INVENTAIRE.Quantite]]*RAPPORT_FINAL[[#This Row],[INVENTAIRE.Prix_cout]]</f>
        <v>7333.5879245283013</v>
      </c>
      <c r="T190" s="83" cm="1">
        <f t="array" ref="T19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190" s="88">
        <f>IF(OR(RAPPORT_FINAL[[#This Row],[INVENTAIRE.Quantite]]="",RAPPORT_FINAL[[#This Row],[INVENTAIRE.Prix_vente]]=""),"",RAPPORT_FINAL[[#This Row],[INVENTAIRE.Quantite]]*RAPPORT_FINAL[[#This Row],[INVENTAIRE.Prix_vente]])</f>
        <v>44000</v>
      </c>
      <c r="V19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92</v>
      </c>
      <c r="W190" s="24">
        <f>RAPPORT_FINAL[[#This Row],[INVENTAIRE.Prix_cout]]</f>
        <v>83.33622641509433</v>
      </c>
      <c r="X190" s="85">
        <f>RAPPORT_FINAL[[#This Row],[INVENTAIRE_THEORIQUE]]*RAPPORT_FINAL[[#This Row],[INVENTAIRE_THEORIQUE.Prix_cout]]</f>
        <v>7666.9328301886781</v>
      </c>
      <c r="Y190" s="85">
        <f>RAPPORT_FINAL[[#This Row],[INVENTAIRE.Prix_vente]]</f>
        <v>500</v>
      </c>
      <c r="Z190" s="85">
        <f>RAPPORT_FINAL[[#This Row],[INVENTAIRE_THEORIQUE]]*RAPPORT_FINAL[[#This Row],[INVENTAIRE_THEORIQUE.Prix_vente]]</f>
        <v>46000</v>
      </c>
      <c r="AA190" s="85">
        <f>RAPPORT_FINAL[[#This Row],[INVENTAIRE.Quantite]]-RAPPORT_FINAL[[#This Row],[INVENTAIRE_THEORIQUE]]</f>
        <v>-4</v>
      </c>
      <c r="AB190" s="90">
        <f>IFERROR(RAPPORT_FINAL[[#This Row],[ECART.Total_cout]]/RAPPORT_FINAL[[#This Row],[ECART.Quantite]],0)</f>
        <v>83.33622641509433</v>
      </c>
      <c r="AC190" s="91">
        <f>IFERROR(RAPPORT_FINAL[[#This Row],[ECART.Quantite]]*RAPPORT_FINAL[[#This Row],[INVENTAIRE.Prix_cout]],"")</f>
        <v>-333.34490566037732</v>
      </c>
      <c r="AD190" s="83">
        <f>IFERROR(RAPPORT_FINAL[[#This Row],[ECART.Total_vente]]/RAPPORT_FINAL[[#This Row],[ECART.Quantite]],0)</f>
        <v>500</v>
      </c>
      <c r="AE190" s="92">
        <f>IFERROR(RAPPORT_FINAL[[#This Row],[ECART.Quantite]]*RAPPORT_FINAL[[#This Row],[INVENTAIRE.Prix_vente]],"")</f>
        <v>-2000</v>
      </c>
    </row>
    <row r="191" spans="1:31" hidden="1" x14ac:dyDescent="0.25">
      <c r="A191" s="83" t="s">
        <v>30</v>
      </c>
      <c r="B191" s="3" t="s">
        <v>71</v>
      </c>
      <c r="C191" s="80" t="s">
        <v>284</v>
      </c>
      <c r="D191" s="3" t="s">
        <v>135</v>
      </c>
      <c r="E191" s="31" t="s">
        <v>145</v>
      </c>
      <c r="F191" s="85" cm="1">
        <f t="array" ref="F19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46</v>
      </c>
      <c r="G191" s="80" cm="1">
        <f t="array" ref="G19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83.34</v>
      </c>
      <c r="H191" s="80">
        <f>IF(RAPPORT_FINAL[[#This Row],[INVENTAIRE_PREC.Prix_vente]]="","",RAPPORT_FINAL[[#This Row],[INVENTAIRE_PREC.Quantite]]*RAPPORT_FINAL[[#This Row],[INVENTAIRE_PREC.Prix_cout]])</f>
        <v>3833.6400000000003</v>
      </c>
      <c r="I191" s="83" cm="1">
        <f t="array" ref="I19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83.34</v>
      </c>
      <c r="J191" s="88">
        <f>IF(RAPPORT_FINAL[[#This Row],[INVENTAIRE_PREC.Prix_vente]]="","",RAPPORT_FINAL[[#This Row],[INVENTAIRE_PREC.Quantite]]*RAPPORT_FINAL[[#This Row],[INVENTAIRE_PREC.Prix_vente]])</f>
        <v>3833.6400000000003</v>
      </c>
      <c r="K191" s="24">
        <v>60</v>
      </c>
      <c r="L191" s="11">
        <v>83.333333333333329</v>
      </c>
      <c r="M191" s="25">
        <v>5000</v>
      </c>
      <c r="N191" s="24">
        <v>14</v>
      </c>
      <c r="O191" s="11">
        <v>892.85714285714289</v>
      </c>
      <c r="P191" s="25">
        <v>12500</v>
      </c>
      <c r="Q191" s="85">
        <v>88</v>
      </c>
      <c r="R191" s="80" cm="1">
        <f t="array" ref="R19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83.33622641509433</v>
      </c>
      <c r="S191" s="80">
        <f>RAPPORT_FINAL[[#This Row],[INVENTAIRE.Quantite]]*RAPPORT_FINAL[[#This Row],[INVENTAIRE.Prix_cout]]</f>
        <v>7333.5879245283013</v>
      </c>
      <c r="T191" s="83" cm="1">
        <f t="array" ref="T19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191" s="88">
        <f>IF(OR(RAPPORT_FINAL[[#This Row],[INVENTAIRE.Quantite]]="",RAPPORT_FINAL[[#This Row],[INVENTAIRE.Prix_vente]]=""),"",RAPPORT_FINAL[[#This Row],[INVENTAIRE.Quantite]]*RAPPORT_FINAL[[#This Row],[INVENTAIRE.Prix_vente]])</f>
        <v>44000</v>
      </c>
      <c r="V19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92</v>
      </c>
      <c r="W191" s="24">
        <f>RAPPORT_FINAL[[#This Row],[INVENTAIRE.Prix_cout]]</f>
        <v>83.33622641509433</v>
      </c>
      <c r="X191" s="85">
        <f>RAPPORT_FINAL[[#This Row],[INVENTAIRE_THEORIQUE]]*RAPPORT_FINAL[[#This Row],[INVENTAIRE_THEORIQUE.Prix_cout]]</f>
        <v>7666.9328301886781</v>
      </c>
      <c r="Y191" s="85">
        <f>RAPPORT_FINAL[[#This Row],[INVENTAIRE.Prix_vente]]</f>
        <v>500</v>
      </c>
      <c r="Z191" s="85">
        <f>RAPPORT_FINAL[[#This Row],[INVENTAIRE_THEORIQUE]]*RAPPORT_FINAL[[#This Row],[INVENTAIRE_THEORIQUE.Prix_vente]]</f>
        <v>46000</v>
      </c>
      <c r="AA191" s="85">
        <f>RAPPORT_FINAL[[#This Row],[INVENTAIRE.Quantite]]-RAPPORT_FINAL[[#This Row],[INVENTAIRE_THEORIQUE]]</f>
        <v>-4</v>
      </c>
      <c r="AB191" s="90">
        <f>IFERROR(RAPPORT_FINAL[[#This Row],[ECART.Total_cout]]/RAPPORT_FINAL[[#This Row],[ECART.Quantite]],0)</f>
        <v>83.33622641509433</v>
      </c>
      <c r="AC191" s="91">
        <f>IFERROR(RAPPORT_FINAL[[#This Row],[ECART.Quantite]]*RAPPORT_FINAL[[#This Row],[INVENTAIRE.Prix_cout]],"")</f>
        <v>-333.34490566037732</v>
      </c>
      <c r="AD191" s="83">
        <f>IFERROR(RAPPORT_FINAL[[#This Row],[ECART.Total_vente]]/RAPPORT_FINAL[[#This Row],[ECART.Quantite]],0)</f>
        <v>500</v>
      </c>
      <c r="AE191" s="92">
        <f>IFERROR(RAPPORT_FINAL[[#This Row],[ECART.Quantite]]*RAPPORT_FINAL[[#This Row],[INVENTAIRE.Prix_vente]],"")</f>
        <v>-2000</v>
      </c>
    </row>
    <row r="192" spans="1:31" hidden="1" x14ac:dyDescent="0.25">
      <c r="A192" s="83" t="s">
        <v>30</v>
      </c>
      <c r="B192" s="3" t="s">
        <v>71</v>
      </c>
      <c r="C192" s="80" t="s">
        <v>284</v>
      </c>
      <c r="D192" s="3" t="s">
        <v>135</v>
      </c>
      <c r="E192" s="31" t="s">
        <v>145</v>
      </c>
      <c r="F192" s="85" cm="1">
        <f t="array" ref="F19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46</v>
      </c>
      <c r="G192" s="80" cm="1">
        <f t="array" ref="G19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83.34</v>
      </c>
      <c r="H192" s="80">
        <f>IF(RAPPORT_FINAL[[#This Row],[INVENTAIRE_PREC.Prix_vente]]="","",RAPPORT_FINAL[[#This Row],[INVENTAIRE_PREC.Quantite]]*RAPPORT_FINAL[[#This Row],[INVENTAIRE_PREC.Prix_cout]])</f>
        <v>3833.6400000000003</v>
      </c>
      <c r="I192" s="83" cm="1">
        <f t="array" ref="I19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83.34</v>
      </c>
      <c r="J192" s="88">
        <f>IF(RAPPORT_FINAL[[#This Row],[INVENTAIRE_PREC.Prix_vente]]="","",RAPPORT_FINAL[[#This Row],[INVENTAIRE_PREC.Quantite]]*RAPPORT_FINAL[[#This Row],[INVENTAIRE_PREC.Prix_vente]])</f>
        <v>3833.6400000000003</v>
      </c>
      <c r="K192" s="24">
        <v>60</v>
      </c>
      <c r="L192" s="11">
        <v>83.333333333333329</v>
      </c>
      <c r="M192" s="25">
        <v>5000</v>
      </c>
      <c r="N192" s="24">
        <v>28</v>
      </c>
      <c r="O192" s="11">
        <v>446.42857142857144</v>
      </c>
      <c r="P192" s="25">
        <v>12500</v>
      </c>
      <c r="Q192" s="85">
        <v>88</v>
      </c>
      <c r="R192" s="80" cm="1">
        <f t="array" ref="R19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83.33622641509433</v>
      </c>
      <c r="S192" s="80">
        <f>RAPPORT_FINAL[[#This Row],[INVENTAIRE.Quantite]]*RAPPORT_FINAL[[#This Row],[INVENTAIRE.Prix_cout]]</f>
        <v>7333.5879245283013</v>
      </c>
      <c r="T192" s="83" cm="1">
        <f t="array" ref="T19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192" s="88">
        <f>IF(OR(RAPPORT_FINAL[[#This Row],[INVENTAIRE.Quantite]]="",RAPPORT_FINAL[[#This Row],[INVENTAIRE.Prix_vente]]=""),"",RAPPORT_FINAL[[#This Row],[INVENTAIRE.Quantite]]*RAPPORT_FINAL[[#This Row],[INVENTAIRE.Prix_vente]])</f>
        <v>44000</v>
      </c>
      <c r="V19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78</v>
      </c>
      <c r="W192" s="24">
        <f>RAPPORT_FINAL[[#This Row],[INVENTAIRE.Prix_cout]]</f>
        <v>83.33622641509433</v>
      </c>
      <c r="X192" s="85">
        <f>RAPPORT_FINAL[[#This Row],[INVENTAIRE_THEORIQUE]]*RAPPORT_FINAL[[#This Row],[INVENTAIRE_THEORIQUE.Prix_cout]]</f>
        <v>6500.2256603773576</v>
      </c>
      <c r="Y192" s="85">
        <f>RAPPORT_FINAL[[#This Row],[INVENTAIRE.Prix_vente]]</f>
        <v>500</v>
      </c>
      <c r="Z192" s="85">
        <f>RAPPORT_FINAL[[#This Row],[INVENTAIRE_THEORIQUE]]*RAPPORT_FINAL[[#This Row],[INVENTAIRE_THEORIQUE.Prix_vente]]</f>
        <v>39000</v>
      </c>
      <c r="AA192" s="85">
        <f>RAPPORT_FINAL[[#This Row],[INVENTAIRE.Quantite]]-RAPPORT_FINAL[[#This Row],[INVENTAIRE_THEORIQUE]]</f>
        <v>10</v>
      </c>
      <c r="AB192" s="90">
        <f>IFERROR(RAPPORT_FINAL[[#This Row],[ECART.Total_cout]]/RAPPORT_FINAL[[#This Row],[ECART.Quantite]],0)</f>
        <v>83.33622641509433</v>
      </c>
      <c r="AC192" s="91">
        <f>IFERROR(RAPPORT_FINAL[[#This Row],[ECART.Quantite]]*RAPPORT_FINAL[[#This Row],[INVENTAIRE.Prix_cout]],"")</f>
        <v>833.36226415094325</v>
      </c>
      <c r="AD192" s="83">
        <f>IFERROR(RAPPORT_FINAL[[#This Row],[ECART.Total_vente]]/RAPPORT_FINAL[[#This Row],[ECART.Quantite]],0)</f>
        <v>500</v>
      </c>
      <c r="AE192" s="92">
        <f>IFERROR(RAPPORT_FINAL[[#This Row],[ECART.Quantite]]*RAPPORT_FINAL[[#This Row],[INVENTAIRE.Prix_vente]],"")</f>
        <v>5000</v>
      </c>
    </row>
    <row r="193" spans="1:31" hidden="1" x14ac:dyDescent="0.25">
      <c r="A193" s="83" t="s">
        <v>30</v>
      </c>
      <c r="B193" s="3" t="s">
        <v>71</v>
      </c>
      <c r="C193" s="80" t="s">
        <v>284</v>
      </c>
      <c r="D193" s="3" t="s">
        <v>135</v>
      </c>
      <c r="E193" s="31" t="s">
        <v>145</v>
      </c>
      <c r="F193" s="85" cm="1">
        <f t="array" ref="F19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46</v>
      </c>
      <c r="G193" s="80" cm="1">
        <f t="array" ref="G19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83.34</v>
      </c>
      <c r="H193" s="80">
        <f>IF(RAPPORT_FINAL[[#This Row],[INVENTAIRE_PREC.Prix_vente]]="","",RAPPORT_FINAL[[#This Row],[INVENTAIRE_PREC.Quantite]]*RAPPORT_FINAL[[#This Row],[INVENTAIRE_PREC.Prix_cout]])</f>
        <v>3833.6400000000003</v>
      </c>
      <c r="I193" s="83" cm="1">
        <f t="array" ref="I19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83.34</v>
      </c>
      <c r="J193" s="88">
        <f>IF(RAPPORT_FINAL[[#This Row],[INVENTAIRE_PREC.Prix_vente]]="","",RAPPORT_FINAL[[#This Row],[INVENTAIRE_PREC.Quantite]]*RAPPORT_FINAL[[#This Row],[INVENTAIRE_PREC.Prix_vente]])</f>
        <v>3833.6400000000003</v>
      </c>
      <c r="K193" s="24">
        <v>60</v>
      </c>
      <c r="L193" s="11">
        <v>83.333333333333329</v>
      </c>
      <c r="M193" s="25">
        <v>5000</v>
      </c>
      <c r="N193" s="24">
        <v>28</v>
      </c>
      <c r="O193" s="11">
        <v>446.42857142857144</v>
      </c>
      <c r="P193" s="25">
        <v>12500</v>
      </c>
      <c r="Q193" s="85">
        <v>88</v>
      </c>
      <c r="R193" s="80" cm="1">
        <f t="array" ref="R19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83.33622641509433</v>
      </c>
      <c r="S193" s="80">
        <f>RAPPORT_FINAL[[#This Row],[INVENTAIRE.Quantite]]*RAPPORT_FINAL[[#This Row],[INVENTAIRE.Prix_cout]]</f>
        <v>7333.5879245283013</v>
      </c>
      <c r="T193" s="83" cm="1">
        <f t="array" ref="T19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193" s="88">
        <f>IF(OR(RAPPORT_FINAL[[#This Row],[INVENTAIRE.Quantite]]="",RAPPORT_FINAL[[#This Row],[INVENTAIRE.Prix_vente]]=""),"",RAPPORT_FINAL[[#This Row],[INVENTAIRE.Quantite]]*RAPPORT_FINAL[[#This Row],[INVENTAIRE.Prix_vente]])</f>
        <v>44000</v>
      </c>
      <c r="V19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78</v>
      </c>
      <c r="W193" s="24">
        <f>RAPPORT_FINAL[[#This Row],[INVENTAIRE.Prix_cout]]</f>
        <v>83.33622641509433</v>
      </c>
      <c r="X193" s="85">
        <f>RAPPORT_FINAL[[#This Row],[INVENTAIRE_THEORIQUE]]*RAPPORT_FINAL[[#This Row],[INVENTAIRE_THEORIQUE.Prix_cout]]</f>
        <v>6500.2256603773576</v>
      </c>
      <c r="Y193" s="85">
        <f>RAPPORT_FINAL[[#This Row],[INVENTAIRE.Prix_vente]]</f>
        <v>500</v>
      </c>
      <c r="Z193" s="85">
        <f>RAPPORT_FINAL[[#This Row],[INVENTAIRE_THEORIQUE]]*RAPPORT_FINAL[[#This Row],[INVENTAIRE_THEORIQUE.Prix_vente]]</f>
        <v>39000</v>
      </c>
      <c r="AA193" s="85">
        <f>RAPPORT_FINAL[[#This Row],[INVENTAIRE.Quantite]]-RAPPORT_FINAL[[#This Row],[INVENTAIRE_THEORIQUE]]</f>
        <v>10</v>
      </c>
      <c r="AB193" s="90">
        <f>IFERROR(RAPPORT_FINAL[[#This Row],[ECART.Total_cout]]/RAPPORT_FINAL[[#This Row],[ECART.Quantite]],0)</f>
        <v>83.33622641509433</v>
      </c>
      <c r="AC193" s="91">
        <f>IFERROR(RAPPORT_FINAL[[#This Row],[ECART.Quantite]]*RAPPORT_FINAL[[#This Row],[INVENTAIRE.Prix_cout]],"")</f>
        <v>833.36226415094325</v>
      </c>
      <c r="AD193" s="83">
        <f>IFERROR(RAPPORT_FINAL[[#This Row],[ECART.Total_vente]]/RAPPORT_FINAL[[#This Row],[ECART.Quantite]],0)</f>
        <v>500</v>
      </c>
      <c r="AE193" s="92">
        <f>IFERROR(RAPPORT_FINAL[[#This Row],[ECART.Quantite]]*RAPPORT_FINAL[[#This Row],[INVENTAIRE.Prix_vente]],"")</f>
        <v>5000</v>
      </c>
    </row>
    <row r="194" spans="1:31" hidden="1" x14ac:dyDescent="0.25">
      <c r="A194" s="83" t="s">
        <v>30</v>
      </c>
      <c r="B194" s="3" t="s">
        <v>71</v>
      </c>
      <c r="C194" s="80" t="s">
        <v>284</v>
      </c>
      <c r="D194" s="3" t="s">
        <v>138</v>
      </c>
      <c r="E194" s="31" t="s">
        <v>143</v>
      </c>
      <c r="F194" s="85" cm="1">
        <f t="array" ref="F19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84</v>
      </c>
      <c r="G194" s="80" cm="1">
        <f t="array" ref="G19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100</v>
      </c>
      <c r="H194" s="80">
        <f>IF(RAPPORT_FINAL[[#This Row],[INVENTAIRE_PREC.Prix_vente]]="","",RAPPORT_FINAL[[#This Row],[INVENTAIRE_PREC.Quantite]]*RAPPORT_FINAL[[#This Row],[INVENTAIRE_PREC.Prix_cout]])</f>
        <v>8400</v>
      </c>
      <c r="I194" s="83" cm="1">
        <f t="array" ref="I19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</v>
      </c>
      <c r="J194" s="88">
        <f>IF(RAPPORT_FINAL[[#This Row],[INVENTAIRE_PREC.Prix_vente]]="","",RAPPORT_FINAL[[#This Row],[INVENTAIRE_PREC.Quantite]]*RAPPORT_FINAL[[#This Row],[INVENTAIRE_PREC.Prix_vente]])</f>
        <v>8400</v>
      </c>
      <c r="K194" s="24"/>
      <c r="L194" s="11"/>
      <c r="M194" s="25"/>
      <c r="N194" s="24">
        <v>6</v>
      </c>
      <c r="O194" s="11">
        <v>100</v>
      </c>
      <c r="P194" s="25">
        <v>600</v>
      </c>
      <c r="Q194" s="85">
        <v>73</v>
      </c>
      <c r="R194" s="80" cm="1">
        <f t="array" ref="R19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100</v>
      </c>
      <c r="S194" s="80">
        <f>RAPPORT_FINAL[[#This Row],[INVENTAIRE.Quantite]]*RAPPORT_FINAL[[#This Row],[INVENTAIRE.Prix_cout]]</f>
        <v>7300</v>
      </c>
      <c r="T194" s="83" cm="1">
        <f t="array" ref="T19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</v>
      </c>
      <c r="U194" s="88">
        <f>IF(OR(RAPPORT_FINAL[[#This Row],[INVENTAIRE.Quantite]]="",RAPPORT_FINAL[[#This Row],[INVENTAIRE.Prix_vente]]=""),"",RAPPORT_FINAL[[#This Row],[INVENTAIRE.Quantite]]*RAPPORT_FINAL[[#This Row],[INVENTAIRE.Prix_vente]])</f>
        <v>7300</v>
      </c>
      <c r="V19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78</v>
      </c>
      <c r="W194" s="24">
        <f>RAPPORT_FINAL[[#This Row],[INVENTAIRE.Prix_cout]]</f>
        <v>100</v>
      </c>
      <c r="X194" s="85">
        <f>RAPPORT_FINAL[[#This Row],[INVENTAIRE_THEORIQUE]]*RAPPORT_FINAL[[#This Row],[INVENTAIRE_THEORIQUE.Prix_cout]]</f>
        <v>7800</v>
      </c>
      <c r="Y194" s="85">
        <f>RAPPORT_FINAL[[#This Row],[INVENTAIRE.Prix_vente]]</f>
        <v>100</v>
      </c>
      <c r="Z194" s="85">
        <f>RAPPORT_FINAL[[#This Row],[INVENTAIRE_THEORIQUE]]*RAPPORT_FINAL[[#This Row],[INVENTAIRE_THEORIQUE.Prix_vente]]</f>
        <v>7800</v>
      </c>
      <c r="AA194" s="85">
        <f>RAPPORT_FINAL[[#This Row],[INVENTAIRE.Quantite]]-RAPPORT_FINAL[[#This Row],[INVENTAIRE_THEORIQUE]]</f>
        <v>-5</v>
      </c>
      <c r="AB194" s="90">
        <f>IFERROR(RAPPORT_FINAL[[#This Row],[ECART.Total_cout]]/RAPPORT_FINAL[[#This Row],[ECART.Quantite]],0)</f>
        <v>100</v>
      </c>
      <c r="AC194" s="91">
        <f>IFERROR(RAPPORT_FINAL[[#This Row],[ECART.Quantite]]*RAPPORT_FINAL[[#This Row],[INVENTAIRE.Prix_cout]],"")</f>
        <v>-500</v>
      </c>
      <c r="AD194" s="83">
        <f>IFERROR(RAPPORT_FINAL[[#This Row],[ECART.Total_vente]]/RAPPORT_FINAL[[#This Row],[ECART.Quantite]],0)</f>
        <v>100</v>
      </c>
      <c r="AE194" s="92">
        <f>IFERROR(RAPPORT_FINAL[[#This Row],[ECART.Quantite]]*RAPPORT_FINAL[[#This Row],[INVENTAIRE.Prix_vente]],"")</f>
        <v>-500</v>
      </c>
    </row>
    <row r="195" spans="1:31" hidden="1" x14ac:dyDescent="0.25">
      <c r="A195" s="83" t="s">
        <v>30</v>
      </c>
      <c r="B195" s="3" t="s">
        <v>71</v>
      </c>
      <c r="C195" s="80" t="s">
        <v>284</v>
      </c>
      <c r="D195" s="3" t="s">
        <v>138</v>
      </c>
      <c r="E195" s="31" t="s">
        <v>143</v>
      </c>
      <c r="F195" s="85" cm="1">
        <f t="array" ref="F19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84</v>
      </c>
      <c r="G195" s="80" cm="1">
        <f t="array" ref="G19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100</v>
      </c>
      <c r="H195" s="80">
        <f>IF(RAPPORT_FINAL[[#This Row],[INVENTAIRE_PREC.Prix_vente]]="","",RAPPORT_FINAL[[#This Row],[INVENTAIRE_PREC.Quantite]]*RAPPORT_FINAL[[#This Row],[INVENTAIRE_PREC.Prix_cout]])</f>
        <v>8400</v>
      </c>
      <c r="I195" s="83" cm="1">
        <f t="array" ref="I19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100</v>
      </c>
      <c r="J195" s="88">
        <f>IF(RAPPORT_FINAL[[#This Row],[INVENTAIRE_PREC.Prix_vente]]="","",RAPPORT_FINAL[[#This Row],[INVENTAIRE_PREC.Quantite]]*RAPPORT_FINAL[[#This Row],[INVENTAIRE_PREC.Prix_vente]])</f>
        <v>8400</v>
      </c>
      <c r="K195" s="24"/>
      <c r="L195" s="11"/>
      <c r="M195" s="25"/>
      <c r="N195" s="24">
        <v>6</v>
      </c>
      <c r="O195" s="11">
        <v>100</v>
      </c>
      <c r="P195" s="25">
        <v>600</v>
      </c>
      <c r="Q195" s="85">
        <v>73</v>
      </c>
      <c r="R195" s="80" cm="1">
        <f t="array" ref="R19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100</v>
      </c>
      <c r="S195" s="80">
        <f>RAPPORT_FINAL[[#This Row],[INVENTAIRE.Quantite]]*RAPPORT_FINAL[[#This Row],[INVENTAIRE.Prix_cout]]</f>
        <v>7300</v>
      </c>
      <c r="T195" s="83" cm="1">
        <f t="array" ref="T19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</v>
      </c>
      <c r="U195" s="88">
        <f>IF(OR(RAPPORT_FINAL[[#This Row],[INVENTAIRE.Quantite]]="",RAPPORT_FINAL[[#This Row],[INVENTAIRE.Prix_vente]]=""),"",RAPPORT_FINAL[[#This Row],[INVENTAIRE.Quantite]]*RAPPORT_FINAL[[#This Row],[INVENTAIRE.Prix_vente]])</f>
        <v>7300</v>
      </c>
      <c r="V19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78</v>
      </c>
      <c r="W195" s="24">
        <f>RAPPORT_FINAL[[#This Row],[INVENTAIRE.Prix_cout]]</f>
        <v>100</v>
      </c>
      <c r="X195" s="85">
        <f>RAPPORT_FINAL[[#This Row],[INVENTAIRE_THEORIQUE]]*RAPPORT_FINAL[[#This Row],[INVENTAIRE_THEORIQUE.Prix_cout]]</f>
        <v>7800</v>
      </c>
      <c r="Y195" s="85">
        <f>RAPPORT_FINAL[[#This Row],[INVENTAIRE.Prix_vente]]</f>
        <v>100</v>
      </c>
      <c r="Z195" s="85">
        <f>RAPPORT_FINAL[[#This Row],[INVENTAIRE_THEORIQUE]]*RAPPORT_FINAL[[#This Row],[INVENTAIRE_THEORIQUE.Prix_vente]]</f>
        <v>7800</v>
      </c>
      <c r="AA195" s="85">
        <f>RAPPORT_FINAL[[#This Row],[INVENTAIRE.Quantite]]-RAPPORT_FINAL[[#This Row],[INVENTAIRE_THEORIQUE]]</f>
        <v>-5</v>
      </c>
      <c r="AB195" s="90">
        <f>IFERROR(RAPPORT_FINAL[[#This Row],[ECART.Total_cout]]/RAPPORT_FINAL[[#This Row],[ECART.Quantite]],0)</f>
        <v>100</v>
      </c>
      <c r="AC195" s="91">
        <f>IFERROR(RAPPORT_FINAL[[#This Row],[ECART.Quantite]]*RAPPORT_FINAL[[#This Row],[INVENTAIRE.Prix_cout]],"")</f>
        <v>-500</v>
      </c>
      <c r="AD195" s="83">
        <f>IFERROR(RAPPORT_FINAL[[#This Row],[ECART.Total_vente]]/RAPPORT_FINAL[[#This Row],[ECART.Quantite]],0)</f>
        <v>100</v>
      </c>
      <c r="AE195" s="92">
        <f>IFERROR(RAPPORT_FINAL[[#This Row],[ECART.Quantite]]*RAPPORT_FINAL[[#This Row],[INVENTAIRE.Prix_vente]],"")</f>
        <v>-500</v>
      </c>
    </row>
    <row r="196" spans="1:31" hidden="1" x14ac:dyDescent="0.25">
      <c r="A196" s="83" t="s">
        <v>30</v>
      </c>
      <c r="B196" s="3" t="s">
        <v>71</v>
      </c>
      <c r="C196" s="80" t="s">
        <v>285</v>
      </c>
      <c r="D196" s="3" t="s">
        <v>29</v>
      </c>
      <c r="E196" s="31" t="s">
        <v>168</v>
      </c>
      <c r="F196" s="85" cm="1">
        <f t="array" ref="F19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</v>
      </c>
      <c r="G196" s="80" cm="1">
        <f t="array" ref="G19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937.5</v>
      </c>
      <c r="H196" s="80">
        <f>IF(RAPPORT_FINAL[[#This Row],[INVENTAIRE_PREC.Prix_vente]]="","",RAPPORT_FINAL[[#This Row],[INVENTAIRE_PREC.Quantite]]*RAPPORT_FINAL[[#This Row],[INVENTAIRE_PREC.Prix_cout]])</f>
        <v>4687.5</v>
      </c>
      <c r="I196" s="83" cm="1">
        <f t="array" ref="I19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937.5</v>
      </c>
      <c r="J196" s="88">
        <f>IF(RAPPORT_FINAL[[#This Row],[INVENTAIRE_PREC.Prix_vente]]="","",RAPPORT_FINAL[[#This Row],[INVENTAIRE_PREC.Quantite]]*RAPPORT_FINAL[[#This Row],[INVENTAIRE_PREC.Prix_vente]])</f>
        <v>4687.5</v>
      </c>
      <c r="K196" s="24">
        <v>8</v>
      </c>
      <c r="L196" s="11">
        <v>1437.5</v>
      </c>
      <c r="M196" s="25">
        <v>11500</v>
      </c>
      <c r="N196" s="24">
        <v>5</v>
      </c>
      <c r="O196" s="11">
        <v>3500</v>
      </c>
      <c r="P196" s="25">
        <v>17500</v>
      </c>
      <c r="Q196" s="85">
        <v>7</v>
      </c>
      <c r="R196" s="80" cm="1">
        <f t="array" ref="R19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1245.1923076923076</v>
      </c>
      <c r="S196" s="80">
        <f>RAPPORT_FINAL[[#This Row],[INVENTAIRE.Quantite]]*RAPPORT_FINAL[[#This Row],[INVENTAIRE.Prix_cout]]</f>
        <v>8716.3461538461524</v>
      </c>
      <c r="T196" s="83" cm="1">
        <f t="array" ref="T19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196" s="88">
        <f>IF(OR(RAPPORT_FINAL[[#This Row],[INVENTAIRE.Quantite]]="",RAPPORT_FINAL[[#This Row],[INVENTAIRE.Prix_vente]]=""),"",RAPPORT_FINAL[[#This Row],[INVENTAIRE.Quantite]]*RAPPORT_FINAL[[#This Row],[INVENTAIRE.Prix_vente]])</f>
        <v>24500</v>
      </c>
      <c r="V19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8</v>
      </c>
      <c r="W196" s="24">
        <f>RAPPORT_FINAL[[#This Row],[INVENTAIRE.Prix_cout]]</f>
        <v>1245.1923076923076</v>
      </c>
      <c r="X196" s="85">
        <f>RAPPORT_FINAL[[#This Row],[INVENTAIRE_THEORIQUE]]*RAPPORT_FINAL[[#This Row],[INVENTAIRE_THEORIQUE.Prix_cout]]</f>
        <v>9961.538461538461</v>
      </c>
      <c r="Y196" s="85">
        <f>RAPPORT_FINAL[[#This Row],[INVENTAIRE.Prix_vente]]</f>
        <v>3500</v>
      </c>
      <c r="Z196" s="85">
        <f>RAPPORT_FINAL[[#This Row],[INVENTAIRE_THEORIQUE]]*RAPPORT_FINAL[[#This Row],[INVENTAIRE_THEORIQUE.Prix_vente]]</f>
        <v>28000</v>
      </c>
      <c r="AA196" s="85">
        <f>RAPPORT_FINAL[[#This Row],[INVENTAIRE.Quantite]]-RAPPORT_FINAL[[#This Row],[INVENTAIRE_THEORIQUE]]</f>
        <v>-1</v>
      </c>
      <c r="AB196" s="90">
        <f>IFERROR(RAPPORT_FINAL[[#This Row],[ECART.Total_cout]]/RAPPORT_FINAL[[#This Row],[ECART.Quantite]],0)</f>
        <v>1245.1923076923076</v>
      </c>
      <c r="AC196" s="91">
        <f>IFERROR(RAPPORT_FINAL[[#This Row],[ECART.Quantite]]*RAPPORT_FINAL[[#This Row],[INVENTAIRE.Prix_cout]],"")</f>
        <v>-1245.1923076923076</v>
      </c>
      <c r="AD196" s="83">
        <f>IFERROR(RAPPORT_FINAL[[#This Row],[ECART.Total_vente]]/RAPPORT_FINAL[[#This Row],[ECART.Quantite]],0)</f>
        <v>3500</v>
      </c>
      <c r="AE196" s="92">
        <f>IFERROR(RAPPORT_FINAL[[#This Row],[ECART.Quantite]]*RAPPORT_FINAL[[#This Row],[INVENTAIRE.Prix_vente]],"")</f>
        <v>-3500</v>
      </c>
    </row>
    <row r="197" spans="1:31" hidden="1" x14ac:dyDescent="0.25">
      <c r="A197" s="83" t="s">
        <v>30</v>
      </c>
      <c r="B197" s="3" t="s">
        <v>71</v>
      </c>
      <c r="C197" s="80" t="s">
        <v>284</v>
      </c>
      <c r="D197" s="3" t="s">
        <v>139</v>
      </c>
      <c r="E197" s="31" t="s">
        <v>143</v>
      </c>
      <c r="F197" s="85" cm="1">
        <f t="array" ref="F19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92</v>
      </c>
      <c r="G197" s="80" cm="1">
        <f t="array" ref="G19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50</v>
      </c>
      <c r="H197" s="80">
        <f>IF(RAPPORT_FINAL[[#This Row],[INVENTAIRE_PREC.Prix_vente]]="","",RAPPORT_FINAL[[#This Row],[INVENTAIRE_PREC.Quantite]]*RAPPORT_FINAL[[#This Row],[INVENTAIRE_PREC.Prix_cout]])</f>
        <v>4600</v>
      </c>
      <c r="I197" s="83" cm="1">
        <f t="array" ref="I19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</v>
      </c>
      <c r="J197" s="88">
        <f>IF(RAPPORT_FINAL[[#This Row],[INVENTAIRE_PREC.Prix_vente]]="","",RAPPORT_FINAL[[#This Row],[INVENTAIRE_PREC.Quantite]]*RAPPORT_FINAL[[#This Row],[INVENTAIRE_PREC.Prix_vente]])</f>
        <v>4600</v>
      </c>
      <c r="K197" s="24"/>
      <c r="L197" s="11"/>
      <c r="M197" s="25"/>
      <c r="N197" s="24">
        <v>6</v>
      </c>
      <c r="O197" s="11">
        <v>50</v>
      </c>
      <c r="P197" s="25">
        <v>300</v>
      </c>
      <c r="Q197" s="85">
        <v>81</v>
      </c>
      <c r="R197" s="80" cm="1">
        <f t="array" ref="R19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50</v>
      </c>
      <c r="S197" s="80">
        <f>RAPPORT_FINAL[[#This Row],[INVENTAIRE.Quantite]]*RAPPORT_FINAL[[#This Row],[INVENTAIRE.Prix_cout]]</f>
        <v>4050</v>
      </c>
      <c r="T197" s="83" cm="1">
        <f t="array" ref="T19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</v>
      </c>
      <c r="U197" s="88">
        <f>IF(OR(RAPPORT_FINAL[[#This Row],[INVENTAIRE.Quantite]]="",RAPPORT_FINAL[[#This Row],[INVENTAIRE.Prix_vente]]=""),"",RAPPORT_FINAL[[#This Row],[INVENTAIRE.Quantite]]*RAPPORT_FINAL[[#This Row],[INVENTAIRE.Prix_vente]])</f>
        <v>4050</v>
      </c>
      <c r="V19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86</v>
      </c>
      <c r="W197" s="24">
        <f>RAPPORT_FINAL[[#This Row],[INVENTAIRE.Prix_cout]]</f>
        <v>50</v>
      </c>
      <c r="X197" s="85">
        <f>RAPPORT_FINAL[[#This Row],[INVENTAIRE_THEORIQUE]]*RAPPORT_FINAL[[#This Row],[INVENTAIRE_THEORIQUE.Prix_cout]]</f>
        <v>4300</v>
      </c>
      <c r="Y197" s="85">
        <f>RAPPORT_FINAL[[#This Row],[INVENTAIRE.Prix_vente]]</f>
        <v>50</v>
      </c>
      <c r="Z197" s="85">
        <f>RAPPORT_FINAL[[#This Row],[INVENTAIRE_THEORIQUE]]*RAPPORT_FINAL[[#This Row],[INVENTAIRE_THEORIQUE.Prix_vente]]</f>
        <v>4300</v>
      </c>
      <c r="AA197" s="85">
        <f>RAPPORT_FINAL[[#This Row],[INVENTAIRE.Quantite]]-RAPPORT_FINAL[[#This Row],[INVENTAIRE_THEORIQUE]]</f>
        <v>-5</v>
      </c>
      <c r="AB197" s="90">
        <f>IFERROR(RAPPORT_FINAL[[#This Row],[ECART.Total_cout]]/RAPPORT_FINAL[[#This Row],[ECART.Quantite]],0)</f>
        <v>50</v>
      </c>
      <c r="AC197" s="91">
        <f>IFERROR(RAPPORT_FINAL[[#This Row],[ECART.Quantite]]*RAPPORT_FINAL[[#This Row],[INVENTAIRE.Prix_cout]],"")</f>
        <v>-250</v>
      </c>
      <c r="AD197" s="83">
        <f>IFERROR(RAPPORT_FINAL[[#This Row],[ECART.Total_vente]]/RAPPORT_FINAL[[#This Row],[ECART.Quantite]],0)</f>
        <v>50</v>
      </c>
      <c r="AE197" s="92">
        <f>IFERROR(RAPPORT_FINAL[[#This Row],[ECART.Quantite]]*RAPPORT_FINAL[[#This Row],[INVENTAIRE.Prix_vente]],"")</f>
        <v>-250</v>
      </c>
    </row>
    <row r="198" spans="1:31" hidden="1" x14ac:dyDescent="0.25">
      <c r="A198" s="83" t="s">
        <v>30</v>
      </c>
      <c r="B198" s="3" t="s">
        <v>71</v>
      </c>
      <c r="C198" s="80" t="s">
        <v>285</v>
      </c>
      <c r="D198" s="3" t="s">
        <v>20</v>
      </c>
      <c r="E198" s="31" t="s">
        <v>93</v>
      </c>
      <c r="F198" s="85" cm="1">
        <f t="array" ref="F19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8</v>
      </c>
      <c r="G198" s="80" cm="1">
        <f t="array" ref="G19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83.34</v>
      </c>
      <c r="H198" s="80">
        <f>IF(RAPPORT_FINAL[[#This Row],[INVENTAIRE_PREC.Prix_vente]]="","",RAPPORT_FINAL[[#This Row],[INVENTAIRE_PREC.Quantite]]*RAPPORT_FINAL[[#This Row],[INVENTAIRE_PREC.Prix_cout]])</f>
        <v>666.72</v>
      </c>
      <c r="I198" s="83" cm="1">
        <f t="array" ref="I19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83.34</v>
      </c>
      <c r="J198" s="88">
        <f>IF(RAPPORT_FINAL[[#This Row],[INVENTAIRE_PREC.Prix_vente]]="","",RAPPORT_FINAL[[#This Row],[INVENTAIRE_PREC.Quantite]]*RAPPORT_FINAL[[#This Row],[INVENTAIRE_PREC.Prix_vente]])</f>
        <v>666.72</v>
      </c>
      <c r="K198" s="24"/>
      <c r="L198" s="11"/>
      <c r="M198" s="25"/>
      <c r="N198" s="24">
        <v>1</v>
      </c>
      <c r="O198" s="11">
        <v>2500</v>
      </c>
      <c r="P198" s="25">
        <v>2500</v>
      </c>
      <c r="Q198" s="85">
        <v>6</v>
      </c>
      <c r="R198" s="80" cm="1">
        <f t="array" ref="R19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83.34</v>
      </c>
      <c r="S198" s="80">
        <f>RAPPORT_FINAL[[#This Row],[INVENTAIRE.Quantite]]*RAPPORT_FINAL[[#This Row],[INVENTAIRE.Prix_cout]]</f>
        <v>500.04</v>
      </c>
      <c r="T198" s="83" cm="1">
        <f t="array" ref="T19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</v>
      </c>
      <c r="U198" s="88">
        <f>IF(OR(RAPPORT_FINAL[[#This Row],[INVENTAIRE.Quantite]]="",RAPPORT_FINAL[[#This Row],[INVENTAIRE.Prix_vente]]=""),"",RAPPORT_FINAL[[#This Row],[INVENTAIRE.Quantite]]*RAPPORT_FINAL[[#This Row],[INVENTAIRE.Prix_vente]])</f>
        <v>15000</v>
      </c>
      <c r="V19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</v>
      </c>
      <c r="W198" s="24">
        <f>RAPPORT_FINAL[[#This Row],[INVENTAIRE.Prix_cout]]</f>
        <v>83.34</v>
      </c>
      <c r="X198" s="85">
        <f>RAPPORT_FINAL[[#This Row],[INVENTAIRE_THEORIQUE]]*RAPPORT_FINAL[[#This Row],[INVENTAIRE_THEORIQUE.Prix_cout]]</f>
        <v>583.38</v>
      </c>
      <c r="Y198" s="85">
        <f>RAPPORT_FINAL[[#This Row],[INVENTAIRE.Prix_vente]]</f>
        <v>2500</v>
      </c>
      <c r="Z198" s="85">
        <f>RAPPORT_FINAL[[#This Row],[INVENTAIRE_THEORIQUE]]*RAPPORT_FINAL[[#This Row],[INVENTAIRE_THEORIQUE.Prix_vente]]</f>
        <v>17500</v>
      </c>
      <c r="AA198" s="85">
        <f>RAPPORT_FINAL[[#This Row],[INVENTAIRE.Quantite]]-RAPPORT_FINAL[[#This Row],[INVENTAIRE_THEORIQUE]]</f>
        <v>-1</v>
      </c>
      <c r="AB198" s="90">
        <f>IFERROR(RAPPORT_FINAL[[#This Row],[ECART.Total_cout]]/RAPPORT_FINAL[[#This Row],[ECART.Quantite]],0)</f>
        <v>83.34</v>
      </c>
      <c r="AC198" s="91">
        <f>IFERROR(RAPPORT_FINAL[[#This Row],[ECART.Quantite]]*RAPPORT_FINAL[[#This Row],[INVENTAIRE.Prix_cout]],"")</f>
        <v>-83.34</v>
      </c>
      <c r="AD198" s="83">
        <f>IFERROR(RAPPORT_FINAL[[#This Row],[ECART.Total_vente]]/RAPPORT_FINAL[[#This Row],[ECART.Quantite]],0)</f>
        <v>2500</v>
      </c>
      <c r="AE198" s="92">
        <f>IFERROR(RAPPORT_FINAL[[#This Row],[ECART.Quantite]]*RAPPORT_FINAL[[#This Row],[INVENTAIRE.Prix_vente]],"")</f>
        <v>-2500</v>
      </c>
    </row>
    <row r="199" spans="1:31" hidden="1" x14ac:dyDescent="0.25">
      <c r="A199" s="83" t="s">
        <v>30</v>
      </c>
      <c r="B199" s="3" t="s">
        <v>71</v>
      </c>
      <c r="C199" s="80" t="s">
        <v>285</v>
      </c>
      <c r="D199" s="3" t="s">
        <v>20</v>
      </c>
      <c r="E199" s="31" t="s">
        <v>93</v>
      </c>
      <c r="F199" s="85" cm="1">
        <f t="array" ref="F19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8</v>
      </c>
      <c r="G199" s="80" cm="1">
        <f t="array" ref="G19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83.34</v>
      </c>
      <c r="H199" s="80">
        <f>IF(RAPPORT_FINAL[[#This Row],[INVENTAIRE_PREC.Prix_vente]]="","",RAPPORT_FINAL[[#This Row],[INVENTAIRE_PREC.Quantite]]*RAPPORT_FINAL[[#This Row],[INVENTAIRE_PREC.Prix_cout]])</f>
        <v>666.72</v>
      </c>
      <c r="I199" s="83" cm="1">
        <f t="array" ref="I19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83.34</v>
      </c>
      <c r="J199" s="88">
        <f>IF(RAPPORT_FINAL[[#This Row],[INVENTAIRE_PREC.Prix_vente]]="","",RAPPORT_FINAL[[#This Row],[INVENTAIRE_PREC.Quantite]]*RAPPORT_FINAL[[#This Row],[INVENTAIRE_PREC.Prix_vente]])</f>
        <v>666.72</v>
      </c>
      <c r="K199" s="24"/>
      <c r="L199" s="11"/>
      <c r="M199" s="25"/>
      <c r="N199" s="24">
        <v>1</v>
      </c>
      <c r="O199" s="11">
        <v>2500</v>
      </c>
      <c r="P199" s="25">
        <v>2500</v>
      </c>
      <c r="Q199" s="85">
        <v>6</v>
      </c>
      <c r="R199" s="80" cm="1">
        <f t="array" ref="R19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83.34</v>
      </c>
      <c r="S199" s="80">
        <f>RAPPORT_FINAL[[#This Row],[INVENTAIRE.Quantite]]*RAPPORT_FINAL[[#This Row],[INVENTAIRE.Prix_cout]]</f>
        <v>500.04</v>
      </c>
      <c r="T199" s="83" cm="1">
        <f t="array" ref="T19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</v>
      </c>
      <c r="U199" s="88">
        <f>IF(OR(RAPPORT_FINAL[[#This Row],[INVENTAIRE.Quantite]]="",RAPPORT_FINAL[[#This Row],[INVENTAIRE.Prix_vente]]=""),"",RAPPORT_FINAL[[#This Row],[INVENTAIRE.Quantite]]*RAPPORT_FINAL[[#This Row],[INVENTAIRE.Prix_vente]])</f>
        <v>15000</v>
      </c>
      <c r="V19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</v>
      </c>
      <c r="W199" s="24">
        <f>RAPPORT_FINAL[[#This Row],[INVENTAIRE.Prix_cout]]</f>
        <v>83.34</v>
      </c>
      <c r="X199" s="85">
        <f>RAPPORT_FINAL[[#This Row],[INVENTAIRE_THEORIQUE]]*RAPPORT_FINAL[[#This Row],[INVENTAIRE_THEORIQUE.Prix_cout]]</f>
        <v>583.38</v>
      </c>
      <c r="Y199" s="85">
        <f>RAPPORT_FINAL[[#This Row],[INVENTAIRE.Prix_vente]]</f>
        <v>2500</v>
      </c>
      <c r="Z199" s="85">
        <f>RAPPORT_FINAL[[#This Row],[INVENTAIRE_THEORIQUE]]*RAPPORT_FINAL[[#This Row],[INVENTAIRE_THEORIQUE.Prix_vente]]</f>
        <v>17500</v>
      </c>
      <c r="AA199" s="85">
        <f>RAPPORT_FINAL[[#This Row],[INVENTAIRE.Quantite]]-RAPPORT_FINAL[[#This Row],[INVENTAIRE_THEORIQUE]]</f>
        <v>-1</v>
      </c>
      <c r="AB199" s="90">
        <f>IFERROR(RAPPORT_FINAL[[#This Row],[ECART.Total_cout]]/RAPPORT_FINAL[[#This Row],[ECART.Quantite]],0)</f>
        <v>83.34</v>
      </c>
      <c r="AC199" s="91">
        <f>IFERROR(RAPPORT_FINAL[[#This Row],[ECART.Quantite]]*RAPPORT_FINAL[[#This Row],[INVENTAIRE.Prix_cout]],"")</f>
        <v>-83.34</v>
      </c>
      <c r="AD199" s="83">
        <f>IFERROR(RAPPORT_FINAL[[#This Row],[ECART.Total_vente]]/RAPPORT_FINAL[[#This Row],[ECART.Quantite]],0)</f>
        <v>2500</v>
      </c>
      <c r="AE199" s="92">
        <f>IFERROR(RAPPORT_FINAL[[#This Row],[ECART.Quantite]]*RAPPORT_FINAL[[#This Row],[INVENTAIRE.Prix_vente]],"")</f>
        <v>-2500</v>
      </c>
    </row>
    <row r="200" spans="1:31" hidden="1" x14ac:dyDescent="0.25">
      <c r="A200" s="83" t="s">
        <v>30</v>
      </c>
      <c r="B200" s="3" t="s">
        <v>71</v>
      </c>
      <c r="C200" s="80" t="s">
        <v>285</v>
      </c>
      <c r="D200" s="3" t="s">
        <v>20</v>
      </c>
      <c r="E200" s="31" t="s">
        <v>93</v>
      </c>
      <c r="F200" s="85" cm="1">
        <f t="array" ref="F20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8</v>
      </c>
      <c r="G200" s="80" cm="1">
        <f t="array" ref="G20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83.34</v>
      </c>
      <c r="H200" s="80">
        <f>IF(RAPPORT_FINAL[[#This Row],[INVENTAIRE_PREC.Prix_vente]]="","",RAPPORT_FINAL[[#This Row],[INVENTAIRE_PREC.Quantite]]*RAPPORT_FINAL[[#This Row],[INVENTAIRE_PREC.Prix_cout]])</f>
        <v>666.72</v>
      </c>
      <c r="I200" s="83" cm="1">
        <f t="array" ref="I20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83.34</v>
      </c>
      <c r="J200" s="88">
        <f>IF(RAPPORT_FINAL[[#This Row],[INVENTAIRE_PREC.Prix_vente]]="","",RAPPORT_FINAL[[#This Row],[INVENTAIRE_PREC.Quantite]]*RAPPORT_FINAL[[#This Row],[INVENTAIRE_PREC.Prix_vente]])</f>
        <v>666.72</v>
      </c>
      <c r="K200" s="24"/>
      <c r="L200" s="11"/>
      <c r="M200" s="25"/>
      <c r="N200" s="24">
        <v>2</v>
      </c>
      <c r="O200" s="11">
        <v>1250</v>
      </c>
      <c r="P200" s="25">
        <v>2500</v>
      </c>
      <c r="Q200" s="85">
        <v>6</v>
      </c>
      <c r="R200" s="80" cm="1">
        <f t="array" ref="R20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83.34</v>
      </c>
      <c r="S200" s="80">
        <f>RAPPORT_FINAL[[#This Row],[INVENTAIRE.Quantite]]*RAPPORT_FINAL[[#This Row],[INVENTAIRE.Prix_cout]]</f>
        <v>500.04</v>
      </c>
      <c r="T200" s="83" cm="1">
        <f t="array" ref="T20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</v>
      </c>
      <c r="U200" s="88">
        <f>IF(OR(RAPPORT_FINAL[[#This Row],[INVENTAIRE.Quantite]]="",RAPPORT_FINAL[[#This Row],[INVENTAIRE.Prix_vente]]=""),"",RAPPORT_FINAL[[#This Row],[INVENTAIRE.Quantite]]*RAPPORT_FINAL[[#This Row],[INVENTAIRE.Prix_vente]])</f>
        <v>15000</v>
      </c>
      <c r="V20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200" s="24">
        <f>RAPPORT_FINAL[[#This Row],[INVENTAIRE.Prix_cout]]</f>
        <v>83.34</v>
      </c>
      <c r="X200" s="85">
        <f>RAPPORT_FINAL[[#This Row],[INVENTAIRE_THEORIQUE]]*RAPPORT_FINAL[[#This Row],[INVENTAIRE_THEORIQUE.Prix_cout]]</f>
        <v>500.04</v>
      </c>
      <c r="Y200" s="85">
        <f>RAPPORT_FINAL[[#This Row],[INVENTAIRE.Prix_vente]]</f>
        <v>2500</v>
      </c>
      <c r="Z200" s="85">
        <f>RAPPORT_FINAL[[#This Row],[INVENTAIRE_THEORIQUE]]*RAPPORT_FINAL[[#This Row],[INVENTAIRE_THEORIQUE.Prix_vente]]</f>
        <v>15000</v>
      </c>
      <c r="AA200" s="85">
        <f>RAPPORT_FINAL[[#This Row],[INVENTAIRE.Quantite]]-RAPPORT_FINAL[[#This Row],[INVENTAIRE_THEORIQUE]]</f>
        <v>0</v>
      </c>
      <c r="AB200" s="90">
        <f>IFERROR(RAPPORT_FINAL[[#This Row],[ECART.Total_cout]]/RAPPORT_FINAL[[#This Row],[ECART.Quantite]],0)</f>
        <v>0</v>
      </c>
      <c r="AC200" s="91">
        <f>IFERROR(RAPPORT_FINAL[[#This Row],[ECART.Quantite]]*RAPPORT_FINAL[[#This Row],[INVENTAIRE.Prix_cout]],"")</f>
        <v>0</v>
      </c>
      <c r="AD200" s="83">
        <f>IFERROR(RAPPORT_FINAL[[#This Row],[ECART.Total_vente]]/RAPPORT_FINAL[[#This Row],[ECART.Quantite]],0)</f>
        <v>0</v>
      </c>
      <c r="AE200" s="92">
        <f>IFERROR(RAPPORT_FINAL[[#This Row],[ECART.Quantite]]*RAPPORT_FINAL[[#This Row],[INVENTAIRE.Prix_vente]],"")</f>
        <v>0</v>
      </c>
    </row>
    <row r="201" spans="1:31" hidden="1" x14ac:dyDescent="0.25">
      <c r="A201" s="83" t="s">
        <v>30</v>
      </c>
      <c r="B201" s="3" t="s">
        <v>71</v>
      </c>
      <c r="C201" s="80" t="s">
        <v>285</v>
      </c>
      <c r="D201" s="3" t="s">
        <v>20</v>
      </c>
      <c r="E201" s="31" t="s">
        <v>93</v>
      </c>
      <c r="F201" s="85" cm="1">
        <f t="array" ref="F20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8</v>
      </c>
      <c r="G201" s="80" cm="1">
        <f t="array" ref="G20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83.34</v>
      </c>
      <c r="H201" s="80">
        <f>IF(RAPPORT_FINAL[[#This Row],[INVENTAIRE_PREC.Prix_vente]]="","",RAPPORT_FINAL[[#This Row],[INVENTAIRE_PREC.Quantite]]*RAPPORT_FINAL[[#This Row],[INVENTAIRE_PREC.Prix_cout]])</f>
        <v>666.72</v>
      </c>
      <c r="I201" s="83" cm="1">
        <f t="array" ref="I20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83.34</v>
      </c>
      <c r="J201" s="88">
        <f>IF(RAPPORT_FINAL[[#This Row],[INVENTAIRE_PREC.Prix_vente]]="","",RAPPORT_FINAL[[#This Row],[INVENTAIRE_PREC.Quantite]]*RAPPORT_FINAL[[#This Row],[INVENTAIRE_PREC.Prix_vente]])</f>
        <v>666.72</v>
      </c>
      <c r="K201" s="24"/>
      <c r="L201" s="11"/>
      <c r="M201" s="25"/>
      <c r="N201" s="24">
        <v>2</v>
      </c>
      <c r="O201" s="11">
        <v>1250</v>
      </c>
      <c r="P201" s="25">
        <v>2500</v>
      </c>
      <c r="Q201" s="85">
        <v>6</v>
      </c>
      <c r="R201" s="80" cm="1">
        <f t="array" ref="R20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83.34</v>
      </c>
      <c r="S201" s="80">
        <f>RAPPORT_FINAL[[#This Row],[INVENTAIRE.Quantite]]*RAPPORT_FINAL[[#This Row],[INVENTAIRE.Prix_cout]]</f>
        <v>500.04</v>
      </c>
      <c r="T201" s="83" cm="1">
        <f t="array" ref="T20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</v>
      </c>
      <c r="U201" s="88">
        <f>IF(OR(RAPPORT_FINAL[[#This Row],[INVENTAIRE.Quantite]]="",RAPPORT_FINAL[[#This Row],[INVENTAIRE.Prix_vente]]=""),"",RAPPORT_FINAL[[#This Row],[INVENTAIRE.Quantite]]*RAPPORT_FINAL[[#This Row],[INVENTAIRE.Prix_vente]])</f>
        <v>15000</v>
      </c>
      <c r="V20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201" s="24">
        <f>RAPPORT_FINAL[[#This Row],[INVENTAIRE.Prix_cout]]</f>
        <v>83.34</v>
      </c>
      <c r="X201" s="85">
        <f>RAPPORT_FINAL[[#This Row],[INVENTAIRE_THEORIQUE]]*RAPPORT_FINAL[[#This Row],[INVENTAIRE_THEORIQUE.Prix_cout]]</f>
        <v>500.04</v>
      </c>
      <c r="Y201" s="85">
        <f>RAPPORT_FINAL[[#This Row],[INVENTAIRE.Prix_vente]]</f>
        <v>2500</v>
      </c>
      <c r="Z201" s="85">
        <f>RAPPORT_FINAL[[#This Row],[INVENTAIRE_THEORIQUE]]*RAPPORT_FINAL[[#This Row],[INVENTAIRE_THEORIQUE.Prix_vente]]</f>
        <v>15000</v>
      </c>
      <c r="AA201" s="85">
        <f>RAPPORT_FINAL[[#This Row],[INVENTAIRE.Quantite]]-RAPPORT_FINAL[[#This Row],[INVENTAIRE_THEORIQUE]]</f>
        <v>0</v>
      </c>
      <c r="AB201" s="90">
        <f>IFERROR(RAPPORT_FINAL[[#This Row],[ECART.Total_cout]]/RAPPORT_FINAL[[#This Row],[ECART.Quantite]],0)</f>
        <v>0</v>
      </c>
      <c r="AC201" s="91">
        <f>IFERROR(RAPPORT_FINAL[[#This Row],[ECART.Quantite]]*RAPPORT_FINAL[[#This Row],[INVENTAIRE.Prix_cout]],"")</f>
        <v>0</v>
      </c>
      <c r="AD201" s="83">
        <f>IFERROR(RAPPORT_FINAL[[#This Row],[ECART.Total_vente]]/RAPPORT_FINAL[[#This Row],[ECART.Quantite]],0)</f>
        <v>0</v>
      </c>
      <c r="AE201" s="92">
        <f>IFERROR(RAPPORT_FINAL[[#This Row],[ECART.Quantite]]*RAPPORT_FINAL[[#This Row],[INVENTAIRE.Prix_vente]],"")</f>
        <v>0</v>
      </c>
    </row>
    <row r="202" spans="1:31" hidden="1" x14ac:dyDescent="0.25">
      <c r="A202" s="83" t="s">
        <v>30</v>
      </c>
      <c r="B202" s="3" t="s">
        <v>71</v>
      </c>
      <c r="C202" s="80" t="s">
        <v>284</v>
      </c>
      <c r="D202" s="3" t="s">
        <v>137</v>
      </c>
      <c r="E202" s="31" t="s">
        <v>143</v>
      </c>
      <c r="F202" s="85" cm="1">
        <f t="array" ref="F20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52</v>
      </c>
      <c r="G202" s="80" cm="1">
        <f t="array" ref="G20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50</v>
      </c>
      <c r="H202" s="80">
        <f>IF(RAPPORT_FINAL[[#This Row],[INVENTAIRE_PREC.Prix_vente]]="","",RAPPORT_FINAL[[#This Row],[INVENTAIRE_PREC.Quantite]]*RAPPORT_FINAL[[#This Row],[INVENTAIRE_PREC.Prix_cout]])</f>
        <v>2600</v>
      </c>
      <c r="I202" s="83" cm="1">
        <f t="array" ref="I20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</v>
      </c>
      <c r="J202" s="88">
        <f>IF(RAPPORT_FINAL[[#This Row],[INVENTAIRE_PREC.Prix_vente]]="","",RAPPORT_FINAL[[#This Row],[INVENTAIRE_PREC.Quantite]]*RAPPORT_FINAL[[#This Row],[INVENTAIRE_PREC.Prix_vente]])</f>
        <v>2600</v>
      </c>
      <c r="K202" s="24"/>
      <c r="L202" s="11"/>
      <c r="M202" s="25"/>
      <c r="N202" s="24">
        <v>6</v>
      </c>
      <c r="O202" s="11">
        <v>50</v>
      </c>
      <c r="P202" s="25">
        <v>300</v>
      </c>
      <c r="Q202" s="85">
        <v>44</v>
      </c>
      <c r="R202" s="80" cm="1">
        <f t="array" ref="R20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50</v>
      </c>
      <c r="S202" s="80">
        <f>RAPPORT_FINAL[[#This Row],[INVENTAIRE.Quantite]]*RAPPORT_FINAL[[#This Row],[INVENTAIRE.Prix_cout]]</f>
        <v>2200</v>
      </c>
      <c r="T202" s="83" cm="1">
        <f t="array" ref="T20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</v>
      </c>
      <c r="U202" s="88">
        <f>IF(OR(RAPPORT_FINAL[[#This Row],[INVENTAIRE.Quantite]]="",RAPPORT_FINAL[[#This Row],[INVENTAIRE.Prix_vente]]=""),"",RAPPORT_FINAL[[#This Row],[INVENTAIRE.Quantite]]*RAPPORT_FINAL[[#This Row],[INVENTAIRE.Prix_vente]])</f>
        <v>2200</v>
      </c>
      <c r="V20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46</v>
      </c>
      <c r="W202" s="24">
        <f>RAPPORT_FINAL[[#This Row],[INVENTAIRE.Prix_cout]]</f>
        <v>50</v>
      </c>
      <c r="X202" s="85">
        <f>RAPPORT_FINAL[[#This Row],[INVENTAIRE_THEORIQUE]]*RAPPORT_FINAL[[#This Row],[INVENTAIRE_THEORIQUE.Prix_cout]]</f>
        <v>2300</v>
      </c>
      <c r="Y202" s="85">
        <f>RAPPORT_FINAL[[#This Row],[INVENTAIRE.Prix_vente]]</f>
        <v>50</v>
      </c>
      <c r="Z202" s="85">
        <f>RAPPORT_FINAL[[#This Row],[INVENTAIRE_THEORIQUE]]*RAPPORT_FINAL[[#This Row],[INVENTAIRE_THEORIQUE.Prix_vente]]</f>
        <v>2300</v>
      </c>
      <c r="AA202" s="85">
        <f>RAPPORT_FINAL[[#This Row],[INVENTAIRE.Quantite]]-RAPPORT_FINAL[[#This Row],[INVENTAIRE_THEORIQUE]]</f>
        <v>-2</v>
      </c>
      <c r="AB202" s="90">
        <f>IFERROR(RAPPORT_FINAL[[#This Row],[ECART.Total_cout]]/RAPPORT_FINAL[[#This Row],[ECART.Quantite]],0)</f>
        <v>50</v>
      </c>
      <c r="AC202" s="91">
        <f>IFERROR(RAPPORT_FINAL[[#This Row],[ECART.Quantite]]*RAPPORT_FINAL[[#This Row],[INVENTAIRE.Prix_cout]],"")</f>
        <v>-100</v>
      </c>
      <c r="AD202" s="83">
        <f>IFERROR(RAPPORT_FINAL[[#This Row],[ECART.Total_vente]]/RAPPORT_FINAL[[#This Row],[ECART.Quantite]],0)</f>
        <v>50</v>
      </c>
      <c r="AE202" s="92">
        <f>IFERROR(RAPPORT_FINAL[[#This Row],[ECART.Quantite]]*RAPPORT_FINAL[[#This Row],[INVENTAIRE.Prix_vente]],"")</f>
        <v>-100</v>
      </c>
    </row>
    <row r="203" spans="1:31" hidden="1" x14ac:dyDescent="0.25">
      <c r="A203" s="83" t="s">
        <v>30</v>
      </c>
      <c r="B203" s="3" t="s">
        <v>71</v>
      </c>
      <c r="C203" s="80" t="s">
        <v>284</v>
      </c>
      <c r="D203" s="3" t="s">
        <v>137</v>
      </c>
      <c r="E203" s="31" t="s">
        <v>143</v>
      </c>
      <c r="F203" s="85" cm="1">
        <f t="array" ref="F20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52</v>
      </c>
      <c r="G203" s="80" cm="1">
        <f t="array" ref="G20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50</v>
      </c>
      <c r="H203" s="80">
        <f>IF(RAPPORT_FINAL[[#This Row],[INVENTAIRE_PREC.Prix_vente]]="","",RAPPORT_FINAL[[#This Row],[INVENTAIRE_PREC.Quantite]]*RAPPORT_FINAL[[#This Row],[INVENTAIRE_PREC.Prix_cout]])</f>
        <v>2600</v>
      </c>
      <c r="I203" s="83" cm="1">
        <f t="array" ref="I20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</v>
      </c>
      <c r="J203" s="88">
        <f>IF(RAPPORT_FINAL[[#This Row],[INVENTAIRE_PREC.Prix_vente]]="","",RAPPORT_FINAL[[#This Row],[INVENTAIRE_PREC.Quantite]]*RAPPORT_FINAL[[#This Row],[INVENTAIRE_PREC.Prix_vente]])</f>
        <v>2600</v>
      </c>
      <c r="K203" s="24"/>
      <c r="L203" s="11"/>
      <c r="M203" s="25"/>
      <c r="N203" s="24">
        <v>6</v>
      </c>
      <c r="O203" s="11">
        <v>50</v>
      </c>
      <c r="P203" s="25">
        <v>300</v>
      </c>
      <c r="Q203" s="85">
        <v>44</v>
      </c>
      <c r="R203" s="80" cm="1">
        <f t="array" ref="R20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50</v>
      </c>
      <c r="S203" s="80">
        <f>RAPPORT_FINAL[[#This Row],[INVENTAIRE.Quantite]]*RAPPORT_FINAL[[#This Row],[INVENTAIRE.Prix_cout]]</f>
        <v>2200</v>
      </c>
      <c r="T203" s="83" cm="1">
        <f t="array" ref="T20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</v>
      </c>
      <c r="U203" s="88">
        <f>IF(OR(RAPPORT_FINAL[[#This Row],[INVENTAIRE.Quantite]]="",RAPPORT_FINAL[[#This Row],[INVENTAIRE.Prix_vente]]=""),"",RAPPORT_FINAL[[#This Row],[INVENTAIRE.Quantite]]*RAPPORT_FINAL[[#This Row],[INVENTAIRE.Prix_vente]])</f>
        <v>2200</v>
      </c>
      <c r="V20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46</v>
      </c>
      <c r="W203" s="24">
        <f>RAPPORT_FINAL[[#This Row],[INVENTAIRE.Prix_cout]]</f>
        <v>50</v>
      </c>
      <c r="X203" s="85">
        <f>RAPPORT_FINAL[[#This Row],[INVENTAIRE_THEORIQUE]]*RAPPORT_FINAL[[#This Row],[INVENTAIRE_THEORIQUE.Prix_cout]]</f>
        <v>2300</v>
      </c>
      <c r="Y203" s="85">
        <f>RAPPORT_FINAL[[#This Row],[INVENTAIRE.Prix_vente]]</f>
        <v>50</v>
      </c>
      <c r="Z203" s="85">
        <f>RAPPORT_FINAL[[#This Row],[INVENTAIRE_THEORIQUE]]*RAPPORT_FINAL[[#This Row],[INVENTAIRE_THEORIQUE.Prix_vente]]</f>
        <v>2300</v>
      </c>
      <c r="AA203" s="85">
        <f>RAPPORT_FINAL[[#This Row],[INVENTAIRE.Quantite]]-RAPPORT_FINAL[[#This Row],[INVENTAIRE_THEORIQUE]]</f>
        <v>-2</v>
      </c>
      <c r="AB203" s="90">
        <f>IFERROR(RAPPORT_FINAL[[#This Row],[ECART.Total_cout]]/RAPPORT_FINAL[[#This Row],[ECART.Quantite]],0)</f>
        <v>50</v>
      </c>
      <c r="AC203" s="91">
        <f>IFERROR(RAPPORT_FINAL[[#This Row],[ECART.Quantite]]*RAPPORT_FINAL[[#This Row],[INVENTAIRE.Prix_cout]],"")</f>
        <v>-100</v>
      </c>
      <c r="AD203" s="83">
        <f>IFERROR(RAPPORT_FINAL[[#This Row],[ECART.Total_vente]]/RAPPORT_FINAL[[#This Row],[ECART.Quantite]],0)</f>
        <v>50</v>
      </c>
      <c r="AE203" s="92">
        <f>IFERROR(RAPPORT_FINAL[[#This Row],[ECART.Quantite]]*RAPPORT_FINAL[[#This Row],[INVENTAIRE.Prix_vente]],"")</f>
        <v>-100</v>
      </c>
    </row>
    <row r="204" spans="1:31" x14ac:dyDescent="0.25">
      <c r="A204" s="83" t="s">
        <v>30</v>
      </c>
      <c r="B204" s="3" t="s">
        <v>71</v>
      </c>
      <c r="C204" s="80" t="s">
        <v>284</v>
      </c>
      <c r="D204" s="3" t="s">
        <v>21</v>
      </c>
      <c r="E204" s="31" t="s">
        <v>108</v>
      </c>
      <c r="F204" s="85" cm="1">
        <f t="array" ref="F20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04" s="80" cm="1">
        <f t="array" ref="G20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204" s="80">
        <f>IF(RAPPORT_FINAL[[#This Row],[INVENTAIRE_PREC.Prix_vente]]="","",RAPPORT_FINAL[[#This Row],[INVENTAIRE_PREC.Quantite]]*RAPPORT_FINAL[[#This Row],[INVENTAIRE_PREC.Prix_cout]])</f>
        <v>0</v>
      </c>
      <c r="I204" s="83" cm="1">
        <f t="array" ref="I20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204" s="88">
        <f>IF(RAPPORT_FINAL[[#This Row],[INVENTAIRE_PREC.Prix_vente]]="","",RAPPORT_FINAL[[#This Row],[INVENTAIRE_PREC.Quantite]]*RAPPORT_FINAL[[#This Row],[INVENTAIRE_PREC.Prix_vente]])</f>
        <v>0</v>
      </c>
      <c r="K204" s="24"/>
      <c r="L204" s="11"/>
      <c r="M204" s="25"/>
      <c r="N204" s="24">
        <v>38.200000000000003</v>
      </c>
      <c r="O204" s="11">
        <v>4.37</v>
      </c>
      <c r="P204" s="25">
        <v>166.93400000000003</v>
      </c>
      <c r="Q204" s="85">
        <v>0</v>
      </c>
      <c r="R204" s="80" cm="1">
        <f t="array" ref="R20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204" s="80">
        <f>RAPPORT_FINAL[[#This Row],[INVENTAIRE.Quantite]]*RAPPORT_FINAL[[#This Row],[INVENTAIRE.Prix_cout]]</f>
        <v>0</v>
      </c>
      <c r="T204" s="83" cm="1">
        <f t="array" ref="T20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4.37</v>
      </c>
      <c r="U204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20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-38.200000000000003</v>
      </c>
      <c r="W204" s="24">
        <f>RAPPORT_FINAL[[#This Row],[INVENTAIRE.Prix_cout]]</f>
        <v>0</v>
      </c>
      <c r="X204" s="85">
        <f>RAPPORT_FINAL[[#This Row],[INVENTAIRE_THEORIQUE]]*RAPPORT_FINAL[[#This Row],[INVENTAIRE_THEORIQUE.Prix_cout]]</f>
        <v>0</v>
      </c>
      <c r="Y204" s="85">
        <f>RAPPORT_FINAL[[#This Row],[INVENTAIRE.Prix_vente]]</f>
        <v>4.37</v>
      </c>
      <c r="Z204" s="85">
        <f>RAPPORT_FINAL[[#This Row],[INVENTAIRE_THEORIQUE]]*RAPPORT_FINAL[[#This Row],[INVENTAIRE_THEORIQUE.Prix_vente]]</f>
        <v>-166.93400000000003</v>
      </c>
      <c r="AA204" s="85">
        <f>RAPPORT_FINAL[[#This Row],[INVENTAIRE.Quantite]]-RAPPORT_FINAL[[#This Row],[INVENTAIRE_THEORIQUE]]</f>
        <v>38.200000000000003</v>
      </c>
      <c r="AB204" s="90">
        <f>IFERROR(RAPPORT_FINAL[[#This Row],[ECART.Total_cout]]/RAPPORT_FINAL[[#This Row],[ECART.Quantite]],0)</f>
        <v>0</v>
      </c>
      <c r="AC204" s="91">
        <f>IFERROR(RAPPORT_FINAL[[#This Row],[ECART.Quantite]]*RAPPORT_FINAL[[#This Row],[INVENTAIRE.Prix_cout]],"")</f>
        <v>0</v>
      </c>
      <c r="AD204" s="83">
        <f>IFERROR(RAPPORT_FINAL[[#This Row],[ECART.Total_vente]]/RAPPORT_FINAL[[#This Row],[ECART.Quantite]],0)</f>
        <v>4.37</v>
      </c>
      <c r="AE204" s="92">
        <f>IFERROR(RAPPORT_FINAL[[#This Row],[ECART.Quantite]]*RAPPORT_FINAL[[#This Row],[INVENTAIRE.Prix_vente]],"")</f>
        <v>166.93400000000003</v>
      </c>
    </row>
    <row r="205" spans="1:31" x14ac:dyDescent="0.25">
      <c r="A205" s="83" t="s">
        <v>30</v>
      </c>
      <c r="B205" s="3" t="s">
        <v>71</v>
      </c>
      <c r="C205" s="80" t="s">
        <v>284</v>
      </c>
      <c r="D205" s="3" t="s">
        <v>19</v>
      </c>
      <c r="E205" s="31" t="s">
        <v>108</v>
      </c>
      <c r="F205" s="85" cm="1">
        <f t="array" ref="F20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05" s="80" cm="1">
        <f t="array" ref="G20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205" s="80">
        <f>IF(RAPPORT_FINAL[[#This Row],[INVENTAIRE_PREC.Prix_vente]]="","",RAPPORT_FINAL[[#This Row],[INVENTAIRE_PREC.Quantite]]*RAPPORT_FINAL[[#This Row],[INVENTAIRE_PREC.Prix_cout]])</f>
        <v>0</v>
      </c>
      <c r="I205" s="83" cm="1">
        <f t="array" ref="I20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205" s="88">
        <f>IF(RAPPORT_FINAL[[#This Row],[INVENTAIRE_PREC.Prix_vente]]="","",RAPPORT_FINAL[[#This Row],[INVENTAIRE_PREC.Quantite]]*RAPPORT_FINAL[[#This Row],[INVENTAIRE_PREC.Prix_vente]])</f>
        <v>0</v>
      </c>
      <c r="K205" s="24"/>
      <c r="L205" s="11"/>
      <c r="M205" s="25"/>
      <c r="N205" s="24">
        <v>8.3000000000000007</v>
      </c>
      <c r="O205" s="11">
        <v>5</v>
      </c>
      <c r="P205" s="25">
        <v>41.5</v>
      </c>
      <c r="Q205" s="85">
        <v>0</v>
      </c>
      <c r="R205" s="80" cm="1">
        <f t="array" ref="R20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205" s="80">
        <f>RAPPORT_FINAL[[#This Row],[INVENTAIRE.Quantite]]*RAPPORT_FINAL[[#This Row],[INVENTAIRE.Prix_cout]]</f>
        <v>0</v>
      </c>
      <c r="T205" s="83" cm="1">
        <f t="array" ref="T20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</v>
      </c>
      <c r="U205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20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-8.3000000000000007</v>
      </c>
      <c r="W205" s="24">
        <f>RAPPORT_FINAL[[#This Row],[INVENTAIRE.Prix_cout]]</f>
        <v>0</v>
      </c>
      <c r="X205" s="85">
        <f>RAPPORT_FINAL[[#This Row],[INVENTAIRE_THEORIQUE]]*RAPPORT_FINAL[[#This Row],[INVENTAIRE_THEORIQUE.Prix_cout]]</f>
        <v>0</v>
      </c>
      <c r="Y205" s="85">
        <f>RAPPORT_FINAL[[#This Row],[INVENTAIRE.Prix_vente]]</f>
        <v>5</v>
      </c>
      <c r="Z205" s="85">
        <f>RAPPORT_FINAL[[#This Row],[INVENTAIRE_THEORIQUE]]*RAPPORT_FINAL[[#This Row],[INVENTAIRE_THEORIQUE.Prix_vente]]</f>
        <v>-41.5</v>
      </c>
      <c r="AA205" s="85">
        <f>RAPPORT_FINAL[[#This Row],[INVENTAIRE.Quantite]]-RAPPORT_FINAL[[#This Row],[INVENTAIRE_THEORIQUE]]</f>
        <v>8.3000000000000007</v>
      </c>
      <c r="AB205" s="90">
        <f>IFERROR(RAPPORT_FINAL[[#This Row],[ECART.Total_cout]]/RAPPORT_FINAL[[#This Row],[ECART.Quantite]],0)</f>
        <v>0</v>
      </c>
      <c r="AC205" s="91">
        <f>IFERROR(RAPPORT_FINAL[[#This Row],[ECART.Quantite]]*RAPPORT_FINAL[[#This Row],[INVENTAIRE.Prix_cout]],"")</f>
        <v>0</v>
      </c>
      <c r="AD205" s="83">
        <f>IFERROR(RAPPORT_FINAL[[#This Row],[ECART.Total_vente]]/RAPPORT_FINAL[[#This Row],[ECART.Quantite]],0)</f>
        <v>5</v>
      </c>
      <c r="AE205" s="92">
        <f>IFERROR(RAPPORT_FINAL[[#This Row],[ECART.Quantite]]*RAPPORT_FINAL[[#This Row],[INVENTAIRE.Prix_vente]],"")</f>
        <v>41.5</v>
      </c>
    </row>
    <row r="206" spans="1:31" hidden="1" x14ac:dyDescent="0.25">
      <c r="A206" s="83" t="s">
        <v>30</v>
      </c>
      <c r="B206" s="3" t="s">
        <v>71</v>
      </c>
      <c r="C206" s="80" t="s">
        <v>284</v>
      </c>
      <c r="D206" s="3" t="s">
        <v>22</v>
      </c>
      <c r="E206" s="31" t="s">
        <v>99</v>
      </c>
      <c r="F206" s="85" cm="1">
        <f t="array" ref="F20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3000</v>
      </c>
      <c r="G206" s="80" cm="1">
        <f t="array" ref="G20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1.5</v>
      </c>
      <c r="H206" s="80">
        <f>IF(RAPPORT_FINAL[[#This Row],[INVENTAIRE_PREC.Prix_vente]]="","",RAPPORT_FINAL[[#This Row],[INVENTAIRE_PREC.Quantite]]*RAPPORT_FINAL[[#This Row],[INVENTAIRE_PREC.Prix_cout]])</f>
        <v>4500</v>
      </c>
      <c r="I206" s="83" cm="1">
        <f t="array" ref="I20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1.5</v>
      </c>
      <c r="J206" s="88">
        <f>IF(RAPPORT_FINAL[[#This Row],[INVENTAIRE_PREC.Prix_vente]]="","",RAPPORT_FINAL[[#This Row],[INVENTAIRE_PREC.Quantite]]*RAPPORT_FINAL[[#This Row],[INVENTAIRE_PREC.Prix_vente]])</f>
        <v>4500</v>
      </c>
      <c r="K206" s="24">
        <v>5000</v>
      </c>
      <c r="L206" s="11">
        <v>1.5</v>
      </c>
      <c r="M206" s="25">
        <v>7500</v>
      </c>
      <c r="N206" s="24">
        <v>3475</v>
      </c>
      <c r="O206" s="11">
        <v>1.5</v>
      </c>
      <c r="P206" s="25">
        <v>5212.5</v>
      </c>
      <c r="Q206" s="85">
        <v>7500</v>
      </c>
      <c r="R206" s="80" cm="1">
        <f t="array" ref="R20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1.5</v>
      </c>
      <c r="S206" s="80">
        <f>RAPPORT_FINAL[[#This Row],[INVENTAIRE.Quantite]]*RAPPORT_FINAL[[#This Row],[INVENTAIRE.Prix_cout]]</f>
        <v>11250</v>
      </c>
      <c r="T206" s="83" cm="1">
        <f t="array" ref="T20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1.5</v>
      </c>
      <c r="U206" s="88">
        <f>IF(OR(RAPPORT_FINAL[[#This Row],[INVENTAIRE.Quantite]]="",RAPPORT_FINAL[[#This Row],[INVENTAIRE.Prix_vente]]=""),"",RAPPORT_FINAL[[#This Row],[INVENTAIRE.Quantite]]*RAPPORT_FINAL[[#This Row],[INVENTAIRE.Prix_vente]])</f>
        <v>11250</v>
      </c>
      <c r="V20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4525</v>
      </c>
      <c r="W206" s="24">
        <f>RAPPORT_FINAL[[#This Row],[INVENTAIRE.Prix_cout]]</f>
        <v>1.5</v>
      </c>
      <c r="X206" s="85">
        <f>RAPPORT_FINAL[[#This Row],[INVENTAIRE_THEORIQUE]]*RAPPORT_FINAL[[#This Row],[INVENTAIRE_THEORIQUE.Prix_cout]]</f>
        <v>6787.5</v>
      </c>
      <c r="Y206" s="85">
        <f>RAPPORT_FINAL[[#This Row],[INVENTAIRE.Prix_vente]]</f>
        <v>1.5</v>
      </c>
      <c r="Z206" s="85">
        <f>RAPPORT_FINAL[[#This Row],[INVENTAIRE_THEORIQUE]]*RAPPORT_FINAL[[#This Row],[INVENTAIRE_THEORIQUE.Prix_vente]]</f>
        <v>6787.5</v>
      </c>
      <c r="AA206" s="85">
        <f>RAPPORT_FINAL[[#This Row],[INVENTAIRE.Quantite]]-RAPPORT_FINAL[[#This Row],[INVENTAIRE_THEORIQUE]]</f>
        <v>2975</v>
      </c>
      <c r="AB206" s="90">
        <f>IFERROR(RAPPORT_FINAL[[#This Row],[ECART.Total_cout]]/RAPPORT_FINAL[[#This Row],[ECART.Quantite]],0)</f>
        <v>1.5</v>
      </c>
      <c r="AC206" s="91">
        <f>IFERROR(RAPPORT_FINAL[[#This Row],[ECART.Quantite]]*RAPPORT_FINAL[[#This Row],[INVENTAIRE.Prix_cout]],"")</f>
        <v>4462.5</v>
      </c>
      <c r="AD206" s="83">
        <f>IFERROR(RAPPORT_FINAL[[#This Row],[ECART.Total_vente]]/RAPPORT_FINAL[[#This Row],[ECART.Quantite]],0)</f>
        <v>1.5</v>
      </c>
      <c r="AE206" s="92">
        <f>IFERROR(RAPPORT_FINAL[[#This Row],[ECART.Quantite]]*RAPPORT_FINAL[[#This Row],[INVENTAIRE.Prix_vente]],"")</f>
        <v>4462.5</v>
      </c>
    </row>
    <row r="207" spans="1:31" hidden="1" x14ac:dyDescent="0.25">
      <c r="A207" s="83" t="s">
        <v>30</v>
      </c>
      <c r="B207" s="3" t="s">
        <v>71</v>
      </c>
      <c r="C207" s="80" t="s">
        <v>284</v>
      </c>
      <c r="D207" s="3" t="s">
        <v>22</v>
      </c>
      <c r="E207" s="31" t="s">
        <v>99</v>
      </c>
      <c r="F207" s="85" cm="1">
        <f t="array" ref="F20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3000</v>
      </c>
      <c r="G207" s="80" cm="1">
        <f t="array" ref="G20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1.5</v>
      </c>
      <c r="H207" s="80">
        <f>IF(RAPPORT_FINAL[[#This Row],[INVENTAIRE_PREC.Prix_vente]]="","",RAPPORT_FINAL[[#This Row],[INVENTAIRE_PREC.Quantite]]*RAPPORT_FINAL[[#This Row],[INVENTAIRE_PREC.Prix_cout]])</f>
        <v>4500</v>
      </c>
      <c r="I207" s="83" cm="1">
        <f t="array" ref="I20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1.5</v>
      </c>
      <c r="J207" s="88">
        <f>IF(RAPPORT_FINAL[[#This Row],[INVENTAIRE_PREC.Prix_vente]]="","",RAPPORT_FINAL[[#This Row],[INVENTAIRE_PREC.Quantite]]*RAPPORT_FINAL[[#This Row],[INVENTAIRE_PREC.Prix_vente]])</f>
        <v>4500</v>
      </c>
      <c r="K207" s="24">
        <v>5000</v>
      </c>
      <c r="L207" s="11">
        <v>1.5</v>
      </c>
      <c r="M207" s="25">
        <v>7500</v>
      </c>
      <c r="N207" s="24">
        <v>3475</v>
      </c>
      <c r="O207" s="11">
        <v>1.5</v>
      </c>
      <c r="P207" s="25">
        <v>5212.5</v>
      </c>
      <c r="Q207" s="85">
        <v>7500</v>
      </c>
      <c r="R207" s="80" cm="1">
        <f t="array" ref="R20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1.5</v>
      </c>
      <c r="S207" s="80">
        <f>RAPPORT_FINAL[[#This Row],[INVENTAIRE.Quantite]]*RAPPORT_FINAL[[#This Row],[INVENTAIRE.Prix_cout]]</f>
        <v>11250</v>
      </c>
      <c r="T207" s="83" cm="1">
        <f t="array" ref="T20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1.5</v>
      </c>
      <c r="U207" s="88">
        <f>IF(OR(RAPPORT_FINAL[[#This Row],[INVENTAIRE.Quantite]]="",RAPPORT_FINAL[[#This Row],[INVENTAIRE.Prix_vente]]=""),"",RAPPORT_FINAL[[#This Row],[INVENTAIRE.Quantite]]*RAPPORT_FINAL[[#This Row],[INVENTAIRE.Prix_vente]])</f>
        <v>11250</v>
      </c>
      <c r="V20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4525</v>
      </c>
      <c r="W207" s="24">
        <f>RAPPORT_FINAL[[#This Row],[INVENTAIRE.Prix_cout]]</f>
        <v>1.5</v>
      </c>
      <c r="X207" s="85">
        <f>RAPPORT_FINAL[[#This Row],[INVENTAIRE_THEORIQUE]]*RAPPORT_FINAL[[#This Row],[INVENTAIRE_THEORIQUE.Prix_cout]]</f>
        <v>6787.5</v>
      </c>
      <c r="Y207" s="85">
        <f>RAPPORT_FINAL[[#This Row],[INVENTAIRE.Prix_vente]]</f>
        <v>1.5</v>
      </c>
      <c r="Z207" s="85">
        <f>RAPPORT_FINAL[[#This Row],[INVENTAIRE_THEORIQUE]]*RAPPORT_FINAL[[#This Row],[INVENTAIRE_THEORIQUE.Prix_vente]]</f>
        <v>6787.5</v>
      </c>
      <c r="AA207" s="85">
        <f>RAPPORT_FINAL[[#This Row],[INVENTAIRE.Quantite]]-RAPPORT_FINAL[[#This Row],[INVENTAIRE_THEORIQUE]]</f>
        <v>2975</v>
      </c>
      <c r="AB207" s="90">
        <f>IFERROR(RAPPORT_FINAL[[#This Row],[ECART.Total_cout]]/RAPPORT_FINAL[[#This Row],[ECART.Quantite]],0)</f>
        <v>1.5</v>
      </c>
      <c r="AC207" s="91">
        <f>IFERROR(RAPPORT_FINAL[[#This Row],[ECART.Quantite]]*RAPPORT_FINAL[[#This Row],[INVENTAIRE.Prix_cout]],"")</f>
        <v>4462.5</v>
      </c>
      <c r="AD207" s="83">
        <f>IFERROR(RAPPORT_FINAL[[#This Row],[ECART.Total_vente]]/RAPPORT_FINAL[[#This Row],[ECART.Quantite]],0)</f>
        <v>1.5</v>
      </c>
      <c r="AE207" s="92">
        <f>IFERROR(RAPPORT_FINAL[[#This Row],[ECART.Quantite]]*RAPPORT_FINAL[[#This Row],[INVENTAIRE.Prix_vente]],"")</f>
        <v>4462.5</v>
      </c>
    </row>
    <row r="208" spans="1:31" hidden="1" x14ac:dyDescent="0.25">
      <c r="A208" s="83" t="s">
        <v>30</v>
      </c>
      <c r="B208" s="3" t="s">
        <v>71</v>
      </c>
      <c r="C208" s="80" t="s">
        <v>285</v>
      </c>
      <c r="D208" s="3" t="s">
        <v>15</v>
      </c>
      <c r="E208" s="31" t="s">
        <v>96</v>
      </c>
      <c r="F208" s="85" cm="1">
        <f t="array" ref="F20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7</v>
      </c>
      <c r="G208" s="80" cm="1">
        <f t="array" ref="G20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1312.5</v>
      </c>
      <c r="H208" s="80">
        <f>IF(RAPPORT_FINAL[[#This Row],[INVENTAIRE_PREC.Prix_vente]]="","",RAPPORT_FINAL[[#This Row],[INVENTAIRE_PREC.Quantite]]*RAPPORT_FINAL[[#This Row],[INVENTAIRE_PREC.Prix_cout]])</f>
        <v>9187.5</v>
      </c>
      <c r="I208" s="83" cm="1">
        <f t="array" ref="I20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1312.5</v>
      </c>
      <c r="J208" s="88">
        <f>IF(RAPPORT_FINAL[[#This Row],[INVENTAIRE_PREC.Prix_vente]]="","",RAPPORT_FINAL[[#This Row],[INVENTAIRE_PREC.Quantite]]*RAPPORT_FINAL[[#This Row],[INVENTAIRE_PREC.Prix_vente]])</f>
        <v>9187.5</v>
      </c>
      <c r="K208" s="24"/>
      <c r="L208" s="11"/>
      <c r="M208" s="25"/>
      <c r="N208" s="24">
        <v>2</v>
      </c>
      <c r="O208" s="11">
        <v>3000</v>
      </c>
      <c r="P208" s="25">
        <v>6000</v>
      </c>
      <c r="Q208" s="85">
        <v>4</v>
      </c>
      <c r="R208" s="80" cm="1">
        <f t="array" ref="R20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1312.5</v>
      </c>
      <c r="S208" s="80">
        <f>RAPPORT_FINAL[[#This Row],[INVENTAIRE.Quantite]]*RAPPORT_FINAL[[#This Row],[INVENTAIRE.Prix_cout]]</f>
        <v>5250</v>
      </c>
      <c r="T208" s="83" cm="1">
        <f t="array" ref="T20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208" s="88">
        <f>IF(OR(RAPPORT_FINAL[[#This Row],[INVENTAIRE.Quantite]]="",RAPPORT_FINAL[[#This Row],[INVENTAIRE.Prix_vente]]=""),"",RAPPORT_FINAL[[#This Row],[INVENTAIRE.Quantite]]*RAPPORT_FINAL[[#This Row],[INVENTAIRE.Prix_vente]])</f>
        <v>12000</v>
      </c>
      <c r="V20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5</v>
      </c>
      <c r="W208" s="24">
        <f>RAPPORT_FINAL[[#This Row],[INVENTAIRE.Prix_cout]]</f>
        <v>1312.5</v>
      </c>
      <c r="X208" s="85">
        <f>RAPPORT_FINAL[[#This Row],[INVENTAIRE_THEORIQUE]]*RAPPORT_FINAL[[#This Row],[INVENTAIRE_THEORIQUE.Prix_cout]]</f>
        <v>6562.5</v>
      </c>
      <c r="Y208" s="85">
        <f>RAPPORT_FINAL[[#This Row],[INVENTAIRE.Prix_vente]]</f>
        <v>3000</v>
      </c>
      <c r="Z208" s="85">
        <f>RAPPORT_FINAL[[#This Row],[INVENTAIRE_THEORIQUE]]*RAPPORT_FINAL[[#This Row],[INVENTAIRE_THEORIQUE.Prix_vente]]</f>
        <v>15000</v>
      </c>
      <c r="AA208" s="85">
        <f>RAPPORT_FINAL[[#This Row],[INVENTAIRE.Quantite]]-RAPPORT_FINAL[[#This Row],[INVENTAIRE_THEORIQUE]]</f>
        <v>-1</v>
      </c>
      <c r="AB208" s="90">
        <f>IFERROR(RAPPORT_FINAL[[#This Row],[ECART.Total_cout]]/RAPPORT_FINAL[[#This Row],[ECART.Quantite]],0)</f>
        <v>1312.5</v>
      </c>
      <c r="AC208" s="91">
        <f>IFERROR(RAPPORT_FINAL[[#This Row],[ECART.Quantite]]*RAPPORT_FINAL[[#This Row],[INVENTAIRE.Prix_cout]],"")</f>
        <v>-1312.5</v>
      </c>
      <c r="AD208" s="83">
        <f>IFERROR(RAPPORT_FINAL[[#This Row],[ECART.Total_vente]]/RAPPORT_FINAL[[#This Row],[ECART.Quantite]],0)</f>
        <v>3000</v>
      </c>
      <c r="AE208" s="92">
        <f>IFERROR(RAPPORT_FINAL[[#This Row],[ECART.Quantite]]*RAPPORT_FINAL[[#This Row],[INVENTAIRE.Prix_vente]],"")</f>
        <v>-3000</v>
      </c>
    </row>
    <row r="209" spans="1:31" hidden="1" x14ac:dyDescent="0.25">
      <c r="A209" s="83" t="s">
        <v>30</v>
      </c>
      <c r="B209" s="3" t="s">
        <v>71</v>
      </c>
      <c r="C209" s="80" t="s">
        <v>285</v>
      </c>
      <c r="D209" s="3" t="s">
        <v>15</v>
      </c>
      <c r="E209" s="31" t="s">
        <v>96</v>
      </c>
      <c r="F209" s="85" cm="1">
        <f t="array" ref="F20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7</v>
      </c>
      <c r="G209" s="80" cm="1">
        <f t="array" ref="G20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1312.5</v>
      </c>
      <c r="H209" s="80">
        <f>IF(RAPPORT_FINAL[[#This Row],[INVENTAIRE_PREC.Prix_vente]]="","",RAPPORT_FINAL[[#This Row],[INVENTAIRE_PREC.Quantite]]*RAPPORT_FINAL[[#This Row],[INVENTAIRE_PREC.Prix_cout]])</f>
        <v>9187.5</v>
      </c>
      <c r="I209" s="83" cm="1">
        <f t="array" ref="I20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1312.5</v>
      </c>
      <c r="J209" s="88">
        <f>IF(RAPPORT_FINAL[[#This Row],[INVENTAIRE_PREC.Prix_vente]]="","",RAPPORT_FINAL[[#This Row],[INVENTAIRE_PREC.Quantite]]*RAPPORT_FINAL[[#This Row],[INVENTAIRE_PREC.Prix_vente]])</f>
        <v>9187.5</v>
      </c>
      <c r="K209" s="24"/>
      <c r="L209" s="11"/>
      <c r="M209" s="25"/>
      <c r="N209" s="24">
        <v>2</v>
      </c>
      <c r="O209" s="11">
        <v>3000</v>
      </c>
      <c r="P209" s="25">
        <v>6000</v>
      </c>
      <c r="Q209" s="85">
        <v>4</v>
      </c>
      <c r="R209" s="80" cm="1">
        <f t="array" ref="R20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1312.5</v>
      </c>
      <c r="S209" s="80">
        <f>RAPPORT_FINAL[[#This Row],[INVENTAIRE.Quantite]]*RAPPORT_FINAL[[#This Row],[INVENTAIRE.Prix_cout]]</f>
        <v>5250</v>
      </c>
      <c r="T209" s="83" cm="1">
        <f t="array" ref="T20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209" s="88">
        <f>IF(OR(RAPPORT_FINAL[[#This Row],[INVENTAIRE.Quantite]]="",RAPPORT_FINAL[[#This Row],[INVENTAIRE.Prix_vente]]=""),"",RAPPORT_FINAL[[#This Row],[INVENTAIRE.Quantite]]*RAPPORT_FINAL[[#This Row],[INVENTAIRE.Prix_vente]])</f>
        <v>12000</v>
      </c>
      <c r="V20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5</v>
      </c>
      <c r="W209" s="24">
        <f>RAPPORT_FINAL[[#This Row],[INVENTAIRE.Prix_cout]]</f>
        <v>1312.5</v>
      </c>
      <c r="X209" s="85">
        <f>RAPPORT_FINAL[[#This Row],[INVENTAIRE_THEORIQUE]]*RAPPORT_FINAL[[#This Row],[INVENTAIRE_THEORIQUE.Prix_cout]]</f>
        <v>6562.5</v>
      </c>
      <c r="Y209" s="85">
        <f>RAPPORT_FINAL[[#This Row],[INVENTAIRE.Prix_vente]]</f>
        <v>3000</v>
      </c>
      <c r="Z209" s="85">
        <f>RAPPORT_FINAL[[#This Row],[INVENTAIRE_THEORIQUE]]*RAPPORT_FINAL[[#This Row],[INVENTAIRE_THEORIQUE.Prix_vente]]</f>
        <v>15000</v>
      </c>
      <c r="AA209" s="85">
        <f>RAPPORT_FINAL[[#This Row],[INVENTAIRE.Quantite]]-RAPPORT_FINAL[[#This Row],[INVENTAIRE_THEORIQUE]]</f>
        <v>-1</v>
      </c>
      <c r="AB209" s="90">
        <f>IFERROR(RAPPORT_FINAL[[#This Row],[ECART.Total_cout]]/RAPPORT_FINAL[[#This Row],[ECART.Quantite]],0)</f>
        <v>1312.5</v>
      </c>
      <c r="AC209" s="91">
        <f>IFERROR(RAPPORT_FINAL[[#This Row],[ECART.Quantite]]*RAPPORT_FINAL[[#This Row],[INVENTAIRE.Prix_cout]],"")</f>
        <v>-1312.5</v>
      </c>
      <c r="AD209" s="83">
        <f>IFERROR(RAPPORT_FINAL[[#This Row],[ECART.Total_vente]]/RAPPORT_FINAL[[#This Row],[ECART.Quantite]],0)</f>
        <v>3000</v>
      </c>
      <c r="AE209" s="92">
        <f>IFERROR(RAPPORT_FINAL[[#This Row],[ECART.Quantite]]*RAPPORT_FINAL[[#This Row],[INVENTAIRE.Prix_vente]],"")</f>
        <v>-3000</v>
      </c>
    </row>
    <row r="210" spans="1:31" hidden="1" x14ac:dyDescent="0.25">
      <c r="A210" s="83" t="s">
        <v>30</v>
      </c>
      <c r="B210" s="3" t="s">
        <v>71</v>
      </c>
      <c r="C210" s="80" t="s">
        <v>285</v>
      </c>
      <c r="D210" s="3" t="s">
        <v>15</v>
      </c>
      <c r="E210" s="31" t="s">
        <v>96</v>
      </c>
      <c r="F210" s="85" cm="1">
        <f t="array" ref="F21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7</v>
      </c>
      <c r="G210" s="80" cm="1">
        <f t="array" ref="G21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1312.5</v>
      </c>
      <c r="H210" s="80">
        <f>IF(RAPPORT_FINAL[[#This Row],[INVENTAIRE_PREC.Prix_vente]]="","",RAPPORT_FINAL[[#This Row],[INVENTAIRE_PREC.Quantite]]*RAPPORT_FINAL[[#This Row],[INVENTAIRE_PREC.Prix_cout]])</f>
        <v>9187.5</v>
      </c>
      <c r="I210" s="83" cm="1">
        <f t="array" ref="I21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1312.5</v>
      </c>
      <c r="J210" s="88">
        <f>IF(RAPPORT_FINAL[[#This Row],[INVENTAIRE_PREC.Prix_vente]]="","",RAPPORT_FINAL[[#This Row],[INVENTAIRE_PREC.Quantite]]*RAPPORT_FINAL[[#This Row],[INVENTAIRE_PREC.Prix_vente]])</f>
        <v>9187.5</v>
      </c>
      <c r="K210" s="24"/>
      <c r="L210" s="11"/>
      <c r="M210" s="25"/>
      <c r="N210" s="24">
        <v>1</v>
      </c>
      <c r="O210" s="11">
        <v>6000</v>
      </c>
      <c r="P210" s="25">
        <v>6000</v>
      </c>
      <c r="Q210" s="85">
        <v>4</v>
      </c>
      <c r="R210" s="80" cm="1">
        <f t="array" ref="R21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1312.5</v>
      </c>
      <c r="S210" s="80">
        <f>RAPPORT_FINAL[[#This Row],[INVENTAIRE.Quantite]]*RAPPORT_FINAL[[#This Row],[INVENTAIRE.Prix_cout]]</f>
        <v>5250</v>
      </c>
      <c r="T210" s="83" cm="1">
        <f t="array" ref="T21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210" s="88">
        <f>IF(OR(RAPPORT_FINAL[[#This Row],[INVENTAIRE.Quantite]]="",RAPPORT_FINAL[[#This Row],[INVENTAIRE.Prix_vente]]=""),"",RAPPORT_FINAL[[#This Row],[INVENTAIRE.Quantite]]*RAPPORT_FINAL[[#This Row],[INVENTAIRE.Prix_vente]])</f>
        <v>12000</v>
      </c>
      <c r="V21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210" s="24">
        <f>RAPPORT_FINAL[[#This Row],[INVENTAIRE.Prix_cout]]</f>
        <v>1312.5</v>
      </c>
      <c r="X210" s="85">
        <f>RAPPORT_FINAL[[#This Row],[INVENTAIRE_THEORIQUE]]*RAPPORT_FINAL[[#This Row],[INVENTAIRE_THEORIQUE.Prix_cout]]</f>
        <v>7875</v>
      </c>
      <c r="Y210" s="85">
        <f>RAPPORT_FINAL[[#This Row],[INVENTAIRE.Prix_vente]]</f>
        <v>3000</v>
      </c>
      <c r="Z210" s="85">
        <f>RAPPORT_FINAL[[#This Row],[INVENTAIRE_THEORIQUE]]*RAPPORT_FINAL[[#This Row],[INVENTAIRE_THEORIQUE.Prix_vente]]</f>
        <v>18000</v>
      </c>
      <c r="AA210" s="85">
        <f>RAPPORT_FINAL[[#This Row],[INVENTAIRE.Quantite]]-RAPPORT_FINAL[[#This Row],[INVENTAIRE_THEORIQUE]]</f>
        <v>-2</v>
      </c>
      <c r="AB210" s="90">
        <f>IFERROR(RAPPORT_FINAL[[#This Row],[ECART.Total_cout]]/RAPPORT_FINAL[[#This Row],[ECART.Quantite]],0)</f>
        <v>1312.5</v>
      </c>
      <c r="AC210" s="91">
        <f>IFERROR(RAPPORT_FINAL[[#This Row],[ECART.Quantite]]*RAPPORT_FINAL[[#This Row],[INVENTAIRE.Prix_cout]],"")</f>
        <v>-2625</v>
      </c>
      <c r="AD210" s="83">
        <f>IFERROR(RAPPORT_FINAL[[#This Row],[ECART.Total_vente]]/RAPPORT_FINAL[[#This Row],[ECART.Quantite]],0)</f>
        <v>3000</v>
      </c>
      <c r="AE210" s="92">
        <f>IFERROR(RAPPORT_FINAL[[#This Row],[ECART.Quantite]]*RAPPORT_FINAL[[#This Row],[INVENTAIRE.Prix_vente]],"")</f>
        <v>-6000</v>
      </c>
    </row>
    <row r="211" spans="1:31" x14ac:dyDescent="0.25">
      <c r="A211" s="83" t="s">
        <v>30</v>
      </c>
      <c r="B211" s="3" t="s">
        <v>71</v>
      </c>
      <c r="C211" s="80" t="s">
        <v>284</v>
      </c>
      <c r="D211" s="3" t="s">
        <v>18</v>
      </c>
      <c r="E211" s="31" t="s">
        <v>108</v>
      </c>
      <c r="F211" s="85" cm="1">
        <f t="array" ref="F21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11" s="80" cm="1">
        <f t="array" ref="G21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211" s="80">
        <f>IF(RAPPORT_FINAL[[#This Row],[INVENTAIRE_PREC.Prix_vente]]="","",RAPPORT_FINAL[[#This Row],[INVENTAIRE_PREC.Quantite]]*RAPPORT_FINAL[[#This Row],[INVENTAIRE_PREC.Prix_cout]])</f>
        <v>0</v>
      </c>
      <c r="I211" s="83" cm="1">
        <f t="array" ref="I21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211" s="88">
        <f>IF(RAPPORT_FINAL[[#This Row],[INVENTAIRE_PREC.Prix_vente]]="","",RAPPORT_FINAL[[#This Row],[INVENTAIRE_PREC.Quantite]]*RAPPORT_FINAL[[#This Row],[INVENTAIRE_PREC.Prix_vente]])</f>
        <v>0</v>
      </c>
      <c r="K211" s="24"/>
      <c r="L211" s="11"/>
      <c r="M211" s="25"/>
      <c r="N211" s="24">
        <v>150</v>
      </c>
      <c r="O211" s="11">
        <v>1.1200000000000001</v>
      </c>
      <c r="P211" s="25">
        <v>168.00000000000003</v>
      </c>
      <c r="Q211" s="85">
        <v>0</v>
      </c>
      <c r="R211" s="80" cm="1">
        <f t="array" ref="R21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211" s="80">
        <f>RAPPORT_FINAL[[#This Row],[INVENTAIRE.Quantite]]*RAPPORT_FINAL[[#This Row],[INVENTAIRE.Prix_cout]]</f>
        <v>0</v>
      </c>
      <c r="T211" s="83" cm="1">
        <f t="array" ref="T21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1.1200000000000001</v>
      </c>
      <c r="U211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21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-150</v>
      </c>
      <c r="W211" s="24">
        <f>RAPPORT_FINAL[[#This Row],[INVENTAIRE.Prix_cout]]</f>
        <v>0</v>
      </c>
      <c r="X211" s="85">
        <f>RAPPORT_FINAL[[#This Row],[INVENTAIRE_THEORIQUE]]*RAPPORT_FINAL[[#This Row],[INVENTAIRE_THEORIQUE.Prix_cout]]</f>
        <v>0</v>
      </c>
      <c r="Y211" s="85">
        <f>RAPPORT_FINAL[[#This Row],[INVENTAIRE.Prix_vente]]</f>
        <v>1.1200000000000001</v>
      </c>
      <c r="Z211" s="85">
        <f>RAPPORT_FINAL[[#This Row],[INVENTAIRE_THEORIQUE]]*RAPPORT_FINAL[[#This Row],[INVENTAIRE_THEORIQUE.Prix_vente]]</f>
        <v>-168.00000000000003</v>
      </c>
      <c r="AA211" s="85">
        <f>RAPPORT_FINAL[[#This Row],[INVENTAIRE.Quantite]]-RAPPORT_FINAL[[#This Row],[INVENTAIRE_THEORIQUE]]</f>
        <v>150</v>
      </c>
      <c r="AB211" s="90">
        <f>IFERROR(RAPPORT_FINAL[[#This Row],[ECART.Total_cout]]/RAPPORT_FINAL[[#This Row],[ECART.Quantite]],0)</f>
        <v>0</v>
      </c>
      <c r="AC211" s="91">
        <f>IFERROR(RAPPORT_FINAL[[#This Row],[ECART.Quantite]]*RAPPORT_FINAL[[#This Row],[INVENTAIRE.Prix_cout]],"")</f>
        <v>0</v>
      </c>
      <c r="AD211" s="83">
        <f>IFERROR(RAPPORT_FINAL[[#This Row],[ECART.Total_vente]]/RAPPORT_FINAL[[#This Row],[ECART.Quantite]],0)</f>
        <v>1.1200000000000001</v>
      </c>
      <c r="AE211" s="92">
        <f>IFERROR(RAPPORT_FINAL[[#This Row],[ECART.Quantite]]*RAPPORT_FINAL[[#This Row],[INVENTAIRE.Prix_vente]],"")</f>
        <v>168.00000000000003</v>
      </c>
    </row>
    <row r="212" spans="1:31" hidden="1" x14ac:dyDescent="0.25">
      <c r="A212" s="83" t="s">
        <v>30</v>
      </c>
      <c r="B212" s="3" t="s">
        <v>71</v>
      </c>
      <c r="C212" s="80" t="s">
        <v>284</v>
      </c>
      <c r="D212" s="3" t="s">
        <v>139</v>
      </c>
      <c r="E212" s="31" t="s">
        <v>143</v>
      </c>
      <c r="F212" s="85" cm="1">
        <f t="array" ref="F21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92</v>
      </c>
      <c r="G212" s="80" cm="1">
        <f t="array" ref="G21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50</v>
      </c>
      <c r="H212" s="80">
        <f>IF(RAPPORT_FINAL[[#This Row],[INVENTAIRE_PREC.Prix_vente]]="","",RAPPORT_FINAL[[#This Row],[INVENTAIRE_PREC.Quantite]]*RAPPORT_FINAL[[#This Row],[INVENTAIRE_PREC.Prix_cout]])</f>
        <v>4600</v>
      </c>
      <c r="I212" s="83" cm="1">
        <f t="array" ref="I21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</v>
      </c>
      <c r="J212" s="88">
        <f>IF(RAPPORT_FINAL[[#This Row],[INVENTAIRE_PREC.Prix_vente]]="","",RAPPORT_FINAL[[#This Row],[INVENTAIRE_PREC.Quantite]]*RAPPORT_FINAL[[#This Row],[INVENTAIRE_PREC.Prix_vente]])</f>
        <v>4600</v>
      </c>
      <c r="K212" s="24"/>
      <c r="L212" s="11"/>
      <c r="M212" s="25"/>
      <c r="N212" s="24">
        <v>6</v>
      </c>
      <c r="O212" s="11">
        <v>50</v>
      </c>
      <c r="P212" s="25">
        <v>300</v>
      </c>
      <c r="Q212" s="85">
        <v>81</v>
      </c>
      <c r="R212" s="80" cm="1">
        <f t="array" ref="R21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50</v>
      </c>
      <c r="S212" s="80">
        <f>RAPPORT_FINAL[[#This Row],[INVENTAIRE.Quantite]]*RAPPORT_FINAL[[#This Row],[INVENTAIRE.Prix_cout]]</f>
        <v>4050</v>
      </c>
      <c r="T212" s="83" cm="1">
        <f t="array" ref="T21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</v>
      </c>
      <c r="U212" s="88">
        <f>IF(OR(RAPPORT_FINAL[[#This Row],[INVENTAIRE.Quantite]]="",RAPPORT_FINAL[[#This Row],[INVENTAIRE.Prix_vente]]=""),"",RAPPORT_FINAL[[#This Row],[INVENTAIRE.Quantite]]*RAPPORT_FINAL[[#This Row],[INVENTAIRE.Prix_vente]])</f>
        <v>4050</v>
      </c>
      <c r="V21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86</v>
      </c>
      <c r="W212" s="24">
        <f>RAPPORT_FINAL[[#This Row],[INVENTAIRE.Prix_cout]]</f>
        <v>50</v>
      </c>
      <c r="X212" s="85">
        <f>RAPPORT_FINAL[[#This Row],[INVENTAIRE_THEORIQUE]]*RAPPORT_FINAL[[#This Row],[INVENTAIRE_THEORIQUE.Prix_cout]]</f>
        <v>4300</v>
      </c>
      <c r="Y212" s="85">
        <f>RAPPORT_FINAL[[#This Row],[INVENTAIRE.Prix_vente]]</f>
        <v>50</v>
      </c>
      <c r="Z212" s="85">
        <f>RAPPORT_FINAL[[#This Row],[INVENTAIRE_THEORIQUE]]*RAPPORT_FINAL[[#This Row],[INVENTAIRE_THEORIQUE.Prix_vente]]</f>
        <v>4300</v>
      </c>
      <c r="AA212" s="85">
        <f>RAPPORT_FINAL[[#This Row],[INVENTAIRE.Quantite]]-RAPPORT_FINAL[[#This Row],[INVENTAIRE_THEORIQUE]]</f>
        <v>-5</v>
      </c>
      <c r="AB212" s="90">
        <f>IFERROR(RAPPORT_FINAL[[#This Row],[ECART.Total_cout]]/RAPPORT_FINAL[[#This Row],[ECART.Quantite]],0)</f>
        <v>50</v>
      </c>
      <c r="AC212" s="91">
        <f>IFERROR(RAPPORT_FINAL[[#This Row],[ECART.Quantite]]*RAPPORT_FINAL[[#This Row],[INVENTAIRE.Prix_cout]],"")</f>
        <v>-250</v>
      </c>
      <c r="AD212" s="83">
        <f>IFERROR(RAPPORT_FINAL[[#This Row],[ECART.Total_vente]]/RAPPORT_FINAL[[#This Row],[ECART.Quantite]],0)</f>
        <v>50</v>
      </c>
      <c r="AE212" s="92">
        <f>IFERROR(RAPPORT_FINAL[[#This Row],[ECART.Quantite]]*RAPPORT_FINAL[[#This Row],[INVENTAIRE.Prix_vente]],"")</f>
        <v>-250</v>
      </c>
    </row>
    <row r="213" spans="1:31" hidden="1" x14ac:dyDescent="0.25">
      <c r="A213" s="83" t="s">
        <v>30</v>
      </c>
      <c r="B213" s="3" t="s">
        <v>71</v>
      </c>
      <c r="C213" s="80" t="s">
        <v>284</v>
      </c>
      <c r="D213" s="3" t="s">
        <v>24</v>
      </c>
      <c r="E213" s="31" t="s">
        <v>96</v>
      </c>
      <c r="F213" s="85" cm="1">
        <f t="array" ref="F21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13" s="80" cm="1">
        <f t="array" ref="G21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213" s="80">
        <f>IF(RAPPORT_FINAL[[#This Row],[INVENTAIRE_PREC.Prix_vente]]="","",RAPPORT_FINAL[[#This Row],[INVENTAIRE_PREC.Quantite]]*RAPPORT_FINAL[[#This Row],[INVENTAIRE_PREC.Prix_cout]])</f>
        <v>0</v>
      </c>
      <c r="I213" s="83" cm="1">
        <f t="array" ref="I21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213" s="88">
        <f>IF(RAPPORT_FINAL[[#This Row],[INVENTAIRE_PREC.Prix_vente]]="","",RAPPORT_FINAL[[#This Row],[INVENTAIRE_PREC.Quantite]]*RAPPORT_FINAL[[#This Row],[INVENTAIRE_PREC.Prix_vente]])</f>
        <v>0</v>
      </c>
      <c r="K213" s="24">
        <v>25</v>
      </c>
      <c r="L213" s="11">
        <v>200</v>
      </c>
      <c r="M213" s="25">
        <v>5000</v>
      </c>
      <c r="N213" s="24">
        <v>8</v>
      </c>
      <c r="O213" s="11">
        <v>375</v>
      </c>
      <c r="P213" s="25">
        <v>3000</v>
      </c>
      <c r="Q213" s="85">
        <v>19</v>
      </c>
      <c r="R213" s="80" cm="1">
        <f t="array" ref="R21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200</v>
      </c>
      <c r="S213" s="80">
        <f>RAPPORT_FINAL[[#This Row],[INVENTAIRE.Quantite]]*RAPPORT_FINAL[[#This Row],[INVENTAIRE.Prix_cout]]</f>
        <v>3800</v>
      </c>
      <c r="T213" s="83" cm="1">
        <f t="array" ref="T21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213" s="88">
        <f>IF(OR(RAPPORT_FINAL[[#This Row],[INVENTAIRE.Quantite]]="",RAPPORT_FINAL[[#This Row],[INVENTAIRE.Prix_vente]]=""),"",RAPPORT_FINAL[[#This Row],[INVENTAIRE.Quantite]]*RAPPORT_FINAL[[#This Row],[INVENTAIRE.Prix_vente]])</f>
        <v>9500</v>
      </c>
      <c r="V21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17</v>
      </c>
      <c r="W213" s="24">
        <f>RAPPORT_FINAL[[#This Row],[INVENTAIRE.Prix_cout]]</f>
        <v>200</v>
      </c>
      <c r="X213" s="85">
        <f>RAPPORT_FINAL[[#This Row],[INVENTAIRE_THEORIQUE]]*RAPPORT_FINAL[[#This Row],[INVENTAIRE_THEORIQUE.Prix_cout]]</f>
        <v>3400</v>
      </c>
      <c r="Y213" s="85">
        <f>RAPPORT_FINAL[[#This Row],[INVENTAIRE.Prix_vente]]</f>
        <v>500</v>
      </c>
      <c r="Z213" s="85">
        <f>RAPPORT_FINAL[[#This Row],[INVENTAIRE_THEORIQUE]]*RAPPORT_FINAL[[#This Row],[INVENTAIRE_THEORIQUE.Prix_vente]]</f>
        <v>8500</v>
      </c>
      <c r="AA213" s="85">
        <f>RAPPORT_FINAL[[#This Row],[INVENTAIRE.Quantite]]-RAPPORT_FINAL[[#This Row],[INVENTAIRE_THEORIQUE]]</f>
        <v>2</v>
      </c>
      <c r="AB213" s="90">
        <f>IFERROR(RAPPORT_FINAL[[#This Row],[ECART.Total_cout]]/RAPPORT_FINAL[[#This Row],[ECART.Quantite]],0)</f>
        <v>200</v>
      </c>
      <c r="AC213" s="91">
        <f>IFERROR(RAPPORT_FINAL[[#This Row],[ECART.Quantite]]*RAPPORT_FINAL[[#This Row],[INVENTAIRE.Prix_cout]],"")</f>
        <v>400</v>
      </c>
      <c r="AD213" s="83">
        <f>IFERROR(RAPPORT_FINAL[[#This Row],[ECART.Total_vente]]/RAPPORT_FINAL[[#This Row],[ECART.Quantite]],0)</f>
        <v>500</v>
      </c>
      <c r="AE213" s="92">
        <f>IFERROR(RAPPORT_FINAL[[#This Row],[ECART.Quantite]]*RAPPORT_FINAL[[#This Row],[INVENTAIRE.Prix_vente]],"")</f>
        <v>1000</v>
      </c>
    </row>
    <row r="214" spans="1:31" hidden="1" x14ac:dyDescent="0.25">
      <c r="A214" s="83" t="s">
        <v>30</v>
      </c>
      <c r="B214" s="3" t="s">
        <v>71</v>
      </c>
      <c r="C214" s="80" t="s">
        <v>284</v>
      </c>
      <c r="D214" s="3" t="s">
        <v>121</v>
      </c>
      <c r="E214" s="31" t="s">
        <v>122</v>
      </c>
      <c r="F214" s="85" cm="1">
        <f t="array" ref="F21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14" s="80" cm="1">
        <f t="array" ref="G21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214" s="80">
        <f>IF(RAPPORT_FINAL[[#This Row],[INVENTAIRE_PREC.Prix_vente]]="","",RAPPORT_FINAL[[#This Row],[INVENTAIRE_PREC.Quantite]]*RAPPORT_FINAL[[#This Row],[INVENTAIRE_PREC.Prix_cout]])</f>
        <v>0</v>
      </c>
      <c r="I214" s="83" cm="1">
        <f t="array" ref="I21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214" s="88">
        <f>IF(RAPPORT_FINAL[[#This Row],[INVENTAIRE_PREC.Prix_vente]]="","",RAPPORT_FINAL[[#This Row],[INVENTAIRE_PREC.Quantite]]*RAPPORT_FINAL[[#This Row],[INVENTAIRE_PREC.Prix_vente]])</f>
        <v>0</v>
      </c>
      <c r="K214" s="24">
        <v>20</v>
      </c>
      <c r="L214" s="11">
        <v>150</v>
      </c>
      <c r="M214" s="25">
        <v>3000</v>
      </c>
      <c r="N214" s="24">
        <v>6</v>
      </c>
      <c r="O214" s="11">
        <v>150</v>
      </c>
      <c r="P214" s="25">
        <v>900</v>
      </c>
      <c r="Q214" s="85">
        <v>17</v>
      </c>
      <c r="R214" s="80" cm="1">
        <f t="array" ref="R21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150</v>
      </c>
      <c r="S214" s="80">
        <f>RAPPORT_FINAL[[#This Row],[INVENTAIRE.Quantite]]*RAPPORT_FINAL[[#This Row],[INVENTAIRE.Prix_cout]]</f>
        <v>2550</v>
      </c>
      <c r="T214" s="83" cm="1">
        <f t="array" ref="T21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</v>
      </c>
      <c r="U214" s="88">
        <f>IF(OR(RAPPORT_FINAL[[#This Row],[INVENTAIRE.Quantite]]="",RAPPORT_FINAL[[#This Row],[INVENTAIRE.Prix_vente]]=""),"",RAPPORT_FINAL[[#This Row],[INVENTAIRE.Quantite]]*RAPPORT_FINAL[[#This Row],[INVENTAIRE.Prix_vente]])</f>
        <v>2550</v>
      </c>
      <c r="V21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14</v>
      </c>
      <c r="W214" s="24">
        <f>RAPPORT_FINAL[[#This Row],[INVENTAIRE.Prix_cout]]</f>
        <v>150</v>
      </c>
      <c r="X214" s="85">
        <f>RAPPORT_FINAL[[#This Row],[INVENTAIRE_THEORIQUE]]*RAPPORT_FINAL[[#This Row],[INVENTAIRE_THEORIQUE.Prix_cout]]</f>
        <v>2100</v>
      </c>
      <c r="Y214" s="85">
        <f>RAPPORT_FINAL[[#This Row],[INVENTAIRE.Prix_vente]]</f>
        <v>150</v>
      </c>
      <c r="Z214" s="85">
        <f>RAPPORT_FINAL[[#This Row],[INVENTAIRE_THEORIQUE]]*RAPPORT_FINAL[[#This Row],[INVENTAIRE_THEORIQUE.Prix_vente]]</f>
        <v>2100</v>
      </c>
      <c r="AA214" s="85">
        <f>RAPPORT_FINAL[[#This Row],[INVENTAIRE.Quantite]]-RAPPORT_FINAL[[#This Row],[INVENTAIRE_THEORIQUE]]</f>
        <v>3</v>
      </c>
      <c r="AB214" s="90">
        <f>IFERROR(RAPPORT_FINAL[[#This Row],[ECART.Total_cout]]/RAPPORT_FINAL[[#This Row],[ECART.Quantite]],0)</f>
        <v>150</v>
      </c>
      <c r="AC214" s="91">
        <f>IFERROR(RAPPORT_FINAL[[#This Row],[ECART.Quantite]]*RAPPORT_FINAL[[#This Row],[INVENTAIRE.Prix_cout]],"")</f>
        <v>450</v>
      </c>
      <c r="AD214" s="83">
        <f>IFERROR(RAPPORT_FINAL[[#This Row],[ECART.Total_vente]]/RAPPORT_FINAL[[#This Row],[ECART.Quantite]],0)</f>
        <v>150</v>
      </c>
      <c r="AE214" s="92">
        <f>IFERROR(RAPPORT_FINAL[[#This Row],[ECART.Quantite]]*RAPPORT_FINAL[[#This Row],[INVENTAIRE.Prix_vente]],"")</f>
        <v>450</v>
      </c>
    </row>
    <row r="215" spans="1:31" hidden="1" x14ac:dyDescent="0.25">
      <c r="A215" s="83" t="s">
        <v>30</v>
      </c>
      <c r="B215" s="3" t="s">
        <v>71</v>
      </c>
      <c r="C215" s="80" t="s">
        <v>284</v>
      </c>
      <c r="D215" s="3" t="s">
        <v>24</v>
      </c>
      <c r="E215" s="31" t="s">
        <v>96</v>
      </c>
      <c r="F215" s="85" cm="1">
        <f t="array" ref="F21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15" s="80" cm="1">
        <f t="array" ref="G21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215" s="80">
        <f>IF(RAPPORT_FINAL[[#This Row],[INVENTAIRE_PREC.Prix_vente]]="","",RAPPORT_FINAL[[#This Row],[INVENTAIRE_PREC.Quantite]]*RAPPORT_FINAL[[#This Row],[INVENTAIRE_PREC.Prix_cout]])</f>
        <v>0</v>
      </c>
      <c r="I215" s="83" cm="1">
        <f t="array" ref="I21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215" s="88">
        <f>IF(RAPPORT_FINAL[[#This Row],[INVENTAIRE_PREC.Prix_vente]]="","",RAPPORT_FINAL[[#This Row],[INVENTAIRE_PREC.Quantite]]*RAPPORT_FINAL[[#This Row],[INVENTAIRE_PREC.Prix_vente]])</f>
        <v>0</v>
      </c>
      <c r="K215" s="24">
        <v>25</v>
      </c>
      <c r="L215" s="11">
        <v>200</v>
      </c>
      <c r="M215" s="25">
        <v>5000</v>
      </c>
      <c r="N215" s="24">
        <v>6</v>
      </c>
      <c r="O215" s="11">
        <v>500</v>
      </c>
      <c r="P215" s="25">
        <v>3000</v>
      </c>
      <c r="Q215" s="85">
        <v>19</v>
      </c>
      <c r="R215" s="80" cm="1">
        <f t="array" ref="R21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200</v>
      </c>
      <c r="S215" s="80">
        <f>RAPPORT_FINAL[[#This Row],[INVENTAIRE.Quantite]]*RAPPORT_FINAL[[#This Row],[INVENTAIRE.Prix_cout]]</f>
        <v>3800</v>
      </c>
      <c r="T215" s="83" cm="1">
        <f t="array" ref="T21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215" s="88">
        <f>IF(OR(RAPPORT_FINAL[[#This Row],[INVENTAIRE.Quantite]]="",RAPPORT_FINAL[[#This Row],[INVENTAIRE.Prix_vente]]=""),"",RAPPORT_FINAL[[#This Row],[INVENTAIRE.Quantite]]*RAPPORT_FINAL[[#This Row],[INVENTAIRE.Prix_vente]])</f>
        <v>9500</v>
      </c>
      <c r="V21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19</v>
      </c>
      <c r="W215" s="24">
        <f>RAPPORT_FINAL[[#This Row],[INVENTAIRE.Prix_cout]]</f>
        <v>200</v>
      </c>
      <c r="X215" s="85">
        <f>RAPPORT_FINAL[[#This Row],[INVENTAIRE_THEORIQUE]]*RAPPORT_FINAL[[#This Row],[INVENTAIRE_THEORIQUE.Prix_cout]]</f>
        <v>3800</v>
      </c>
      <c r="Y215" s="85">
        <f>RAPPORT_FINAL[[#This Row],[INVENTAIRE.Prix_vente]]</f>
        <v>500</v>
      </c>
      <c r="Z215" s="85">
        <f>RAPPORT_FINAL[[#This Row],[INVENTAIRE_THEORIQUE]]*RAPPORT_FINAL[[#This Row],[INVENTAIRE_THEORIQUE.Prix_vente]]</f>
        <v>9500</v>
      </c>
      <c r="AA215" s="85">
        <f>RAPPORT_FINAL[[#This Row],[INVENTAIRE.Quantite]]-RAPPORT_FINAL[[#This Row],[INVENTAIRE_THEORIQUE]]</f>
        <v>0</v>
      </c>
      <c r="AB215" s="90">
        <f>IFERROR(RAPPORT_FINAL[[#This Row],[ECART.Total_cout]]/RAPPORT_FINAL[[#This Row],[ECART.Quantite]],0)</f>
        <v>0</v>
      </c>
      <c r="AC215" s="91">
        <f>IFERROR(RAPPORT_FINAL[[#This Row],[ECART.Quantite]]*RAPPORT_FINAL[[#This Row],[INVENTAIRE.Prix_cout]],"")</f>
        <v>0</v>
      </c>
      <c r="AD215" s="83">
        <f>IFERROR(RAPPORT_FINAL[[#This Row],[ECART.Total_vente]]/RAPPORT_FINAL[[#This Row],[ECART.Quantite]],0)</f>
        <v>0</v>
      </c>
      <c r="AE215" s="92">
        <f>IFERROR(RAPPORT_FINAL[[#This Row],[ECART.Quantite]]*RAPPORT_FINAL[[#This Row],[INVENTAIRE.Prix_vente]],"")</f>
        <v>0</v>
      </c>
    </row>
    <row r="216" spans="1:31" hidden="1" x14ac:dyDescent="0.25">
      <c r="A216" s="83" t="s">
        <v>30</v>
      </c>
      <c r="B216" s="3" t="s">
        <v>71</v>
      </c>
      <c r="C216" s="80" t="s">
        <v>285</v>
      </c>
      <c r="D216" s="3" t="s">
        <v>16</v>
      </c>
      <c r="E216" s="31" t="s">
        <v>96</v>
      </c>
      <c r="F216" s="85" cm="1">
        <f t="array" ref="F21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9</v>
      </c>
      <c r="G216" s="80" cm="1">
        <f t="array" ref="G21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954.54999999999984</v>
      </c>
      <c r="H216" s="80">
        <f>IF(RAPPORT_FINAL[[#This Row],[INVENTAIRE_PREC.Prix_vente]]="","",RAPPORT_FINAL[[#This Row],[INVENTAIRE_PREC.Quantite]]*RAPPORT_FINAL[[#This Row],[INVENTAIRE_PREC.Prix_cout]])</f>
        <v>8590.9499999999989</v>
      </c>
      <c r="I216" s="83" cm="1">
        <f t="array" ref="I21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954.54999999999984</v>
      </c>
      <c r="J216" s="88">
        <f>IF(RAPPORT_FINAL[[#This Row],[INVENTAIRE_PREC.Prix_vente]]="","",RAPPORT_FINAL[[#This Row],[INVENTAIRE_PREC.Quantite]]*RAPPORT_FINAL[[#This Row],[INVENTAIRE_PREC.Prix_vente]])</f>
        <v>8590.9499999999989</v>
      </c>
      <c r="K216" s="24"/>
      <c r="L216" s="11"/>
      <c r="M216" s="25"/>
      <c r="N216" s="24">
        <v>7</v>
      </c>
      <c r="O216" s="11">
        <v>3000</v>
      </c>
      <c r="P216" s="25">
        <v>21000</v>
      </c>
      <c r="Q216" s="85">
        <v>2</v>
      </c>
      <c r="R216" s="80" cm="1">
        <f t="array" ref="R21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954.54999999999984</v>
      </c>
      <c r="S216" s="80">
        <f>RAPPORT_FINAL[[#This Row],[INVENTAIRE.Quantite]]*RAPPORT_FINAL[[#This Row],[INVENTAIRE.Prix_cout]]</f>
        <v>1909.0999999999997</v>
      </c>
      <c r="T216" s="83" cm="1">
        <f t="array" ref="T21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216" s="88">
        <f>IF(OR(RAPPORT_FINAL[[#This Row],[INVENTAIRE.Quantite]]="",RAPPORT_FINAL[[#This Row],[INVENTAIRE.Prix_vente]]=""),"",RAPPORT_FINAL[[#This Row],[INVENTAIRE.Quantite]]*RAPPORT_FINAL[[#This Row],[INVENTAIRE.Prix_vente]])</f>
        <v>6000</v>
      </c>
      <c r="V21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</v>
      </c>
      <c r="W216" s="24">
        <f>RAPPORT_FINAL[[#This Row],[INVENTAIRE.Prix_cout]]</f>
        <v>954.54999999999984</v>
      </c>
      <c r="X216" s="85">
        <f>RAPPORT_FINAL[[#This Row],[INVENTAIRE_THEORIQUE]]*RAPPORT_FINAL[[#This Row],[INVENTAIRE_THEORIQUE.Prix_cout]]</f>
        <v>1909.0999999999997</v>
      </c>
      <c r="Y216" s="85">
        <f>RAPPORT_FINAL[[#This Row],[INVENTAIRE.Prix_vente]]</f>
        <v>3000</v>
      </c>
      <c r="Z216" s="85">
        <f>RAPPORT_FINAL[[#This Row],[INVENTAIRE_THEORIQUE]]*RAPPORT_FINAL[[#This Row],[INVENTAIRE_THEORIQUE.Prix_vente]]</f>
        <v>6000</v>
      </c>
      <c r="AA216" s="85">
        <f>RAPPORT_FINAL[[#This Row],[INVENTAIRE.Quantite]]-RAPPORT_FINAL[[#This Row],[INVENTAIRE_THEORIQUE]]</f>
        <v>0</v>
      </c>
      <c r="AB216" s="90">
        <f>IFERROR(RAPPORT_FINAL[[#This Row],[ECART.Total_cout]]/RAPPORT_FINAL[[#This Row],[ECART.Quantite]],0)</f>
        <v>0</v>
      </c>
      <c r="AC216" s="91">
        <f>IFERROR(RAPPORT_FINAL[[#This Row],[ECART.Quantite]]*RAPPORT_FINAL[[#This Row],[INVENTAIRE.Prix_cout]],"")</f>
        <v>0</v>
      </c>
      <c r="AD216" s="83">
        <f>IFERROR(RAPPORT_FINAL[[#This Row],[ECART.Total_vente]]/RAPPORT_FINAL[[#This Row],[ECART.Quantite]],0)</f>
        <v>0</v>
      </c>
      <c r="AE216" s="92">
        <f>IFERROR(RAPPORT_FINAL[[#This Row],[ECART.Quantite]]*RAPPORT_FINAL[[#This Row],[INVENTAIRE.Prix_vente]],"")</f>
        <v>0</v>
      </c>
    </row>
    <row r="217" spans="1:31" hidden="1" x14ac:dyDescent="0.25">
      <c r="A217" s="83" t="s">
        <v>30</v>
      </c>
      <c r="B217" s="3" t="s">
        <v>71</v>
      </c>
      <c r="C217" s="80" t="s">
        <v>285</v>
      </c>
      <c r="D217" s="3" t="s">
        <v>16</v>
      </c>
      <c r="E217" s="31" t="s">
        <v>96</v>
      </c>
      <c r="F217" s="85" cm="1">
        <f t="array" ref="F21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9</v>
      </c>
      <c r="G217" s="80" cm="1">
        <f t="array" ref="G21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954.54999999999984</v>
      </c>
      <c r="H217" s="80">
        <f>IF(RAPPORT_FINAL[[#This Row],[INVENTAIRE_PREC.Prix_vente]]="","",RAPPORT_FINAL[[#This Row],[INVENTAIRE_PREC.Quantite]]*RAPPORT_FINAL[[#This Row],[INVENTAIRE_PREC.Prix_cout]])</f>
        <v>8590.9499999999989</v>
      </c>
      <c r="I217" s="83" cm="1">
        <f t="array" ref="I21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954.54999999999984</v>
      </c>
      <c r="J217" s="88">
        <f>IF(RAPPORT_FINAL[[#This Row],[INVENTAIRE_PREC.Prix_vente]]="","",RAPPORT_FINAL[[#This Row],[INVENTAIRE_PREC.Quantite]]*RAPPORT_FINAL[[#This Row],[INVENTAIRE_PREC.Prix_vente]])</f>
        <v>8590.9499999999989</v>
      </c>
      <c r="K217" s="24"/>
      <c r="L217" s="11"/>
      <c r="M217" s="25"/>
      <c r="N217" s="24">
        <v>2</v>
      </c>
      <c r="O217" s="11">
        <v>10500</v>
      </c>
      <c r="P217" s="25">
        <v>21000</v>
      </c>
      <c r="Q217" s="85">
        <v>2</v>
      </c>
      <c r="R217" s="80" cm="1">
        <f t="array" ref="R21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954.54999999999984</v>
      </c>
      <c r="S217" s="80">
        <f>RAPPORT_FINAL[[#This Row],[INVENTAIRE.Quantite]]*RAPPORT_FINAL[[#This Row],[INVENTAIRE.Prix_cout]]</f>
        <v>1909.0999999999997</v>
      </c>
      <c r="T217" s="83" cm="1">
        <f t="array" ref="T21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217" s="88">
        <f>IF(OR(RAPPORT_FINAL[[#This Row],[INVENTAIRE.Quantite]]="",RAPPORT_FINAL[[#This Row],[INVENTAIRE.Prix_vente]]=""),"",RAPPORT_FINAL[[#This Row],[INVENTAIRE.Quantite]]*RAPPORT_FINAL[[#This Row],[INVENTAIRE.Prix_vente]])</f>
        <v>6000</v>
      </c>
      <c r="V21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</v>
      </c>
      <c r="W217" s="24">
        <f>RAPPORT_FINAL[[#This Row],[INVENTAIRE.Prix_cout]]</f>
        <v>954.54999999999984</v>
      </c>
      <c r="X217" s="85">
        <f>RAPPORT_FINAL[[#This Row],[INVENTAIRE_THEORIQUE]]*RAPPORT_FINAL[[#This Row],[INVENTAIRE_THEORIQUE.Prix_cout]]</f>
        <v>6681.8499999999985</v>
      </c>
      <c r="Y217" s="85">
        <f>RAPPORT_FINAL[[#This Row],[INVENTAIRE.Prix_vente]]</f>
        <v>3000</v>
      </c>
      <c r="Z217" s="85">
        <f>RAPPORT_FINAL[[#This Row],[INVENTAIRE_THEORIQUE]]*RAPPORT_FINAL[[#This Row],[INVENTAIRE_THEORIQUE.Prix_vente]]</f>
        <v>21000</v>
      </c>
      <c r="AA217" s="85">
        <f>RAPPORT_FINAL[[#This Row],[INVENTAIRE.Quantite]]-RAPPORT_FINAL[[#This Row],[INVENTAIRE_THEORIQUE]]</f>
        <v>-5</v>
      </c>
      <c r="AB217" s="90">
        <f>IFERROR(RAPPORT_FINAL[[#This Row],[ECART.Total_cout]]/RAPPORT_FINAL[[#This Row],[ECART.Quantite]],0)</f>
        <v>954.54999999999984</v>
      </c>
      <c r="AC217" s="91">
        <f>IFERROR(RAPPORT_FINAL[[#This Row],[ECART.Quantite]]*RAPPORT_FINAL[[#This Row],[INVENTAIRE.Prix_cout]],"")</f>
        <v>-4772.7499999999991</v>
      </c>
      <c r="AD217" s="83">
        <f>IFERROR(RAPPORT_FINAL[[#This Row],[ECART.Total_vente]]/RAPPORT_FINAL[[#This Row],[ECART.Quantite]],0)</f>
        <v>3000</v>
      </c>
      <c r="AE217" s="92">
        <f>IFERROR(RAPPORT_FINAL[[#This Row],[ECART.Quantite]]*RAPPORT_FINAL[[#This Row],[INVENTAIRE.Prix_vente]],"")</f>
        <v>-15000</v>
      </c>
    </row>
    <row r="218" spans="1:31" hidden="1" x14ac:dyDescent="0.25">
      <c r="A218" s="83" t="s">
        <v>30</v>
      </c>
      <c r="B218" s="3" t="s">
        <v>71</v>
      </c>
      <c r="C218" s="80" t="s">
        <v>285</v>
      </c>
      <c r="D218" s="3" t="s">
        <v>16</v>
      </c>
      <c r="E218" s="31" t="s">
        <v>96</v>
      </c>
      <c r="F218" s="85" cm="1">
        <f t="array" ref="F21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9</v>
      </c>
      <c r="G218" s="80" cm="1">
        <f t="array" ref="G21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954.54999999999984</v>
      </c>
      <c r="H218" s="80">
        <f>IF(RAPPORT_FINAL[[#This Row],[INVENTAIRE_PREC.Prix_vente]]="","",RAPPORT_FINAL[[#This Row],[INVENTAIRE_PREC.Quantite]]*RAPPORT_FINAL[[#This Row],[INVENTAIRE_PREC.Prix_cout]])</f>
        <v>8590.9499999999989</v>
      </c>
      <c r="I218" s="83" cm="1">
        <f t="array" ref="I21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954.54999999999984</v>
      </c>
      <c r="J218" s="88">
        <f>IF(RAPPORT_FINAL[[#This Row],[INVENTAIRE_PREC.Prix_vente]]="","",RAPPORT_FINAL[[#This Row],[INVENTAIRE_PREC.Quantite]]*RAPPORT_FINAL[[#This Row],[INVENTAIRE_PREC.Prix_vente]])</f>
        <v>8590.9499999999989</v>
      </c>
      <c r="K218" s="24"/>
      <c r="L218" s="11"/>
      <c r="M218" s="25"/>
      <c r="N218" s="24">
        <v>2</v>
      </c>
      <c r="O218" s="11">
        <v>10500</v>
      </c>
      <c r="P218" s="25">
        <v>21000</v>
      </c>
      <c r="Q218" s="85">
        <v>2</v>
      </c>
      <c r="R218" s="80" cm="1">
        <f t="array" ref="R21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954.54999999999984</v>
      </c>
      <c r="S218" s="80">
        <f>RAPPORT_FINAL[[#This Row],[INVENTAIRE.Quantite]]*RAPPORT_FINAL[[#This Row],[INVENTAIRE.Prix_cout]]</f>
        <v>1909.0999999999997</v>
      </c>
      <c r="T218" s="83" cm="1">
        <f t="array" ref="T21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218" s="88">
        <f>IF(OR(RAPPORT_FINAL[[#This Row],[INVENTAIRE.Quantite]]="",RAPPORT_FINAL[[#This Row],[INVENTAIRE.Prix_vente]]=""),"",RAPPORT_FINAL[[#This Row],[INVENTAIRE.Quantite]]*RAPPORT_FINAL[[#This Row],[INVENTAIRE.Prix_vente]])</f>
        <v>6000</v>
      </c>
      <c r="V21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</v>
      </c>
      <c r="W218" s="24">
        <f>RAPPORT_FINAL[[#This Row],[INVENTAIRE.Prix_cout]]</f>
        <v>954.54999999999984</v>
      </c>
      <c r="X218" s="85">
        <f>RAPPORT_FINAL[[#This Row],[INVENTAIRE_THEORIQUE]]*RAPPORT_FINAL[[#This Row],[INVENTAIRE_THEORIQUE.Prix_cout]]</f>
        <v>6681.8499999999985</v>
      </c>
      <c r="Y218" s="85">
        <f>RAPPORT_FINAL[[#This Row],[INVENTAIRE.Prix_vente]]</f>
        <v>3000</v>
      </c>
      <c r="Z218" s="85">
        <f>RAPPORT_FINAL[[#This Row],[INVENTAIRE_THEORIQUE]]*RAPPORT_FINAL[[#This Row],[INVENTAIRE_THEORIQUE.Prix_vente]]</f>
        <v>21000</v>
      </c>
      <c r="AA218" s="85">
        <f>RAPPORT_FINAL[[#This Row],[INVENTAIRE.Quantite]]-RAPPORT_FINAL[[#This Row],[INVENTAIRE_THEORIQUE]]</f>
        <v>-5</v>
      </c>
      <c r="AB218" s="90">
        <f>IFERROR(RAPPORT_FINAL[[#This Row],[ECART.Total_cout]]/RAPPORT_FINAL[[#This Row],[ECART.Quantite]],0)</f>
        <v>954.54999999999984</v>
      </c>
      <c r="AC218" s="91">
        <f>IFERROR(RAPPORT_FINAL[[#This Row],[ECART.Quantite]]*RAPPORT_FINAL[[#This Row],[INVENTAIRE.Prix_cout]],"")</f>
        <v>-4772.7499999999991</v>
      </c>
      <c r="AD218" s="83">
        <f>IFERROR(RAPPORT_FINAL[[#This Row],[ECART.Total_vente]]/RAPPORT_FINAL[[#This Row],[ECART.Quantite]],0)</f>
        <v>3000</v>
      </c>
      <c r="AE218" s="92">
        <f>IFERROR(RAPPORT_FINAL[[#This Row],[ECART.Quantite]]*RAPPORT_FINAL[[#This Row],[INVENTAIRE.Prix_vente]],"")</f>
        <v>-15000</v>
      </c>
    </row>
    <row r="219" spans="1:31" hidden="1" x14ac:dyDescent="0.25">
      <c r="A219" s="83" t="s">
        <v>30</v>
      </c>
      <c r="B219" s="3" t="s">
        <v>71</v>
      </c>
      <c r="C219" s="80" t="s">
        <v>284</v>
      </c>
      <c r="D219" s="3" t="s">
        <v>8</v>
      </c>
      <c r="E219" s="31" t="s">
        <v>108</v>
      </c>
      <c r="F219" s="85" cm="1">
        <f t="array" ref="F21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19" s="80" cm="1">
        <f t="array" ref="G21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219" s="80">
        <f>IF(RAPPORT_FINAL[[#This Row],[INVENTAIRE_PREC.Prix_vente]]="","",RAPPORT_FINAL[[#This Row],[INVENTAIRE_PREC.Quantite]]*RAPPORT_FINAL[[#This Row],[INVENTAIRE_PREC.Prix_cout]])</f>
        <v>0</v>
      </c>
      <c r="I219" s="83" cm="1">
        <f t="array" ref="I21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219" s="88">
        <f>IF(RAPPORT_FINAL[[#This Row],[INVENTAIRE_PREC.Prix_vente]]="","",RAPPORT_FINAL[[#This Row],[INVENTAIRE_PREC.Quantite]]*RAPPORT_FINAL[[#This Row],[INVENTAIRE_PREC.Prix_vente]])</f>
        <v>0</v>
      </c>
      <c r="K219" s="24">
        <v>15000</v>
      </c>
      <c r="L219" s="11">
        <v>0.4</v>
      </c>
      <c r="M219" s="25">
        <v>6000</v>
      </c>
      <c r="N219" s="24">
        <v>6800</v>
      </c>
      <c r="O219" s="11">
        <v>0.39999999999999997</v>
      </c>
      <c r="P219" s="25">
        <v>2720</v>
      </c>
      <c r="Q219" s="85">
        <v>12000</v>
      </c>
      <c r="R219" s="80" cm="1">
        <f t="array" ref="R21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0.4</v>
      </c>
      <c r="S219" s="80">
        <f>RAPPORT_FINAL[[#This Row],[INVENTAIRE.Quantite]]*RAPPORT_FINAL[[#This Row],[INVENTAIRE.Prix_cout]]</f>
        <v>4800</v>
      </c>
      <c r="T219" s="83" cm="1">
        <f t="array" ref="T21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0.4</v>
      </c>
      <c r="U219" s="88">
        <f>IF(OR(RAPPORT_FINAL[[#This Row],[INVENTAIRE.Quantite]]="",RAPPORT_FINAL[[#This Row],[INVENTAIRE.Prix_vente]]=""),"",RAPPORT_FINAL[[#This Row],[INVENTAIRE.Quantite]]*RAPPORT_FINAL[[#This Row],[INVENTAIRE.Prix_vente]])</f>
        <v>4800</v>
      </c>
      <c r="V21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8200</v>
      </c>
      <c r="W219" s="24">
        <f>RAPPORT_FINAL[[#This Row],[INVENTAIRE.Prix_cout]]</f>
        <v>0.4</v>
      </c>
      <c r="X219" s="85">
        <f>RAPPORT_FINAL[[#This Row],[INVENTAIRE_THEORIQUE]]*RAPPORT_FINAL[[#This Row],[INVENTAIRE_THEORIQUE.Prix_cout]]</f>
        <v>3280</v>
      </c>
      <c r="Y219" s="85">
        <f>RAPPORT_FINAL[[#This Row],[INVENTAIRE.Prix_vente]]</f>
        <v>0.4</v>
      </c>
      <c r="Z219" s="85">
        <f>RAPPORT_FINAL[[#This Row],[INVENTAIRE_THEORIQUE]]*RAPPORT_FINAL[[#This Row],[INVENTAIRE_THEORIQUE.Prix_vente]]</f>
        <v>3280</v>
      </c>
      <c r="AA219" s="85">
        <f>RAPPORT_FINAL[[#This Row],[INVENTAIRE.Quantite]]-RAPPORT_FINAL[[#This Row],[INVENTAIRE_THEORIQUE]]</f>
        <v>3800</v>
      </c>
      <c r="AB219" s="90">
        <f>IFERROR(RAPPORT_FINAL[[#This Row],[ECART.Total_cout]]/RAPPORT_FINAL[[#This Row],[ECART.Quantite]],0)</f>
        <v>0.4</v>
      </c>
      <c r="AC219" s="91">
        <f>IFERROR(RAPPORT_FINAL[[#This Row],[ECART.Quantite]]*RAPPORT_FINAL[[#This Row],[INVENTAIRE.Prix_cout]],"")</f>
        <v>1520</v>
      </c>
      <c r="AD219" s="83">
        <f>IFERROR(RAPPORT_FINAL[[#This Row],[ECART.Total_vente]]/RAPPORT_FINAL[[#This Row],[ECART.Quantite]],0)</f>
        <v>0.4</v>
      </c>
      <c r="AE219" s="92">
        <f>IFERROR(RAPPORT_FINAL[[#This Row],[ECART.Quantite]]*RAPPORT_FINAL[[#This Row],[INVENTAIRE.Prix_vente]],"")</f>
        <v>1520</v>
      </c>
    </row>
    <row r="220" spans="1:31" hidden="1" x14ac:dyDescent="0.25">
      <c r="A220" s="83" t="s">
        <v>30</v>
      </c>
      <c r="B220" s="3" t="s">
        <v>71</v>
      </c>
      <c r="C220" s="80" t="s">
        <v>284</v>
      </c>
      <c r="D220" s="3" t="s">
        <v>8</v>
      </c>
      <c r="E220" s="31" t="s">
        <v>108</v>
      </c>
      <c r="F220" s="85" cm="1">
        <f t="array" ref="F22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20" s="80" cm="1">
        <f t="array" ref="G22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220" s="80">
        <f>IF(RAPPORT_FINAL[[#This Row],[INVENTAIRE_PREC.Prix_vente]]="","",RAPPORT_FINAL[[#This Row],[INVENTAIRE_PREC.Quantite]]*RAPPORT_FINAL[[#This Row],[INVENTAIRE_PREC.Prix_cout]])</f>
        <v>0</v>
      </c>
      <c r="I220" s="83" cm="1">
        <f t="array" ref="I22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220" s="88">
        <f>IF(RAPPORT_FINAL[[#This Row],[INVENTAIRE_PREC.Prix_vente]]="","",RAPPORT_FINAL[[#This Row],[INVENTAIRE_PREC.Quantite]]*RAPPORT_FINAL[[#This Row],[INVENTAIRE_PREC.Prix_vente]])</f>
        <v>0</v>
      </c>
      <c r="K220" s="24">
        <v>15000</v>
      </c>
      <c r="L220" s="11">
        <v>0.4</v>
      </c>
      <c r="M220" s="25">
        <v>6000</v>
      </c>
      <c r="N220" s="24">
        <v>6800</v>
      </c>
      <c r="O220" s="11">
        <v>0.39999999999999997</v>
      </c>
      <c r="P220" s="25">
        <v>2720</v>
      </c>
      <c r="Q220" s="85">
        <v>12000</v>
      </c>
      <c r="R220" s="80" cm="1">
        <f t="array" ref="R22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0.4</v>
      </c>
      <c r="S220" s="80">
        <f>RAPPORT_FINAL[[#This Row],[INVENTAIRE.Quantite]]*RAPPORT_FINAL[[#This Row],[INVENTAIRE.Prix_cout]]</f>
        <v>4800</v>
      </c>
      <c r="T220" s="83" cm="1">
        <f t="array" ref="T22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0.4</v>
      </c>
      <c r="U220" s="88">
        <f>IF(OR(RAPPORT_FINAL[[#This Row],[INVENTAIRE.Quantite]]="",RAPPORT_FINAL[[#This Row],[INVENTAIRE.Prix_vente]]=""),"",RAPPORT_FINAL[[#This Row],[INVENTAIRE.Quantite]]*RAPPORT_FINAL[[#This Row],[INVENTAIRE.Prix_vente]])</f>
        <v>4800</v>
      </c>
      <c r="V22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8200</v>
      </c>
      <c r="W220" s="24">
        <f>RAPPORT_FINAL[[#This Row],[INVENTAIRE.Prix_cout]]</f>
        <v>0.4</v>
      </c>
      <c r="X220" s="85">
        <f>RAPPORT_FINAL[[#This Row],[INVENTAIRE_THEORIQUE]]*RAPPORT_FINAL[[#This Row],[INVENTAIRE_THEORIQUE.Prix_cout]]</f>
        <v>3280</v>
      </c>
      <c r="Y220" s="85">
        <f>RAPPORT_FINAL[[#This Row],[INVENTAIRE.Prix_vente]]</f>
        <v>0.4</v>
      </c>
      <c r="Z220" s="85">
        <f>RAPPORT_FINAL[[#This Row],[INVENTAIRE_THEORIQUE]]*RAPPORT_FINAL[[#This Row],[INVENTAIRE_THEORIQUE.Prix_vente]]</f>
        <v>3280</v>
      </c>
      <c r="AA220" s="85">
        <f>RAPPORT_FINAL[[#This Row],[INVENTAIRE.Quantite]]-RAPPORT_FINAL[[#This Row],[INVENTAIRE_THEORIQUE]]</f>
        <v>3800</v>
      </c>
      <c r="AB220" s="90">
        <f>IFERROR(RAPPORT_FINAL[[#This Row],[ECART.Total_cout]]/RAPPORT_FINAL[[#This Row],[ECART.Quantite]],0)</f>
        <v>0.4</v>
      </c>
      <c r="AC220" s="91">
        <f>IFERROR(RAPPORT_FINAL[[#This Row],[ECART.Quantite]]*RAPPORT_FINAL[[#This Row],[INVENTAIRE.Prix_cout]],"")</f>
        <v>1520</v>
      </c>
      <c r="AD220" s="83">
        <f>IFERROR(RAPPORT_FINAL[[#This Row],[ECART.Total_vente]]/RAPPORT_FINAL[[#This Row],[ECART.Quantite]],0)</f>
        <v>0.4</v>
      </c>
      <c r="AE220" s="92">
        <f>IFERROR(RAPPORT_FINAL[[#This Row],[ECART.Quantite]]*RAPPORT_FINAL[[#This Row],[INVENTAIRE.Prix_vente]],"")</f>
        <v>1520</v>
      </c>
    </row>
    <row r="221" spans="1:31" hidden="1" x14ac:dyDescent="0.25">
      <c r="A221" s="83" t="s">
        <v>30</v>
      </c>
      <c r="B221" s="3" t="s">
        <v>71</v>
      </c>
      <c r="C221" s="80" t="s">
        <v>284</v>
      </c>
      <c r="D221" s="3" t="s">
        <v>26</v>
      </c>
      <c r="E221" s="31" t="s">
        <v>108</v>
      </c>
      <c r="F221" s="85" cm="1">
        <f t="array" ref="F22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1494</v>
      </c>
      <c r="G221" s="80" cm="1">
        <f t="array" ref="G22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1.2</v>
      </c>
      <c r="H221" s="80">
        <f>IF(RAPPORT_FINAL[[#This Row],[INVENTAIRE_PREC.Prix_vente]]="","",RAPPORT_FINAL[[#This Row],[INVENTAIRE_PREC.Quantite]]*RAPPORT_FINAL[[#This Row],[INVENTAIRE_PREC.Prix_cout]])</f>
        <v>1792.8</v>
      </c>
      <c r="I221" s="83" cm="1">
        <f t="array" ref="I22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1.2</v>
      </c>
      <c r="J221" s="88">
        <f>IF(RAPPORT_FINAL[[#This Row],[INVENTAIRE_PREC.Prix_vente]]="","",RAPPORT_FINAL[[#This Row],[INVENTAIRE_PREC.Quantite]]*RAPPORT_FINAL[[#This Row],[INVENTAIRE_PREC.Prix_vente]])</f>
        <v>1792.8</v>
      </c>
      <c r="K221" s="24"/>
      <c r="L221" s="11"/>
      <c r="M221" s="25"/>
      <c r="N221" s="24">
        <v>660</v>
      </c>
      <c r="O221" s="11">
        <v>3.0303030303030303</v>
      </c>
      <c r="P221" s="25">
        <v>2000</v>
      </c>
      <c r="Q221" s="85">
        <v>660</v>
      </c>
      <c r="R221" s="80" cm="1">
        <f t="array" ref="R22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1.2</v>
      </c>
      <c r="S221" s="80">
        <f>RAPPORT_FINAL[[#This Row],[INVENTAIRE.Quantite]]*RAPPORT_FINAL[[#This Row],[INVENTAIRE.Prix_cout]]</f>
        <v>792</v>
      </c>
      <c r="T221" s="83" cm="1">
        <f t="array" ref="T22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3.0303030303030303</v>
      </c>
      <c r="U221" s="88">
        <f>IF(OR(RAPPORT_FINAL[[#This Row],[INVENTAIRE.Quantite]]="",RAPPORT_FINAL[[#This Row],[INVENTAIRE.Prix_vente]]=""),"",RAPPORT_FINAL[[#This Row],[INVENTAIRE.Quantite]]*RAPPORT_FINAL[[#This Row],[INVENTAIRE.Prix_vente]])</f>
        <v>2000</v>
      </c>
      <c r="V22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834</v>
      </c>
      <c r="W221" s="24">
        <f>RAPPORT_FINAL[[#This Row],[INVENTAIRE.Prix_cout]]</f>
        <v>1.2</v>
      </c>
      <c r="X221" s="85">
        <f>RAPPORT_FINAL[[#This Row],[INVENTAIRE_THEORIQUE]]*RAPPORT_FINAL[[#This Row],[INVENTAIRE_THEORIQUE.Prix_cout]]</f>
        <v>1000.8</v>
      </c>
      <c r="Y221" s="85">
        <f>RAPPORT_FINAL[[#This Row],[INVENTAIRE.Prix_vente]]</f>
        <v>3.0303030303030303</v>
      </c>
      <c r="Z221" s="85">
        <f>RAPPORT_FINAL[[#This Row],[INVENTAIRE_THEORIQUE]]*RAPPORT_FINAL[[#This Row],[INVENTAIRE_THEORIQUE.Prix_vente]]</f>
        <v>2527.272727272727</v>
      </c>
      <c r="AA221" s="85">
        <f>RAPPORT_FINAL[[#This Row],[INVENTAIRE.Quantite]]-RAPPORT_FINAL[[#This Row],[INVENTAIRE_THEORIQUE]]</f>
        <v>-174</v>
      </c>
      <c r="AB221" s="90">
        <f>IFERROR(RAPPORT_FINAL[[#This Row],[ECART.Total_cout]]/RAPPORT_FINAL[[#This Row],[ECART.Quantite]],0)</f>
        <v>1.2</v>
      </c>
      <c r="AC221" s="91">
        <f>IFERROR(RAPPORT_FINAL[[#This Row],[ECART.Quantite]]*RAPPORT_FINAL[[#This Row],[INVENTAIRE.Prix_cout]],"")</f>
        <v>-208.79999999999998</v>
      </c>
      <c r="AD221" s="83">
        <f>IFERROR(RAPPORT_FINAL[[#This Row],[ECART.Total_vente]]/RAPPORT_FINAL[[#This Row],[ECART.Quantite]],0)</f>
        <v>3.0303030303030303</v>
      </c>
      <c r="AE221" s="92">
        <f>IFERROR(RAPPORT_FINAL[[#This Row],[ECART.Quantite]]*RAPPORT_FINAL[[#This Row],[INVENTAIRE.Prix_vente]],"")</f>
        <v>-527.27272727272725</v>
      </c>
    </row>
    <row r="222" spans="1:31" hidden="1" x14ac:dyDescent="0.25">
      <c r="A222" s="83" t="s">
        <v>30</v>
      </c>
      <c r="B222" s="3" t="s">
        <v>71</v>
      </c>
      <c r="C222" s="80" t="s">
        <v>284</v>
      </c>
      <c r="D222" s="3" t="s">
        <v>26</v>
      </c>
      <c r="E222" s="31" t="s">
        <v>108</v>
      </c>
      <c r="F222" s="85" cm="1">
        <f t="array" ref="F22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1494</v>
      </c>
      <c r="G222" s="80" cm="1">
        <f t="array" ref="G22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1.2</v>
      </c>
      <c r="H222" s="80">
        <f>IF(RAPPORT_FINAL[[#This Row],[INVENTAIRE_PREC.Prix_vente]]="","",RAPPORT_FINAL[[#This Row],[INVENTAIRE_PREC.Quantite]]*RAPPORT_FINAL[[#This Row],[INVENTAIRE_PREC.Prix_cout]])</f>
        <v>1792.8</v>
      </c>
      <c r="I222" s="83" cm="1">
        <f t="array" ref="I22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1.2</v>
      </c>
      <c r="J222" s="88">
        <f>IF(RAPPORT_FINAL[[#This Row],[INVENTAIRE_PREC.Prix_vente]]="","",RAPPORT_FINAL[[#This Row],[INVENTAIRE_PREC.Quantite]]*RAPPORT_FINAL[[#This Row],[INVENTAIRE_PREC.Prix_vente]])</f>
        <v>1792.8</v>
      </c>
      <c r="K222" s="24"/>
      <c r="L222" s="11"/>
      <c r="M222" s="25"/>
      <c r="N222" s="24">
        <v>660</v>
      </c>
      <c r="O222" s="11">
        <v>3.0303030303030303</v>
      </c>
      <c r="P222" s="25">
        <v>2000</v>
      </c>
      <c r="Q222" s="85">
        <v>660</v>
      </c>
      <c r="R222" s="80" cm="1">
        <f t="array" ref="R22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1.2</v>
      </c>
      <c r="S222" s="80">
        <f>RAPPORT_FINAL[[#This Row],[INVENTAIRE.Quantite]]*RAPPORT_FINAL[[#This Row],[INVENTAIRE.Prix_cout]]</f>
        <v>792</v>
      </c>
      <c r="T222" s="83" cm="1">
        <f t="array" ref="T22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3.0303030303030303</v>
      </c>
      <c r="U222" s="88">
        <f>IF(OR(RAPPORT_FINAL[[#This Row],[INVENTAIRE.Quantite]]="",RAPPORT_FINAL[[#This Row],[INVENTAIRE.Prix_vente]]=""),"",RAPPORT_FINAL[[#This Row],[INVENTAIRE.Quantite]]*RAPPORT_FINAL[[#This Row],[INVENTAIRE.Prix_vente]])</f>
        <v>2000</v>
      </c>
      <c r="V22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834</v>
      </c>
      <c r="W222" s="24">
        <f>RAPPORT_FINAL[[#This Row],[INVENTAIRE.Prix_cout]]</f>
        <v>1.2</v>
      </c>
      <c r="X222" s="85">
        <f>RAPPORT_FINAL[[#This Row],[INVENTAIRE_THEORIQUE]]*RAPPORT_FINAL[[#This Row],[INVENTAIRE_THEORIQUE.Prix_cout]]</f>
        <v>1000.8</v>
      </c>
      <c r="Y222" s="85">
        <f>RAPPORT_FINAL[[#This Row],[INVENTAIRE.Prix_vente]]</f>
        <v>3.0303030303030303</v>
      </c>
      <c r="Z222" s="85">
        <f>RAPPORT_FINAL[[#This Row],[INVENTAIRE_THEORIQUE]]*RAPPORT_FINAL[[#This Row],[INVENTAIRE_THEORIQUE.Prix_vente]]</f>
        <v>2527.272727272727</v>
      </c>
      <c r="AA222" s="85">
        <f>RAPPORT_FINAL[[#This Row],[INVENTAIRE.Quantite]]-RAPPORT_FINAL[[#This Row],[INVENTAIRE_THEORIQUE]]</f>
        <v>-174</v>
      </c>
      <c r="AB222" s="90">
        <f>IFERROR(RAPPORT_FINAL[[#This Row],[ECART.Total_cout]]/RAPPORT_FINAL[[#This Row],[ECART.Quantite]],0)</f>
        <v>1.2</v>
      </c>
      <c r="AC222" s="91">
        <f>IFERROR(RAPPORT_FINAL[[#This Row],[ECART.Quantite]]*RAPPORT_FINAL[[#This Row],[INVENTAIRE.Prix_cout]],"")</f>
        <v>-208.79999999999998</v>
      </c>
      <c r="AD222" s="83">
        <f>IFERROR(RAPPORT_FINAL[[#This Row],[ECART.Total_vente]]/RAPPORT_FINAL[[#This Row],[ECART.Quantite]],0)</f>
        <v>3.0303030303030303</v>
      </c>
      <c r="AE222" s="92">
        <f>IFERROR(RAPPORT_FINAL[[#This Row],[ECART.Quantite]]*RAPPORT_FINAL[[#This Row],[INVENTAIRE.Prix_vente]],"")</f>
        <v>-527.27272727272725</v>
      </c>
    </row>
    <row r="223" spans="1:31" hidden="1" x14ac:dyDescent="0.25">
      <c r="A223" s="83" t="s">
        <v>30</v>
      </c>
      <c r="B223" s="3" t="s">
        <v>71</v>
      </c>
      <c r="C223" s="80" t="s">
        <v>285</v>
      </c>
      <c r="D223" s="3" t="s">
        <v>112</v>
      </c>
      <c r="E223" s="31" t="s">
        <v>96</v>
      </c>
      <c r="F223" s="85" cm="1">
        <f t="array" ref="F22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</v>
      </c>
      <c r="G223" s="80" cm="1">
        <f t="array" ref="G22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1312.5</v>
      </c>
      <c r="H223" s="80">
        <f>IF(RAPPORT_FINAL[[#This Row],[INVENTAIRE_PREC.Prix_vente]]="","",RAPPORT_FINAL[[#This Row],[INVENTAIRE_PREC.Quantite]]*RAPPORT_FINAL[[#This Row],[INVENTAIRE_PREC.Prix_cout]])</f>
        <v>5250</v>
      </c>
      <c r="I223" s="83" cm="1">
        <f t="array" ref="I22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1312.5</v>
      </c>
      <c r="J223" s="88">
        <f>IF(RAPPORT_FINAL[[#This Row],[INVENTAIRE_PREC.Prix_vente]]="","",RAPPORT_FINAL[[#This Row],[INVENTAIRE_PREC.Quantite]]*RAPPORT_FINAL[[#This Row],[INVENTAIRE_PREC.Prix_vente]])</f>
        <v>5250</v>
      </c>
      <c r="K223" s="24">
        <v>6</v>
      </c>
      <c r="L223" s="11">
        <v>1333.3333333333333</v>
      </c>
      <c r="M223" s="25">
        <v>8000</v>
      </c>
      <c r="N223" s="24">
        <v>4</v>
      </c>
      <c r="O223" s="11">
        <v>3000</v>
      </c>
      <c r="P223" s="25">
        <v>12000</v>
      </c>
      <c r="Q223" s="85">
        <v>6</v>
      </c>
      <c r="R223" s="80" cm="1">
        <f t="array" ref="R22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1325</v>
      </c>
      <c r="S223" s="80">
        <f>RAPPORT_FINAL[[#This Row],[INVENTAIRE.Quantite]]*RAPPORT_FINAL[[#This Row],[INVENTAIRE.Prix_cout]]</f>
        <v>7950</v>
      </c>
      <c r="T223" s="83" cm="1">
        <f t="array" ref="T22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223" s="88">
        <f>IF(OR(RAPPORT_FINAL[[#This Row],[INVENTAIRE.Quantite]]="",RAPPORT_FINAL[[#This Row],[INVENTAIRE.Prix_vente]]=""),"",RAPPORT_FINAL[[#This Row],[INVENTAIRE.Quantite]]*RAPPORT_FINAL[[#This Row],[INVENTAIRE.Prix_vente]])</f>
        <v>18000</v>
      </c>
      <c r="V22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223" s="24">
        <f>RAPPORT_FINAL[[#This Row],[INVENTAIRE.Prix_cout]]</f>
        <v>1325</v>
      </c>
      <c r="X223" s="85">
        <f>RAPPORT_FINAL[[#This Row],[INVENTAIRE_THEORIQUE]]*RAPPORT_FINAL[[#This Row],[INVENTAIRE_THEORIQUE.Prix_cout]]</f>
        <v>7950</v>
      </c>
      <c r="Y223" s="85">
        <f>RAPPORT_FINAL[[#This Row],[INVENTAIRE.Prix_vente]]</f>
        <v>3000</v>
      </c>
      <c r="Z223" s="85">
        <f>RAPPORT_FINAL[[#This Row],[INVENTAIRE_THEORIQUE]]*RAPPORT_FINAL[[#This Row],[INVENTAIRE_THEORIQUE.Prix_vente]]</f>
        <v>18000</v>
      </c>
      <c r="AA223" s="85">
        <f>RAPPORT_FINAL[[#This Row],[INVENTAIRE.Quantite]]-RAPPORT_FINAL[[#This Row],[INVENTAIRE_THEORIQUE]]</f>
        <v>0</v>
      </c>
      <c r="AB223" s="90">
        <f>IFERROR(RAPPORT_FINAL[[#This Row],[ECART.Total_cout]]/RAPPORT_FINAL[[#This Row],[ECART.Quantite]],0)</f>
        <v>0</v>
      </c>
      <c r="AC223" s="91">
        <f>IFERROR(RAPPORT_FINAL[[#This Row],[ECART.Quantite]]*RAPPORT_FINAL[[#This Row],[INVENTAIRE.Prix_cout]],"")</f>
        <v>0</v>
      </c>
      <c r="AD223" s="83">
        <f>IFERROR(RAPPORT_FINAL[[#This Row],[ECART.Total_vente]]/RAPPORT_FINAL[[#This Row],[ECART.Quantite]],0)</f>
        <v>0</v>
      </c>
      <c r="AE223" s="92">
        <f>IFERROR(RAPPORT_FINAL[[#This Row],[ECART.Quantite]]*RAPPORT_FINAL[[#This Row],[INVENTAIRE.Prix_vente]],"")</f>
        <v>0</v>
      </c>
    </row>
    <row r="224" spans="1:31" hidden="1" x14ac:dyDescent="0.25">
      <c r="A224" s="83" t="s">
        <v>30</v>
      </c>
      <c r="B224" s="3" t="s">
        <v>71</v>
      </c>
      <c r="C224" s="80" t="s">
        <v>285</v>
      </c>
      <c r="D224" s="3" t="s">
        <v>112</v>
      </c>
      <c r="E224" s="31" t="s">
        <v>96</v>
      </c>
      <c r="F224" s="85" cm="1">
        <f t="array" ref="F22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</v>
      </c>
      <c r="G224" s="80" cm="1">
        <f t="array" ref="G22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1312.5</v>
      </c>
      <c r="H224" s="80">
        <f>IF(RAPPORT_FINAL[[#This Row],[INVENTAIRE_PREC.Prix_vente]]="","",RAPPORT_FINAL[[#This Row],[INVENTAIRE_PREC.Quantite]]*RAPPORT_FINAL[[#This Row],[INVENTAIRE_PREC.Prix_cout]])</f>
        <v>5250</v>
      </c>
      <c r="I224" s="83" cm="1">
        <f t="array" ref="I22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1312.5</v>
      </c>
      <c r="J224" s="88">
        <f>IF(RAPPORT_FINAL[[#This Row],[INVENTAIRE_PREC.Prix_vente]]="","",RAPPORT_FINAL[[#This Row],[INVENTAIRE_PREC.Quantite]]*RAPPORT_FINAL[[#This Row],[INVENTAIRE_PREC.Prix_vente]])</f>
        <v>5250</v>
      </c>
      <c r="K224" s="24">
        <v>6</v>
      </c>
      <c r="L224" s="11">
        <v>1333.3333333333333</v>
      </c>
      <c r="M224" s="25">
        <v>8000</v>
      </c>
      <c r="N224" s="24">
        <v>4</v>
      </c>
      <c r="O224" s="11">
        <v>3000</v>
      </c>
      <c r="P224" s="25">
        <v>12000</v>
      </c>
      <c r="Q224" s="85">
        <v>6</v>
      </c>
      <c r="R224" s="80" cm="1">
        <f t="array" ref="R22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1325</v>
      </c>
      <c r="S224" s="80">
        <f>RAPPORT_FINAL[[#This Row],[INVENTAIRE.Quantite]]*RAPPORT_FINAL[[#This Row],[INVENTAIRE.Prix_cout]]</f>
        <v>7950</v>
      </c>
      <c r="T224" s="83" cm="1">
        <f t="array" ref="T22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224" s="88">
        <f>IF(OR(RAPPORT_FINAL[[#This Row],[INVENTAIRE.Quantite]]="",RAPPORT_FINAL[[#This Row],[INVENTAIRE.Prix_vente]]=""),"",RAPPORT_FINAL[[#This Row],[INVENTAIRE.Quantite]]*RAPPORT_FINAL[[#This Row],[INVENTAIRE.Prix_vente]])</f>
        <v>18000</v>
      </c>
      <c r="V22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224" s="24">
        <f>RAPPORT_FINAL[[#This Row],[INVENTAIRE.Prix_cout]]</f>
        <v>1325</v>
      </c>
      <c r="X224" s="85">
        <f>RAPPORT_FINAL[[#This Row],[INVENTAIRE_THEORIQUE]]*RAPPORT_FINAL[[#This Row],[INVENTAIRE_THEORIQUE.Prix_cout]]</f>
        <v>7950</v>
      </c>
      <c r="Y224" s="85">
        <f>RAPPORT_FINAL[[#This Row],[INVENTAIRE.Prix_vente]]</f>
        <v>3000</v>
      </c>
      <c r="Z224" s="85">
        <f>RAPPORT_FINAL[[#This Row],[INVENTAIRE_THEORIQUE]]*RAPPORT_FINAL[[#This Row],[INVENTAIRE_THEORIQUE.Prix_vente]]</f>
        <v>18000</v>
      </c>
      <c r="AA224" s="85">
        <f>RAPPORT_FINAL[[#This Row],[INVENTAIRE.Quantite]]-RAPPORT_FINAL[[#This Row],[INVENTAIRE_THEORIQUE]]</f>
        <v>0</v>
      </c>
      <c r="AB224" s="90">
        <f>IFERROR(RAPPORT_FINAL[[#This Row],[ECART.Total_cout]]/RAPPORT_FINAL[[#This Row],[ECART.Quantite]],0)</f>
        <v>0</v>
      </c>
      <c r="AC224" s="91">
        <f>IFERROR(RAPPORT_FINAL[[#This Row],[ECART.Quantite]]*RAPPORT_FINAL[[#This Row],[INVENTAIRE.Prix_cout]],"")</f>
        <v>0</v>
      </c>
      <c r="AD224" s="83">
        <f>IFERROR(RAPPORT_FINAL[[#This Row],[ECART.Total_vente]]/RAPPORT_FINAL[[#This Row],[ECART.Quantite]],0)</f>
        <v>0</v>
      </c>
      <c r="AE224" s="92">
        <f>IFERROR(RAPPORT_FINAL[[#This Row],[ECART.Quantite]]*RAPPORT_FINAL[[#This Row],[INVENTAIRE.Prix_vente]],"")</f>
        <v>0</v>
      </c>
    </row>
    <row r="225" spans="1:31" hidden="1" x14ac:dyDescent="0.25">
      <c r="A225" s="83" t="s">
        <v>30</v>
      </c>
      <c r="B225" s="3" t="s">
        <v>71</v>
      </c>
      <c r="C225" s="80" t="s">
        <v>284</v>
      </c>
      <c r="D225" s="3" t="s">
        <v>24</v>
      </c>
      <c r="E225" s="31" t="s">
        <v>96</v>
      </c>
      <c r="F225" s="85" cm="1">
        <f t="array" ref="F22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25" s="80" cm="1">
        <f t="array" ref="G22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225" s="80">
        <f>IF(RAPPORT_FINAL[[#This Row],[INVENTAIRE_PREC.Prix_vente]]="","",RAPPORT_FINAL[[#This Row],[INVENTAIRE_PREC.Quantite]]*RAPPORT_FINAL[[#This Row],[INVENTAIRE_PREC.Prix_cout]])</f>
        <v>0</v>
      </c>
      <c r="I225" s="83" cm="1">
        <f t="array" ref="I22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225" s="88">
        <f>IF(RAPPORT_FINAL[[#This Row],[INVENTAIRE_PREC.Prix_vente]]="","",RAPPORT_FINAL[[#This Row],[INVENTAIRE_PREC.Quantite]]*RAPPORT_FINAL[[#This Row],[INVENTAIRE_PREC.Prix_vente]])</f>
        <v>0</v>
      </c>
      <c r="K225" s="24">
        <v>25</v>
      </c>
      <c r="L225" s="11">
        <v>200</v>
      </c>
      <c r="M225" s="25">
        <v>5000</v>
      </c>
      <c r="N225" s="24">
        <v>8</v>
      </c>
      <c r="O225" s="11">
        <v>375</v>
      </c>
      <c r="P225" s="25">
        <v>3000</v>
      </c>
      <c r="Q225" s="85">
        <v>19</v>
      </c>
      <c r="R225" s="80" cm="1">
        <f t="array" ref="R22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200</v>
      </c>
      <c r="S225" s="80">
        <f>RAPPORT_FINAL[[#This Row],[INVENTAIRE.Quantite]]*RAPPORT_FINAL[[#This Row],[INVENTAIRE.Prix_cout]]</f>
        <v>3800</v>
      </c>
      <c r="T225" s="83" cm="1">
        <f t="array" ref="T22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225" s="88">
        <f>IF(OR(RAPPORT_FINAL[[#This Row],[INVENTAIRE.Quantite]]="",RAPPORT_FINAL[[#This Row],[INVENTAIRE.Prix_vente]]=""),"",RAPPORT_FINAL[[#This Row],[INVENTAIRE.Quantite]]*RAPPORT_FINAL[[#This Row],[INVENTAIRE.Prix_vente]])</f>
        <v>9500</v>
      </c>
      <c r="V22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17</v>
      </c>
      <c r="W225" s="24">
        <f>RAPPORT_FINAL[[#This Row],[INVENTAIRE.Prix_cout]]</f>
        <v>200</v>
      </c>
      <c r="X225" s="85">
        <f>RAPPORT_FINAL[[#This Row],[INVENTAIRE_THEORIQUE]]*RAPPORT_FINAL[[#This Row],[INVENTAIRE_THEORIQUE.Prix_cout]]</f>
        <v>3400</v>
      </c>
      <c r="Y225" s="85">
        <f>RAPPORT_FINAL[[#This Row],[INVENTAIRE.Prix_vente]]</f>
        <v>500</v>
      </c>
      <c r="Z225" s="85">
        <f>RAPPORT_FINAL[[#This Row],[INVENTAIRE_THEORIQUE]]*RAPPORT_FINAL[[#This Row],[INVENTAIRE_THEORIQUE.Prix_vente]]</f>
        <v>8500</v>
      </c>
      <c r="AA225" s="85">
        <f>RAPPORT_FINAL[[#This Row],[INVENTAIRE.Quantite]]-RAPPORT_FINAL[[#This Row],[INVENTAIRE_THEORIQUE]]</f>
        <v>2</v>
      </c>
      <c r="AB225" s="90">
        <f>IFERROR(RAPPORT_FINAL[[#This Row],[ECART.Total_cout]]/RAPPORT_FINAL[[#This Row],[ECART.Quantite]],0)</f>
        <v>200</v>
      </c>
      <c r="AC225" s="91">
        <f>IFERROR(RAPPORT_FINAL[[#This Row],[ECART.Quantite]]*RAPPORT_FINAL[[#This Row],[INVENTAIRE.Prix_cout]],"")</f>
        <v>400</v>
      </c>
      <c r="AD225" s="83">
        <f>IFERROR(RAPPORT_FINAL[[#This Row],[ECART.Total_vente]]/RAPPORT_FINAL[[#This Row],[ECART.Quantite]],0)</f>
        <v>500</v>
      </c>
      <c r="AE225" s="92">
        <f>IFERROR(RAPPORT_FINAL[[#This Row],[ECART.Quantite]]*RAPPORT_FINAL[[#This Row],[INVENTAIRE.Prix_vente]],"")</f>
        <v>1000</v>
      </c>
    </row>
    <row r="226" spans="1:31" hidden="1" x14ac:dyDescent="0.25">
      <c r="A226" s="83" t="s">
        <v>30</v>
      </c>
      <c r="B226" s="3" t="s">
        <v>71</v>
      </c>
      <c r="C226" s="80" t="s">
        <v>285</v>
      </c>
      <c r="D226" s="3" t="s">
        <v>112</v>
      </c>
      <c r="E226" s="31" t="s">
        <v>96</v>
      </c>
      <c r="F226" s="85" cm="1">
        <f t="array" ref="F22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</v>
      </c>
      <c r="G226" s="80" cm="1">
        <f t="array" ref="G22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1312.5</v>
      </c>
      <c r="H226" s="80">
        <f>IF(RAPPORT_FINAL[[#This Row],[INVENTAIRE_PREC.Prix_vente]]="","",RAPPORT_FINAL[[#This Row],[INVENTAIRE_PREC.Quantite]]*RAPPORT_FINAL[[#This Row],[INVENTAIRE_PREC.Prix_cout]])</f>
        <v>5250</v>
      </c>
      <c r="I226" s="83" cm="1">
        <f t="array" ref="I22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1312.5</v>
      </c>
      <c r="J226" s="88">
        <f>IF(RAPPORT_FINAL[[#This Row],[INVENTAIRE_PREC.Prix_vente]]="","",RAPPORT_FINAL[[#This Row],[INVENTAIRE_PREC.Quantite]]*RAPPORT_FINAL[[#This Row],[INVENTAIRE_PREC.Prix_vente]])</f>
        <v>5250</v>
      </c>
      <c r="K226" s="24">
        <v>6</v>
      </c>
      <c r="L226" s="11">
        <v>1333.3333333333333</v>
      </c>
      <c r="M226" s="25">
        <v>8000</v>
      </c>
      <c r="N226" s="24">
        <v>3</v>
      </c>
      <c r="O226" s="11">
        <v>4000</v>
      </c>
      <c r="P226" s="25">
        <v>12000</v>
      </c>
      <c r="Q226" s="85">
        <v>6</v>
      </c>
      <c r="R226" s="80" cm="1">
        <f t="array" ref="R22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1325</v>
      </c>
      <c r="S226" s="80">
        <f>RAPPORT_FINAL[[#This Row],[INVENTAIRE.Quantite]]*RAPPORT_FINAL[[#This Row],[INVENTAIRE.Prix_cout]]</f>
        <v>7950</v>
      </c>
      <c r="T226" s="83" cm="1">
        <f t="array" ref="T22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226" s="88">
        <f>IF(OR(RAPPORT_FINAL[[#This Row],[INVENTAIRE.Quantite]]="",RAPPORT_FINAL[[#This Row],[INVENTAIRE.Prix_vente]]=""),"",RAPPORT_FINAL[[#This Row],[INVENTAIRE.Quantite]]*RAPPORT_FINAL[[#This Row],[INVENTAIRE.Prix_vente]])</f>
        <v>18000</v>
      </c>
      <c r="V22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</v>
      </c>
      <c r="W226" s="24">
        <f>RAPPORT_FINAL[[#This Row],[INVENTAIRE.Prix_cout]]</f>
        <v>1325</v>
      </c>
      <c r="X226" s="85">
        <f>RAPPORT_FINAL[[#This Row],[INVENTAIRE_THEORIQUE]]*RAPPORT_FINAL[[#This Row],[INVENTAIRE_THEORIQUE.Prix_cout]]</f>
        <v>9275</v>
      </c>
      <c r="Y226" s="85">
        <f>RAPPORT_FINAL[[#This Row],[INVENTAIRE.Prix_vente]]</f>
        <v>3000</v>
      </c>
      <c r="Z226" s="85">
        <f>RAPPORT_FINAL[[#This Row],[INVENTAIRE_THEORIQUE]]*RAPPORT_FINAL[[#This Row],[INVENTAIRE_THEORIQUE.Prix_vente]]</f>
        <v>21000</v>
      </c>
      <c r="AA226" s="85">
        <f>RAPPORT_FINAL[[#This Row],[INVENTAIRE.Quantite]]-RAPPORT_FINAL[[#This Row],[INVENTAIRE_THEORIQUE]]</f>
        <v>-1</v>
      </c>
      <c r="AB226" s="90">
        <f>IFERROR(RAPPORT_FINAL[[#This Row],[ECART.Total_cout]]/RAPPORT_FINAL[[#This Row],[ECART.Quantite]],0)</f>
        <v>1325</v>
      </c>
      <c r="AC226" s="91">
        <f>IFERROR(RAPPORT_FINAL[[#This Row],[ECART.Quantite]]*RAPPORT_FINAL[[#This Row],[INVENTAIRE.Prix_cout]],"")</f>
        <v>-1325</v>
      </c>
      <c r="AD226" s="83">
        <f>IFERROR(RAPPORT_FINAL[[#This Row],[ECART.Total_vente]]/RAPPORT_FINAL[[#This Row],[ECART.Quantite]],0)</f>
        <v>3000</v>
      </c>
      <c r="AE226" s="92">
        <f>IFERROR(RAPPORT_FINAL[[#This Row],[ECART.Quantite]]*RAPPORT_FINAL[[#This Row],[INVENTAIRE.Prix_vente]],"")</f>
        <v>-3000</v>
      </c>
    </row>
    <row r="227" spans="1:31" hidden="1" x14ac:dyDescent="0.25">
      <c r="A227" s="83" t="s">
        <v>30</v>
      </c>
      <c r="B227" s="3" t="s">
        <v>71</v>
      </c>
      <c r="C227" s="80" t="s">
        <v>284</v>
      </c>
      <c r="D227" s="3" t="s">
        <v>25</v>
      </c>
      <c r="E227" s="31" t="s">
        <v>108</v>
      </c>
      <c r="F227" s="85" cm="1">
        <f t="array" ref="F22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6400</v>
      </c>
      <c r="G227" s="80" cm="1">
        <f t="array" ref="G22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1.35</v>
      </c>
      <c r="H227" s="80">
        <f>IF(RAPPORT_FINAL[[#This Row],[INVENTAIRE_PREC.Prix_vente]]="","",RAPPORT_FINAL[[#This Row],[INVENTAIRE_PREC.Quantite]]*RAPPORT_FINAL[[#This Row],[INVENTAIRE_PREC.Prix_cout]])</f>
        <v>8640</v>
      </c>
      <c r="I227" s="83" cm="1">
        <f t="array" ref="I22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1.35</v>
      </c>
      <c r="J227" s="88">
        <f>IF(RAPPORT_FINAL[[#This Row],[INVENTAIRE_PREC.Prix_vente]]="","",RAPPORT_FINAL[[#This Row],[INVENTAIRE_PREC.Quantite]]*RAPPORT_FINAL[[#This Row],[INVENTAIRE_PREC.Prix_vente]])</f>
        <v>8640</v>
      </c>
      <c r="K227" s="24">
        <v>25</v>
      </c>
      <c r="L227" s="11">
        <v>320</v>
      </c>
      <c r="M227" s="25">
        <v>8000</v>
      </c>
      <c r="N227" s="24">
        <v>4000</v>
      </c>
      <c r="O227" s="11">
        <v>2.5</v>
      </c>
      <c r="P227" s="25">
        <v>10000</v>
      </c>
      <c r="Q227" s="85">
        <v>2200</v>
      </c>
      <c r="R227" s="80" cm="1">
        <f t="array" ref="R22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2.5898832684824904</v>
      </c>
      <c r="S227" s="80">
        <f>RAPPORT_FINAL[[#This Row],[INVENTAIRE.Quantite]]*RAPPORT_FINAL[[#This Row],[INVENTAIRE.Prix_cout]]</f>
        <v>5697.7431906614793</v>
      </c>
      <c r="T227" s="83" cm="1">
        <f t="array" ref="T22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2.5</v>
      </c>
      <c r="U227" s="88">
        <f>IF(OR(RAPPORT_FINAL[[#This Row],[INVENTAIRE.Quantite]]="",RAPPORT_FINAL[[#This Row],[INVENTAIRE.Prix_vente]]=""),"",RAPPORT_FINAL[[#This Row],[INVENTAIRE.Quantite]]*RAPPORT_FINAL[[#This Row],[INVENTAIRE.Prix_vente]])</f>
        <v>5500</v>
      </c>
      <c r="V22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2425</v>
      </c>
      <c r="W227" s="24">
        <f>RAPPORT_FINAL[[#This Row],[INVENTAIRE.Prix_cout]]</f>
        <v>2.5898832684824904</v>
      </c>
      <c r="X227" s="85">
        <f>RAPPORT_FINAL[[#This Row],[INVENTAIRE_THEORIQUE]]*RAPPORT_FINAL[[#This Row],[INVENTAIRE_THEORIQUE.Prix_cout]]</f>
        <v>6280.4669260700393</v>
      </c>
      <c r="Y227" s="85">
        <f>RAPPORT_FINAL[[#This Row],[INVENTAIRE.Prix_vente]]</f>
        <v>2.5</v>
      </c>
      <c r="Z227" s="85">
        <f>RAPPORT_FINAL[[#This Row],[INVENTAIRE_THEORIQUE]]*RAPPORT_FINAL[[#This Row],[INVENTAIRE_THEORIQUE.Prix_vente]]</f>
        <v>6062.5</v>
      </c>
      <c r="AA227" s="85">
        <f>RAPPORT_FINAL[[#This Row],[INVENTAIRE.Quantite]]-RAPPORT_FINAL[[#This Row],[INVENTAIRE_THEORIQUE]]</f>
        <v>-225</v>
      </c>
      <c r="AB227" s="90">
        <f>IFERROR(RAPPORT_FINAL[[#This Row],[ECART.Total_cout]]/RAPPORT_FINAL[[#This Row],[ECART.Quantite]],0)</f>
        <v>2.58988326848249</v>
      </c>
      <c r="AC227" s="91">
        <f>IFERROR(RAPPORT_FINAL[[#This Row],[ECART.Quantite]]*RAPPORT_FINAL[[#This Row],[INVENTAIRE.Prix_cout]],"")</f>
        <v>-582.72373540856029</v>
      </c>
      <c r="AD227" s="83">
        <f>IFERROR(RAPPORT_FINAL[[#This Row],[ECART.Total_vente]]/RAPPORT_FINAL[[#This Row],[ECART.Quantite]],0)</f>
        <v>2.5</v>
      </c>
      <c r="AE227" s="92">
        <f>IFERROR(RAPPORT_FINAL[[#This Row],[ECART.Quantite]]*RAPPORT_FINAL[[#This Row],[INVENTAIRE.Prix_vente]],"")</f>
        <v>-562.5</v>
      </c>
    </row>
    <row r="228" spans="1:31" hidden="1" x14ac:dyDescent="0.25">
      <c r="A228" s="83" t="s">
        <v>30</v>
      </c>
      <c r="B228" s="3" t="s">
        <v>71</v>
      </c>
      <c r="C228" s="80" t="s">
        <v>284</v>
      </c>
      <c r="D228" s="3" t="s">
        <v>25</v>
      </c>
      <c r="E228" s="31" t="s">
        <v>108</v>
      </c>
      <c r="F228" s="85" cm="1">
        <f t="array" ref="F22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6400</v>
      </c>
      <c r="G228" s="80" cm="1">
        <f t="array" ref="G22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1.35</v>
      </c>
      <c r="H228" s="80">
        <f>IF(RAPPORT_FINAL[[#This Row],[INVENTAIRE_PREC.Prix_vente]]="","",RAPPORT_FINAL[[#This Row],[INVENTAIRE_PREC.Quantite]]*RAPPORT_FINAL[[#This Row],[INVENTAIRE_PREC.Prix_cout]])</f>
        <v>8640</v>
      </c>
      <c r="I228" s="83" cm="1">
        <f t="array" ref="I22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1.35</v>
      </c>
      <c r="J228" s="88">
        <f>IF(RAPPORT_FINAL[[#This Row],[INVENTAIRE_PREC.Prix_vente]]="","",RAPPORT_FINAL[[#This Row],[INVENTAIRE_PREC.Quantite]]*RAPPORT_FINAL[[#This Row],[INVENTAIRE_PREC.Prix_vente]])</f>
        <v>8640</v>
      </c>
      <c r="K228" s="24">
        <v>25</v>
      </c>
      <c r="L228" s="11">
        <v>320</v>
      </c>
      <c r="M228" s="25">
        <v>8000</v>
      </c>
      <c r="N228" s="24">
        <v>4000</v>
      </c>
      <c r="O228" s="11">
        <v>2.5</v>
      </c>
      <c r="P228" s="25">
        <v>10000</v>
      </c>
      <c r="Q228" s="85">
        <v>2200</v>
      </c>
      <c r="R228" s="80" cm="1">
        <f t="array" ref="R22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2.5898832684824904</v>
      </c>
      <c r="S228" s="80">
        <f>RAPPORT_FINAL[[#This Row],[INVENTAIRE.Quantite]]*RAPPORT_FINAL[[#This Row],[INVENTAIRE.Prix_cout]]</f>
        <v>5697.7431906614793</v>
      </c>
      <c r="T228" s="83" cm="1">
        <f t="array" ref="T22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2.5</v>
      </c>
      <c r="U228" s="88">
        <f>IF(OR(RAPPORT_FINAL[[#This Row],[INVENTAIRE.Quantite]]="",RAPPORT_FINAL[[#This Row],[INVENTAIRE.Prix_vente]]=""),"",RAPPORT_FINAL[[#This Row],[INVENTAIRE.Quantite]]*RAPPORT_FINAL[[#This Row],[INVENTAIRE.Prix_vente]])</f>
        <v>5500</v>
      </c>
      <c r="V22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2425</v>
      </c>
      <c r="W228" s="24">
        <f>RAPPORT_FINAL[[#This Row],[INVENTAIRE.Prix_cout]]</f>
        <v>2.5898832684824904</v>
      </c>
      <c r="X228" s="85">
        <f>RAPPORT_FINAL[[#This Row],[INVENTAIRE_THEORIQUE]]*RAPPORT_FINAL[[#This Row],[INVENTAIRE_THEORIQUE.Prix_cout]]</f>
        <v>6280.4669260700393</v>
      </c>
      <c r="Y228" s="85">
        <f>RAPPORT_FINAL[[#This Row],[INVENTAIRE.Prix_vente]]</f>
        <v>2.5</v>
      </c>
      <c r="Z228" s="85">
        <f>RAPPORT_FINAL[[#This Row],[INVENTAIRE_THEORIQUE]]*RAPPORT_FINAL[[#This Row],[INVENTAIRE_THEORIQUE.Prix_vente]]</f>
        <v>6062.5</v>
      </c>
      <c r="AA228" s="85">
        <f>RAPPORT_FINAL[[#This Row],[INVENTAIRE.Quantite]]-RAPPORT_FINAL[[#This Row],[INVENTAIRE_THEORIQUE]]</f>
        <v>-225</v>
      </c>
      <c r="AB228" s="90">
        <f>IFERROR(RAPPORT_FINAL[[#This Row],[ECART.Total_cout]]/RAPPORT_FINAL[[#This Row],[ECART.Quantite]],0)</f>
        <v>2.58988326848249</v>
      </c>
      <c r="AC228" s="91">
        <f>IFERROR(RAPPORT_FINAL[[#This Row],[ECART.Quantite]]*RAPPORT_FINAL[[#This Row],[INVENTAIRE.Prix_cout]],"")</f>
        <v>-582.72373540856029</v>
      </c>
      <c r="AD228" s="83">
        <f>IFERROR(RAPPORT_FINAL[[#This Row],[ECART.Total_vente]]/RAPPORT_FINAL[[#This Row],[ECART.Quantite]],0)</f>
        <v>2.5</v>
      </c>
      <c r="AE228" s="92">
        <f>IFERROR(RAPPORT_FINAL[[#This Row],[ECART.Quantite]]*RAPPORT_FINAL[[#This Row],[INVENTAIRE.Prix_vente]],"")</f>
        <v>-562.5</v>
      </c>
    </row>
    <row r="229" spans="1:31" hidden="1" x14ac:dyDescent="0.25">
      <c r="A229" s="83" t="s">
        <v>30</v>
      </c>
      <c r="B229" s="3" t="s">
        <v>71</v>
      </c>
      <c r="C229" s="80" t="s">
        <v>284</v>
      </c>
      <c r="D229" s="3" t="s">
        <v>25</v>
      </c>
      <c r="E229" s="31" t="s">
        <v>108</v>
      </c>
      <c r="F229" s="85" cm="1">
        <f t="array" ref="F22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6400</v>
      </c>
      <c r="G229" s="80" cm="1">
        <f t="array" ref="G22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1.35</v>
      </c>
      <c r="H229" s="80">
        <f>IF(RAPPORT_FINAL[[#This Row],[INVENTAIRE_PREC.Prix_vente]]="","",RAPPORT_FINAL[[#This Row],[INVENTAIRE_PREC.Quantite]]*RAPPORT_FINAL[[#This Row],[INVENTAIRE_PREC.Prix_cout]])</f>
        <v>8640</v>
      </c>
      <c r="I229" s="83" cm="1">
        <f t="array" ref="I22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1.35</v>
      </c>
      <c r="J229" s="88">
        <f>IF(RAPPORT_FINAL[[#This Row],[INVENTAIRE_PREC.Prix_vente]]="","",RAPPORT_FINAL[[#This Row],[INVENTAIRE_PREC.Quantite]]*RAPPORT_FINAL[[#This Row],[INVENTAIRE_PREC.Prix_vente]])</f>
        <v>8640</v>
      </c>
      <c r="K229" s="24">
        <v>25</v>
      </c>
      <c r="L229" s="11">
        <v>320</v>
      </c>
      <c r="M229" s="25">
        <v>8000</v>
      </c>
      <c r="N229" s="24">
        <v>1800</v>
      </c>
      <c r="O229" s="11">
        <v>5.5555555555555554</v>
      </c>
      <c r="P229" s="25">
        <v>10000</v>
      </c>
      <c r="Q229" s="85">
        <v>2200</v>
      </c>
      <c r="R229" s="80" cm="1">
        <f t="array" ref="R22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2.5898832684824904</v>
      </c>
      <c r="S229" s="80">
        <f>RAPPORT_FINAL[[#This Row],[INVENTAIRE.Quantite]]*RAPPORT_FINAL[[#This Row],[INVENTAIRE.Prix_cout]]</f>
        <v>5697.7431906614793</v>
      </c>
      <c r="T229" s="83" cm="1">
        <f t="array" ref="T22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2.5</v>
      </c>
      <c r="U229" s="88">
        <f>IF(OR(RAPPORT_FINAL[[#This Row],[INVENTAIRE.Quantite]]="",RAPPORT_FINAL[[#This Row],[INVENTAIRE.Prix_vente]]=""),"",RAPPORT_FINAL[[#This Row],[INVENTAIRE.Quantite]]*RAPPORT_FINAL[[#This Row],[INVENTAIRE.Prix_vente]])</f>
        <v>5500</v>
      </c>
      <c r="V22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4625</v>
      </c>
      <c r="W229" s="24">
        <f>RAPPORT_FINAL[[#This Row],[INVENTAIRE.Prix_cout]]</f>
        <v>2.5898832684824904</v>
      </c>
      <c r="X229" s="85">
        <f>RAPPORT_FINAL[[#This Row],[INVENTAIRE_THEORIQUE]]*RAPPORT_FINAL[[#This Row],[INVENTAIRE_THEORIQUE.Prix_cout]]</f>
        <v>11978.210116731518</v>
      </c>
      <c r="Y229" s="85">
        <f>RAPPORT_FINAL[[#This Row],[INVENTAIRE.Prix_vente]]</f>
        <v>2.5</v>
      </c>
      <c r="Z229" s="85">
        <f>RAPPORT_FINAL[[#This Row],[INVENTAIRE_THEORIQUE]]*RAPPORT_FINAL[[#This Row],[INVENTAIRE_THEORIQUE.Prix_vente]]</f>
        <v>11562.5</v>
      </c>
      <c r="AA229" s="85">
        <f>RAPPORT_FINAL[[#This Row],[INVENTAIRE.Quantite]]-RAPPORT_FINAL[[#This Row],[INVENTAIRE_THEORIQUE]]</f>
        <v>-2425</v>
      </c>
      <c r="AB229" s="90">
        <f>IFERROR(RAPPORT_FINAL[[#This Row],[ECART.Total_cout]]/RAPPORT_FINAL[[#This Row],[ECART.Quantite]],0)</f>
        <v>2.5898832684824904</v>
      </c>
      <c r="AC229" s="91">
        <f>IFERROR(RAPPORT_FINAL[[#This Row],[ECART.Quantite]]*RAPPORT_FINAL[[#This Row],[INVENTAIRE.Prix_cout]],"")</f>
        <v>-6280.4669260700393</v>
      </c>
      <c r="AD229" s="83">
        <f>IFERROR(RAPPORT_FINAL[[#This Row],[ECART.Total_vente]]/RAPPORT_FINAL[[#This Row],[ECART.Quantite]],0)</f>
        <v>2.5</v>
      </c>
      <c r="AE229" s="92">
        <f>IFERROR(RAPPORT_FINAL[[#This Row],[ECART.Quantite]]*RAPPORT_FINAL[[#This Row],[INVENTAIRE.Prix_vente]],"")</f>
        <v>-6062.5</v>
      </c>
    </row>
    <row r="230" spans="1:31" hidden="1" x14ac:dyDescent="0.25">
      <c r="A230" s="83" t="s">
        <v>30</v>
      </c>
      <c r="B230" s="3" t="s">
        <v>71</v>
      </c>
      <c r="C230" s="80" t="s">
        <v>284</v>
      </c>
      <c r="D230" s="3" t="s">
        <v>25</v>
      </c>
      <c r="E230" s="31" t="s">
        <v>108</v>
      </c>
      <c r="F230" s="85" cm="1">
        <f t="array" ref="F23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6400</v>
      </c>
      <c r="G230" s="80" cm="1">
        <f t="array" ref="G23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1.35</v>
      </c>
      <c r="H230" s="80">
        <f>IF(RAPPORT_FINAL[[#This Row],[INVENTAIRE_PREC.Prix_vente]]="","",RAPPORT_FINAL[[#This Row],[INVENTAIRE_PREC.Quantite]]*RAPPORT_FINAL[[#This Row],[INVENTAIRE_PREC.Prix_cout]])</f>
        <v>8640</v>
      </c>
      <c r="I230" s="83" cm="1">
        <f t="array" ref="I23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1.35</v>
      </c>
      <c r="J230" s="88">
        <f>IF(RAPPORT_FINAL[[#This Row],[INVENTAIRE_PREC.Prix_vente]]="","",RAPPORT_FINAL[[#This Row],[INVENTAIRE_PREC.Quantite]]*RAPPORT_FINAL[[#This Row],[INVENTAIRE_PREC.Prix_vente]])</f>
        <v>8640</v>
      </c>
      <c r="K230" s="24">
        <v>25</v>
      </c>
      <c r="L230" s="11">
        <v>320</v>
      </c>
      <c r="M230" s="25">
        <v>8000</v>
      </c>
      <c r="N230" s="24">
        <v>1800</v>
      </c>
      <c r="O230" s="11">
        <v>5.5555555555555554</v>
      </c>
      <c r="P230" s="25">
        <v>10000</v>
      </c>
      <c r="Q230" s="85">
        <v>2200</v>
      </c>
      <c r="R230" s="80" cm="1">
        <f t="array" ref="R23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2.5898832684824904</v>
      </c>
      <c r="S230" s="80">
        <f>RAPPORT_FINAL[[#This Row],[INVENTAIRE.Quantite]]*RAPPORT_FINAL[[#This Row],[INVENTAIRE.Prix_cout]]</f>
        <v>5697.7431906614793</v>
      </c>
      <c r="T230" s="83" cm="1">
        <f t="array" ref="T23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2.5</v>
      </c>
      <c r="U230" s="88">
        <f>IF(OR(RAPPORT_FINAL[[#This Row],[INVENTAIRE.Quantite]]="",RAPPORT_FINAL[[#This Row],[INVENTAIRE.Prix_vente]]=""),"",RAPPORT_FINAL[[#This Row],[INVENTAIRE.Quantite]]*RAPPORT_FINAL[[#This Row],[INVENTAIRE.Prix_vente]])</f>
        <v>5500</v>
      </c>
      <c r="V23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4625</v>
      </c>
      <c r="W230" s="24">
        <f>RAPPORT_FINAL[[#This Row],[INVENTAIRE.Prix_cout]]</f>
        <v>2.5898832684824904</v>
      </c>
      <c r="X230" s="85">
        <f>RAPPORT_FINAL[[#This Row],[INVENTAIRE_THEORIQUE]]*RAPPORT_FINAL[[#This Row],[INVENTAIRE_THEORIQUE.Prix_cout]]</f>
        <v>11978.210116731518</v>
      </c>
      <c r="Y230" s="85">
        <f>RAPPORT_FINAL[[#This Row],[INVENTAIRE.Prix_vente]]</f>
        <v>2.5</v>
      </c>
      <c r="Z230" s="85">
        <f>RAPPORT_FINAL[[#This Row],[INVENTAIRE_THEORIQUE]]*RAPPORT_FINAL[[#This Row],[INVENTAIRE_THEORIQUE.Prix_vente]]</f>
        <v>11562.5</v>
      </c>
      <c r="AA230" s="85">
        <f>RAPPORT_FINAL[[#This Row],[INVENTAIRE.Quantite]]-RAPPORT_FINAL[[#This Row],[INVENTAIRE_THEORIQUE]]</f>
        <v>-2425</v>
      </c>
      <c r="AB230" s="90">
        <f>IFERROR(RAPPORT_FINAL[[#This Row],[ECART.Total_cout]]/RAPPORT_FINAL[[#This Row],[ECART.Quantite]],0)</f>
        <v>2.5898832684824904</v>
      </c>
      <c r="AC230" s="91">
        <f>IFERROR(RAPPORT_FINAL[[#This Row],[ECART.Quantite]]*RAPPORT_FINAL[[#This Row],[INVENTAIRE.Prix_cout]],"")</f>
        <v>-6280.4669260700393</v>
      </c>
      <c r="AD230" s="83">
        <f>IFERROR(RAPPORT_FINAL[[#This Row],[ECART.Total_vente]]/RAPPORT_FINAL[[#This Row],[ECART.Quantite]],0)</f>
        <v>2.5</v>
      </c>
      <c r="AE230" s="92">
        <f>IFERROR(RAPPORT_FINAL[[#This Row],[ECART.Quantite]]*RAPPORT_FINAL[[#This Row],[INVENTAIRE.Prix_vente]],"")</f>
        <v>-6062.5</v>
      </c>
    </row>
    <row r="231" spans="1:31" hidden="1" x14ac:dyDescent="0.25">
      <c r="A231" s="83" t="s">
        <v>30</v>
      </c>
      <c r="B231" s="3" t="s">
        <v>71</v>
      </c>
      <c r="C231" s="80" t="s">
        <v>285</v>
      </c>
      <c r="D231" s="3" t="s">
        <v>112</v>
      </c>
      <c r="E231" s="31" t="s">
        <v>96</v>
      </c>
      <c r="F231" s="85" cm="1">
        <f t="array" ref="F23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4</v>
      </c>
      <c r="G231" s="80" cm="1">
        <f t="array" ref="G23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1312.5</v>
      </c>
      <c r="H231" s="80">
        <f>IF(RAPPORT_FINAL[[#This Row],[INVENTAIRE_PREC.Prix_vente]]="","",RAPPORT_FINAL[[#This Row],[INVENTAIRE_PREC.Quantite]]*RAPPORT_FINAL[[#This Row],[INVENTAIRE_PREC.Prix_cout]])</f>
        <v>5250</v>
      </c>
      <c r="I231" s="83" cm="1">
        <f t="array" ref="I23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1312.5</v>
      </c>
      <c r="J231" s="88">
        <f>IF(RAPPORT_FINAL[[#This Row],[INVENTAIRE_PREC.Prix_vente]]="","",RAPPORT_FINAL[[#This Row],[INVENTAIRE_PREC.Quantite]]*RAPPORT_FINAL[[#This Row],[INVENTAIRE_PREC.Prix_vente]])</f>
        <v>5250</v>
      </c>
      <c r="K231" s="24">
        <v>6</v>
      </c>
      <c r="L231" s="11">
        <v>1333.3333333333333</v>
      </c>
      <c r="M231" s="25">
        <v>8000</v>
      </c>
      <c r="N231" s="24">
        <v>3</v>
      </c>
      <c r="O231" s="11">
        <v>4000</v>
      </c>
      <c r="P231" s="25">
        <v>12000</v>
      </c>
      <c r="Q231" s="85">
        <v>6</v>
      </c>
      <c r="R231" s="80" cm="1">
        <f t="array" ref="R23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1325</v>
      </c>
      <c r="S231" s="80">
        <f>RAPPORT_FINAL[[#This Row],[INVENTAIRE.Quantite]]*RAPPORT_FINAL[[#This Row],[INVENTAIRE.Prix_cout]]</f>
        <v>7950</v>
      </c>
      <c r="T231" s="83" cm="1">
        <f t="array" ref="T23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231" s="88">
        <f>IF(OR(RAPPORT_FINAL[[#This Row],[INVENTAIRE.Quantite]]="",RAPPORT_FINAL[[#This Row],[INVENTAIRE.Prix_vente]]=""),"",RAPPORT_FINAL[[#This Row],[INVENTAIRE.Quantite]]*RAPPORT_FINAL[[#This Row],[INVENTAIRE.Prix_vente]])</f>
        <v>18000</v>
      </c>
      <c r="V23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7</v>
      </c>
      <c r="W231" s="24">
        <f>RAPPORT_FINAL[[#This Row],[INVENTAIRE.Prix_cout]]</f>
        <v>1325</v>
      </c>
      <c r="X231" s="85">
        <f>RAPPORT_FINAL[[#This Row],[INVENTAIRE_THEORIQUE]]*RAPPORT_FINAL[[#This Row],[INVENTAIRE_THEORIQUE.Prix_cout]]</f>
        <v>9275</v>
      </c>
      <c r="Y231" s="85">
        <f>RAPPORT_FINAL[[#This Row],[INVENTAIRE.Prix_vente]]</f>
        <v>3000</v>
      </c>
      <c r="Z231" s="85">
        <f>RAPPORT_FINAL[[#This Row],[INVENTAIRE_THEORIQUE]]*RAPPORT_FINAL[[#This Row],[INVENTAIRE_THEORIQUE.Prix_vente]]</f>
        <v>21000</v>
      </c>
      <c r="AA231" s="85">
        <f>RAPPORT_FINAL[[#This Row],[INVENTAIRE.Quantite]]-RAPPORT_FINAL[[#This Row],[INVENTAIRE_THEORIQUE]]</f>
        <v>-1</v>
      </c>
      <c r="AB231" s="90">
        <f>IFERROR(RAPPORT_FINAL[[#This Row],[ECART.Total_cout]]/RAPPORT_FINAL[[#This Row],[ECART.Quantite]],0)</f>
        <v>1325</v>
      </c>
      <c r="AC231" s="91">
        <f>IFERROR(RAPPORT_FINAL[[#This Row],[ECART.Quantite]]*RAPPORT_FINAL[[#This Row],[INVENTAIRE.Prix_cout]],"")</f>
        <v>-1325</v>
      </c>
      <c r="AD231" s="83">
        <f>IFERROR(RAPPORT_FINAL[[#This Row],[ECART.Total_vente]]/RAPPORT_FINAL[[#This Row],[ECART.Quantite]],0)</f>
        <v>3000</v>
      </c>
      <c r="AE231" s="92">
        <f>IFERROR(RAPPORT_FINAL[[#This Row],[ECART.Quantite]]*RAPPORT_FINAL[[#This Row],[INVENTAIRE.Prix_vente]],"")</f>
        <v>-3000</v>
      </c>
    </row>
    <row r="232" spans="1:31" hidden="1" x14ac:dyDescent="0.25">
      <c r="A232" s="83" t="s">
        <v>30</v>
      </c>
      <c r="B232" s="3" t="s">
        <v>71</v>
      </c>
      <c r="C232" s="80" t="s">
        <v>285</v>
      </c>
      <c r="D232" s="3" t="s">
        <v>17</v>
      </c>
      <c r="E232" s="31" t="s">
        <v>92</v>
      </c>
      <c r="F232" s="85" cm="1">
        <f t="array" ref="F23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14</v>
      </c>
      <c r="G232" s="80" cm="1">
        <f t="array" ref="G23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954.55</v>
      </c>
      <c r="H232" s="80">
        <f>IF(RAPPORT_FINAL[[#This Row],[INVENTAIRE_PREC.Prix_vente]]="","",RAPPORT_FINAL[[#This Row],[INVENTAIRE_PREC.Quantite]]*RAPPORT_FINAL[[#This Row],[INVENTAIRE_PREC.Prix_cout]])</f>
        <v>13363.699999999999</v>
      </c>
      <c r="I232" s="83" cm="1">
        <f t="array" ref="I23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954.55</v>
      </c>
      <c r="J232" s="88">
        <f>IF(RAPPORT_FINAL[[#This Row],[INVENTAIRE_PREC.Prix_vente]]="","",RAPPORT_FINAL[[#This Row],[INVENTAIRE_PREC.Quantite]]*RAPPORT_FINAL[[#This Row],[INVENTAIRE_PREC.Prix_vente]])</f>
        <v>13363.699999999999</v>
      </c>
      <c r="K232" s="24">
        <v>19</v>
      </c>
      <c r="L232" s="11">
        <v>923.68421052631584</v>
      </c>
      <c r="M232" s="25">
        <v>17550</v>
      </c>
      <c r="N232" s="24">
        <v>10</v>
      </c>
      <c r="O232" s="11">
        <v>4900</v>
      </c>
      <c r="P232" s="25">
        <v>49000</v>
      </c>
      <c r="Q232" s="85">
        <v>19</v>
      </c>
      <c r="R232" s="80" cm="1">
        <f t="array" ref="R23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936.77878787878774</v>
      </c>
      <c r="S232" s="80">
        <f>RAPPORT_FINAL[[#This Row],[INVENTAIRE.Quantite]]*RAPPORT_FINAL[[#This Row],[INVENTAIRE.Prix_cout]]</f>
        <v>17798.796969696967</v>
      </c>
      <c r="T232" s="83" cm="1">
        <f t="array" ref="T23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232" s="88">
        <f>IF(OR(RAPPORT_FINAL[[#This Row],[INVENTAIRE.Quantite]]="",RAPPORT_FINAL[[#This Row],[INVENTAIRE.Prix_vente]]=""),"",RAPPORT_FINAL[[#This Row],[INVENTAIRE.Quantite]]*RAPPORT_FINAL[[#This Row],[INVENTAIRE.Prix_vente]])</f>
        <v>66500</v>
      </c>
      <c r="V23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23</v>
      </c>
      <c r="W232" s="24">
        <f>RAPPORT_FINAL[[#This Row],[INVENTAIRE.Prix_cout]]</f>
        <v>936.77878787878774</v>
      </c>
      <c r="X232" s="85">
        <f>RAPPORT_FINAL[[#This Row],[INVENTAIRE_THEORIQUE]]*RAPPORT_FINAL[[#This Row],[INVENTAIRE_THEORIQUE.Prix_cout]]</f>
        <v>21545.912121212117</v>
      </c>
      <c r="Y232" s="85">
        <f>RAPPORT_FINAL[[#This Row],[INVENTAIRE.Prix_vente]]</f>
        <v>3500</v>
      </c>
      <c r="Z232" s="85">
        <f>RAPPORT_FINAL[[#This Row],[INVENTAIRE_THEORIQUE]]*RAPPORT_FINAL[[#This Row],[INVENTAIRE_THEORIQUE.Prix_vente]]</f>
        <v>80500</v>
      </c>
      <c r="AA232" s="85">
        <f>RAPPORT_FINAL[[#This Row],[INVENTAIRE.Quantite]]-RAPPORT_FINAL[[#This Row],[INVENTAIRE_THEORIQUE]]</f>
        <v>-4</v>
      </c>
      <c r="AB232" s="90">
        <f>IFERROR(RAPPORT_FINAL[[#This Row],[ECART.Total_cout]]/RAPPORT_FINAL[[#This Row],[ECART.Quantite]],0)</f>
        <v>936.77878787878774</v>
      </c>
      <c r="AC232" s="91">
        <f>IFERROR(RAPPORT_FINAL[[#This Row],[ECART.Quantite]]*RAPPORT_FINAL[[#This Row],[INVENTAIRE.Prix_cout]],"")</f>
        <v>-3747.115151515151</v>
      </c>
      <c r="AD232" s="83">
        <f>IFERROR(RAPPORT_FINAL[[#This Row],[ECART.Total_vente]]/RAPPORT_FINAL[[#This Row],[ECART.Quantite]],0)</f>
        <v>3500</v>
      </c>
      <c r="AE232" s="92">
        <f>IFERROR(RAPPORT_FINAL[[#This Row],[ECART.Quantite]]*RAPPORT_FINAL[[#This Row],[INVENTAIRE.Prix_vente]],"")</f>
        <v>-14000</v>
      </c>
    </row>
    <row r="233" spans="1:31" hidden="1" x14ac:dyDescent="0.25">
      <c r="A233" s="83" t="s">
        <v>30</v>
      </c>
      <c r="B233" s="3" t="s">
        <v>71</v>
      </c>
      <c r="C233" s="80" t="s">
        <v>284</v>
      </c>
      <c r="D233" s="3" t="s">
        <v>24</v>
      </c>
      <c r="E233" s="31" t="s">
        <v>96</v>
      </c>
      <c r="F233" s="85" cm="1">
        <f t="array" ref="F23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33" s="80" cm="1">
        <f t="array" ref="G23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233" s="80">
        <f>IF(RAPPORT_FINAL[[#This Row],[INVENTAIRE_PREC.Prix_vente]]="","",RAPPORT_FINAL[[#This Row],[INVENTAIRE_PREC.Quantite]]*RAPPORT_FINAL[[#This Row],[INVENTAIRE_PREC.Prix_cout]])</f>
        <v>0</v>
      </c>
      <c r="I233" s="83" cm="1">
        <f t="array" ref="I23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233" s="88">
        <f>IF(RAPPORT_FINAL[[#This Row],[INVENTAIRE_PREC.Prix_vente]]="","",RAPPORT_FINAL[[#This Row],[INVENTAIRE_PREC.Quantite]]*RAPPORT_FINAL[[#This Row],[INVENTAIRE_PREC.Prix_vente]])</f>
        <v>0</v>
      </c>
      <c r="K233" s="24">
        <v>25</v>
      </c>
      <c r="L233" s="11">
        <v>200</v>
      </c>
      <c r="M233" s="25">
        <v>5000</v>
      </c>
      <c r="N233" s="24">
        <v>6</v>
      </c>
      <c r="O233" s="11">
        <v>500</v>
      </c>
      <c r="P233" s="25">
        <v>3000</v>
      </c>
      <c r="Q233" s="85">
        <v>19</v>
      </c>
      <c r="R233" s="80" cm="1">
        <f t="array" ref="R23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200</v>
      </c>
      <c r="S233" s="80">
        <f>RAPPORT_FINAL[[#This Row],[INVENTAIRE.Quantite]]*RAPPORT_FINAL[[#This Row],[INVENTAIRE.Prix_cout]]</f>
        <v>3800</v>
      </c>
      <c r="T233" s="83" cm="1">
        <f t="array" ref="T23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233" s="88">
        <f>IF(OR(RAPPORT_FINAL[[#This Row],[INVENTAIRE.Quantite]]="",RAPPORT_FINAL[[#This Row],[INVENTAIRE.Prix_vente]]=""),"",RAPPORT_FINAL[[#This Row],[INVENTAIRE.Quantite]]*RAPPORT_FINAL[[#This Row],[INVENTAIRE.Prix_vente]])</f>
        <v>9500</v>
      </c>
      <c r="V23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19</v>
      </c>
      <c r="W233" s="24">
        <f>RAPPORT_FINAL[[#This Row],[INVENTAIRE.Prix_cout]]</f>
        <v>200</v>
      </c>
      <c r="X233" s="85">
        <f>RAPPORT_FINAL[[#This Row],[INVENTAIRE_THEORIQUE]]*RAPPORT_FINAL[[#This Row],[INVENTAIRE_THEORIQUE.Prix_cout]]</f>
        <v>3800</v>
      </c>
      <c r="Y233" s="85">
        <f>RAPPORT_FINAL[[#This Row],[INVENTAIRE.Prix_vente]]</f>
        <v>500</v>
      </c>
      <c r="Z233" s="85">
        <f>RAPPORT_FINAL[[#This Row],[INVENTAIRE_THEORIQUE]]*RAPPORT_FINAL[[#This Row],[INVENTAIRE_THEORIQUE.Prix_vente]]</f>
        <v>9500</v>
      </c>
      <c r="AA233" s="85">
        <f>RAPPORT_FINAL[[#This Row],[INVENTAIRE.Quantite]]-RAPPORT_FINAL[[#This Row],[INVENTAIRE_THEORIQUE]]</f>
        <v>0</v>
      </c>
      <c r="AB233" s="90">
        <f>IFERROR(RAPPORT_FINAL[[#This Row],[ECART.Total_cout]]/RAPPORT_FINAL[[#This Row],[ECART.Quantite]],0)</f>
        <v>0</v>
      </c>
      <c r="AC233" s="91">
        <f>IFERROR(RAPPORT_FINAL[[#This Row],[ECART.Quantite]]*RAPPORT_FINAL[[#This Row],[INVENTAIRE.Prix_cout]],"")</f>
        <v>0</v>
      </c>
      <c r="AD233" s="83">
        <f>IFERROR(RAPPORT_FINAL[[#This Row],[ECART.Total_vente]]/RAPPORT_FINAL[[#This Row],[ECART.Quantite]],0)</f>
        <v>0</v>
      </c>
      <c r="AE233" s="92">
        <f>IFERROR(RAPPORT_FINAL[[#This Row],[ECART.Quantite]]*RAPPORT_FINAL[[#This Row],[INVENTAIRE.Prix_vente]],"")</f>
        <v>0</v>
      </c>
    </row>
    <row r="234" spans="1:31" hidden="1" x14ac:dyDescent="0.25">
      <c r="A234" s="83" t="s">
        <v>30</v>
      </c>
      <c r="B234" s="3" t="s">
        <v>71</v>
      </c>
      <c r="C234" s="80" t="s">
        <v>285</v>
      </c>
      <c r="D234" s="3" t="s">
        <v>27</v>
      </c>
      <c r="E234" s="31" t="s">
        <v>96</v>
      </c>
      <c r="F234" s="85" cm="1">
        <f t="array" ref="F23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234" s="80" cm="1">
        <f t="array" ref="G23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500</v>
      </c>
      <c r="H234" s="80">
        <f>IF(RAPPORT_FINAL[[#This Row],[INVENTAIRE_PREC.Prix_vente]]="","",RAPPORT_FINAL[[#This Row],[INVENTAIRE_PREC.Quantite]]*RAPPORT_FINAL[[#This Row],[INVENTAIRE_PREC.Prix_cout]])</f>
        <v>1000</v>
      </c>
      <c r="I234" s="83" cm="1">
        <f t="array" ref="I23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500</v>
      </c>
      <c r="J234" s="88">
        <f>IF(RAPPORT_FINAL[[#This Row],[INVENTAIRE_PREC.Prix_vente]]="","",RAPPORT_FINAL[[#This Row],[INVENTAIRE_PREC.Quantite]]*RAPPORT_FINAL[[#This Row],[INVENTAIRE_PREC.Prix_vente]])</f>
        <v>1000</v>
      </c>
      <c r="K234" s="24">
        <v>8</v>
      </c>
      <c r="L234" s="11">
        <v>1312.5</v>
      </c>
      <c r="M234" s="25">
        <v>10500</v>
      </c>
      <c r="N234" s="24">
        <v>9</v>
      </c>
      <c r="O234" s="11">
        <v>777.77777777777783</v>
      </c>
      <c r="P234" s="25">
        <v>7000</v>
      </c>
      <c r="Q234" s="85">
        <v>8</v>
      </c>
      <c r="R234" s="80" cm="1">
        <f t="array" ref="R23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1150</v>
      </c>
      <c r="S234" s="80">
        <f>RAPPORT_FINAL[[#This Row],[INVENTAIRE.Quantite]]*RAPPORT_FINAL[[#This Row],[INVENTAIRE.Prix_cout]]</f>
        <v>9200</v>
      </c>
      <c r="T234" s="83" cm="1">
        <f t="array" ref="T23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234" s="88">
        <f>IF(OR(RAPPORT_FINAL[[#This Row],[INVENTAIRE.Quantite]]="",RAPPORT_FINAL[[#This Row],[INVENTAIRE.Prix_vente]]=""),"",RAPPORT_FINAL[[#This Row],[INVENTAIRE.Quantite]]*RAPPORT_FINAL[[#This Row],[INVENTAIRE.Prix_vente]])</f>
        <v>28000</v>
      </c>
      <c r="V23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234" s="24">
        <f>RAPPORT_FINAL[[#This Row],[INVENTAIRE.Prix_cout]]</f>
        <v>1150</v>
      </c>
      <c r="X234" s="85">
        <f>RAPPORT_FINAL[[#This Row],[INVENTAIRE_THEORIQUE]]*RAPPORT_FINAL[[#This Row],[INVENTAIRE_THEORIQUE.Prix_cout]]</f>
        <v>1150</v>
      </c>
      <c r="Y234" s="85">
        <f>RAPPORT_FINAL[[#This Row],[INVENTAIRE.Prix_vente]]</f>
        <v>3500</v>
      </c>
      <c r="Z234" s="85">
        <f>RAPPORT_FINAL[[#This Row],[INVENTAIRE_THEORIQUE]]*RAPPORT_FINAL[[#This Row],[INVENTAIRE_THEORIQUE.Prix_vente]]</f>
        <v>3500</v>
      </c>
      <c r="AA234" s="85">
        <f>RAPPORT_FINAL[[#This Row],[INVENTAIRE.Quantite]]-RAPPORT_FINAL[[#This Row],[INVENTAIRE_THEORIQUE]]</f>
        <v>7</v>
      </c>
      <c r="AB234" s="90">
        <f>IFERROR(RAPPORT_FINAL[[#This Row],[ECART.Total_cout]]/RAPPORT_FINAL[[#This Row],[ECART.Quantite]],0)</f>
        <v>1150</v>
      </c>
      <c r="AC234" s="91">
        <f>IFERROR(RAPPORT_FINAL[[#This Row],[ECART.Quantite]]*RAPPORT_FINAL[[#This Row],[INVENTAIRE.Prix_cout]],"")</f>
        <v>8050</v>
      </c>
      <c r="AD234" s="83">
        <f>IFERROR(RAPPORT_FINAL[[#This Row],[ECART.Total_vente]]/RAPPORT_FINAL[[#This Row],[ECART.Quantite]],0)</f>
        <v>3500</v>
      </c>
      <c r="AE234" s="92">
        <f>IFERROR(RAPPORT_FINAL[[#This Row],[ECART.Quantite]]*RAPPORT_FINAL[[#This Row],[INVENTAIRE.Prix_vente]],"")</f>
        <v>24500</v>
      </c>
    </row>
    <row r="235" spans="1:31" hidden="1" x14ac:dyDescent="0.25">
      <c r="A235" s="83" t="s">
        <v>30</v>
      </c>
      <c r="B235" s="3" t="s">
        <v>71</v>
      </c>
      <c r="C235" s="80" t="s">
        <v>285</v>
      </c>
      <c r="D235" s="3" t="s">
        <v>27</v>
      </c>
      <c r="E235" s="31" t="s">
        <v>96</v>
      </c>
      <c r="F235" s="85" cm="1">
        <f t="array" ref="F23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235" s="80" cm="1">
        <f t="array" ref="G23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500</v>
      </c>
      <c r="H235" s="80">
        <f>IF(RAPPORT_FINAL[[#This Row],[INVENTAIRE_PREC.Prix_vente]]="","",RAPPORT_FINAL[[#This Row],[INVENTAIRE_PREC.Quantite]]*RAPPORT_FINAL[[#This Row],[INVENTAIRE_PREC.Prix_cout]])</f>
        <v>1000</v>
      </c>
      <c r="I235" s="83" cm="1">
        <f t="array" ref="I23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500</v>
      </c>
      <c r="J235" s="88">
        <f>IF(RAPPORT_FINAL[[#This Row],[INVENTAIRE_PREC.Prix_vente]]="","",RAPPORT_FINAL[[#This Row],[INVENTAIRE_PREC.Quantite]]*RAPPORT_FINAL[[#This Row],[INVENTAIRE_PREC.Prix_vente]])</f>
        <v>1000</v>
      </c>
      <c r="K235" s="24">
        <v>8</v>
      </c>
      <c r="L235" s="11">
        <v>1312.5</v>
      </c>
      <c r="M235" s="25">
        <v>10500</v>
      </c>
      <c r="N235" s="24">
        <v>9</v>
      </c>
      <c r="O235" s="11">
        <v>777.77777777777783</v>
      </c>
      <c r="P235" s="25">
        <v>7000</v>
      </c>
      <c r="Q235" s="85">
        <v>8</v>
      </c>
      <c r="R235" s="80" cm="1">
        <f t="array" ref="R23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1150</v>
      </c>
      <c r="S235" s="80">
        <f>RAPPORT_FINAL[[#This Row],[INVENTAIRE.Quantite]]*RAPPORT_FINAL[[#This Row],[INVENTAIRE.Prix_cout]]</f>
        <v>9200</v>
      </c>
      <c r="T235" s="83" cm="1">
        <f t="array" ref="T23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235" s="88">
        <f>IF(OR(RAPPORT_FINAL[[#This Row],[INVENTAIRE.Quantite]]="",RAPPORT_FINAL[[#This Row],[INVENTAIRE.Prix_vente]]=""),"",RAPPORT_FINAL[[#This Row],[INVENTAIRE.Quantite]]*RAPPORT_FINAL[[#This Row],[INVENTAIRE.Prix_vente]])</f>
        <v>28000</v>
      </c>
      <c r="V23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</v>
      </c>
      <c r="W235" s="24">
        <f>RAPPORT_FINAL[[#This Row],[INVENTAIRE.Prix_cout]]</f>
        <v>1150</v>
      </c>
      <c r="X235" s="85">
        <f>RAPPORT_FINAL[[#This Row],[INVENTAIRE_THEORIQUE]]*RAPPORT_FINAL[[#This Row],[INVENTAIRE_THEORIQUE.Prix_cout]]</f>
        <v>1150</v>
      </c>
      <c r="Y235" s="85">
        <f>RAPPORT_FINAL[[#This Row],[INVENTAIRE.Prix_vente]]</f>
        <v>3500</v>
      </c>
      <c r="Z235" s="85">
        <f>RAPPORT_FINAL[[#This Row],[INVENTAIRE_THEORIQUE]]*RAPPORT_FINAL[[#This Row],[INVENTAIRE_THEORIQUE.Prix_vente]]</f>
        <v>3500</v>
      </c>
      <c r="AA235" s="85">
        <f>RAPPORT_FINAL[[#This Row],[INVENTAIRE.Quantite]]-RAPPORT_FINAL[[#This Row],[INVENTAIRE_THEORIQUE]]</f>
        <v>7</v>
      </c>
      <c r="AB235" s="90">
        <f>IFERROR(RAPPORT_FINAL[[#This Row],[ECART.Total_cout]]/RAPPORT_FINAL[[#This Row],[ECART.Quantite]],0)</f>
        <v>1150</v>
      </c>
      <c r="AC235" s="91">
        <f>IFERROR(RAPPORT_FINAL[[#This Row],[ECART.Quantite]]*RAPPORT_FINAL[[#This Row],[INVENTAIRE.Prix_cout]],"")</f>
        <v>8050</v>
      </c>
      <c r="AD235" s="83">
        <f>IFERROR(RAPPORT_FINAL[[#This Row],[ECART.Total_vente]]/RAPPORT_FINAL[[#This Row],[ECART.Quantite]],0)</f>
        <v>3500</v>
      </c>
      <c r="AE235" s="92">
        <f>IFERROR(RAPPORT_FINAL[[#This Row],[ECART.Quantite]]*RAPPORT_FINAL[[#This Row],[INVENTAIRE.Prix_vente]],"")</f>
        <v>24500</v>
      </c>
    </row>
    <row r="236" spans="1:31" hidden="1" x14ac:dyDescent="0.25">
      <c r="A236" s="83" t="s">
        <v>30</v>
      </c>
      <c r="B236" s="3" t="s">
        <v>71</v>
      </c>
      <c r="C236" s="80" t="s">
        <v>285</v>
      </c>
      <c r="D236" s="3" t="s">
        <v>27</v>
      </c>
      <c r="E236" s="31" t="s">
        <v>96</v>
      </c>
      <c r="F236" s="85" cm="1">
        <f t="array" ref="F23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236" s="80" cm="1">
        <f t="array" ref="G23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500</v>
      </c>
      <c r="H236" s="80">
        <f>IF(RAPPORT_FINAL[[#This Row],[INVENTAIRE_PREC.Prix_vente]]="","",RAPPORT_FINAL[[#This Row],[INVENTAIRE_PREC.Quantite]]*RAPPORT_FINAL[[#This Row],[INVENTAIRE_PREC.Prix_cout]])</f>
        <v>1000</v>
      </c>
      <c r="I236" s="83" cm="1">
        <f t="array" ref="I23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500</v>
      </c>
      <c r="J236" s="88">
        <f>IF(RAPPORT_FINAL[[#This Row],[INVENTAIRE_PREC.Prix_vente]]="","",RAPPORT_FINAL[[#This Row],[INVENTAIRE_PREC.Quantite]]*RAPPORT_FINAL[[#This Row],[INVENTAIRE_PREC.Prix_vente]])</f>
        <v>1000</v>
      </c>
      <c r="K236" s="24">
        <v>8</v>
      </c>
      <c r="L236" s="11">
        <v>1312.5</v>
      </c>
      <c r="M236" s="25">
        <v>10500</v>
      </c>
      <c r="N236" s="24">
        <v>2</v>
      </c>
      <c r="O236" s="11">
        <v>3500</v>
      </c>
      <c r="P236" s="25">
        <v>7000</v>
      </c>
      <c r="Q236" s="85">
        <v>8</v>
      </c>
      <c r="R236" s="80" cm="1">
        <f t="array" ref="R23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1150</v>
      </c>
      <c r="S236" s="80">
        <f>RAPPORT_FINAL[[#This Row],[INVENTAIRE.Quantite]]*RAPPORT_FINAL[[#This Row],[INVENTAIRE.Prix_cout]]</f>
        <v>9200</v>
      </c>
      <c r="T236" s="83" cm="1">
        <f t="array" ref="T23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236" s="88">
        <f>IF(OR(RAPPORT_FINAL[[#This Row],[INVENTAIRE.Quantite]]="",RAPPORT_FINAL[[#This Row],[INVENTAIRE.Prix_vente]]=""),"",RAPPORT_FINAL[[#This Row],[INVENTAIRE.Quantite]]*RAPPORT_FINAL[[#This Row],[INVENTAIRE.Prix_vente]])</f>
        <v>28000</v>
      </c>
      <c r="V23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8</v>
      </c>
      <c r="W236" s="24">
        <f>RAPPORT_FINAL[[#This Row],[INVENTAIRE.Prix_cout]]</f>
        <v>1150</v>
      </c>
      <c r="X236" s="85">
        <f>RAPPORT_FINAL[[#This Row],[INVENTAIRE_THEORIQUE]]*RAPPORT_FINAL[[#This Row],[INVENTAIRE_THEORIQUE.Prix_cout]]</f>
        <v>9200</v>
      </c>
      <c r="Y236" s="85">
        <f>RAPPORT_FINAL[[#This Row],[INVENTAIRE.Prix_vente]]</f>
        <v>3500</v>
      </c>
      <c r="Z236" s="85">
        <f>RAPPORT_FINAL[[#This Row],[INVENTAIRE_THEORIQUE]]*RAPPORT_FINAL[[#This Row],[INVENTAIRE_THEORIQUE.Prix_vente]]</f>
        <v>28000</v>
      </c>
      <c r="AA236" s="85">
        <f>RAPPORT_FINAL[[#This Row],[INVENTAIRE.Quantite]]-RAPPORT_FINAL[[#This Row],[INVENTAIRE_THEORIQUE]]</f>
        <v>0</v>
      </c>
      <c r="AB236" s="90">
        <f>IFERROR(RAPPORT_FINAL[[#This Row],[ECART.Total_cout]]/RAPPORT_FINAL[[#This Row],[ECART.Quantite]],0)</f>
        <v>0</v>
      </c>
      <c r="AC236" s="91">
        <f>IFERROR(RAPPORT_FINAL[[#This Row],[ECART.Quantite]]*RAPPORT_FINAL[[#This Row],[INVENTAIRE.Prix_cout]],"")</f>
        <v>0</v>
      </c>
      <c r="AD236" s="83">
        <f>IFERROR(RAPPORT_FINAL[[#This Row],[ECART.Total_vente]]/RAPPORT_FINAL[[#This Row],[ECART.Quantite]],0)</f>
        <v>0</v>
      </c>
      <c r="AE236" s="92">
        <f>IFERROR(RAPPORT_FINAL[[#This Row],[ECART.Quantite]]*RAPPORT_FINAL[[#This Row],[INVENTAIRE.Prix_vente]],"")</f>
        <v>0</v>
      </c>
    </row>
    <row r="237" spans="1:31" hidden="1" x14ac:dyDescent="0.25">
      <c r="A237" s="83" t="s">
        <v>30</v>
      </c>
      <c r="B237" s="3" t="s">
        <v>71</v>
      </c>
      <c r="C237" s="80" t="s">
        <v>285</v>
      </c>
      <c r="D237" s="3" t="s">
        <v>27</v>
      </c>
      <c r="E237" s="31" t="s">
        <v>96</v>
      </c>
      <c r="F237" s="85" cm="1">
        <f t="array" ref="F23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</v>
      </c>
      <c r="G237" s="80" cm="1">
        <f t="array" ref="G23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500</v>
      </c>
      <c r="H237" s="80">
        <f>IF(RAPPORT_FINAL[[#This Row],[INVENTAIRE_PREC.Prix_vente]]="","",RAPPORT_FINAL[[#This Row],[INVENTAIRE_PREC.Quantite]]*RAPPORT_FINAL[[#This Row],[INVENTAIRE_PREC.Prix_cout]])</f>
        <v>1000</v>
      </c>
      <c r="I237" s="83" cm="1">
        <f t="array" ref="I23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500</v>
      </c>
      <c r="J237" s="88">
        <f>IF(RAPPORT_FINAL[[#This Row],[INVENTAIRE_PREC.Prix_vente]]="","",RAPPORT_FINAL[[#This Row],[INVENTAIRE_PREC.Quantite]]*RAPPORT_FINAL[[#This Row],[INVENTAIRE_PREC.Prix_vente]])</f>
        <v>1000</v>
      </c>
      <c r="K237" s="24">
        <v>8</v>
      </c>
      <c r="L237" s="11">
        <v>1312.5</v>
      </c>
      <c r="M237" s="25">
        <v>10500</v>
      </c>
      <c r="N237" s="24">
        <v>2</v>
      </c>
      <c r="O237" s="11">
        <v>3500</v>
      </c>
      <c r="P237" s="25">
        <v>7000</v>
      </c>
      <c r="Q237" s="85">
        <v>8</v>
      </c>
      <c r="R237" s="80" cm="1">
        <f t="array" ref="R23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1150</v>
      </c>
      <c r="S237" s="80">
        <f>RAPPORT_FINAL[[#This Row],[INVENTAIRE.Quantite]]*RAPPORT_FINAL[[#This Row],[INVENTAIRE.Prix_cout]]</f>
        <v>9200</v>
      </c>
      <c r="T237" s="83" cm="1">
        <f t="array" ref="T23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237" s="88">
        <f>IF(OR(RAPPORT_FINAL[[#This Row],[INVENTAIRE.Quantite]]="",RAPPORT_FINAL[[#This Row],[INVENTAIRE.Prix_vente]]=""),"",RAPPORT_FINAL[[#This Row],[INVENTAIRE.Quantite]]*RAPPORT_FINAL[[#This Row],[INVENTAIRE.Prix_vente]])</f>
        <v>28000</v>
      </c>
      <c r="V23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8</v>
      </c>
      <c r="W237" s="24">
        <f>RAPPORT_FINAL[[#This Row],[INVENTAIRE.Prix_cout]]</f>
        <v>1150</v>
      </c>
      <c r="X237" s="85">
        <f>RAPPORT_FINAL[[#This Row],[INVENTAIRE_THEORIQUE]]*RAPPORT_FINAL[[#This Row],[INVENTAIRE_THEORIQUE.Prix_cout]]</f>
        <v>9200</v>
      </c>
      <c r="Y237" s="85">
        <f>RAPPORT_FINAL[[#This Row],[INVENTAIRE.Prix_vente]]</f>
        <v>3500</v>
      </c>
      <c r="Z237" s="85">
        <f>RAPPORT_FINAL[[#This Row],[INVENTAIRE_THEORIQUE]]*RAPPORT_FINAL[[#This Row],[INVENTAIRE_THEORIQUE.Prix_vente]]</f>
        <v>28000</v>
      </c>
      <c r="AA237" s="85">
        <f>RAPPORT_FINAL[[#This Row],[INVENTAIRE.Quantite]]-RAPPORT_FINAL[[#This Row],[INVENTAIRE_THEORIQUE]]</f>
        <v>0</v>
      </c>
      <c r="AB237" s="90">
        <f>IFERROR(RAPPORT_FINAL[[#This Row],[ECART.Total_cout]]/RAPPORT_FINAL[[#This Row],[ECART.Quantite]],0)</f>
        <v>0</v>
      </c>
      <c r="AC237" s="91">
        <f>IFERROR(RAPPORT_FINAL[[#This Row],[ECART.Quantite]]*RAPPORT_FINAL[[#This Row],[INVENTAIRE.Prix_cout]],"")</f>
        <v>0</v>
      </c>
      <c r="AD237" s="83">
        <f>IFERROR(RAPPORT_FINAL[[#This Row],[ECART.Total_vente]]/RAPPORT_FINAL[[#This Row],[ECART.Quantite]],0)</f>
        <v>0</v>
      </c>
      <c r="AE237" s="92">
        <f>IFERROR(RAPPORT_FINAL[[#This Row],[ECART.Quantite]]*RAPPORT_FINAL[[#This Row],[INVENTAIRE.Prix_vente]],"")</f>
        <v>0</v>
      </c>
    </row>
    <row r="238" spans="1:31" x14ac:dyDescent="0.25">
      <c r="A238" s="83" t="s">
        <v>30</v>
      </c>
      <c r="B238" s="3" t="s">
        <v>71</v>
      </c>
      <c r="C238" s="80" t="s">
        <v>284</v>
      </c>
      <c r="D238" s="3" t="s">
        <v>9</v>
      </c>
      <c r="E238" s="31" t="s">
        <v>108</v>
      </c>
      <c r="F238" s="85" cm="1">
        <f t="array" ref="F23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38" s="80" cm="1">
        <f t="array" ref="G23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238" s="80">
        <f>IF(RAPPORT_FINAL[[#This Row],[INVENTAIRE_PREC.Prix_vente]]="","",RAPPORT_FINAL[[#This Row],[INVENTAIRE_PREC.Quantite]]*RAPPORT_FINAL[[#This Row],[INVENTAIRE_PREC.Prix_cout]])</f>
        <v>0</v>
      </c>
      <c r="I238" s="83" cm="1">
        <f t="array" ref="I23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238" s="88">
        <f>IF(RAPPORT_FINAL[[#This Row],[INVENTAIRE_PREC.Prix_vente]]="","",RAPPORT_FINAL[[#This Row],[INVENTAIRE_PREC.Quantite]]*RAPPORT_FINAL[[#This Row],[INVENTAIRE_PREC.Prix_vente]])</f>
        <v>0</v>
      </c>
      <c r="K238" s="24"/>
      <c r="L238" s="11"/>
      <c r="M238" s="25"/>
      <c r="N238" s="24">
        <v>85</v>
      </c>
      <c r="O238" s="11">
        <v>1.67</v>
      </c>
      <c r="P238" s="25">
        <v>141.95000000000002</v>
      </c>
      <c r="Q238" s="85">
        <v>0</v>
      </c>
      <c r="R238" s="80" cm="1">
        <f t="array" ref="R23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238" s="80">
        <f>RAPPORT_FINAL[[#This Row],[INVENTAIRE.Quantite]]*RAPPORT_FINAL[[#This Row],[INVENTAIRE.Prix_cout]]</f>
        <v>0</v>
      </c>
      <c r="T238" s="83" cm="1">
        <f t="array" ref="T23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1.67</v>
      </c>
      <c r="U238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23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-85</v>
      </c>
      <c r="W238" s="24">
        <f>RAPPORT_FINAL[[#This Row],[INVENTAIRE.Prix_cout]]</f>
        <v>0</v>
      </c>
      <c r="X238" s="85">
        <f>RAPPORT_FINAL[[#This Row],[INVENTAIRE_THEORIQUE]]*RAPPORT_FINAL[[#This Row],[INVENTAIRE_THEORIQUE.Prix_cout]]</f>
        <v>0</v>
      </c>
      <c r="Y238" s="85">
        <f>RAPPORT_FINAL[[#This Row],[INVENTAIRE.Prix_vente]]</f>
        <v>1.67</v>
      </c>
      <c r="Z238" s="85">
        <f>RAPPORT_FINAL[[#This Row],[INVENTAIRE_THEORIQUE]]*RAPPORT_FINAL[[#This Row],[INVENTAIRE_THEORIQUE.Prix_vente]]</f>
        <v>-141.94999999999999</v>
      </c>
      <c r="AA238" s="85">
        <f>RAPPORT_FINAL[[#This Row],[INVENTAIRE.Quantite]]-RAPPORT_FINAL[[#This Row],[INVENTAIRE_THEORIQUE]]</f>
        <v>85</v>
      </c>
      <c r="AB238" s="90">
        <f>IFERROR(RAPPORT_FINAL[[#This Row],[ECART.Total_cout]]/RAPPORT_FINAL[[#This Row],[ECART.Quantite]],0)</f>
        <v>0</v>
      </c>
      <c r="AC238" s="91">
        <f>IFERROR(RAPPORT_FINAL[[#This Row],[ECART.Quantite]]*RAPPORT_FINAL[[#This Row],[INVENTAIRE.Prix_cout]],"")</f>
        <v>0</v>
      </c>
      <c r="AD238" s="83">
        <f>IFERROR(RAPPORT_FINAL[[#This Row],[ECART.Total_vente]]/RAPPORT_FINAL[[#This Row],[ECART.Quantite]],0)</f>
        <v>1.67</v>
      </c>
      <c r="AE238" s="92">
        <f>IFERROR(RAPPORT_FINAL[[#This Row],[ECART.Quantite]]*RAPPORT_FINAL[[#This Row],[INVENTAIRE.Prix_vente]],"")</f>
        <v>141.94999999999999</v>
      </c>
    </row>
    <row r="239" spans="1:31" hidden="1" x14ac:dyDescent="0.25">
      <c r="A239" s="83" t="s">
        <v>30</v>
      </c>
      <c r="B239" s="3" t="s">
        <v>71</v>
      </c>
      <c r="C239" s="80" t="s">
        <v>285</v>
      </c>
      <c r="D239" s="3" t="s">
        <v>17</v>
      </c>
      <c r="E239" s="31" t="s">
        <v>92</v>
      </c>
      <c r="F239" s="85" cm="1">
        <f t="array" ref="F23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14</v>
      </c>
      <c r="G239" s="80" cm="1">
        <f t="array" ref="G23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954.55</v>
      </c>
      <c r="H239" s="80">
        <f>IF(RAPPORT_FINAL[[#This Row],[INVENTAIRE_PREC.Prix_vente]]="","",RAPPORT_FINAL[[#This Row],[INVENTAIRE_PREC.Quantite]]*RAPPORT_FINAL[[#This Row],[INVENTAIRE_PREC.Prix_cout]])</f>
        <v>13363.699999999999</v>
      </c>
      <c r="I239" s="83" cm="1">
        <f t="array" ref="I23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954.55</v>
      </c>
      <c r="J239" s="88">
        <f>IF(RAPPORT_FINAL[[#This Row],[INVENTAIRE_PREC.Prix_vente]]="","",RAPPORT_FINAL[[#This Row],[INVENTAIRE_PREC.Quantite]]*RAPPORT_FINAL[[#This Row],[INVENTAIRE_PREC.Prix_vente]])</f>
        <v>13363.699999999999</v>
      </c>
      <c r="K239" s="24">
        <v>19</v>
      </c>
      <c r="L239" s="11">
        <v>923.68421052631584</v>
      </c>
      <c r="M239" s="25">
        <v>17550</v>
      </c>
      <c r="N239" s="24">
        <v>10</v>
      </c>
      <c r="O239" s="11">
        <v>4900</v>
      </c>
      <c r="P239" s="25">
        <v>49000</v>
      </c>
      <c r="Q239" s="85">
        <v>19</v>
      </c>
      <c r="R239" s="80" cm="1">
        <f t="array" ref="R23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936.77878787878774</v>
      </c>
      <c r="S239" s="80">
        <f>RAPPORT_FINAL[[#This Row],[INVENTAIRE.Quantite]]*RAPPORT_FINAL[[#This Row],[INVENTAIRE.Prix_cout]]</f>
        <v>17798.796969696967</v>
      </c>
      <c r="T239" s="83" cm="1">
        <f t="array" ref="T23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239" s="88">
        <f>IF(OR(RAPPORT_FINAL[[#This Row],[INVENTAIRE.Quantite]]="",RAPPORT_FINAL[[#This Row],[INVENTAIRE.Prix_vente]]=""),"",RAPPORT_FINAL[[#This Row],[INVENTAIRE.Quantite]]*RAPPORT_FINAL[[#This Row],[INVENTAIRE.Prix_vente]])</f>
        <v>66500</v>
      </c>
      <c r="V23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23</v>
      </c>
      <c r="W239" s="24">
        <f>RAPPORT_FINAL[[#This Row],[INVENTAIRE.Prix_cout]]</f>
        <v>936.77878787878774</v>
      </c>
      <c r="X239" s="85">
        <f>RAPPORT_FINAL[[#This Row],[INVENTAIRE_THEORIQUE]]*RAPPORT_FINAL[[#This Row],[INVENTAIRE_THEORIQUE.Prix_cout]]</f>
        <v>21545.912121212117</v>
      </c>
      <c r="Y239" s="85">
        <f>RAPPORT_FINAL[[#This Row],[INVENTAIRE.Prix_vente]]</f>
        <v>3500</v>
      </c>
      <c r="Z239" s="85">
        <f>RAPPORT_FINAL[[#This Row],[INVENTAIRE_THEORIQUE]]*RAPPORT_FINAL[[#This Row],[INVENTAIRE_THEORIQUE.Prix_vente]]</f>
        <v>80500</v>
      </c>
      <c r="AA239" s="85">
        <f>RAPPORT_FINAL[[#This Row],[INVENTAIRE.Quantite]]-RAPPORT_FINAL[[#This Row],[INVENTAIRE_THEORIQUE]]</f>
        <v>-4</v>
      </c>
      <c r="AB239" s="90">
        <f>IFERROR(RAPPORT_FINAL[[#This Row],[ECART.Total_cout]]/RAPPORT_FINAL[[#This Row],[ECART.Quantite]],0)</f>
        <v>936.77878787878774</v>
      </c>
      <c r="AC239" s="91">
        <f>IFERROR(RAPPORT_FINAL[[#This Row],[ECART.Quantite]]*RAPPORT_FINAL[[#This Row],[INVENTAIRE.Prix_cout]],"")</f>
        <v>-3747.115151515151</v>
      </c>
      <c r="AD239" s="83">
        <f>IFERROR(RAPPORT_FINAL[[#This Row],[ECART.Total_vente]]/RAPPORT_FINAL[[#This Row],[ECART.Quantite]],0)</f>
        <v>3500</v>
      </c>
      <c r="AE239" s="92">
        <f>IFERROR(RAPPORT_FINAL[[#This Row],[ECART.Quantite]]*RAPPORT_FINAL[[#This Row],[INVENTAIRE.Prix_vente]],"")</f>
        <v>-14000</v>
      </c>
    </row>
    <row r="240" spans="1:31" hidden="1" x14ac:dyDescent="0.25">
      <c r="A240" s="83" t="s">
        <v>30</v>
      </c>
      <c r="B240" s="3" t="s">
        <v>71</v>
      </c>
      <c r="C240" s="80" t="s">
        <v>285</v>
      </c>
      <c r="D240" s="3" t="s">
        <v>17</v>
      </c>
      <c r="E240" s="31" t="s">
        <v>92</v>
      </c>
      <c r="F240" s="85" cm="1">
        <f t="array" ref="F24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14</v>
      </c>
      <c r="G240" s="80" cm="1">
        <f t="array" ref="G24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954.55</v>
      </c>
      <c r="H240" s="80">
        <f>IF(RAPPORT_FINAL[[#This Row],[INVENTAIRE_PREC.Prix_vente]]="","",RAPPORT_FINAL[[#This Row],[INVENTAIRE_PREC.Quantite]]*RAPPORT_FINAL[[#This Row],[INVENTAIRE_PREC.Prix_cout]])</f>
        <v>13363.699999999999</v>
      </c>
      <c r="I240" s="83" cm="1">
        <f t="array" ref="I24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954.55</v>
      </c>
      <c r="J240" s="88">
        <f>IF(RAPPORT_FINAL[[#This Row],[INVENTAIRE_PREC.Prix_vente]]="","",RAPPORT_FINAL[[#This Row],[INVENTAIRE_PREC.Quantite]]*RAPPORT_FINAL[[#This Row],[INVENTAIRE_PREC.Prix_vente]])</f>
        <v>13363.699999999999</v>
      </c>
      <c r="K240" s="24">
        <v>19</v>
      </c>
      <c r="L240" s="11">
        <v>923.68421052631584</v>
      </c>
      <c r="M240" s="25">
        <v>17550</v>
      </c>
      <c r="N240" s="24">
        <v>14</v>
      </c>
      <c r="O240" s="11">
        <v>3500</v>
      </c>
      <c r="P240" s="25">
        <v>49000</v>
      </c>
      <c r="Q240" s="85">
        <v>19</v>
      </c>
      <c r="R240" s="80" cm="1">
        <f t="array" ref="R24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936.77878787878774</v>
      </c>
      <c r="S240" s="80">
        <f>RAPPORT_FINAL[[#This Row],[INVENTAIRE.Quantite]]*RAPPORT_FINAL[[#This Row],[INVENTAIRE.Prix_cout]]</f>
        <v>17798.796969696967</v>
      </c>
      <c r="T240" s="83" cm="1">
        <f t="array" ref="T24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240" s="88">
        <f>IF(OR(RAPPORT_FINAL[[#This Row],[INVENTAIRE.Quantite]]="",RAPPORT_FINAL[[#This Row],[INVENTAIRE.Prix_vente]]=""),"",RAPPORT_FINAL[[#This Row],[INVENTAIRE.Quantite]]*RAPPORT_FINAL[[#This Row],[INVENTAIRE.Prix_vente]])</f>
        <v>66500</v>
      </c>
      <c r="V24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19</v>
      </c>
      <c r="W240" s="24">
        <f>RAPPORT_FINAL[[#This Row],[INVENTAIRE.Prix_cout]]</f>
        <v>936.77878787878774</v>
      </c>
      <c r="X240" s="85">
        <f>RAPPORT_FINAL[[#This Row],[INVENTAIRE_THEORIQUE]]*RAPPORT_FINAL[[#This Row],[INVENTAIRE_THEORIQUE.Prix_cout]]</f>
        <v>17798.796969696967</v>
      </c>
      <c r="Y240" s="85">
        <f>RAPPORT_FINAL[[#This Row],[INVENTAIRE.Prix_vente]]</f>
        <v>3500</v>
      </c>
      <c r="Z240" s="85">
        <f>RAPPORT_FINAL[[#This Row],[INVENTAIRE_THEORIQUE]]*RAPPORT_FINAL[[#This Row],[INVENTAIRE_THEORIQUE.Prix_vente]]</f>
        <v>66500</v>
      </c>
      <c r="AA240" s="85">
        <f>RAPPORT_FINAL[[#This Row],[INVENTAIRE.Quantite]]-RAPPORT_FINAL[[#This Row],[INVENTAIRE_THEORIQUE]]</f>
        <v>0</v>
      </c>
      <c r="AB240" s="90">
        <f>IFERROR(RAPPORT_FINAL[[#This Row],[ECART.Total_cout]]/RAPPORT_FINAL[[#This Row],[ECART.Quantite]],0)</f>
        <v>0</v>
      </c>
      <c r="AC240" s="91">
        <f>IFERROR(RAPPORT_FINAL[[#This Row],[ECART.Quantite]]*RAPPORT_FINAL[[#This Row],[INVENTAIRE.Prix_cout]],"")</f>
        <v>0</v>
      </c>
      <c r="AD240" s="83">
        <f>IFERROR(RAPPORT_FINAL[[#This Row],[ECART.Total_vente]]/RAPPORT_FINAL[[#This Row],[ECART.Quantite]],0)</f>
        <v>0</v>
      </c>
      <c r="AE240" s="92">
        <f>IFERROR(RAPPORT_FINAL[[#This Row],[ECART.Quantite]]*RAPPORT_FINAL[[#This Row],[INVENTAIRE.Prix_vente]],"")</f>
        <v>0</v>
      </c>
    </row>
    <row r="241" spans="1:31" hidden="1" x14ac:dyDescent="0.25">
      <c r="A241" s="83" t="s">
        <v>30</v>
      </c>
      <c r="B241" s="3" t="s">
        <v>71</v>
      </c>
      <c r="C241" s="80" t="s">
        <v>285</v>
      </c>
      <c r="D241" s="3" t="s">
        <v>17</v>
      </c>
      <c r="E241" s="31" t="s">
        <v>92</v>
      </c>
      <c r="F241" s="85" cm="1">
        <f t="array" ref="F24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14</v>
      </c>
      <c r="G241" s="80" cm="1">
        <f t="array" ref="G24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954.55</v>
      </c>
      <c r="H241" s="80">
        <f>IF(RAPPORT_FINAL[[#This Row],[INVENTAIRE_PREC.Prix_vente]]="","",RAPPORT_FINAL[[#This Row],[INVENTAIRE_PREC.Quantite]]*RAPPORT_FINAL[[#This Row],[INVENTAIRE_PREC.Prix_cout]])</f>
        <v>13363.699999999999</v>
      </c>
      <c r="I241" s="83" cm="1">
        <f t="array" ref="I24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954.55</v>
      </c>
      <c r="J241" s="88">
        <f>IF(RAPPORT_FINAL[[#This Row],[INVENTAIRE_PREC.Prix_vente]]="","",RAPPORT_FINAL[[#This Row],[INVENTAIRE_PREC.Quantite]]*RAPPORT_FINAL[[#This Row],[INVENTAIRE_PREC.Prix_vente]])</f>
        <v>13363.699999999999</v>
      </c>
      <c r="K241" s="24">
        <v>19</v>
      </c>
      <c r="L241" s="11">
        <v>923.68421052631584</v>
      </c>
      <c r="M241" s="25">
        <v>17550</v>
      </c>
      <c r="N241" s="24">
        <v>14</v>
      </c>
      <c r="O241" s="11">
        <v>3500</v>
      </c>
      <c r="P241" s="25">
        <v>49000</v>
      </c>
      <c r="Q241" s="85">
        <v>19</v>
      </c>
      <c r="R241" s="80" cm="1">
        <f t="array" ref="R24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936.77878787878774</v>
      </c>
      <c r="S241" s="80">
        <f>RAPPORT_FINAL[[#This Row],[INVENTAIRE.Quantite]]*RAPPORT_FINAL[[#This Row],[INVENTAIRE.Prix_cout]]</f>
        <v>17798.796969696967</v>
      </c>
      <c r="T241" s="83" cm="1">
        <f t="array" ref="T24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241" s="88">
        <f>IF(OR(RAPPORT_FINAL[[#This Row],[INVENTAIRE.Quantite]]="",RAPPORT_FINAL[[#This Row],[INVENTAIRE.Prix_vente]]=""),"",RAPPORT_FINAL[[#This Row],[INVENTAIRE.Quantite]]*RAPPORT_FINAL[[#This Row],[INVENTAIRE.Prix_vente]])</f>
        <v>66500</v>
      </c>
      <c r="V24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19</v>
      </c>
      <c r="W241" s="24">
        <f>RAPPORT_FINAL[[#This Row],[INVENTAIRE.Prix_cout]]</f>
        <v>936.77878787878774</v>
      </c>
      <c r="X241" s="85">
        <f>RAPPORT_FINAL[[#This Row],[INVENTAIRE_THEORIQUE]]*RAPPORT_FINAL[[#This Row],[INVENTAIRE_THEORIQUE.Prix_cout]]</f>
        <v>17798.796969696967</v>
      </c>
      <c r="Y241" s="85">
        <f>RAPPORT_FINAL[[#This Row],[INVENTAIRE.Prix_vente]]</f>
        <v>3500</v>
      </c>
      <c r="Z241" s="85">
        <f>RAPPORT_FINAL[[#This Row],[INVENTAIRE_THEORIQUE]]*RAPPORT_FINAL[[#This Row],[INVENTAIRE_THEORIQUE.Prix_vente]]</f>
        <v>66500</v>
      </c>
      <c r="AA241" s="85">
        <f>RAPPORT_FINAL[[#This Row],[INVENTAIRE.Quantite]]-RAPPORT_FINAL[[#This Row],[INVENTAIRE_THEORIQUE]]</f>
        <v>0</v>
      </c>
      <c r="AB241" s="90">
        <f>IFERROR(RAPPORT_FINAL[[#This Row],[ECART.Total_cout]]/RAPPORT_FINAL[[#This Row],[ECART.Quantite]],0)</f>
        <v>0</v>
      </c>
      <c r="AC241" s="91">
        <f>IFERROR(RAPPORT_FINAL[[#This Row],[ECART.Quantite]]*RAPPORT_FINAL[[#This Row],[INVENTAIRE.Prix_cout]],"")</f>
        <v>0</v>
      </c>
      <c r="AD241" s="83">
        <f>IFERROR(RAPPORT_FINAL[[#This Row],[ECART.Total_vente]]/RAPPORT_FINAL[[#This Row],[ECART.Quantite]],0)</f>
        <v>0</v>
      </c>
      <c r="AE241" s="92">
        <f>IFERROR(RAPPORT_FINAL[[#This Row],[ECART.Quantite]]*RAPPORT_FINAL[[#This Row],[INVENTAIRE.Prix_vente]],"")</f>
        <v>0</v>
      </c>
    </row>
    <row r="242" spans="1:31" hidden="1" x14ac:dyDescent="0.25">
      <c r="A242" s="83" t="s">
        <v>30</v>
      </c>
      <c r="B242" s="3" t="s">
        <v>71</v>
      </c>
      <c r="C242" s="80" t="s">
        <v>285</v>
      </c>
      <c r="D242" s="3" t="s">
        <v>15</v>
      </c>
      <c r="E242" s="31" t="s">
        <v>96</v>
      </c>
      <c r="F242" s="85" cm="1">
        <f t="array" ref="F24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7</v>
      </c>
      <c r="G242" s="80" cm="1">
        <f t="array" ref="G24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1312.5</v>
      </c>
      <c r="H242" s="80">
        <f>IF(RAPPORT_FINAL[[#This Row],[INVENTAIRE_PREC.Prix_vente]]="","",RAPPORT_FINAL[[#This Row],[INVENTAIRE_PREC.Quantite]]*RAPPORT_FINAL[[#This Row],[INVENTAIRE_PREC.Prix_cout]])</f>
        <v>9187.5</v>
      </c>
      <c r="I242" s="83" cm="1">
        <f t="array" ref="I24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1312.5</v>
      </c>
      <c r="J242" s="88">
        <f>IF(RAPPORT_FINAL[[#This Row],[INVENTAIRE_PREC.Prix_vente]]="","",RAPPORT_FINAL[[#This Row],[INVENTAIRE_PREC.Quantite]]*RAPPORT_FINAL[[#This Row],[INVENTAIRE_PREC.Prix_vente]])</f>
        <v>9187.5</v>
      </c>
      <c r="K242" s="24"/>
      <c r="L242" s="11"/>
      <c r="M242" s="25"/>
      <c r="N242" s="24">
        <v>1</v>
      </c>
      <c r="O242" s="11">
        <v>6000</v>
      </c>
      <c r="P242" s="25">
        <v>6000</v>
      </c>
      <c r="Q242" s="85">
        <v>4</v>
      </c>
      <c r="R242" s="80" cm="1">
        <f t="array" ref="R24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1312.5</v>
      </c>
      <c r="S242" s="80">
        <f>RAPPORT_FINAL[[#This Row],[INVENTAIRE.Quantite]]*RAPPORT_FINAL[[#This Row],[INVENTAIRE.Prix_cout]]</f>
        <v>5250</v>
      </c>
      <c r="T242" s="83" cm="1">
        <f t="array" ref="T24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242" s="88">
        <f>IF(OR(RAPPORT_FINAL[[#This Row],[INVENTAIRE.Quantite]]="",RAPPORT_FINAL[[#This Row],[INVENTAIRE.Prix_vente]]=""),"",RAPPORT_FINAL[[#This Row],[INVENTAIRE.Quantite]]*RAPPORT_FINAL[[#This Row],[INVENTAIRE.Prix_vente]])</f>
        <v>12000</v>
      </c>
      <c r="V24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6</v>
      </c>
      <c r="W242" s="24">
        <f>RAPPORT_FINAL[[#This Row],[INVENTAIRE.Prix_cout]]</f>
        <v>1312.5</v>
      </c>
      <c r="X242" s="85">
        <f>RAPPORT_FINAL[[#This Row],[INVENTAIRE_THEORIQUE]]*RAPPORT_FINAL[[#This Row],[INVENTAIRE_THEORIQUE.Prix_cout]]</f>
        <v>7875</v>
      </c>
      <c r="Y242" s="85">
        <f>RAPPORT_FINAL[[#This Row],[INVENTAIRE.Prix_vente]]</f>
        <v>3000</v>
      </c>
      <c r="Z242" s="85">
        <f>RAPPORT_FINAL[[#This Row],[INVENTAIRE_THEORIQUE]]*RAPPORT_FINAL[[#This Row],[INVENTAIRE_THEORIQUE.Prix_vente]]</f>
        <v>18000</v>
      </c>
      <c r="AA242" s="85">
        <f>RAPPORT_FINAL[[#This Row],[INVENTAIRE.Quantite]]-RAPPORT_FINAL[[#This Row],[INVENTAIRE_THEORIQUE]]</f>
        <v>-2</v>
      </c>
      <c r="AB242" s="90">
        <f>IFERROR(RAPPORT_FINAL[[#This Row],[ECART.Total_cout]]/RAPPORT_FINAL[[#This Row],[ECART.Quantite]],0)</f>
        <v>1312.5</v>
      </c>
      <c r="AC242" s="91">
        <f>IFERROR(RAPPORT_FINAL[[#This Row],[ECART.Quantite]]*RAPPORT_FINAL[[#This Row],[INVENTAIRE.Prix_cout]],"")</f>
        <v>-2625</v>
      </c>
      <c r="AD242" s="83">
        <f>IFERROR(RAPPORT_FINAL[[#This Row],[ECART.Total_vente]]/RAPPORT_FINAL[[#This Row],[ECART.Quantite]],0)</f>
        <v>3000</v>
      </c>
      <c r="AE242" s="92">
        <f>IFERROR(RAPPORT_FINAL[[#This Row],[ECART.Quantite]]*RAPPORT_FINAL[[#This Row],[INVENTAIRE.Prix_vente]],"")</f>
        <v>-6000</v>
      </c>
    </row>
    <row r="243" spans="1:31" hidden="1" x14ac:dyDescent="0.25">
      <c r="A243" s="83" t="s">
        <v>30</v>
      </c>
      <c r="B243" s="3" t="s">
        <v>71</v>
      </c>
      <c r="C243" s="80" t="s">
        <v>284</v>
      </c>
      <c r="D243" s="3" t="s">
        <v>14</v>
      </c>
      <c r="E243" s="31" t="s">
        <v>108</v>
      </c>
      <c r="F243" s="85" cm="1">
        <f t="array" ref="F24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43" s="80" cm="1">
        <f t="array" ref="G24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243" s="80">
        <f>IF(RAPPORT_FINAL[[#This Row],[INVENTAIRE_PREC.Prix_vente]]="","",RAPPORT_FINAL[[#This Row],[INVENTAIRE_PREC.Quantite]]*RAPPORT_FINAL[[#This Row],[INVENTAIRE_PREC.Prix_cout]])</f>
        <v>0</v>
      </c>
      <c r="I243" s="83" cm="1">
        <f t="array" ref="I24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243" s="88">
        <f>IF(RAPPORT_FINAL[[#This Row],[INVENTAIRE_PREC.Prix_vente]]="","",RAPPORT_FINAL[[#This Row],[INVENTAIRE_PREC.Quantite]]*RAPPORT_FINAL[[#This Row],[INVENTAIRE_PREC.Prix_vente]])</f>
        <v>0</v>
      </c>
      <c r="K243" s="24">
        <v>1395</v>
      </c>
      <c r="L243" s="11">
        <v>0.71684587813620071</v>
      </c>
      <c r="M243" s="25">
        <v>1000</v>
      </c>
      <c r="N243" s="24">
        <v>170</v>
      </c>
      <c r="O243" s="11">
        <v>1</v>
      </c>
      <c r="P243" s="25">
        <v>170</v>
      </c>
      <c r="Q243" s="85">
        <v>1225</v>
      </c>
      <c r="R243" s="80" cm="1">
        <f t="array" ref="R24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0.71684587813620071</v>
      </c>
      <c r="S243" s="80">
        <f>RAPPORT_FINAL[[#This Row],[INVENTAIRE.Quantite]]*RAPPORT_FINAL[[#This Row],[INVENTAIRE.Prix_cout]]</f>
        <v>878.13620071684591</v>
      </c>
      <c r="T243" s="83" cm="1">
        <f t="array" ref="T24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0.71684587813620071</v>
      </c>
      <c r="U243" s="88">
        <f>IF(OR(RAPPORT_FINAL[[#This Row],[INVENTAIRE.Quantite]]="",RAPPORT_FINAL[[#This Row],[INVENTAIRE.Prix_vente]]=""),"",RAPPORT_FINAL[[#This Row],[INVENTAIRE.Quantite]]*RAPPORT_FINAL[[#This Row],[INVENTAIRE.Prix_vente]])</f>
        <v>878.13620071684591</v>
      </c>
      <c r="V24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1225</v>
      </c>
      <c r="W243" s="24">
        <f>RAPPORT_FINAL[[#This Row],[INVENTAIRE.Prix_cout]]</f>
        <v>0.71684587813620071</v>
      </c>
      <c r="X243" s="85">
        <f>RAPPORT_FINAL[[#This Row],[INVENTAIRE_THEORIQUE]]*RAPPORT_FINAL[[#This Row],[INVENTAIRE_THEORIQUE.Prix_cout]]</f>
        <v>878.13620071684591</v>
      </c>
      <c r="Y243" s="85">
        <f>RAPPORT_FINAL[[#This Row],[INVENTAIRE.Prix_vente]]</f>
        <v>0.71684587813620071</v>
      </c>
      <c r="Z243" s="85">
        <f>RAPPORT_FINAL[[#This Row],[INVENTAIRE_THEORIQUE]]*RAPPORT_FINAL[[#This Row],[INVENTAIRE_THEORIQUE.Prix_vente]]</f>
        <v>878.13620071684591</v>
      </c>
      <c r="AA243" s="85">
        <f>RAPPORT_FINAL[[#This Row],[INVENTAIRE.Quantite]]-RAPPORT_FINAL[[#This Row],[INVENTAIRE_THEORIQUE]]</f>
        <v>0</v>
      </c>
      <c r="AB243" s="90">
        <f>IFERROR(RAPPORT_FINAL[[#This Row],[ECART.Total_cout]]/RAPPORT_FINAL[[#This Row],[ECART.Quantite]],0)</f>
        <v>0</v>
      </c>
      <c r="AC243" s="91">
        <f>IFERROR(RAPPORT_FINAL[[#This Row],[ECART.Quantite]]*RAPPORT_FINAL[[#This Row],[INVENTAIRE.Prix_cout]],"")</f>
        <v>0</v>
      </c>
      <c r="AD243" s="83">
        <f>IFERROR(RAPPORT_FINAL[[#This Row],[ECART.Total_vente]]/RAPPORT_FINAL[[#This Row],[ECART.Quantite]],0)</f>
        <v>0</v>
      </c>
      <c r="AE243" s="92">
        <f>IFERROR(RAPPORT_FINAL[[#This Row],[ECART.Quantite]]*RAPPORT_FINAL[[#This Row],[INVENTAIRE.Prix_vente]],"")</f>
        <v>0</v>
      </c>
    </row>
    <row r="244" spans="1:31" hidden="1" x14ac:dyDescent="0.25">
      <c r="A244" s="83" t="s">
        <v>30</v>
      </c>
      <c r="B244" s="3" t="s">
        <v>71</v>
      </c>
      <c r="C244" s="80" t="s">
        <v>285</v>
      </c>
      <c r="D244" s="3" t="s">
        <v>28</v>
      </c>
      <c r="E244" s="31" t="s">
        <v>96</v>
      </c>
      <c r="F244" s="85" cm="1">
        <f t="array" ref="F24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8</v>
      </c>
      <c r="G244" s="80" cm="1">
        <f t="array" ref="G24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1062.5</v>
      </c>
      <c r="H244" s="80">
        <f>IF(RAPPORT_FINAL[[#This Row],[INVENTAIRE_PREC.Prix_vente]]="","",RAPPORT_FINAL[[#This Row],[INVENTAIRE_PREC.Quantite]]*RAPPORT_FINAL[[#This Row],[INVENTAIRE_PREC.Prix_cout]])</f>
        <v>8500</v>
      </c>
      <c r="I244" s="83" cm="1">
        <f t="array" ref="I24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1062.5</v>
      </c>
      <c r="J244" s="88">
        <f>IF(RAPPORT_FINAL[[#This Row],[INVENTAIRE_PREC.Prix_vente]]="","",RAPPORT_FINAL[[#This Row],[INVENTAIRE_PREC.Quantite]]*RAPPORT_FINAL[[#This Row],[INVENTAIRE_PREC.Prix_vente]])</f>
        <v>8500</v>
      </c>
      <c r="K244" s="24"/>
      <c r="L244" s="11"/>
      <c r="M244" s="25"/>
      <c r="N244" s="24"/>
      <c r="O244" s="11"/>
      <c r="P244" s="25"/>
      <c r="Q244" s="85">
        <v>7</v>
      </c>
      <c r="R244" s="80" cm="1">
        <f t="array" ref="R24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1062.5</v>
      </c>
      <c r="S244" s="80">
        <f>RAPPORT_FINAL[[#This Row],[INVENTAIRE.Quantite]]*RAPPORT_FINAL[[#This Row],[INVENTAIRE.Prix_cout]]</f>
        <v>7437.5</v>
      </c>
      <c r="T244" s="83" cm="1">
        <f t="array" ref="T24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244" s="88">
        <f>IF(OR(RAPPORT_FINAL[[#This Row],[INVENTAIRE.Quantite]]="",RAPPORT_FINAL[[#This Row],[INVENTAIRE.Prix_vente]]=""),"",RAPPORT_FINAL[[#This Row],[INVENTAIRE.Quantite]]*RAPPORT_FINAL[[#This Row],[INVENTAIRE.Prix_vente]])</f>
        <v>24500</v>
      </c>
      <c r="V24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8</v>
      </c>
      <c r="W244" s="24">
        <f>RAPPORT_FINAL[[#This Row],[INVENTAIRE.Prix_cout]]</f>
        <v>1062.5</v>
      </c>
      <c r="X244" s="85">
        <f>RAPPORT_FINAL[[#This Row],[INVENTAIRE_THEORIQUE]]*RAPPORT_FINAL[[#This Row],[INVENTAIRE_THEORIQUE.Prix_cout]]</f>
        <v>8500</v>
      </c>
      <c r="Y244" s="85">
        <f>RAPPORT_FINAL[[#This Row],[INVENTAIRE.Prix_vente]]</f>
        <v>3500</v>
      </c>
      <c r="Z244" s="85">
        <f>RAPPORT_FINAL[[#This Row],[INVENTAIRE_THEORIQUE]]*RAPPORT_FINAL[[#This Row],[INVENTAIRE_THEORIQUE.Prix_vente]]</f>
        <v>28000</v>
      </c>
      <c r="AA244" s="85">
        <f>RAPPORT_FINAL[[#This Row],[INVENTAIRE.Quantite]]-RAPPORT_FINAL[[#This Row],[INVENTAIRE_THEORIQUE]]</f>
        <v>-1</v>
      </c>
      <c r="AB244" s="90">
        <f>IFERROR(RAPPORT_FINAL[[#This Row],[ECART.Total_cout]]/RAPPORT_FINAL[[#This Row],[ECART.Quantite]],0)</f>
        <v>1062.5</v>
      </c>
      <c r="AC244" s="91">
        <f>IFERROR(RAPPORT_FINAL[[#This Row],[ECART.Quantite]]*RAPPORT_FINAL[[#This Row],[INVENTAIRE.Prix_cout]],"")</f>
        <v>-1062.5</v>
      </c>
      <c r="AD244" s="83">
        <f>IFERROR(RAPPORT_FINAL[[#This Row],[ECART.Total_vente]]/RAPPORT_FINAL[[#This Row],[ECART.Quantite]],0)</f>
        <v>3500</v>
      </c>
      <c r="AE244" s="92">
        <f>IFERROR(RAPPORT_FINAL[[#This Row],[ECART.Quantite]]*RAPPORT_FINAL[[#This Row],[INVENTAIRE.Prix_vente]],"")</f>
        <v>-3500</v>
      </c>
    </row>
    <row r="245" spans="1:31" hidden="1" x14ac:dyDescent="0.25">
      <c r="A245" s="83" t="s">
        <v>30</v>
      </c>
      <c r="B245" s="3" t="s">
        <v>71</v>
      </c>
      <c r="C245" s="80" t="s">
        <v>284</v>
      </c>
      <c r="D245" s="3" t="s">
        <v>14</v>
      </c>
      <c r="E245" s="31" t="s">
        <v>108</v>
      </c>
      <c r="F245" s="85" cm="1">
        <f t="array" ref="F24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45" s="80" cm="1">
        <f t="array" ref="G24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245" s="80">
        <f>IF(RAPPORT_FINAL[[#This Row],[INVENTAIRE_PREC.Prix_vente]]="","",RAPPORT_FINAL[[#This Row],[INVENTAIRE_PREC.Quantite]]*RAPPORT_FINAL[[#This Row],[INVENTAIRE_PREC.Prix_cout]])</f>
        <v>0</v>
      </c>
      <c r="I245" s="83" cm="1">
        <f t="array" ref="I24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245" s="88">
        <f>IF(RAPPORT_FINAL[[#This Row],[INVENTAIRE_PREC.Prix_vente]]="","",RAPPORT_FINAL[[#This Row],[INVENTAIRE_PREC.Quantite]]*RAPPORT_FINAL[[#This Row],[INVENTAIRE_PREC.Prix_vente]])</f>
        <v>0</v>
      </c>
      <c r="K245" s="24">
        <v>1395</v>
      </c>
      <c r="L245" s="11">
        <v>0.71684587813620071</v>
      </c>
      <c r="M245" s="25">
        <v>1000</v>
      </c>
      <c r="N245" s="24">
        <v>170</v>
      </c>
      <c r="O245" s="11">
        <v>1</v>
      </c>
      <c r="P245" s="25">
        <v>170</v>
      </c>
      <c r="Q245" s="85">
        <v>1225</v>
      </c>
      <c r="R245" s="80" cm="1">
        <f t="array" ref="R24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0.71684587813620071</v>
      </c>
      <c r="S245" s="80">
        <f>RAPPORT_FINAL[[#This Row],[INVENTAIRE.Quantite]]*RAPPORT_FINAL[[#This Row],[INVENTAIRE.Prix_cout]]</f>
        <v>878.13620071684591</v>
      </c>
      <c r="T245" s="83" cm="1">
        <f t="array" ref="T24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0.71684587813620071</v>
      </c>
      <c r="U245" s="88">
        <f>IF(OR(RAPPORT_FINAL[[#This Row],[INVENTAIRE.Quantite]]="",RAPPORT_FINAL[[#This Row],[INVENTAIRE.Prix_vente]]=""),"",RAPPORT_FINAL[[#This Row],[INVENTAIRE.Quantite]]*RAPPORT_FINAL[[#This Row],[INVENTAIRE.Prix_vente]])</f>
        <v>878.13620071684591</v>
      </c>
      <c r="V24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1225</v>
      </c>
      <c r="W245" s="24">
        <f>RAPPORT_FINAL[[#This Row],[INVENTAIRE.Prix_cout]]</f>
        <v>0.71684587813620071</v>
      </c>
      <c r="X245" s="85">
        <f>RAPPORT_FINAL[[#This Row],[INVENTAIRE_THEORIQUE]]*RAPPORT_FINAL[[#This Row],[INVENTAIRE_THEORIQUE.Prix_cout]]</f>
        <v>878.13620071684591</v>
      </c>
      <c r="Y245" s="85">
        <f>RAPPORT_FINAL[[#This Row],[INVENTAIRE.Prix_vente]]</f>
        <v>0.71684587813620071</v>
      </c>
      <c r="Z245" s="85">
        <f>RAPPORT_FINAL[[#This Row],[INVENTAIRE_THEORIQUE]]*RAPPORT_FINAL[[#This Row],[INVENTAIRE_THEORIQUE.Prix_vente]]</f>
        <v>878.13620071684591</v>
      </c>
      <c r="AA245" s="85">
        <f>RAPPORT_FINAL[[#This Row],[INVENTAIRE.Quantite]]-RAPPORT_FINAL[[#This Row],[INVENTAIRE_THEORIQUE]]</f>
        <v>0</v>
      </c>
      <c r="AB245" s="90">
        <f>IFERROR(RAPPORT_FINAL[[#This Row],[ECART.Total_cout]]/RAPPORT_FINAL[[#This Row],[ECART.Quantite]],0)</f>
        <v>0</v>
      </c>
      <c r="AC245" s="91">
        <f>IFERROR(RAPPORT_FINAL[[#This Row],[ECART.Quantite]]*RAPPORT_FINAL[[#This Row],[INVENTAIRE.Prix_cout]],"")</f>
        <v>0</v>
      </c>
      <c r="AD245" s="83">
        <f>IFERROR(RAPPORT_FINAL[[#This Row],[ECART.Total_vente]]/RAPPORT_FINAL[[#This Row],[ECART.Quantite]],0)</f>
        <v>0</v>
      </c>
      <c r="AE245" s="92">
        <f>IFERROR(RAPPORT_FINAL[[#This Row],[ECART.Quantite]]*RAPPORT_FINAL[[#This Row],[INVENTAIRE.Prix_vente]],"")</f>
        <v>0</v>
      </c>
    </row>
    <row r="246" spans="1:31" hidden="1" x14ac:dyDescent="0.25">
      <c r="A246" s="83" t="s">
        <v>30</v>
      </c>
      <c r="B246" s="3" t="s">
        <v>71</v>
      </c>
      <c r="C246" s="80" t="s">
        <v>285</v>
      </c>
      <c r="D246" s="3" t="s">
        <v>28</v>
      </c>
      <c r="E246" s="31" t="s">
        <v>96</v>
      </c>
      <c r="F246" s="85" cm="1">
        <f t="array" ref="F24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8</v>
      </c>
      <c r="G246" s="80" cm="1">
        <f t="array" ref="G24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1062.5</v>
      </c>
      <c r="H246" s="80">
        <f>IF(RAPPORT_FINAL[[#This Row],[INVENTAIRE_PREC.Prix_vente]]="","",RAPPORT_FINAL[[#This Row],[INVENTAIRE_PREC.Quantite]]*RAPPORT_FINAL[[#This Row],[INVENTAIRE_PREC.Prix_cout]])</f>
        <v>8500</v>
      </c>
      <c r="I246" s="83" cm="1">
        <f t="array" ref="I24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1062.5</v>
      </c>
      <c r="J246" s="88">
        <f>IF(RAPPORT_FINAL[[#This Row],[INVENTAIRE_PREC.Prix_vente]]="","",RAPPORT_FINAL[[#This Row],[INVENTAIRE_PREC.Quantite]]*RAPPORT_FINAL[[#This Row],[INVENTAIRE_PREC.Prix_vente]])</f>
        <v>8500</v>
      </c>
      <c r="K246" s="24"/>
      <c r="L246" s="11"/>
      <c r="M246" s="25"/>
      <c r="N246" s="24"/>
      <c r="O246" s="11"/>
      <c r="P246" s="25"/>
      <c r="Q246" s="85">
        <v>7</v>
      </c>
      <c r="R246" s="80" cm="1">
        <f t="array" ref="R24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1062.5</v>
      </c>
      <c r="S246" s="80">
        <f>RAPPORT_FINAL[[#This Row],[INVENTAIRE.Quantite]]*RAPPORT_FINAL[[#This Row],[INVENTAIRE.Prix_cout]]</f>
        <v>7437.5</v>
      </c>
      <c r="T246" s="83" cm="1">
        <f t="array" ref="T24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246" s="88">
        <f>IF(OR(RAPPORT_FINAL[[#This Row],[INVENTAIRE.Quantite]]="",RAPPORT_FINAL[[#This Row],[INVENTAIRE.Prix_vente]]=""),"",RAPPORT_FINAL[[#This Row],[INVENTAIRE.Quantite]]*RAPPORT_FINAL[[#This Row],[INVENTAIRE.Prix_vente]])</f>
        <v>24500</v>
      </c>
      <c r="V24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8</v>
      </c>
      <c r="W246" s="24">
        <f>RAPPORT_FINAL[[#This Row],[INVENTAIRE.Prix_cout]]</f>
        <v>1062.5</v>
      </c>
      <c r="X246" s="85">
        <f>RAPPORT_FINAL[[#This Row],[INVENTAIRE_THEORIQUE]]*RAPPORT_FINAL[[#This Row],[INVENTAIRE_THEORIQUE.Prix_cout]]</f>
        <v>8500</v>
      </c>
      <c r="Y246" s="85">
        <f>RAPPORT_FINAL[[#This Row],[INVENTAIRE.Prix_vente]]</f>
        <v>3500</v>
      </c>
      <c r="Z246" s="85">
        <f>RAPPORT_FINAL[[#This Row],[INVENTAIRE_THEORIQUE]]*RAPPORT_FINAL[[#This Row],[INVENTAIRE_THEORIQUE.Prix_vente]]</f>
        <v>28000</v>
      </c>
      <c r="AA246" s="85">
        <f>RAPPORT_FINAL[[#This Row],[INVENTAIRE.Quantite]]-RAPPORT_FINAL[[#This Row],[INVENTAIRE_THEORIQUE]]</f>
        <v>-1</v>
      </c>
      <c r="AB246" s="90">
        <f>IFERROR(RAPPORT_FINAL[[#This Row],[ECART.Total_cout]]/RAPPORT_FINAL[[#This Row],[ECART.Quantite]],0)</f>
        <v>1062.5</v>
      </c>
      <c r="AC246" s="91">
        <f>IFERROR(RAPPORT_FINAL[[#This Row],[ECART.Quantite]]*RAPPORT_FINAL[[#This Row],[INVENTAIRE.Prix_cout]],"")</f>
        <v>-1062.5</v>
      </c>
      <c r="AD246" s="83">
        <f>IFERROR(RAPPORT_FINAL[[#This Row],[ECART.Total_vente]]/RAPPORT_FINAL[[#This Row],[ECART.Quantite]],0)</f>
        <v>3500</v>
      </c>
      <c r="AE246" s="92">
        <f>IFERROR(RAPPORT_FINAL[[#This Row],[ECART.Quantite]]*RAPPORT_FINAL[[#This Row],[INVENTAIRE.Prix_vente]],"")</f>
        <v>-3500</v>
      </c>
    </row>
    <row r="247" spans="1:31" hidden="1" x14ac:dyDescent="0.25">
      <c r="A247" s="83" t="s">
        <v>30</v>
      </c>
      <c r="B247" s="3" t="s">
        <v>142</v>
      </c>
      <c r="C247" s="80" t="s">
        <v>283</v>
      </c>
      <c r="D247" s="3" t="s">
        <v>140</v>
      </c>
      <c r="E247" s="31" t="s">
        <v>143</v>
      </c>
      <c r="F247" s="85" cm="1">
        <f t="array" ref="F24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25</v>
      </c>
      <c r="G247" s="80" cm="1">
        <f t="array" ref="G24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64</v>
      </c>
      <c r="H247" s="80">
        <f>IF(RAPPORT_FINAL[[#This Row],[INVENTAIRE_PREC.Prix_vente]]="","",RAPPORT_FINAL[[#This Row],[INVENTAIRE_PREC.Quantite]]*RAPPORT_FINAL[[#This Row],[INVENTAIRE_PREC.Prix_cout]])</f>
        <v>1600</v>
      </c>
      <c r="I247" s="83" cm="1">
        <f t="array" ref="I24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64</v>
      </c>
      <c r="J247" s="88">
        <f>IF(RAPPORT_FINAL[[#This Row],[INVENTAIRE_PREC.Prix_vente]]="","",RAPPORT_FINAL[[#This Row],[INVENTAIRE_PREC.Quantite]]*RAPPORT_FINAL[[#This Row],[INVENTAIRE_PREC.Prix_vente]])</f>
        <v>1600</v>
      </c>
      <c r="K247" s="24"/>
      <c r="L247" s="11"/>
      <c r="M247" s="25"/>
      <c r="N247" s="24"/>
      <c r="O247" s="11"/>
      <c r="P247" s="25"/>
      <c r="Q247" s="85">
        <v>23</v>
      </c>
      <c r="R247" s="80" cm="1">
        <f t="array" ref="R24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64</v>
      </c>
      <c r="S247" s="80">
        <f>RAPPORT_FINAL[[#This Row],[INVENTAIRE.Quantite]]*RAPPORT_FINAL[[#This Row],[INVENTAIRE.Prix_cout]]</f>
        <v>1472</v>
      </c>
      <c r="T247" s="83" cm="1">
        <f t="array" ref="T24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247" s="88">
        <f>IF(OR(RAPPORT_FINAL[[#This Row],[INVENTAIRE.Quantite]]="",RAPPORT_FINAL[[#This Row],[INVENTAIRE.Prix_vente]]=""),"",RAPPORT_FINAL[[#This Row],[INVENTAIRE.Quantite]]*RAPPORT_FINAL[[#This Row],[INVENTAIRE.Prix_vente]])</f>
        <v>11500</v>
      </c>
      <c r="V24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25</v>
      </c>
      <c r="W247" s="24">
        <f>RAPPORT_FINAL[[#This Row],[INVENTAIRE.Prix_cout]]</f>
        <v>64</v>
      </c>
      <c r="X247" s="85">
        <f>RAPPORT_FINAL[[#This Row],[INVENTAIRE_THEORIQUE]]*RAPPORT_FINAL[[#This Row],[INVENTAIRE_THEORIQUE.Prix_cout]]</f>
        <v>1600</v>
      </c>
      <c r="Y247" s="85">
        <f>RAPPORT_FINAL[[#This Row],[INVENTAIRE.Prix_vente]]</f>
        <v>500</v>
      </c>
      <c r="Z247" s="85">
        <f>RAPPORT_FINAL[[#This Row],[INVENTAIRE_THEORIQUE]]*RAPPORT_FINAL[[#This Row],[INVENTAIRE_THEORIQUE.Prix_vente]]</f>
        <v>12500</v>
      </c>
      <c r="AA247" s="85">
        <f>RAPPORT_FINAL[[#This Row],[INVENTAIRE.Quantite]]-RAPPORT_FINAL[[#This Row],[INVENTAIRE_THEORIQUE]]</f>
        <v>-2</v>
      </c>
      <c r="AB247" s="90">
        <f>IFERROR(RAPPORT_FINAL[[#This Row],[ECART.Total_cout]]/RAPPORT_FINAL[[#This Row],[ECART.Quantite]],0)</f>
        <v>64</v>
      </c>
      <c r="AC247" s="91">
        <f>IFERROR(RAPPORT_FINAL[[#This Row],[ECART.Quantite]]*RAPPORT_FINAL[[#This Row],[INVENTAIRE.Prix_cout]],"")</f>
        <v>-128</v>
      </c>
      <c r="AD247" s="83">
        <f>IFERROR(RAPPORT_FINAL[[#This Row],[ECART.Total_vente]]/RAPPORT_FINAL[[#This Row],[ECART.Quantite]],0)</f>
        <v>500</v>
      </c>
      <c r="AE247" s="92">
        <f>IFERROR(RAPPORT_FINAL[[#This Row],[ECART.Quantite]]*RAPPORT_FINAL[[#This Row],[INVENTAIRE.Prix_vente]],"")</f>
        <v>-1000</v>
      </c>
    </row>
    <row r="248" spans="1:31" x14ac:dyDescent="0.25">
      <c r="A248" s="83" t="s">
        <v>30</v>
      </c>
      <c r="B248" s="3" t="s">
        <v>142</v>
      </c>
      <c r="C248" s="80" t="s">
        <v>283</v>
      </c>
      <c r="D248" s="3" t="s">
        <v>141</v>
      </c>
      <c r="E248" s="31" t="s">
        <v>144</v>
      </c>
      <c r="F248" s="85" cm="1">
        <f t="array" ref="F24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0</v>
      </c>
      <c r="G248" s="80" cm="1">
        <f t="array" ref="G24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0</v>
      </c>
      <c r="H248" s="80">
        <f>IF(RAPPORT_FINAL[[#This Row],[INVENTAIRE_PREC.Prix_vente]]="","",RAPPORT_FINAL[[#This Row],[INVENTAIRE_PREC.Quantite]]*RAPPORT_FINAL[[#This Row],[INVENTAIRE_PREC.Prix_cout]])</f>
        <v>0</v>
      </c>
      <c r="I248" s="83" cm="1">
        <f t="array" ref="I24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0</v>
      </c>
      <c r="J248" s="88">
        <f>IF(RAPPORT_FINAL[[#This Row],[INVENTAIRE_PREC.Prix_vente]]="","",RAPPORT_FINAL[[#This Row],[INVENTAIRE_PREC.Quantite]]*RAPPORT_FINAL[[#This Row],[INVENTAIRE_PREC.Prix_vente]])</f>
        <v>0</v>
      </c>
      <c r="K248" s="24"/>
      <c r="L248" s="11"/>
      <c r="M248" s="25"/>
      <c r="N248" s="24"/>
      <c r="O248" s="11"/>
      <c r="P248" s="25"/>
      <c r="Q248" s="85">
        <v>0</v>
      </c>
      <c r="R248" s="80" cm="1">
        <f t="array" ref="R24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248" s="80">
        <f>RAPPORT_FINAL[[#This Row],[INVENTAIRE.Quantite]]*RAPPORT_FINAL[[#This Row],[INVENTAIRE.Prix_cout]]</f>
        <v>0</v>
      </c>
      <c r="T248" s="83" cm="1">
        <f t="array" ref="T24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248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24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48" s="24">
        <f>RAPPORT_FINAL[[#This Row],[INVENTAIRE.Prix_cout]]</f>
        <v>0</v>
      </c>
      <c r="X248" s="85">
        <f>RAPPORT_FINAL[[#This Row],[INVENTAIRE_THEORIQUE]]*RAPPORT_FINAL[[#This Row],[INVENTAIRE_THEORIQUE.Prix_cout]]</f>
        <v>0</v>
      </c>
      <c r="Y248" s="85">
        <f>RAPPORT_FINAL[[#This Row],[INVENTAIRE.Prix_vente]]</f>
        <v>500</v>
      </c>
      <c r="Z248" s="85">
        <f>RAPPORT_FINAL[[#This Row],[INVENTAIRE_THEORIQUE]]*RAPPORT_FINAL[[#This Row],[INVENTAIRE_THEORIQUE.Prix_vente]]</f>
        <v>0</v>
      </c>
      <c r="AA248" s="85">
        <f>RAPPORT_FINAL[[#This Row],[INVENTAIRE.Quantite]]-RAPPORT_FINAL[[#This Row],[INVENTAIRE_THEORIQUE]]</f>
        <v>0</v>
      </c>
      <c r="AB248" s="90">
        <f>IFERROR(RAPPORT_FINAL[[#This Row],[ECART.Total_cout]]/RAPPORT_FINAL[[#This Row],[ECART.Quantite]],0)</f>
        <v>0</v>
      </c>
      <c r="AC248" s="91">
        <f>IFERROR(RAPPORT_FINAL[[#This Row],[ECART.Quantite]]*RAPPORT_FINAL[[#This Row],[INVENTAIRE.Prix_cout]],"")</f>
        <v>0</v>
      </c>
      <c r="AD248" s="83">
        <f>IFERROR(RAPPORT_FINAL[[#This Row],[ECART.Total_vente]]/RAPPORT_FINAL[[#This Row],[ECART.Quantite]],0)</f>
        <v>0</v>
      </c>
      <c r="AE248" s="92">
        <f>IFERROR(RAPPORT_FINAL[[#This Row],[ECART.Quantite]]*RAPPORT_FINAL[[#This Row],[INVENTAIRE.Prix_vente]],"")</f>
        <v>0</v>
      </c>
    </row>
    <row r="249" spans="1:31" hidden="1" x14ac:dyDescent="0.25">
      <c r="A249" s="83" t="s">
        <v>30</v>
      </c>
      <c r="B249" s="3" t="s">
        <v>142</v>
      </c>
      <c r="C249" s="80" t="s">
        <v>283</v>
      </c>
      <c r="D249" s="3" t="s">
        <v>140</v>
      </c>
      <c r="E249" s="31" t="s">
        <v>143</v>
      </c>
      <c r="F249" s="85" cm="1">
        <f t="array" ref="F24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>25</v>
      </c>
      <c r="G249" s="80" cm="1">
        <f t="array" ref="G24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>64</v>
      </c>
      <c r="H249" s="80">
        <f>IF(RAPPORT_FINAL[[#This Row],[INVENTAIRE_PREC.Prix_vente]]="","",RAPPORT_FINAL[[#This Row],[INVENTAIRE_PREC.Quantite]]*RAPPORT_FINAL[[#This Row],[INVENTAIRE_PREC.Prix_cout]])</f>
        <v>1600</v>
      </c>
      <c r="I249" s="83" cm="1">
        <f t="array" ref="I24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>64</v>
      </c>
      <c r="J249" s="88">
        <f>IF(RAPPORT_FINAL[[#This Row],[INVENTAIRE_PREC.Prix_vente]]="","",RAPPORT_FINAL[[#This Row],[INVENTAIRE_PREC.Quantite]]*RAPPORT_FINAL[[#This Row],[INVENTAIRE_PREC.Prix_vente]])</f>
        <v>1600</v>
      </c>
      <c r="K249" s="24"/>
      <c r="L249" s="11"/>
      <c r="M249" s="25"/>
      <c r="N249" s="24"/>
      <c r="O249" s="11"/>
      <c r="P249" s="25"/>
      <c r="Q249" s="85">
        <v>23</v>
      </c>
      <c r="R249" s="80" cm="1">
        <f t="array" ref="R24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64</v>
      </c>
      <c r="S249" s="80">
        <f>RAPPORT_FINAL[[#This Row],[INVENTAIRE.Quantite]]*RAPPORT_FINAL[[#This Row],[INVENTAIRE.Prix_cout]]</f>
        <v>1472</v>
      </c>
      <c r="T249" s="83" cm="1">
        <f t="array" ref="T24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249" s="88">
        <f>IF(OR(RAPPORT_FINAL[[#This Row],[INVENTAIRE.Quantite]]="",RAPPORT_FINAL[[#This Row],[INVENTAIRE.Prix_vente]]=""),"",RAPPORT_FINAL[[#This Row],[INVENTAIRE.Quantite]]*RAPPORT_FINAL[[#This Row],[INVENTAIRE.Prix_vente]])</f>
        <v>11500</v>
      </c>
      <c r="V24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25</v>
      </c>
      <c r="W249" s="24">
        <f>RAPPORT_FINAL[[#This Row],[INVENTAIRE.Prix_cout]]</f>
        <v>64</v>
      </c>
      <c r="X249" s="85">
        <f>RAPPORT_FINAL[[#This Row],[INVENTAIRE_THEORIQUE]]*RAPPORT_FINAL[[#This Row],[INVENTAIRE_THEORIQUE.Prix_cout]]</f>
        <v>1600</v>
      </c>
      <c r="Y249" s="85">
        <f>RAPPORT_FINAL[[#This Row],[INVENTAIRE.Prix_vente]]</f>
        <v>500</v>
      </c>
      <c r="Z249" s="85">
        <f>RAPPORT_FINAL[[#This Row],[INVENTAIRE_THEORIQUE]]*RAPPORT_FINAL[[#This Row],[INVENTAIRE_THEORIQUE.Prix_vente]]</f>
        <v>12500</v>
      </c>
      <c r="AA249" s="85">
        <f>RAPPORT_FINAL[[#This Row],[INVENTAIRE.Quantite]]-RAPPORT_FINAL[[#This Row],[INVENTAIRE_THEORIQUE]]</f>
        <v>-2</v>
      </c>
      <c r="AB249" s="90">
        <f>IFERROR(RAPPORT_FINAL[[#This Row],[ECART.Total_cout]]/RAPPORT_FINAL[[#This Row],[ECART.Quantite]],0)</f>
        <v>64</v>
      </c>
      <c r="AC249" s="91">
        <f>IFERROR(RAPPORT_FINAL[[#This Row],[ECART.Quantite]]*RAPPORT_FINAL[[#This Row],[INVENTAIRE.Prix_cout]],"")</f>
        <v>-128</v>
      </c>
      <c r="AD249" s="83">
        <f>IFERROR(RAPPORT_FINAL[[#This Row],[ECART.Total_vente]]/RAPPORT_FINAL[[#This Row],[ECART.Quantite]],0)</f>
        <v>500</v>
      </c>
      <c r="AE249" s="92">
        <f>IFERROR(RAPPORT_FINAL[[#This Row],[ECART.Quantite]]*RAPPORT_FINAL[[#This Row],[INVENTAIRE.Prix_vente]],"")</f>
        <v>-1000</v>
      </c>
    </row>
    <row r="250" spans="1:31" hidden="1" x14ac:dyDescent="0.25">
      <c r="A250" s="83" t="s">
        <v>163</v>
      </c>
      <c r="B250" s="3" t="s">
        <v>76</v>
      </c>
      <c r="C250" s="80" t="s">
        <v>283</v>
      </c>
      <c r="D250" s="3" t="s">
        <v>58</v>
      </c>
      <c r="E250" s="31" t="s">
        <v>97</v>
      </c>
      <c r="F250" s="85" t="str" cm="1">
        <f t="array" ref="F25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50" s="80" t="str" cm="1">
        <f t="array" ref="G25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50" s="80" t="str">
        <f>IF(RAPPORT_FINAL[[#This Row],[INVENTAIRE_PREC.Prix_vente]]="","",RAPPORT_FINAL[[#This Row],[INVENTAIRE_PREC.Quantite]]*RAPPORT_FINAL[[#This Row],[INVENTAIRE_PREC.Prix_cout]])</f>
        <v/>
      </c>
      <c r="I250" s="83" t="str" cm="1">
        <f t="array" ref="I25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50" s="88" t="str">
        <f>IF(RAPPORT_FINAL[[#This Row],[INVENTAIRE_PREC.Prix_vente]]="","",RAPPORT_FINAL[[#This Row],[INVENTAIRE_PREC.Quantite]]*RAPPORT_FINAL[[#This Row],[INVENTAIRE_PREC.Prix_vente]])</f>
        <v/>
      </c>
      <c r="K250" s="24"/>
      <c r="L250" s="11"/>
      <c r="M250" s="25"/>
      <c r="N250" s="24"/>
      <c r="O250" s="11"/>
      <c r="P250" s="25"/>
      <c r="Q250" s="85">
        <v>1</v>
      </c>
      <c r="R250" s="80" cm="1">
        <f t="array" ref="R25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2300</v>
      </c>
      <c r="S250" s="80">
        <f>RAPPORT_FINAL[[#This Row],[INVENTAIRE.Quantite]]*RAPPORT_FINAL[[#This Row],[INVENTAIRE.Prix_cout]]</f>
        <v>2300</v>
      </c>
      <c r="T250" s="83" cm="1">
        <f t="array" ref="T25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5000</v>
      </c>
      <c r="U250" s="88">
        <f>IF(OR(RAPPORT_FINAL[[#This Row],[INVENTAIRE.Quantite]]="",RAPPORT_FINAL[[#This Row],[INVENTAIRE.Prix_vente]]=""),"",RAPPORT_FINAL[[#This Row],[INVENTAIRE.Quantite]]*RAPPORT_FINAL[[#This Row],[INVENTAIRE.Prix_vente]])</f>
        <v>5000</v>
      </c>
      <c r="V25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50" s="24">
        <f>RAPPORT_FINAL[[#This Row],[INVENTAIRE.Prix_cout]]</f>
        <v>2300</v>
      </c>
      <c r="X250" s="85">
        <f>RAPPORT_FINAL[[#This Row],[INVENTAIRE_THEORIQUE]]*RAPPORT_FINAL[[#This Row],[INVENTAIRE_THEORIQUE.Prix_cout]]</f>
        <v>0</v>
      </c>
      <c r="Y250" s="85">
        <f>RAPPORT_FINAL[[#This Row],[INVENTAIRE.Prix_vente]]</f>
        <v>5000</v>
      </c>
      <c r="Z250" s="85">
        <f>RAPPORT_FINAL[[#This Row],[INVENTAIRE_THEORIQUE]]*RAPPORT_FINAL[[#This Row],[INVENTAIRE_THEORIQUE.Prix_vente]]</f>
        <v>0</v>
      </c>
      <c r="AA250" s="85">
        <f>RAPPORT_FINAL[[#This Row],[INVENTAIRE.Quantite]]-RAPPORT_FINAL[[#This Row],[INVENTAIRE_THEORIQUE]]</f>
        <v>1</v>
      </c>
      <c r="AB250" s="90">
        <f>IFERROR(RAPPORT_FINAL[[#This Row],[ECART.Total_cout]]/RAPPORT_FINAL[[#This Row],[ECART.Quantite]],0)</f>
        <v>2300</v>
      </c>
      <c r="AC250" s="91">
        <f>IFERROR(RAPPORT_FINAL[[#This Row],[ECART.Quantite]]*RAPPORT_FINAL[[#This Row],[INVENTAIRE.Prix_cout]],"")</f>
        <v>2300</v>
      </c>
      <c r="AD250" s="83">
        <f>IFERROR(RAPPORT_FINAL[[#This Row],[ECART.Total_vente]]/RAPPORT_FINAL[[#This Row],[ECART.Quantite]],0)</f>
        <v>5000</v>
      </c>
      <c r="AE250" s="92">
        <f>IFERROR(RAPPORT_FINAL[[#This Row],[ECART.Quantite]]*RAPPORT_FINAL[[#This Row],[INVENTAIRE.Prix_vente]],"")</f>
        <v>5000</v>
      </c>
    </row>
    <row r="251" spans="1:31" hidden="1" x14ac:dyDescent="0.25">
      <c r="A251" s="83" t="s">
        <v>163</v>
      </c>
      <c r="B251" s="3" t="s">
        <v>76</v>
      </c>
      <c r="C251" s="80" t="s">
        <v>283</v>
      </c>
      <c r="D251" s="3" t="s">
        <v>85</v>
      </c>
      <c r="E251" s="31" t="s">
        <v>97</v>
      </c>
      <c r="F251" s="85" t="str" cm="1">
        <f t="array" ref="F25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51" s="80" t="str" cm="1">
        <f t="array" ref="G25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51" s="80" t="str">
        <f>IF(RAPPORT_FINAL[[#This Row],[INVENTAIRE_PREC.Prix_vente]]="","",RAPPORT_FINAL[[#This Row],[INVENTAIRE_PREC.Quantite]]*RAPPORT_FINAL[[#This Row],[INVENTAIRE_PREC.Prix_cout]])</f>
        <v/>
      </c>
      <c r="I251" s="83" t="str" cm="1">
        <f t="array" ref="I25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51" s="88" t="str">
        <f>IF(RAPPORT_FINAL[[#This Row],[INVENTAIRE_PREC.Prix_vente]]="","",RAPPORT_FINAL[[#This Row],[INVENTAIRE_PREC.Quantite]]*RAPPORT_FINAL[[#This Row],[INVENTAIRE_PREC.Prix_vente]])</f>
        <v/>
      </c>
      <c r="K251" s="24"/>
      <c r="L251" s="11"/>
      <c r="M251" s="25"/>
      <c r="N251" s="24"/>
      <c r="O251" s="11"/>
      <c r="P251" s="25"/>
      <c r="Q251" s="85">
        <v>3</v>
      </c>
      <c r="R251" s="80" cm="1">
        <f t="array" ref="R25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3000</v>
      </c>
      <c r="S251" s="80">
        <f>RAPPORT_FINAL[[#This Row],[INVENTAIRE.Quantite]]*RAPPORT_FINAL[[#This Row],[INVENTAIRE.Prix_cout]]</f>
        <v>9000</v>
      </c>
      <c r="T251" s="83" cm="1">
        <f t="array" ref="T25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6500</v>
      </c>
      <c r="U251" s="88">
        <f>IF(OR(RAPPORT_FINAL[[#This Row],[INVENTAIRE.Quantite]]="",RAPPORT_FINAL[[#This Row],[INVENTAIRE.Prix_vente]]=""),"",RAPPORT_FINAL[[#This Row],[INVENTAIRE.Quantite]]*RAPPORT_FINAL[[#This Row],[INVENTAIRE.Prix_vente]])</f>
        <v>19500</v>
      </c>
      <c r="V25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51" s="24">
        <f>RAPPORT_FINAL[[#This Row],[INVENTAIRE.Prix_cout]]</f>
        <v>3000</v>
      </c>
      <c r="X251" s="85">
        <f>RAPPORT_FINAL[[#This Row],[INVENTAIRE_THEORIQUE]]*RAPPORT_FINAL[[#This Row],[INVENTAIRE_THEORIQUE.Prix_cout]]</f>
        <v>0</v>
      </c>
      <c r="Y251" s="85">
        <f>RAPPORT_FINAL[[#This Row],[INVENTAIRE.Prix_vente]]</f>
        <v>6500</v>
      </c>
      <c r="Z251" s="85">
        <f>RAPPORT_FINAL[[#This Row],[INVENTAIRE_THEORIQUE]]*RAPPORT_FINAL[[#This Row],[INVENTAIRE_THEORIQUE.Prix_vente]]</f>
        <v>0</v>
      </c>
      <c r="AA251" s="85">
        <f>RAPPORT_FINAL[[#This Row],[INVENTAIRE.Quantite]]-RAPPORT_FINAL[[#This Row],[INVENTAIRE_THEORIQUE]]</f>
        <v>3</v>
      </c>
      <c r="AB251" s="90">
        <f>IFERROR(RAPPORT_FINAL[[#This Row],[ECART.Total_cout]]/RAPPORT_FINAL[[#This Row],[ECART.Quantite]],0)</f>
        <v>3000</v>
      </c>
      <c r="AC251" s="91">
        <f>IFERROR(RAPPORT_FINAL[[#This Row],[ECART.Quantite]]*RAPPORT_FINAL[[#This Row],[INVENTAIRE.Prix_cout]],"")</f>
        <v>9000</v>
      </c>
      <c r="AD251" s="83">
        <f>IFERROR(RAPPORT_FINAL[[#This Row],[ECART.Total_vente]]/RAPPORT_FINAL[[#This Row],[ECART.Quantite]],0)</f>
        <v>6500</v>
      </c>
      <c r="AE251" s="92">
        <f>IFERROR(RAPPORT_FINAL[[#This Row],[ECART.Quantite]]*RAPPORT_FINAL[[#This Row],[INVENTAIRE.Prix_vente]],"")</f>
        <v>19500</v>
      </c>
    </row>
    <row r="252" spans="1:31" hidden="1" x14ac:dyDescent="0.25">
      <c r="A252" s="83" t="s">
        <v>163</v>
      </c>
      <c r="B252" s="3" t="s">
        <v>76</v>
      </c>
      <c r="C252" s="80" t="s">
        <v>283</v>
      </c>
      <c r="D252" s="3" t="s">
        <v>53</v>
      </c>
      <c r="E252" s="31" t="s">
        <v>97</v>
      </c>
      <c r="F252" s="85" t="str" cm="1">
        <f t="array" ref="F25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52" s="80" t="str" cm="1">
        <f t="array" ref="G25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52" s="80" t="str">
        <f>IF(RAPPORT_FINAL[[#This Row],[INVENTAIRE_PREC.Prix_vente]]="","",RAPPORT_FINAL[[#This Row],[INVENTAIRE_PREC.Quantite]]*RAPPORT_FINAL[[#This Row],[INVENTAIRE_PREC.Prix_cout]])</f>
        <v/>
      </c>
      <c r="I252" s="83" t="str" cm="1">
        <f t="array" ref="I25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52" s="88" t="str">
        <f>IF(RAPPORT_FINAL[[#This Row],[INVENTAIRE_PREC.Prix_vente]]="","",RAPPORT_FINAL[[#This Row],[INVENTAIRE_PREC.Quantite]]*RAPPORT_FINAL[[#This Row],[INVENTAIRE_PREC.Prix_vente]])</f>
        <v/>
      </c>
      <c r="K252" s="24"/>
      <c r="L252" s="11"/>
      <c r="M252" s="25"/>
      <c r="N252" s="24"/>
      <c r="O252" s="11"/>
      <c r="P252" s="25"/>
      <c r="Q252" s="85">
        <v>12</v>
      </c>
      <c r="R252" s="80" cm="1">
        <f t="array" ref="R25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562.5</v>
      </c>
      <c r="S252" s="80">
        <f>RAPPORT_FINAL[[#This Row],[INVENTAIRE.Quantite]]*RAPPORT_FINAL[[#This Row],[INVENTAIRE.Prix_cout]]</f>
        <v>6750</v>
      </c>
      <c r="T252" s="83" cm="1">
        <f t="array" ref="T25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52" s="88">
        <f>IF(OR(RAPPORT_FINAL[[#This Row],[INVENTAIRE.Quantite]]="",RAPPORT_FINAL[[#This Row],[INVENTAIRE.Prix_vente]]=""),"",RAPPORT_FINAL[[#This Row],[INVENTAIRE.Quantite]]*RAPPORT_FINAL[[#This Row],[INVENTAIRE.Prix_vente]])</f>
        <v>12000</v>
      </c>
      <c r="V25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52" s="24">
        <f>RAPPORT_FINAL[[#This Row],[INVENTAIRE.Prix_cout]]</f>
        <v>562.5</v>
      </c>
      <c r="X252" s="85">
        <f>RAPPORT_FINAL[[#This Row],[INVENTAIRE_THEORIQUE]]*RAPPORT_FINAL[[#This Row],[INVENTAIRE_THEORIQUE.Prix_cout]]</f>
        <v>0</v>
      </c>
      <c r="Y252" s="85">
        <f>RAPPORT_FINAL[[#This Row],[INVENTAIRE.Prix_vente]]</f>
        <v>1000</v>
      </c>
      <c r="Z252" s="85">
        <f>RAPPORT_FINAL[[#This Row],[INVENTAIRE_THEORIQUE]]*RAPPORT_FINAL[[#This Row],[INVENTAIRE_THEORIQUE.Prix_vente]]</f>
        <v>0</v>
      </c>
      <c r="AA252" s="85">
        <f>RAPPORT_FINAL[[#This Row],[INVENTAIRE.Quantite]]-RAPPORT_FINAL[[#This Row],[INVENTAIRE_THEORIQUE]]</f>
        <v>12</v>
      </c>
      <c r="AB252" s="90">
        <f>IFERROR(RAPPORT_FINAL[[#This Row],[ECART.Total_cout]]/RAPPORT_FINAL[[#This Row],[ECART.Quantite]],0)</f>
        <v>562.5</v>
      </c>
      <c r="AC252" s="91">
        <f>IFERROR(RAPPORT_FINAL[[#This Row],[ECART.Quantite]]*RAPPORT_FINAL[[#This Row],[INVENTAIRE.Prix_cout]],"")</f>
        <v>6750</v>
      </c>
      <c r="AD252" s="83">
        <f>IFERROR(RAPPORT_FINAL[[#This Row],[ECART.Total_vente]]/RAPPORT_FINAL[[#This Row],[ECART.Quantite]],0)</f>
        <v>1000</v>
      </c>
      <c r="AE252" s="92">
        <f>IFERROR(RAPPORT_FINAL[[#This Row],[ECART.Quantite]]*RAPPORT_FINAL[[#This Row],[INVENTAIRE.Prix_vente]],"")</f>
        <v>12000</v>
      </c>
    </row>
    <row r="253" spans="1:31" hidden="1" x14ac:dyDescent="0.25">
      <c r="A253" s="83" t="s">
        <v>163</v>
      </c>
      <c r="B253" s="3" t="s">
        <v>76</v>
      </c>
      <c r="C253" s="80" t="s">
        <v>283</v>
      </c>
      <c r="D253" s="3" t="s">
        <v>156</v>
      </c>
      <c r="E253" s="31" t="s">
        <v>97</v>
      </c>
      <c r="F253" s="85" t="str" cm="1">
        <f t="array" ref="F25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53" s="80" t="str" cm="1">
        <f t="array" ref="G25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53" s="80" t="str">
        <f>IF(RAPPORT_FINAL[[#This Row],[INVENTAIRE_PREC.Prix_vente]]="","",RAPPORT_FINAL[[#This Row],[INVENTAIRE_PREC.Quantite]]*RAPPORT_FINAL[[#This Row],[INVENTAIRE_PREC.Prix_cout]])</f>
        <v/>
      </c>
      <c r="I253" s="83" t="str" cm="1">
        <f t="array" ref="I25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53" s="88" t="str">
        <f>IF(RAPPORT_FINAL[[#This Row],[INVENTAIRE_PREC.Prix_vente]]="","",RAPPORT_FINAL[[#This Row],[INVENTAIRE_PREC.Quantite]]*RAPPORT_FINAL[[#This Row],[INVENTAIRE_PREC.Prix_vente]])</f>
        <v/>
      </c>
      <c r="K253" s="24"/>
      <c r="L253" s="11"/>
      <c r="M253" s="25"/>
      <c r="N253" s="24"/>
      <c r="O253" s="11"/>
      <c r="P253" s="25"/>
      <c r="Q253" s="85">
        <v>15</v>
      </c>
      <c r="R253" s="80" cm="1">
        <f t="array" ref="R25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479.17</v>
      </c>
      <c r="S253" s="80">
        <f>RAPPORT_FINAL[[#This Row],[INVENTAIRE.Quantite]]*RAPPORT_FINAL[[#This Row],[INVENTAIRE.Prix_cout]]</f>
        <v>7187.55</v>
      </c>
      <c r="T253" s="83" cm="1">
        <f t="array" ref="T25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253" s="88">
        <f>IF(OR(RAPPORT_FINAL[[#This Row],[INVENTAIRE.Quantite]]="",RAPPORT_FINAL[[#This Row],[INVENTAIRE.Prix_vente]]=""),"",RAPPORT_FINAL[[#This Row],[INVENTAIRE.Quantite]]*RAPPORT_FINAL[[#This Row],[INVENTAIRE.Prix_vente]])</f>
        <v>12000</v>
      </c>
      <c r="V25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53" s="24">
        <f>RAPPORT_FINAL[[#This Row],[INVENTAIRE.Prix_cout]]</f>
        <v>479.17</v>
      </c>
      <c r="X253" s="85">
        <f>RAPPORT_FINAL[[#This Row],[INVENTAIRE_THEORIQUE]]*RAPPORT_FINAL[[#This Row],[INVENTAIRE_THEORIQUE.Prix_cout]]</f>
        <v>0</v>
      </c>
      <c r="Y253" s="85">
        <f>RAPPORT_FINAL[[#This Row],[INVENTAIRE.Prix_vente]]</f>
        <v>800</v>
      </c>
      <c r="Z253" s="85">
        <f>RAPPORT_FINAL[[#This Row],[INVENTAIRE_THEORIQUE]]*RAPPORT_FINAL[[#This Row],[INVENTAIRE_THEORIQUE.Prix_vente]]</f>
        <v>0</v>
      </c>
      <c r="AA253" s="85">
        <f>RAPPORT_FINAL[[#This Row],[INVENTAIRE.Quantite]]-RAPPORT_FINAL[[#This Row],[INVENTAIRE_THEORIQUE]]</f>
        <v>15</v>
      </c>
      <c r="AB253" s="90">
        <f>IFERROR(RAPPORT_FINAL[[#This Row],[ECART.Total_cout]]/RAPPORT_FINAL[[#This Row],[ECART.Quantite]],0)</f>
        <v>479.17</v>
      </c>
      <c r="AC253" s="91">
        <f>IFERROR(RAPPORT_FINAL[[#This Row],[ECART.Quantite]]*RAPPORT_FINAL[[#This Row],[INVENTAIRE.Prix_cout]],"")</f>
        <v>7187.55</v>
      </c>
      <c r="AD253" s="83">
        <f>IFERROR(RAPPORT_FINAL[[#This Row],[ECART.Total_vente]]/RAPPORT_FINAL[[#This Row],[ECART.Quantite]],0)</f>
        <v>800</v>
      </c>
      <c r="AE253" s="92">
        <f>IFERROR(RAPPORT_FINAL[[#This Row],[ECART.Quantite]]*RAPPORT_FINAL[[#This Row],[INVENTAIRE.Prix_vente]],"")</f>
        <v>12000</v>
      </c>
    </row>
    <row r="254" spans="1:31" hidden="1" x14ac:dyDescent="0.25">
      <c r="A254" s="83" t="s">
        <v>163</v>
      </c>
      <c r="B254" s="3" t="s">
        <v>76</v>
      </c>
      <c r="C254" s="80" t="s">
        <v>283</v>
      </c>
      <c r="D254" s="3" t="s">
        <v>49</v>
      </c>
      <c r="E254" s="31" t="s">
        <v>97</v>
      </c>
      <c r="F254" s="85" t="str" cm="1">
        <f t="array" ref="F25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54" s="80" t="str" cm="1">
        <f t="array" ref="G25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54" s="80" t="str">
        <f>IF(RAPPORT_FINAL[[#This Row],[INVENTAIRE_PREC.Prix_vente]]="","",RAPPORT_FINAL[[#This Row],[INVENTAIRE_PREC.Quantite]]*RAPPORT_FINAL[[#This Row],[INVENTAIRE_PREC.Prix_cout]])</f>
        <v/>
      </c>
      <c r="I254" s="83" t="str" cm="1">
        <f t="array" ref="I25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54" s="88" t="str">
        <f>IF(RAPPORT_FINAL[[#This Row],[INVENTAIRE_PREC.Prix_vente]]="","",RAPPORT_FINAL[[#This Row],[INVENTAIRE_PREC.Quantite]]*RAPPORT_FINAL[[#This Row],[INVENTAIRE_PREC.Prix_vente]])</f>
        <v/>
      </c>
      <c r="K254" s="24"/>
      <c r="L254" s="11"/>
      <c r="M254" s="25"/>
      <c r="N254" s="24"/>
      <c r="O254" s="11"/>
      <c r="P254" s="25"/>
      <c r="Q254" s="85">
        <v>2</v>
      </c>
      <c r="R254" s="80" cm="1">
        <f t="array" ref="R25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291.67</v>
      </c>
      <c r="S254" s="80">
        <f>RAPPORT_FINAL[[#This Row],[INVENTAIRE.Quantite]]*RAPPORT_FINAL[[#This Row],[INVENTAIRE.Prix_cout]]</f>
        <v>583.34</v>
      </c>
      <c r="T254" s="83" cm="1">
        <f t="array" ref="T25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254" s="88">
        <f>IF(OR(RAPPORT_FINAL[[#This Row],[INVENTAIRE.Quantite]]="",RAPPORT_FINAL[[#This Row],[INVENTAIRE.Prix_vente]]=""),"",RAPPORT_FINAL[[#This Row],[INVENTAIRE.Quantite]]*RAPPORT_FINAL[[#This Row],[INVENTAIRE.Prix_vente]])</f>
        <v>1600</v>
      </c>
      <c r="V25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54" s="24">
        <f>RAPPORT_FINAL[[#This Row],[INVENTAIRE.Prix_cout]]</f>
        <v>291.67</v>
      </c>
      <c r="X254" s="85">
        <f>RAPPORT_FINAL[[#This Row],[INVENTAIRE_THEORIQUE]]*RAPPORT_FINAL[[#This Row],[INVENTAIRE_THEORIQUE.Prix_cout]]</f>
        <v>0</v>
      </c>
      <c r="Y254" s="85">
        <f>RAPPORT_FINAL[[#This Row],[INVENTAIRE.Prix_vente]]</f>
        <v>800</v>
      </c>
      <c r="Z254" s="85">
        <f>RAPPORT_FINAL[[#This Row],[INVENTAIRE_THEORIQUE]]*RAPPORT_FINAL[[#This Row],[INVENTAIRE_THEORIQUE.Prix_vente]]</f>
        <v>0</v>
      </c>
      <c r="AA254" s="85">
        <f>RAPPORT_FINAL[[#This Row],[INVENTAIRE.Quantite]]-RAPPORT_FINAL[[#This Row],[INVENTAIRE_THEORIQUE]]</f>
        <v>2</v>
      </c>
      <c r="AB254" s="90">
        <f>IFERROR(RAPPORT_FINAL[[#This Row],[ECART.Total_cout]]/RAPPORT_FINAL[[#This Row],[ECART.Quantite]],0)</f>
        <v>291.67</v>
      </c>
      <c r="AC254" s="91">
        <f>IFERROR(RAPPORT_FINAL[[#This Row],[ECART.Quantite]]*RAPPORT_FINAL[[#This Row],[INVENTAIRE.Prix_cout]],"")</f>
        <v>583.34</v>
      </c>
      <c r="AD254" s="83">
        <f>IFERROR(RAPPORT_FINAL[[#This Row],[ECART.Total_vente]]/RAPPORT_FINAL[[#This Row],[ECART.Quantite]],0)</f>
        <v>800</v>
      </c>
      <c r="AE254" s="92">
        <f>IFERROR(RAPPORT_FINAL[[#This Row],[ECART.Quantite]]*RAPPORT_FINAL[[#This Row],[INVENTAIRE.Prix_vente]],"")</f>
        <v>1600</v>
      </c>
    </row>
    <row r="255" spans="1:31" hidden="1" x14ac:dyDescent="0.25">
      <c r="A255" s="83" t="s">
        <v>163</v>
      </c>
      <c r="B255" s="3" t="s">
        <v>76</v>
      </c>
      <c r="C255" s="80" t="s">
        <v>283</v>
      </c>
      <c r="D255" s="3" t="s">
        <v>146</v>
      </c>
      <c r="E255" s="31" t="s">
        <v>97</v>
      </c>
      <c r="F255" s="85" t="str" cm="1">
        <f t="array" ref="F25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55" s="80" t="str" cm="1">
        <f t="array" ref="G25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55" s="80" t="str">
        <f>IF(RAPPORT_FINAL[[#This Row],[INVENTAIRE_PREC.Prix_vente]]="","",RAPPORT_FINAL[[#This Row],[INVENTAIRE_PREC.Quantite]]*RAPPORT_FINAL[[#This Row],[INVENTAIRE_PREC.Prix_cout]])</f>
        <v/>
      </c>
      <c r="I255" s="83" t="str" cm="1">
        <f t="array" ref="I25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55" s="88" t="str">
        <f>IF(RAPPORT_FINAL[[#This Row],[INVENTAIRE_PREC.Prix_vente]]="","",RAPPORT_FINAL[[#This Row],[INVENTAIRE_PREC.Quantite]]*RAPPORT_FINAL[[#This Row],[INVENTAIRE_PREC.Prix_vente]])</f>
        <v/>
      </c>
      <c r="K255" s="24"/>
      <c r="L255" s="11"/>
      <c r="M255" s="25"/>
      <c r="N255" s="24"/>
      <c r="O255" s="11"/>
      <c r="P255" s="25"/>
      <c r="Q255" s="85">
        <v>1</v>
      </c>
      <c r="R255" s="80" cm="1">
        <f t="array" ref="R25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11200</v>
      </c>
      <c r="S255" s="80">
        <f>RAPPORT_FINAL[[#This Row],[INVENTAIRE.Quantite]]*RAPPORT_FINAL[[#This Row],[INVENTAIRE.Prix_cout]]</f>
        <v>11200</v>
      </c>
      <c r="T255" s="83" cm="1">
        <f t="array" ref="T25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25000</v>
      </c>
      <c r="U255" s="88">
        <f>IF(OR(RAPPORT_FINAL[[#This Row],[INVENTAIRE.Quantite]]="",RAPPORT_FINAL[[#This Row],[INVENTAIRE.Prix_vente]]=""),"",RAPPORT_FINAL[[#This Row],[INVENTAIRE.Quantite]]*RAPPORT_FINAL[[#This Row],[INVENTAIRE.Prix_vente]])</f>
        <v>25000</v>
      </c>
      <c r="V25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55" s="24">
        <f>RAPPORT_FINAL[[#This Row],[INVENTAIRE.Prix_cout]]</f>
        <v>11200</v>
      </c>
      <c r="X255" s="85">
        <f>RAPPORT_FINAL[[#This Row],[INVENTAIRE_THEORIQUE]]*RAPPORT_FINAL[[#This Row],[INVENTAIRE_THEORIQUE.Prix_cout]]</f>
        <v>0</v>
      </c>
      <c r="Y255" s="85">
        <f>RAPPORT_FINAL[[#This Row],[INVENTAIRE.Prix_vente]]</f>
        <v>25000</v>
      </c>
      <c r="Z255" s="85">
        <f>RAPPORT_FINAL[[#This Row],[INVENTAIRE_THEORIQUE]]*RAPPORT_FINAL[[#This Row],[INVENTAIRE_THEORIQUE.Prix_vente]]</f>
        <v>0</v>
      </c>
      <c r="AA255" s="85">
        <f>RAPPORT_FINAL[[#This Row],[INVENTAIRE.Quantite]]-RAPPORT_FINAL[[#This Row],[INVENTAIRE_THEORIQUE]]</f>
        <v>1</v>
      </c>
      <c r="AB255" s="90">
        <f>IFERROR(RAPPORT_FINAL[[#This Row],[ECART.Total_cout]]/RAPPORT_FINAL[[#This Row],[ECART.Quantite]],0)</f>
        <v>11200</v>
      </c>
      <c r="AC255" s="91">
        <f>IFERROR(RAPPORT_FINAL[[#This Row],[ECART.Quantite]]*RAPPORT_FINAL[[#This Row],[INVENTAIRE.Prix_cout]],"")</f>
        <v>11200</v>
      </c>
      <c r="AD255" s="83">
        <f>IFERROR(RAPPORT_FINAL[[#This Row],[ECART.Total_vente]]/RAPPORT_FINAL[[#This Row],[ECART.Quantite]],0)</f>
        <v>25000</v>
      </c>
      <c r="AE255" s="92">
        <f>IFERROR(RAPPORT_FINAL[[#This Row],[ECART.Quantite]]*RAPPORT_FINAL[[#This Row],[INVENTAIRE.Prix_vente]],"")</f>
        <v>25000</v>
      </c>
    </row>
    <row r="256" spans="1:31" hidden="1" x14ac:dyDescent="0.25">
      <c r="A256" s="83" t="s">
        <v>163</v>
      </c>
      <c r="B256" s="3" t="s">
        <v>76</v>
      </c>
      <c r="C256" s="80" t="s">
        <v>283</v>
      </c>
      <c r="D256" s="3" t="s">
        <v>50</v>
      </c>
      <c r="E256" s="31" t="s">
        <v>97</v>
      </c>
      <c r="F256" s="85" t="str" cm="1">
        <f t="array" ref="F25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56" s="80" t="str" cm="1">
        <f t="array" ref="G25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56" s="80" t="str">
        <f>IF(RAPPORT_FINAL[[#This Row],[INVENTAIRE_PREC.Prix_vente]]="","",RAPPORT_FINAL[[#This Row],[INVENTAIRE_PREC.Quantite]]*RAPPORT_FINAL[[#This Row],[INVENTAIRE_PREC.Prix_cout]])</f>
        <v/>
      </c>
      <c r="I256" s="83" t="str" cm="1">
        <f t="array" ref="I25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56" s="88" t="str">
        <f>IF(RAPPORT_FINAL[[#This Row],[INVENTAIRE_PREC.Prix_vente]]="","",RAPPORT_FINAL[[#This Row],[INVENTAIRE_PREC.Quantite]]*RAPPORT_FINAL[[#This Row],[INVENTAIRE_PREC.Prix_vente]])</f>
        <v/>
      </c>
      <c r="K256" s="24"/>
      <c r="L256" s="11"/>
      <c r="M256" s="25"/>
      <c r="N256" s="24"/>
      <c r="O256" s="11"/>
      <c r="P256" s="25"/>
      <c r="Q256" s="85">
        <v>2</v>
      </c>
      <c r="R256" s="80" cm="1">
        <f t="array" ref="R25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333.33</v>
      </c>
      <c r="S256" s="80">
        <f>RAPPORT_FINAL[[#This Row],[INVENTAIRE.Quantite]]*RAPPORT_FINAL[[#This Row],[INVENTAIRE.Prix_cout]]</f>
        <v>666.66</v>
      </c>
      <c r="T256" s="83" cm="1">
        <f t="array" ref="T25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256" s="88">
        <f>IF(OR(RAPPORT_FINAL[[#This Row],[INVENTAIRE.Quantite]]="",RAPPORT_FINAL[[#This Row],[INVENTAIRE.Prix_vente]]=""),"",RAPPORT_FINAL[[#This Row],[INVENTAIRE.Quantite]]*RAPPORT_FINAL[[#This Row],[INVENTAIRE.Prix_vente]])</f>
        <v>1600</v>
      </c>
      <c r="V25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56" s="24">
        <f>RAPPORT_FINAL[[#This Row],[INVENTAIRE.Prix_cout]]</f>
        <v>333.33</v>
      </c>
      <c r="X256" s="85">
        <f>RAPPORT_FINAL[[#This Row],[INVENTAIRE_THEORIQUE]]*RAPPORT_FINAL[[#This Row],[INVENTAIRE_THEORIQUE.Prix_cout]]</f>
        <v>0</v>
      </c>
      <c r="Y256" s="85">
        <f>RAPPORT_FINAL[[#This Row],[INVENTAIRE.Prix_vente]]</f>
        <v>800</v>
      </c>
      <c r="Z256" s="85">
        <f>RAPPORT_FINAL[[#This Row],[INVENTAIRE_THEORIQUE]]*RAPPORT_FINAL[[#This Row],[INVENTAIRE_THEORIQUE.Prix_vente]]</f>
        <v>0</v>
      </c>
      <c r="AA256" s="85">
        <f>RAPPORT_FINAL[[#This Row],[INVENTAIRE.Quantite]]-RAPPORT_FINAL[[#This Row],[INVENTAIRE_THEORIQUE]]</f>
        <v>2</v>
      </c>
      <c r="AB256" s="90">
        <f>IFERROR(RAPPORT_FINAL[[#This Row],[ECART.Total_cout]]/RAPPORT_FINAL[[#This Row],[ECART.Quantite]],0)</f>
        <v>333.33</v>
      </c>
      <c r="AC256" s="91">
        <f>IFERROR(RAPPORT_FINAL[[#This Row],[ECART.Quantite]]*RAPPORT_FINAL[[#This Row],[INVENTAIRE.Prix_cout]],"")</f>
        <v>666.66</v>
      </c>
      <c r="AD256" s="83">
        <f>IFERROR(RAPPORT_FINAL[[#This Row],[ECART.Total_vente]]/RAPPORT_FINAL[[#This Row],[ECART.Quantite]],0)</f>
        <v>800</v>
      </c>
      <c r="AE256" s="92">
        <f>IFERROR(RAPPORT_FINAL[[#This Row],[ECART.Quantite]]*RAPPORT_FINAL[[#This Row],[INVENTAIRE.Prix_vente]],"")</f>
        <v>1600</v>
      </c>
    </row>
    <row r="257" spans="1:31" hidden="1" x14ac:dyDescent="0.25">
      <c r="A257" s="83" t="s">
        <v>163</v>
      </c>
      <c r="B257" s="3" t="s">
        <v>76</v>
      </c>
      <c r="C257" s="80" t="s">
        <v>283</v>
      </c>
      <c r="D257" s="3" t="s">
        <v>57</v>
      </c>
      <c r="E257" s="31" t="s">
        <v>97</v>
      </c>
      <c r="F257" s="85" t="str" cm="1">
        <f t="array" ref="F25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57" s="80" t="str" cm="1">
        <f t="array" ref="G25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57" s="80" t="str">
        <f>IF(RAPPORT_FINAL[[#This Row],[INVENTAIRE_PREC.Prix_vente]]="","",RAPPORT_FINAL[[#This Row],[INVENTAIRE_PREC.Quantite]]*RAPPORT_FINAL[[#This Row],[INVENTAIRE_PREC.Prix_cout]])</f>
        <v/>
      </c>
      <c r="I257" s="83" t="str" cm="1">
        <f t="array" ref="I25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57" s="88" t="str">
        <f>IF(RAPPORT_FINAL[[#This Row],[INVENTAIRE_PREC.Prix_vente]]="","",RAPPORT_FINAL[[#This Row],[INVENTAIRE_PREC.Quantite]]*RAPPORT_FINAL[[#This Row],[INVENTAIRE_PREC.Prix_vente]])</f>
        <v/>
      </c>
      <c r="K257" s="24"/>
      <c r="L257" s="11"/>
      <c r="M257" s="25"/>
      <c r="N257" s="24"/>
      <c r="O257" s="11"/>
      <c r="P257" s="25"/>
      <c r="Q257" s="85">
        <v>1</v>
      </c>
      <c r="R257" s="80" cm="1">
        <f t="array" ref="R25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17375</v>
      </c>
      <c r="S257" s="80">
        <f>RAPPORT_FINAL[[#This Row],[INVENTAIRE.Quantite]]*RAPPORT_FINAL[[#This Row],[INVENTAIRE.Prix_cout]]</f>
        <v>17375</v>
      </c>
      <c r="T257" s="83" cm="1">
        <f t="array" ref="T25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25000</v>
      </c>
      <c r="U257" s="88">
        <f>IF(OR(RAPPORT_FINAL[[#This Row],[INVENTAIRE.Quantite]]="",RAPPORT_FINAL[[#This Row],[INVENTAIRE.Prix_vente]]=""),"",RAPPORT_FINAL[[#This Row],[INVENTAIRE.Quantite]]*RAPPORT_FINAL[[#This Row],[INVENTAIRE.Prix_vente]])</f>
        <v>25000</v>
      </c>
      <c r="V25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57" s="24">
        <f>RAPPORT_FINAL[[#This Row],[INVENTAIRE.Prix_cout]]</f>
        <v>17375</v>
      </c>
      <c r="X257" s="85">
        <f>RAPPORT_FINAL[[#This Row],[INVENTAIRE_THEORIQUE]]*RAPPORT_FINAL[[#This Row],[INVENTAIRE_THEORIQUE.Prix_cout]]</f>
        <v>0</v>
      </c>
      <c r="Y257" s="85">
        <f>RAPPORT_FINAL[[#This Row],[INVENTAIRE.Prix_vente]]</f>
        <v>25000</v>
      </c>
      <c r="Z257" s="85">
        <f>RAPPORT_FINAL[[#This Row],[INVENTAIRE_THEORIQUE]]*RAPPORT_FINAL[[#This Row],[INVENTAIRE_THEORIQUE.Prix_vente]]</f>
        <v>0</v>
      </c>
      <c r="AA257" s="85">
        <f>RAPPORT_FINAL[[#This Row],[INVENTAIRE.Quantite]]-RAPPORT_FINAL[[#This Row],[INVENTAIRE_THEORIQUE]]</f>
        <v>1</v>
      </c>
      <c r="AB257" s="90">
        <f>IFERROR(RAPPORT_FINAL[[#This Row],[ECART.Total_cout]]/RAPPORT_FINAL[[#This Row],[ECART.Quantite]],0)</f>
        <v>17375</v>
      </c>
      <c r="AC257" s="91">
        <f>IFERROR(RAPPORT_FINAL[[#This Row],[ECART.Quantite]]*RAPPORT_FINAL[[#This Row],[INVENTAIRE.Prix_cout]],"")</f>
        <v>17375</v>
      </c>
      <c r="AD257" s="83">
        <f>IFERROR(RAPPORT_FINAL[[#This Row],[ECART.Total_vente]]/RAPPORT_FINAL[[#This Row],[ECART.Quantite]],0)</f>
        <v>25000</v>
      </c>
      <c r="AE257" s="92">
        <f>IFERROR(RAPPORT_FINAL[[#This Row],[ECART.Quantite]]*RAPPORT_FINAL[[#This Row],[INVENTAIRE.Prix_vente]],"")</f>
        <v>25000</v>
      </c>
    </row>
    <row r="258" spans="1:31" hidden="1" x14ac:dyDescent="0.25">
      <c r="A258" s="83" t="s">
        <v>163</v>
      </c>
      <c r="B258" s="3" t="s">
        <v>76</v>
      </c>
      <c r="C258" s="80" t="s">
        <v>283</v>
      </c>
      <c r="D258" s="3" t="s">
        <v>48</v>
      </c>
      <c r="E258" s="31" t="s">
        <v>97</v>
      </c>
      <c r="F258" s="85" t="str" cm="1">
        <f t="array" ref="F25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58" s="80" t="str" cm="1">
        <f t="array" ref="G25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58" s="80" t="str">
        <f>IF(RAPPORT_FINAL[[#This Row],[INVENTAIRE_PREC.Prix_vente]]="","",RAPPORT_FINAL[[#This Row],[INVENTAIRE_PREC.Quantite]]*RAPPORT_FINAL[[#This Row],[INVENTAIRE_PREC.Prix_cout]])</f>
        <v/>
      </c>
      <c r="I258" s="83" t="str" cm="1">
        <f t="array" ref="I25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58" s="88" t="str">
        <f>IF(RAPPORT_FINAL[[#This Row],[INVENTAIRE_PREC.Prix_vente]]="","",RAPPORT_FINAL[[#This Row],[INVENTAIRE_PREC.Quantite]]*RAPPORT_FINAL[[#This Row],[INVENTAIRE_PREC.Prix_vente]])</f>
        <v/>
      </c>
      <c r="K258" s="24"/>
      <c r="L258" s="11"/>
      <c r="M258" s="25"/>
      <c r="N258" s="24"/>
      <c r="O258" s="11"/>
      <c r="P258" s="25"/>
      <c r="Q258" s="85">
        <v>4</v>
      </c>
      <c r="R258" s="80" cm="1">
        <f t="array" ref="R25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291.67</v>
      </c>
      <c r="S258" s="80">
        <f>RAPPORT_FINAL[[#This Row],[INVENTAIRE.Quantite]]*RAPPORT_FINAL[[#This Row],[INVENTAIRE.Prix_cout]]</f>
        <v>1166.68</v>
      </c>
      <c r="T258" s="83" cm="1">
        <f t="array" ref="T25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258" s="88">
        <f>IF(OR(RAPPORT_FINAL[[#This Row],[INVENTAIRE.Quantite]]="",RAPPORT_FINAL[[#This Row],[INVENTAIRE.Prix_vente]]=""),"",RAPPORT_FINAL[[#This Row],[INVENTAIRE.Quantite]]*RAPPORT_FINAL[[#This Row],[INVENTAIRE.Prix_vente]])</f>
        <v>3200</v>
      </c>
      <c r="V25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58" s="24">
        <f>RAPPORT_FINAL[[#This Row],[INVENTAIRE.Prix_cout]]</f>
        <v>291.67</v>
      </c>
      <c r="X258" s="85">
        <f>RAPPORT_FINAL[[#This Row],[INVENTAIRE_THEORIQUE]]*RAPPORT_FINAL[[#This Row],[INVENTAIRE_THEORIQUE.Prix_cout]]</f>
        <v>0</v>
      </c>
      <c r="Y258" s="85">
        <f>RAPPORT_FINAL[[#This Row],[INVENTAIRE.Prix_vente]]</f>
        <v>800</v>
      </c>
      <c r="Z258" s="85">
        <f>RAPPORT_FINAL[[#This Row],[INVENTAIRE_THEORIQUE]]*RAPPORT_FINAL[[#This Row],[INVENTAIRE_THEORIQUE.Prix_vente]]</f>
        <v>0</v>
      </c>
      <c r="AA258" s="85">
        <f>RAPPORT_FINAL[[#This Row],[INVENTAIRE.Quantite]]-RAPPORT_FINAL[[#This Row],[INVENTAIRE_THEORIQUE]]</f>
        <v>4</v>
      </c>
      <c r="AB258" s="90">
        <f>IFERROR(RAPPORT_FINAL[[#This Row],[ECART.Total_cout]]/RAPPORT_FINAL[[#This Row],[ECART.Quantite]],0)</f>
        <v>291.67</v>
      </c>
      <c r="AC258" s="91">
        <f>IFERROR(RAPPORT_FINAL[[#This Row],[ECART.Quantite]]*RAPPORT_FINAL[[#This Row],[INVENTAIRE.Prix_cout]],"")</f>
        <v>1166.68</v>
      </c>
      <c r="AD258" s="83">
        <f>IFERROR(RAPPORT_FINAL[[#This Row],[ECART.Total_vente]]/RAPPORT_FINAL[[#This Row],[ECART.Quantite]],0)</f>
        <v>800</v>
      </c>
      <c r="AE258" s="92">
        <f>IFERROR(RAPPORT_FINAL[[#This Row],[ECART.Quantite]]*RAPPORT_FINAL[[#This Row],[INVENTAIRE.Prix_vente]],"")</f>
        <v>3200</v>
      </c>
    </row>
    <row r="259" spans="1:31" hidden="1" x14ac:dyDescent="0.25">
      <c r="A259" s="83" t="s">
        <v>163</v>
      </c>
      <c r="B259" s="3" t="s">
        <v>76</v>
      </c>
      <c r="C259" s="80" t="s">
        <v>283</v>
      </c>
      <c r="D259" s="3" t="s">
        <v>52</v>
      </c>
      <c r="E259" s="31" t="s">
        <v>97</v>
      </c>
      <c r="F259" s="85" t="str" cm="1">
        <f t="array" ref="F25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59" s="80" t="str" cm="1">
        <f t="array" ref="G25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59" s="80" t="str">
        <f>IF(RAPPORT_FINAL[[#This Row],[INVENTAIRE_PREC.Prix_vente]]="","",RAPPORT_FINAL[[#This Row],[INVENTAIRE_PREC.Quantite]]*RAPPORT_FINAL[[#This Row],[INVENTAIRE_PREC.Prix_cout]])</f>
        <v/>
      </c>
      <c r="I259" s="83" t="str" cm="1">
        <f t="array" ref="I25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59" s="88" t="str">
        <f>IF(RAPPORT_FINAL[[#This Row],[INVENTAIRE_PREC.Prix_vente]]="","",RAPPORT_FINAL[[#This Row],[INVENTAIRE_PREC.Quantite]]*RAPPORT_FINAL[[#This Row],[INVENTAIRE_PREC.Prix_vente]])</f>
        <v/>
      </c>
      <c r="K259" s="24"/>
      <c r="L259" s="11"/>
      <c r="M259" s="25"/>
      <c r="N259" s="24"/>
      <c r="O259" s="11"/>
      <c r="P259" s="25"/>
      <c r="Q259" s="85">
        <v>2</v>
      </c>
      <c r="R259" s="80" cm="1">
        <f t="array" ref="R25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416.67</v>
      </c>
      <c r="S259" s="80">
        <f>RAPPORT_FINAL[[#This Row],[INVENTAIRE.Quantite]]*RAPPORT_FINAL[[#This Row],[INVENTAIRE.Prix_cout]]</f>
        <v>833.34</v>
      </c>
      <c r="T259" s="83" cm="1">
        <f t="array" ref="T25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259" s="88">
        <f>IF(OR(RAPPORT_FINAL[[#This Row],[INVENTAIRE.Quantite]]="",RAPPORT_FINAL[[#This Row],[INVENTAIRE.Prix_vente]]=""),"",RAPPORT_FINAL[[#This Row],[INVENTAIRE.Quantite]]*RAPPORT_FINAL[[#This Row],[INVENTAIRE.Prix_vente]])</f>
        <v>1600</v>
      </c>
      <c r="V25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59" s="24">
        <f>RAPPORT_FINAL[[#This Row],[INVENTAIRE.Prix_cout]]</f>
        <v>416.67</v>
      </c>
      <c r="X259" s="85">
        <f>RAPPORT_FINAL[[#This Row],[INVENTAIRE_THEORIQUE]]*RAPPORT_FINAL[[#This Row],[INVENTAIRE_THEORIQUE.Prix_cout]]</f>
        <v>0</v>
      </c>
      <c r="Y259" s="85">
        <f>RAPPORT_FINAL[[#This Row],[INVENTAIRE.Prix_vente]]</f>
        <v>800</v>
      </c>
      <c r="Z259" s="85">
        <f>RAPPORT_FINAL[[#This Row],[INVENTAIRE_THEORIQUE]]*RAPPORT_FINAL[[#This Row],[INVENTAIRE_THEORIQUE.Prix_vente]]</f>
        <v>0</v>
      </c>
      <c r="AA259" s="85">
        <f>RAPPORT_FINAL[[#This Row],[INVENTAIRE.Quantite]]-RAPPORT_FINAL[[#This Row],[INVENTAIRE_THEORIQUE]]</f>
        <v>2</v>
      </c>
      <c r="AB259" s="90">
        <f>IFERROR(RAPPORT_FINAL[[#This Row],[ECART.Total_cout]]/RAPPORT_FINAL[[#This Row],[ECART.Quantite]],0)</f>
        <v>416.67</v>
      </c>
      <c r="AC259" s="91">
        <f>IFERROR(RAPPORT_FINAL[[#This Row],[ECART.Quantite]]*RAPPORT_FINAL[[#This Row],[INVENTAIRE.Prix_cout]],"")</f>
        <v>833.34</v>
      </c>
      <c r="AD259" s="83">
        <f>IFERROR(RAPPORT_FINAL[[#This Row],[ECART.Total_vente]]/RAPPORT_FINAL[[#This Row],[ECART.Quantite]],0)</f>
        <v>800</v>
      </c>
      <c r="AE259" s="92">
        <f>IFERROR(RAPPORT_FINAL[[#This Row],[ECART.Quantite]]*RAPPORT_FINAL[[#This Row],[INVENTAIRE.Prix_vente]],"")</f>
        <v>1600</v>
      </c>
    </row>
    <row r="260" spans="1:31" hidden="1" x14ac:dyDescent="0.25">
      <c r="A260" s="83" t="s">
        <v>163</v>
      </c>
      <c r="B260" s="3" t="s">
        <v>76</v>
      </c>
      <c r="C260" s="80" t="s">
        <v>283</v>
      </c>
      <c r="D260" s="3" t="s">
        <v>84</v>
      </c>
      <c r="E260" s="31" t="s">
        <v>97</v>
      </c>
      <c r="F260" s="85" t="str" cm="1">
        <f t="array" ref="F26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60" s="80" t="str" cm="1">
        <f t="array" ref="G26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60" s="80" t="str">
        <f>IF(RAPPORT_FINAL[[#This Row],[INVENTAIRE_PREC.Prix_vente]]="","",RAPPORT_FINAL[[#This Row],[INVENTAIRE_PREC.Quantite]]*RAPPORT_FINAL[[#This Row],[INVENTAIRE_PREC.Prix_cout]])</f>
        <v/>
      </c>
      <c r="I260" s="83" t="str" cm="1">
        <f t="array" ref="I26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60" s="88" t="str">
        <f>IF(RAPPORT_FINAL[[#This Row],[INVENTAIRE_PREC.Prix_vente]]="","",RAPPORT_FINAL[[#This Row],[INVENTAIRE_PREC.Quantite]]*RAPPORT_FINAL[[#This Row],[INVENTAIRE_PREC.Prix_vente]])</f>
        <v/>
      </c>
      <c r="K260" s="24"/>
      <c r="L260" s="11"/>
      <c r="M260" s="25"/>
      <c r="N260" s="24"/>
      <c r="O260" s="11"/>
      <c r="P260" s="25"/>
      <c r="Q260" s="85">
        <v>3</v>
      </c>
      <c r="R260" s="80" cm="1">
        <f t="array" ref="R26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3000</v>
      </c>
      <c r="S260" s="80">
        <f>RAPPORT_FINAL[[#This Row],[INVENTAIRE.Quantite]]*RAPPORT_FINAL[[#This Row],[INVENTAIRE.Prix_cout]]</f>
        <v>9000</v>
      </c>
      <c r="T260" s="83" cm="1">
        <f t="array" ref="T26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7000</v>
      </c>
      <c r="U260" s="88">
        <f>IF(OR(RAPPORT_FINAL[[#This Row],[INVENTAIRE.Quantite]]="",RAPPORT_FINAL[[#This Row],[INVENTAIRE.Prix_vente]]=""),"",RAPPORT_FINAL[[#This Row],[INVENTAIRE.Quantite]]*RAPPORT_FINAL[[#This Row],[INVENTAIRE.Prix_vente]])</f>
        <v>21000</v>
      </c>
      <c r="V26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60" s="24">
        <f>RAPPORT_FINAL[[#This Row],[INVENTAIRE.Prix_cout]]</f>
        <v>3000</v>
      </c>
      <c r="X260" s="85">
        <f>RAPPORT_FINAL[[#This Row],[INVENTAIRE_THEORIQUE]]*RAPPORT_FINAL[[#This Row],[INVENTAIRE_THEORIQUE.Prix_cout]]</f>
        <v>0</v>
      </c>
      <c r="Y260" s="85">
        <f>RAPPORT_FINAL[[#This Row],[INVENTAIRE.Prix_vente]]</f>
        <v>7000</v>
      </c>
      <c r="Z260" s="85">
        <f>RAPPORT_FINAL[[#This Row],[INVENTAIRE_THEORIQUE]]*RAPPORT_FINAL[[#This Row],[INVENTAIRE_THEORIQUE.Prix_vente]]</f>
        <v>0</v>
      </c>
      <c r="AA260" s="85">
        <f>RAPPORT_FINAL[[#This Row],[INVENTAIRE.Quantite]]-RAPPORT_FINAL[[#This Row],[INVENTAIRE_THEORIQUE]]</f>
        <v>3</v>
      </c>
      <c r="AB260" s="90">
        <f>IFERROR(RAPPORT_FINAL[[#This Row],[ECART.Total_cout]]/RAPPORT_FINAL[[#This Row],[ECART.Quantite]],0)</f>
        <v>3000</v>
      </c>
      <c r="AC260" s="91">
        <f>IFERROR(RAPPORT_FINAL[[#This Row],[ECART.Quantite]]*RAPPORT_FINAL[[#This Row],[INVENTAIRE.Prix_cout]],"")</f>
        <v>9000</v>
      </c>
      <c r="AD260" s="83">
        <f>IFERROR(RAPPORT_FINAL[[#This Row],[ECART.Total_vente]]/RAPPORT_FINAL[[#This Row],[ECART.Quantite]],0)</f>
        <v>7000</v>
      </c>
      <c r="AE260" s="92">
        <f>IFERROR(RAPPORT_FINAL[[#This Row],[ECART.Quantite]]*RAPPORT_FINAL[[#This Row],[INVENTAIRE.Prix_vente]],"")</f>
        <v>21000</v>
      </c>
    </row>
    <row r="261" spans="1:31" hidden="1" x14ac:dyDescent="0.25">
      <c r="A261" s="83" t="s">
        <v>163</v>
      </c>
      <c r="B261" s="3" t="s">
        <v>76</v>
      </c>
      <c r="C261" s="80" t="s">
        <v>283</v>
      </c>
      <c r="D261" s="3" t="s">
        <v>56</v>
      </c>
      <c r="E261" s="31" t="s">
        <v>97</v>
      </c>
      <c r="F261" s="85" t="str" cm="1">
        <f t="array" ref="F26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61" s="80" t="str" cm="1">
        <f t="array" ref="G26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61" s="80" t="str">
        <f>IF(RAPPORT_FINAL[[#This Row],[INVENTAIRE_PREC.Prix_vente]]="","",RAPPORT_FINAL[[#This Row],[INVENTAIRE_PREC.Quantite]]*RAPPORT_FINAL[[#This Row],[INVENTAIRE_PREC.Prix_cout]])</f>
        <v/>
      </c>
      <c r="I261" s="83" t="str" cm="1">
        <f t="array" ref="I26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61" s="88" t="str">
        <f>IF(RAPPORT_FINAL[[#This Row],[INVENTAIRE_PREC.Prix_vente]]="","",RAPPORT_FINAL[[#This Row],[INVENTAIRE_PREC.Quantite]]*RAPPORT_FINAL[[#This Row],[INVENTAIRE_PREC.Prix_vente]])</f>
        <v/>
      </c>
      <c r="K261" s="24"/>
      <c r="L261" s="11"/>
      <c r="M261" s="25"/>
      <c r="N261" s="24"/>
      <c r="O261" s="11"/>
      <c r="P261" s="25"/>
      <c r="Q261" s="85">
        <v>1</v>
      </c>
      <c r="R261" s="80" cm="1">
        <f t="array" ref="R26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9200</v>
      </c>
      <c r="S261" s="80">
        <f>RAPPORT_FINAL[[#This Row],[INVENTAIRE.Quantite]]*RAPPORT_FINAL[[#This Row],[INVENTAIRE.Prix_cout]]</f>
        <v>9200</v>
      </c>
      <c r="T261" s="83" cm="1">
        <f t="array" ref="T26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15000</v>
      </c>
      <c r="U261" s="88">
        <f>IF(OR(RAPPORT_FINAL[[#This Row],[INVENTAIRE.Quantite]]="",RAPPORT_FINAL[[#This Row],[INVENTAIRE.Prix_vente]]=""),"",RAPPORT_FINAL[[#This Row],[INVENTAIRE.Quantite]]*RAPPORT_FINAL[[#This Row],[INVENTAIRE.Prix_vente]])</f>
        <v>15000</v>
      </c>
      <c r="V26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61" s="24">
        <f>RAPPORT_FINAL[[#This Row],[INVENTAIRE.Prix_cout]]</f>
        <v>9200</v>
      </c>
      <c r="X261" s="85">
        <f>RAPPORT_FINAL[[#This Row],[INVENTAIRE_THEORIQUE]]*RAPPORT_FINAL[[#This Row],[INVENTAIRE_THEORIQUE.Prix_cout]]</f>
        <v>0</v>
      </c>
      <c r="Y261" s="85">
        <f>RAPPORT_FINAL[[#This Row],[INVENTAIRE.Prix_vente]]</f>
        <v>15000</v>
      </c>
      <c r="Z261" s="85">
        <f>RAPPORT_FINAL[[#This Row],[INVENTAIRE_THEORIQUE]]*RAPPORT_FINAL[[#This Row],[INVENTAIRE_THEORIQUE.Prix_vente]]</f>
        <v>0</v>
      </c>
      <c r="AA261" s="85">
        <f>RAPPORT_FINAL[[#This Row],[INVENTAIRE.Quantite]]-RAPPORT_FINAL[[#This Row],[INVENTAIRE_THEORIQUE]]</f>
        <v>1</v>
      </c>
      <c r="AB261" s="90">
        <f>IFERROR(RAPPORT_FINAL[[#This Row],[ECART.Total_cout]]/RAPPORT_FINAL[[#This Row],[ECART.Quantite]],0)</f>
        <v>9200</v>
      </c>
      <c r="AC261" s="91">
        <f>IFERROR(RAPPORT_FINAL[[#This Row],[ECART.Quantite]]*RAPPORT_FINAL[[#This Row],[INVENTAIRE.Prix_cout]],"")</f>
        <v>9200</v>
      </c>
      <c r="AD261" s="83">
        <f>IFERROR(RAPPORT_FINAL[[#This Row],[ECART.Total_vente]]/RAPPORT_FINAL[[#This Row],[ECART.Quantite]],0)</f>
        <v>15000</v>
      </c>
      <c r="AE261" s="92">
        <f>IFERROR(RAPPORT_FINAL[[#This Row],[ECART.Quantite]]*RAPPORT_FINAL[[#This Row],[INVENTAIRE.Prix_vente]],"")</f>
        <v>15000</v>
      </c>
    </row>
    <row r="262" spans="1:31" hidden="1" x14ac:dyDescent="0.25">
      <c r="A262" s="83" t="s">
        <v>163</v>
      </c>
      <c r="B262" s="3" t="s">
        <v>76</v>
      </c>
      <c r="C262" s="80" t="s">
        <v>283</v>
      </c>
      <c r="D262" s="3" t="s">
        <v>51</v>
      </c>
      <c r="E262" s="31" t="s">
        <v>97</v>
      </c>
      <c r="F262" s="85" t="str" cm="1">
        <f t="array" ref="F26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62" s="80" t="str" cm="1">
        <f t="array" ref="G26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62" s="80" t="str">
        <f>IF(RAPPORT_FINAL[[#This Row],[INVENTAIRE_PREC.Prix_vente]]="","",RAPPORT_FINAL[[#This Row],[INVENTAIRE_PREC.Quantite]]*RAPPORT_FINAL[[#This Row],[INVENTAIRE_PREC.Prix_cout]])</f>
        <v/>
      </c>
      <c r="I262" s="83" t="str" cm="1">
        <f t="array" ref="I26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62" s="88" t="str">
        <f>IF(RAPPORT_FINAL[[#This Row],[INVENTAIRE_PREC.Prix_vente]]="","",RAPPORT_FINAL[[#This Row],[INVENTAIRE_PREC.Quantite]]*RAPPORT_FINAL[[#This Row],[INVENTAIRE_PREC.Prix_vente]])</f>
        <v/>
      </c>
      <c r="K262" s="24"/>
      <c r="L262" s="11"/>
      <c r="M262" s="25"/>
      <c r="N262" s="24"/>
      <c r="O262" s="11"/>
      <c r="P262" s="25"/>
      <c r="Q262" s="85">
        <v>4</v>
      </c>
      <c r="R262" s="80" cm="1">
        <f t="array" ref="R26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416.67</v>
      </c>
      <c r="S262" s="80">
        <f>RAPPORT_FINAL[[#This Row],[INVENTAIRE.Quantite]]*RAPPORT_FINAL[[#This Row],[INVENTAIRE.Prix_cout]]</f>
        <v>1666.68</v>
      </c>
      <c r="T262" s="83" cm="1">
        <f t="array" ref="T26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262" s="88">
        <f>IF(OR(RAPPORT_FINAL[[#This Row],[INVENTAIRE.Quantite]]="",RAPPORT_FINAL[[#This Row],[INVENTAIRE.Prix_vente]]=""),"",RAPPORT_FINAL[[#This Row],[INVENTAIRE.Quantite]]*RAPPORT_FINAL[[#This Row],[INVENTAIRE.Prix_vente]])</f>
        <v>3200</v>
      </c>
      <c r="V26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62" s="24">
        <f>RAPPORT_FINAL[[#This Row],[INVENTAIRE.Prix_cout]]</f>
        <v>416.67</v>
      </c>
      <c r="X262" s="85">
        <f>RAPPORT_FINAL[[#This Row],[INVENTAIRE_THEORIQUE]]*RAPPORT_FINAL[[#This Row],[INVENTAIRE_THEORIQUE.Prix_cout]]</f>
        <v>0</v>
      </c>
      <c r="Y262" s="85">
        <f>RAPPORT_FINAL[[#This Row],[INVENTAIRE.Prix_vente]]</f>
        <v>800</v>
      </c>
      <c r="Z262" s="85">
        <f>RAPPORT_FINAL[[#This Row],[INVENTAIRE_THEORIQUE]]*RAPPORT_FINAL[[#This Row],[INVENTAIRE_THEORIQUE.Prix_vente]]</f>
        <v>0</v>
      </c>
      <c r="AA262" s="85">
        <f>RAPPORT_FINAL[[#This Row],[INVENTAIRE.Quantite]]-RAPPORT_FINAL[[#This Row],[INVENTAIRE_THEORIQUE]]</f>
        <v>4</v>
      </c>
      <c r="AB262" s="90">
        <f>IFERROR(RAPPORT_FINAL[[#This Row],[ECART.Total_cout]]/RAPPORT_FINAL[[#This Row],[ECART.Quantite]],0)</f>
        <v>416.67</v>
      </c>
      <c r="AC262" s="91">
        <f>IFERROR(RAPPORT_FINAL[[#This Row],[ECART.Quantite]]*RAPPORT_FINAL[[#This Row],[INVENTAIRE.Prix_cout]],"")</f>
        <v>1666.68</v>
      </c>
      <c r="AD262" s="83">
        <f>IFERROR(RAPPORT_FINAL[[#This Row],[ECART.Total_vente]]/RAPPORT_FINAL[[#This Row],[ECART.Quantite]],0)</f>
        <v>800</v>
      </c>
      <c r="AE262" s="92">
        <f>IFERROR(RAPPORT_FINAL[[#This Row],[ECART.Quantite]]*RAPPORT_FINAL[[#This Row],[INVENTAIRE.Prix_vente]],"")</f>
        <v>3200</v>
      </c>
    </row>
    <row r="263" spans="1:31" hidden="1" x14ac:dyDescent="0.25">
      <c r="A263" s="83" t="s">
        <v>163</v>
      </c>
      <c r="B263" s="3" t="s">
        <v>76</v>
      </c>
      <c r="C263" s="80" t="s">
        <v>283</v>
      </c>
      <c r="D263" s="3" t="s">
        <v>82</v>
      </c>
      <c r="E263" s="31" t="s">
        <v>97</v>
      </c>
      <c r="F263" s="85" t="str" cm="1">
        <f t="array" ref="F26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63" s="80" t="str" cm="1">
        <f t="array" ref="G26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63" s="80" t="str">
        <f>IF(RAPPORT_FINAL[[#This Row],[INVENTAIRE_PREC.Prix_vente]]="","",RAPPORT_FINAL[[#This Row],[INVENTAIRE_PREC.Quantite]]*RAPPORT_FINAL[[#This Row],[INVENTAIRE_PREC.Prix_cout]])</f>
        <v/>
      </c>
      <c r="I263" s="83" t="str" cm="1">
        <f t="array" ref="I26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63" s="88" t="str">
        <f>IF(RAPPORT_FINAL[[#This Row],[INVENTAIRE_PREC.Prix_vente]]="","",RAPPORT_FINAL[[#This Row],[INVENTAIRE_PREC.Quantite]]*RAPPORT_FINAL[[#This Row],[INVENTAIRE_PREC.Prix_vente]])</f>
        <v/>
      </c>
      <c r="K263" s="24"/>
      <c r="L263" s="11"/>
      <c r="M263" s="25"/>
      <c r="N263" s="24"/>
      <c r="O263" s="11"/>
      <c r="P263" s="25"/>
      <c r="Q263" s="85">
        <v>1</v>
      </c>
      <c r="R263" s="80" cm="1">
        <f t="array" ref="R26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6800</v>
      </c>
      <c r="S263" s="80">
        <f>RAPPORT_FINAL[[#This Row],[INVENTAIRE.Quantite]]*RAPPORT_FINAL[[#This Row],[INVENTAIRE.Prix_cout]]</f>
        <v>6800</v>
      </c>
      <c r="T263" s="83" cm="1">
        <f t="array" ref="T26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10000</v>
      </c>
      <c r="U263" s="88">
        <f>IF(OR(RAPPORT_FINAL[[#This Row],[INVENTAIRE.Quantite]]="",RAPPORT_FINAL[[#This Row],[INVENTAIRE.Prix_vente]]=""),"",RAPPORT_FINAL[[#This Row],[INVENTAIRE.Quantite]]*RAPPORT_FINAL[[#This Row],[INVENTAIRE.Prix_vente]])</f>
        <v>10000</v>
      </c>
      <c r="V26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63" s="24">
        <f>RAPPORT_FINAL[[#This Row],[INVENTAIRE.Prix_cout]]</f>
        <v>6800</v>
      </c>
      <c r="X263" s="85">
        <f>RAPPORT_FINAL[[#This Row],[INVENTAIRE_THEORIQUE]]*RAPPORT_FINAL[[#This Row],[INVENTAIRE_THEORIQUE.Prix_cout]]</f>
        <v>0</v>
      </c>
      <c r="Y263" s="85">
        <f>RAPPORT_FINAL[[#This Row],[INVENTAIRE.Prix_vente]]</f>
        <v>10000</v>
      </c>
      <c r="Z263" s="85">
        <f>RAPPORT_FINAL[[#This Row],[INVENTAIRE_THEORIQUE]]*RAPPORT_FINAL[[#This Row],[INVENTAIRE_THEORIQUE.Prix_vente]]</f>
        <v>0</v>
      </c>
      <c r="AA263" s="85">
        <f>RAPPORT_FINAL[[#This Row],[INVENTAIRE.Quantite]]-RAPPORT_FINAL[[#This Row],[INVENTAIRE_THEORIQUE]]</f>
        <v>1</v>
      </c>
      <c r="AB263" s="90">
        <f>IFERROR(RAPPORT_FINAL[[#This Row],[ECART.Total_cout]]/RAPPORT_FINAL[[#This Row],[ECART.Quantite]],0)</f>
        <v>6800</v>
      </c>
      <c r="AC263" s="91">
        <f>IFERROR(RAPPORT_FINAL[[#This Row],[ECART.Quantite]]*RAPPORT_FINAL[[#This Row],[INVENTAIRE.Prix_cout]],"")</f>
        <v>6800</v>
      </c>
      <c r="AD263" s="83">
        <f>IFERROR(RAPPORT_FINAL[[#This Row],[ECART.Total_vente]]/RAPPORT_FINAL[[#This Row],[ECART.Quantite]],0)</f>
        <v>10000</v>
      </c>
      <c r="AE263" s="92">
        <f>IFERROR(RAPPORT_FINAL[[#This Row],[ECART.Quantite]]*RAPPORT_FINAL[[#This Row],[INVENTAIRE.Prix_vente]],"")</f>
        <v>10000</v>
      </c>
    </row>
    <row r="264" spans="1:31" x14ac:dyDescent="0.25">
      <c r="A264" s="83" t="s">
        <v>163</v>
      </c>
      <c r="B264" s="3" t="s">
        <v>76</v>
      </c>
      <c r="C264" s="80" t="s">
        <v>283</v>
      </c>
      <c r="D264" s="3" t="s">
        <v>83</v>
      </c>
      <c r="E264" s="31" t="s">
        <v>97</v>
      </c>
      <c r="F264" s="85" t="str" cm="1">
        <f t="array" ref="F26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64" s="80" t="str" cm="1">
        <f t="array" ref="G26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64" s="80" t="str">
        <f>IF(RAPPORT_FINAL[[#This Row],[INVENTAIRE_PREC.Prix_vente]]="","",RAPPORT_FINAL[[#This Row],[INVENTAIRE_PREC.Quantite]]*RAPPORT_FINAL[[#This Row],[INVENTAIRE_PREC.Prix_cout]])</f>
        <v/>
      </c>
      <c r="I264" s="83" t="str" cm="1">
        <f t="array" ref="I26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64" s="88" t="str">
        <f>IF(RAPPORT_FINAL[[#This Row],[INVENTAIRE_PREC.Prix_vente]]="","",RAPPORT_FINAL[[#This Row],[INVENTAIRE_PREC.Quantite]]*RAPPORT_FINAL[[#This Row],[INVENTAIRE_PREC.Prix_vente]])</f>
        <v/>
      </c>
      <c r="K264" s="24"/>
      <c r="L264" s="11"/>
      <c r="M264" s="25"/>
      <c r="N264" s="24"/>
      <c r="O264" s="11"/>
      <c r="P264" s="25"/>
      <c r="Q264" s="85">
        <v>1</v>
      </c>
      <c r="R264" s="80" cm="1">
        <f t="array" ref="R26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264" s="80">
        <f>RAPPORT_FINAL[[#This Row],[INVENTAIRE.Quantite]]*RAPPORT_FINAL[[#This Row],[INVENTAIRE.Prix_cout]]</f>
        <v>0</v>
      </c>
      <c r="T264" s="83" cm="1">
        <f t="array" ref="T26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0</v>
      </c>
      <c r="U264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26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64" s="24">
        <f>RAPPORT_FINAL[[#This Row],[INVENTAIRE.Prix_cout]]</f>
        <v>0</v>
      </c>
      <c r="X264" s="85">
        <f>RAPPORT_FINAL[[#This Row],[INVENTAIRE_THEORIQUE]]*RAPPORT_FINAL[[#This Row],[INVENTAIRE_THEORIQUE.Prix_cout]]</f>
        <v>0</v>
      </c>
      <c r="Y264" s="85">
        <f>RAPPORT_FINAL[[#This Row],[INVENTAIRE.Prix_vente]]</f>
        <v>0</v>
      </c>
      <c r="Z264" s="85">
        <f>RAPPORT_FINAL[[#This Row],[INVENTAIRE_THEORIQUE]]*RAPPORT_FINAL[[#This Row],[INVENTAIRE_THEORIQUE.Prix_vente]]</f>
        <v>0</v>
      </c>
      <c r="AA264" s="85">
        <f>RAPPORT_FINAL[[#This Row],[INVENTAIRE.Quantite]]-RAPPORT_FINAL[[#This Row],[INVENTAIRE_THEORIQUE]]</f>
        <v>1</v>
      </c>
      <c r="AB264" s="90">
        <f>IFERROR(RAPPORT_FINAL[[#This Row],[ECART.Total_cout]]/RAPPORT_FINAL[[#This Row],[ECART.Quantite]],0)</f>
        <v>0</v>
      </c>
      <c r="AC264" s="91">
        <f>IFERROR(RAPPORT_FINAL[[#This Row],[ECART.Quantite]]*RAPPORT_FINAL[[#This Row],[INVENTAIRE.Prix_cout]],"")</f>
        <v>0</v>
      </c>
      <c r="AD264" s="83">
        <f>IFERROR(RAPPORT_FINAL[[#This Row],[ECART.Total_vente]]/RAPPORT_FINAL[[#This Row],[ECART.Quantite]],0)</f>
        <v>0</v>
      </c>
      <c r="AE264" s="92">
        <f>IFERROR(RAPPORT_FINAL[[#This Row],[ECART.Quantite]]*RAPPORT_FINAL[[#This Row],[INVENTAIRE.Prix_vente]],"")</f>
        <v>0</v>
      </c>
    </row>
    <row r="265" spans="1:31" hidden="1" x14ac:dyDescent="0.25">
      <c r="A265" s="83" t="s">
        <v>163</v>
      </c>
      <c r="B265" s="3" t="s">
        <v>76</v>
      </c>
      <c r="C265" s="80" t="s">
        <v>283</v>
      </c>
      <c r="D265" s="3" t="s">
        <v>303</v>
      </c>
      <c r="E265" s="31" t="s">
        <v>134</v>
      </c>
      <c r="F265" s="85" t="str" cm="1">
        <f t="array" ref="F26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65" s="80" t="str" cm="1">
        <f t="array" ref="G26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65" s="80" t="str">
        <f>IF(RAPPORT_FINAL[[#This Row],[INVENTAIRE_PREC.Prix_vente]]="","",RAPPORT_FINAL[[#This Row],[INVENTAIRE_PREC.Quantite]]*RAPPORT_FINAL[[#This Row],[INVENTAIRE_PREC.Prix_cout]])</f>
        <v/>
      </c>
      <c r="I265" s="83" t="str" cm="1">
        <f t="array" ref="I26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65" s="88" t="str">
        <f>IF(RAPPORT_FINAL[[#This Row],[INVENTAIRE_PREC.Prix_vente]]="","",RAPPORT_FINAL[[#This Row],[INVENTAIRE_PREC.Quantite]]*RAPPORT_FINAL[[#This Row],[INVENTAIRE_PREC.Prix_vente]])</f>
        <v/>
      </c>
      <c r="K265" s="24"/>
      <c r="L265" s="11"/>
      <c r="M265" s="25"/>
      <c r="N265" s="24"/>
      <c r="O265" s="11"/>
      <c r="P265" s="25"/>
      <c r="Q265" s="85">
        <v>2</v>
      </c>
      <c r="R265" s="80" cm="1">
        <f t="array" ref="R26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748</v>
      </c>
      <c r="S265" s="80">
        <f>RAPPORT_FINAL[[#This Row],[INVENTAIRE.Quantite]]*RAPPORT_FINAL[[#This Row],[INVENTAIRE.Prix_cout]]</f>
        <v>1496</v>
      </c>
      <c r="T265" s="83" cm="1">
        <f t="array" ref="T26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</v>
      </c>
      <c r="U265" s="88">
        <f>IF(OR(RAPPORT_FINAL[[#This Row],[INVENTAIRE.Quantite]]="",RAPPORT_FINAL[[#This Row],[INVENTAIRE.Prix_vente]]=""),"",RAPPORT_FINAL[[#This Row],[INVENTAIRE.Quantite]]*RAPPORT_FINAL[[#This Row],[INVENTAIRE.Prix_vente]])</f>
        <v>3000</v>
      </c>
      <c r="V26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65" s="24">
        <f>RAPPORT_FINAL[[#This Row],[INVENTAIRE.Prix_cout]]</f>
        <v>748</v>
      </c>
      <c r="X265" s="85">
        <f>RAPPORT_FINAL[[#This Row],[INVENTAIRE_THEORIQUE]]*RAPPORT_FINAL[[#This Row],[INVENTAIRE_THEORIQUE.Prix_cout]]</f>
        <v>0</v>
      </c>
      <c r="Y265" s="85">
        <f>RAPPORT_FINAL[[#This Row],[INVENTAIRE.Prix_vente]]</f>
        <v>1500</v>
      </c>
      <c r="Z265" s="85">
        <f>RAPPORT_FINAL[[#This Row],[INVENTAIRE_THEORIQUE]]*RAPPORT_FINAL[[#This Row],[INVENTAIRE_THEORIQUE.Prix_vente]]</f>
        <v>0</v>
      </c>
      <c r="AA265" s="85">
        <f>RAPPORT_FINAL[[#This Row],[INVENTAIRE.Quantite]]-RAPPORT_FINAL[[#This Row],[INVENTAIRE_THEORIQUE]]</f>
        <v>2</v>
      </c>
      <c r="AB265" s="90">
        <f>IFERROR(RAPPORT_FINAL[[#This Row],[ECART.Total_cout]]/RAPPORT_FINAL[[#This Row],[ECART.Quantite]],0)</f>
        <v>748</v>
      </c>
      <c r="AC265" s="91">
        <f>IFERROR(RAPPORT_FINAL[[#This Row],[ECART.Quantite]]*RAPPORT_FINAL[[#This Row],[INVENTAIRE.Prix_cout]],"")</f>
        <v>1496</v>
      </c>
      <c r="AD265" s="83">
        <f>IFERROR(RAPPORT_FINAL[[#This Row],[ECART.Total_vente]]/RAPPORT_FINAL[[#This Row],[ECART.Quantite]],0)</f>
        <v>1500</v>
      </c>
      <c r="AE265" s="92">
        <f>IFERROR(RAPPORT_FINAL[[#This Row],[ECART.Quantite]]*RAPPORT_FINAL[[#This Row],[INVENTAIRE.Prix_vente]],"")</f>
        <v>3000</v>
      </c>
    </row>
    <row r="266" spans="1:31" x14ac:dyDescent="0.25">
      <c r="A266" s="83" t="s">
        <v>163</v>
      </c>
      <c r="B266" s="3" t="s">
        <v>76</v>
      </c>
      <c r="C266" s="80" t="s">
        <v>283</v>
      </c>
      <c r="D266" s="3" t="s">
        <v>55</v>
      </c>
      <c r="E266" s="31" t="s">
        <v>97</v>
      </c>
      <c r="F266" s="85" t="str" cm="1">
        <f t="array" ref="F26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66" s="80" t="str" cm="1">
        <f t="array" ref="G26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66" s="80" t="str">
        <f>IF(RAPPORT_FINAL[[#This Row],[INVENTAIRE_PREC.Prix_vente]]="","",RAPPORT_FINAL[[#This Row],[INVENTAIRE_PREC.Quantite]]*RAPPORT_FINAL[[#This Row],[INVENTAIRE_PREC.Prix_cout]])</f>
        <v/>
      </c>
      <c r="I266" s="83" t="str" cm="1">
        <f t="array" ref="I26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66" s="88" t="str">
        <f>IF(RAPPORT_FINAL[[#This Row],[INVENTAIRE_PREC.Prix_vente]]="","",RAPPORT_FINAL[[#This Row],[INVENTAIRE_PREC.Quantite]]*RAPPORT_FINAL[[#This Row],[INVENTAIRE_PREC.Prix_vente]])</f>
        <v/>
      </c>
      <c r="K266" s="24"/>
      <c r="L266" s="11"/>
      <c r="M266" s="25"/>
      <c r="N266" s="24"/>
      <c r="O266" s="11"/>
      <c r="P266" s="25"/>
      <c r="Q266" s="85">
        <v>0</v>
      </c>
      <c r="R266" s="80" cm="1">
        <f t="array" ref="R26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266" s="80">
        <f>RAPPORT_FINAL[[#This Row],[INVENTAIRE.Quantite]]*RAPPORT_FINAL[[#This Row],[INVENTAIRE.Prix_cout]]</f>
        <v>0</v>
      </c>
      <c r="T266" s="83" cm="1">
        <f t="array" ref="T26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266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26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66" s="24">
        <f>RAPPORT_FINAL[[#This Row],[INVENTAIRE.Prix_cout]]</f>
        <v>0</v>
      </c>
      <c r="X266" s="85">
        <f>RAPPORT_FINAL[[#This Row],[INVENTAIRE_THEORIQUE]]*RAPPORT_FINAL[[#This Row],[INVENTAIRE_THEORIQUE.Prix_cout]]</f>
        <v>0</v>
      </c>
      <c r="Y266" s="85">
        <f>RAPPORT_FINAL[[#This Row],[INVENTAIRE.Prix_vente]]</f>
        <v>800</v>
      </c>
      <c r="Z266" s="85">
        <f>RAPPORT_FINAL[[#This Row],[INVENTAIRE_THEORIQUE]]*RAPPORT_FINAL[[#This Row],[INVENTAIRE_THEORIQUE.Prix_vente]]</f>
        <v>0</v>
      </c>
      <c r="AA266" s="85">
        <f>RAPPORT_FINAL[[#This Row],[INVENTAIRE.Quantite]]-RAPPORT_FINAL[[#This Row],[INVENTAIRE_THEORIQUE]]</f>
        <v>0</v>
      </c>
      <c r="AB266" s="90">
        <f>IFERROR(RAPPORT_FINAL[[#This Row],[ECART.Total_cout]]/RAPPORT_FINAL[[#This Row],[ECART.Quantite]],0)</f>
        <v>0</v>
      </c>
      <c r="AC266" s="91">
        <f>IFERROR(RAPPORT_FINAL[[#This Row],[ECART.Quantite]]*RAPPORT_FINAL[[#This Row],[INVENTAIRE.Prix_cout]],"")</f>
        <v>0</v>
      </c>
      <c r="AD266" s="83">
        <f>IFERROR(RAPPORT_FINAL[[#This Row],[ECART.Total_vente]]/RAPPORT_FINAL[[#This Row],[ECART.Quantite]],0)</f>
        <v>0</v>
      </c>
      <c r="AE266" s="92">
        <f>IFERROR(RAPPORT_FINAL[[#This Row],[ECART.Quantite]]*RAPPORT_FINAL[[#This Row],[INVENTAIRE.Prix_vente]],"")</f>
        <v>0</v>
      </c>
    </row>
    <row r="267" spans="1:31" x14ac:dyDescent="0.25">
      <c r="A267" s="83" t="s">
        <v>163</v>
      </c>
      <c r="B267" s="3" t="s">
        <v>76</v>
      </c>
      <c r="C267" s="80" t="s">
        <v>283</v>
      </c>
      <c r="D267" s="3" t="s">
        <v>54</v>
      </c>
      <c r="E267" s="31" t="s">
        <v>97</v>
      </c>
      <c r="F267" s="85" t="str" cm="1">
        <f t="array" ref="F26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67" s="80" t="str" cm="1">
        <f t="array" ref="G26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67" s="80" t="str">
        <f>IF(RAPPORT_FINAL[[#This Row],[INVENTAIRE_PREC.Prix_vente]]="","",RAPPORT_FINAL[[#This Row],[INVENTAIRE_PREC.Quantite]]*RAPPORT_FINAL[[#This Row],[INVENTAIRE_PREC.Prix_cout]])</f>
        <v/>
      </c>
      <c r="I267" s="83" t="str" cm="1">
        <f t="array" ref="I26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67" s="88" t="str">
        <f>IF(RAPPORT_FINAL[[#This Row],[INVENTAIRE_PREC.Prix_vente]]="","",RAPPORT_FINAL[[#This Row],[INVENTAIRE_PREC.Quantite]]*RAPPORT_FINAL[[#This Row],[INVENTAIRE_PREC.Prix_vente]])</f>
        <v/>
      </c>
      <c r="K267" s="24"/>
      <c r="L267" s="11"/>
      <c r="M267" s="25"/>
      <c r="N267" s="24"/>
      <c r="O267" s="11"/>
      <c r="P267" s="25"/>
      <c r="Q267" s="85">
        <v>0</v>
      </c>
      <c r="R267" s="80" cm="1">
        <f t="array" ref="R26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267" s="80">
        <f>RAPPORT_FINAL[[#This Row],[INVENTAIRE.Quantite]]*RAPPORT_FINAL[[#This Row],[INVENTAIRE.Prix_cout]]</f>
        <v>0</v>
      </c>
      <c r="T267" s="83" cm="1">
        <f t="array" ref="T26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267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26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67" s="24">
        <f>RAPPORT_FINAL[[#This Row],[INVENTAIRE.Prix_cout]]</f>
        <v>0</v>
      </c>
      <c r="X267" s="85">
        <f>RAPPORT_FINAL[[#This Row],[INVENTAIRE_THEORIQUE]]*RAPPORT_FINAL[[#This Row],[INVENTAIRE_THEORIQUE.Prix_cout]]</f>
        <v>0</v>
      </c>
      <c r="Y267" s="85">
        <f>RAPPORT_FINAL[[#This Row],[INVENTAIRE.Prix_vente]]</f>
        <v>800</v>
      </c>
      <c r="Z267" s="85">
        <f>RAPPORT_FINAL[[#This Row],[INVENTAIRE_THEORIQUE]]*RAPPORT_FINAL[[#This Row],[INVENTAIRE_THEORIQUE.Prix_vente]]</f>
        <v>0</v>
      </c>
      <c r="AA267" s="85">
        <f>RAPPORT_FINAL[[#This Row],[INVENTAIRE.Quantite]]-RAPPORT_FINAL[[#This Row],[INVENTAIRE_THEORIQUE]]</f>
        <v>0</v>
      </c>
      <c r="AB267" s="90">
        <f>IFERROR(RAPPORT_FINAL[[#This Row],[ECART.Total_cout]]/RAPPORT_FINAL[[#This Row],[ECART.Quantite]],0)</f>
        <v>0</v>
      </c>
      <c r="AC267" s="91">
        <f>IFERROR(RAPPORT_FINAL[[#This Row],[ECART.Quantite]]*RAPPORT_FINAL[[#This Row],[INVENTAIRE.Prix_cout]],"")</f>
        <v>0</v>
      </c>
      <c r="AD267" s="83">
        <f>IFERROR(RAPPORT_FINAL[[#This Row],[ECART.Total_vente]]/RAPPORT_FINAL[[#This Row],[ECART.Quantite]],0)</f>
        <v>0</v>
      </c>
      <c r="AE267" s="92">
        <f>IFERROR(RAPPORT_FINAL[[#This Row],[ECART.Quantite]]*RAPPORT_FINAL[[#This Row],[INVENTAIRE.Prix_vente]],"")</f>
        <v>0</v>
      </c>
    </row>
    <row r="268" spans="1:31" hidden="1" x14ac:dyDescent="0.25">
      <c r="A268" s="83" t="s">
        <v>163</v>
      </c>
      <c r="B268" s="3" t="s">
        <v>76</v>
      </c>
      <c r="C268" s="80" t="s">
        <v>283</v>
      </c>
      <c r="D268" s="3" t="s">
        <v>155</v>
      </c>
      <c r="E268" s="31" t="s">
        <v>97</v>
      </c>
      <c r="F268" s="85" t="str" cm="1">
        <f t="array" ref="F26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68" s="80" t="str" cm="1">
        <f t="array" ref="G26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68" s="80" t="str">
        <f>IF(RAPPORT_FINAL[[#This Row],[INVENTAIRE_PREC.Prix_vente]]="","",RAPPORT_FINAL[[#This Row],[INVENTAIRE_PREC.Quantite]]*RAPPORT_FINAL[[#This Row],[INVENTAIRE_PREC.Prix_cout]])</f>
        <v/>
      </c>
      <c r="I268" s="83" t="str" cm="1">
        <f t="array" ref="I26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68" s="88" t="str">
        <f>IF(RAPPORT_FINAL[[#This Row],[INVENTAIRE_PREC.Prix_vente]]="","",RAPPORT_FINAL[[#This Row],[INVENTAIRE_PREC.Quantite]]*RAPPORT_FINAL[[#This Row],[INVENTAIRE_PREC.Prix_vente]])</f>
        <v/>
      </c>
      <c r="K268" s="24"/>
      <c r="L268" s="11"/>
      <c r="M268" s="25"/>
      <c r="N268" s="24"/>
      <c r="O268" s="11"/>
      <c r="P268" s="25"/>
      <c r="Q268" s="85">
        <v>19</v>
      </c>
      <c r="R268" s="80" cm="1">
        <f t="array" ref="R26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333.33</v>
      </c>
      <c r="S268" s="80">
        <f>RAPPORT_FINAL[[#This Row],[INVENTAIRE.Quantite]]*RAPPORT_FINAL[[#This Row],[INVENTAIRE.Prix_cout]]</f>
        <v>6333.2699999999995</v>
      </c>
      <c r="T268" s="83" cm="1">
        <f t="array" ref="T26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268" s="88">
        <f>IF(OR(RAPPORT_FINAL[[#This Row],[INVENTAIRE.Quantite]]="",RAPPORT_FINAL[[#This Row],[INVENTAIRE.Prix_vente]]=""),"",RAPPORT_FINAL[[#This Row],[INVENTAIRE.Quantite]]*RAPPORT_FINAL[[#This Row],[INVENTAIRE.Prix_vente]])</f>
        <v>15200</v>
      </c>
      <c r="V26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68" s="24">
        <f>RAPPORT_FINAL[[#This Row],[INVENTAIRE.Prix_cout]]</f>
        <v>333.33</v>
      </c>
      <c r="X268" s="85">
        <f>RAPPORT_FINAL[[#This Row],[INVENTAIRE_THEORIQUE]]*RAPPORT_FINAL[[#This Row],[INVENTAIRE_THEORIQUE.Prix_cout]]</f>
        <v>0</v>
      </c>
      <c r="Y268" s="85">
        <f>RAPPORT_FINAL[[#This Row],[INVENTAIRE.Prix_vente]]</f>
        <v>800</v>
      </c>
      <c r="Z268" s="85">
        <f>RAPPORT_FINAL[[#This Row],[INVENTAIRE_THEORIQUE]]*RAPPORT_FINAL[[#This Row],[INVENTAIRE_THEORIQUE.Prix_vente]]</f>
        <v>0</v>
      </c>
      <c r="AA268" s="85">
        <f>RAPPORT_FINAL[[#This Row],[INVENTAIRE.Quantite]]-RAPPORT_FINAL[[#This Row],[INVENTAIRE_THEORIQUE]]</f>
        <v>19</v>
      </c>
      <c r="AB268" s="90">
        <f>IFERROR(RAPPORT_FINAL[[#This Row],[ECART.Total_cout]]/RAPPORT_FINAL[[#This Row],[ECART.Quantite]],0)</f>
        <v>333.33</v>
      </c>
      <c r="AC268" s="91">
        <f>IFERROR(RAPPORT_FINAL[[#This Row],[ECART.Quantite]]*RAPPORT_FINAL[[#This Row],[INVENTAIRE.Prix_cout]],"")</f>
        <v>6333.2699999999995</v>
      </c>
      <c r="AD268" s="83">
        <f>IFERROR(RAPPORT_FINAL[[#This Row],[ECART.Total_vente]]/RAPPORT_FINAL[[#This Row],[ECART.Quantite]],0)</f>
        <v>800</v>
      </c>
      <c r="AE268" s="92">
        <f>IFERROR(RAPPORT_FINAL[[#This Row],[ECART.Quantite]]*RAPPORT_FINAL[[#This Row],[INVENTAIRE.Prix_vente]],"")</f>
        <v>15200</v>
      </c>
    </row>
    <row r="269" spans="1:31" hidden="1" x14ac:dyDescent="0.25">
      <c r="A269" s="83" t="s">
        <v>163</v>
      </c>
      <c r="B269" s="3" t="s">
        <v>76</v>
      </c>
      <c r="C269" s="80" t="s">
        <v>283</v>
      </c>
      <c r="D269" s="3" t="s">
        <v>128</v>
      </c>
      <c r="E269" s="31" t="s">
        <v>134</v>
      </c>
      <c r="F269" s="85" t="str" cm="1">
        <f t="array" ref="F26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69" s="80" t="str" cm="1">
        <f t="array" ref="G26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69" s="80" t="str">
        <f>IF(RAPPORT_FINAL[[#This Row],[INVENTAIRE_PREC.Prix_vente]]="","",RAPPORT_FINAL[[#This Row],[INVENTAIRE_PREC.Quantite]]*RAPPORT_FINAL[[#This Row],[INVENTAIRE_PREC.Prix_cout]])</f>
        <v/>
      </c>
      <c r="I269" s="83" t="str" cm="1">
        <f t="array" ref="I26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69" s="88" t="str">
        <f>IF(RAPPORT_FINAL[[#This Row],[INVENTAIRE_PREC.Prix_vente]]="","",RAPPORT_FINAL[[#This Row],[INVENTAIRE_PREC.Quantite]]*RAPPORT_FINAL[[#This Row],[INVENTAIRE_PREC.Prix_vente]])</f>
        <v/>
      </c>
      <c r="K269" s="24"/>
      <c r="L269" s="11"/>
      <c r="M269" s="25"/>
      <c r="N269" s="24"/>
      <c r="O269" s="11"/>
      <c r="P269" s="25"/>
      <c r="Q269" s="85">
        <v>7</v>
      </c>
      <c r="R269" s="80" cm="1">
        <f t="array" ref="R26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635.41999999999996</v>
      </c>
      <c r="S269" s="80">
        <f>RAPPORT_FINAL[[#This Row],[INVENTAIRE.Quantite]]*RAPPORT_FINAL[[#This Row],[INVENTAIRE.Prix_cout]]</f>
        <v>4447.9399999999996</v>
      </c>
      <c r="T269" s="83" cm="1">
        <f t="array" ref="T26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</v>
      </c>
      <c r="U269" s="88">
        <f>IF(OR(RAPPORT_FINAL[[#This Row],[INVENTAIRE.Quantite]]="",RAPPORT_FINAL[[#This Row],[INVENTAIRE.Prix_vente]]=""),"",RAPPORT_FINAL[[#This Row],[INVENTAIRE.Quantite]]*RAPPORT_FINAL[[#This Row],[INVENTAIRE.Prix_vente]])</f>
        <v>10500</v>
      </c>
      <c r="V26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69" s="24">
        <f>RAPPORT_FINAL[[#This Row],[INVENTAIRE.Prix_cout]]</f>
        <v>635.41999999999996</v>
      </c>
      <c r="X269" s="85">
        <f>RAPPORT_FINAL[[#This Row],[INVENTAIRE_THEORIQUE]]*RAPPORT_FINAL[[#This Row],[INVENTAIRE_THEORIQUE.Prix_cout]]</f>
        <v>0</v>
      </c>
      <c r="Y269" s="85">
        <f>RAPPORT_FINAL[[#This Row],[INVENTAIRE.Prix_vente]]</f>
        <v>1500</v>
      </c>
      <c r="Z269" s="85">
        <f>RAPPORT_FINAL[[#This Row],[INVENTAIRE_THEORIQUE]]*RAPPORT_FINAL[[#This Row],[INVENTAIRE_THEORIQUE.Prix_vente]]</f>
        <v>0</v>
      </c>
      <c r="AA269" s="85">
        <f>RAPPORT_FINAL[[#This Row],[INVENTAIRE.Quantite]]-RAPPORT_FINAL[[#This Row],[INVENTAIRE_THEORIQUE]]</f>
        <v>7</v>
      </c>
      <c r="AB269" s="90">
        <f>IFERROR(RAPPORT_FINAL[[#This Row],[ECART.Total_cout]]/RAPPORT_FINAL[[#This Row],[ECART.Quantite]],0)</f>
        <v>635.41999999999996</v>
      </c>
      <c r="AC269" s="91">
        <f>IFERROR(RAPPORT_FINAL[[#This Row],[ECART.Quantite]]*RAPPORT_FINAL[[#This Row],[INVENTAIRE.Prix_cout]],"")</f>
        <v>4447.9399999999996</v>
      </c>
      <c r="AD269" s="83">
        <f>IFERROR(RAPPORT_FINAL[[#This Row],[ECART.Total_vente]]/RAPPORT_FINAL[[#This Row],[ECART.Quantite]],0)</f>
        <v>1500</v>
      </c>
      <c r="AE269" s="92">
        <f>IFERROR(RAPPORT_FINAL[[#This Row],[ECART.Quantite]]*RAPPORT_FINAL[[#This Row],[INVENTAIRE.Prix_vente]],"")</f>
        <v>10500</v>
      </c>
    </row>
    <row r="270" spans="1:31" hidden="1" x14ac:dyDescent="0.25">
      <c r="A270" s="83" t="s">
        <v>163</v>
      </c>
      <c r="B270" s="3" t="s">
        <v>76</v>
      </c>
      <c r="C270" s="80" t="s">
        <v>283</v>
      </c>
      <c r="D270" s="3" t="s">
        <v>45</v>
      </c>
      <c r="E270" s="31" t="s">
        <v>97</v>
      </c>
      <c r="F270" s="85" t="str" cm="1">
        <f t="array" ref="F27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70" s="80" t="str" cm="1">
        <f t="array" ref="G27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70" s="80" t="str">
        <f>IF(RAPPORT_FINAL[[#This Row],[INVENTAIRE_PREC.Prix_vente]]="","",RAPPORT_FINAL[[#This Row],[INVENTAIRE_PREC.Quantite]]*RAPPORT_FINAL[[#This Row],[INVENTAIRE_PREC.Prix_cout]])</f>
        <v/>
      </c>
      <c r="I270" s="83" t="str" cm="1">
        <f t="array" ref="I27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70" s="88" t="str">
        <f>IF(RAPPORT_FINAL[[#This Row],[INVENTAIRE_PREC.Prix_vente]]="","",RAPPORT_FINAL[[#This Row],[INVENTAIRE_PREC.Quantite]]*RAPPORT_FINAL[[#This Row],[INVENTAIRE_PREC.Prix_vente]])</f>
        <v/>
      </c>
      <c r="K270" s="24"/>
      <c r="L270" s="11"/>
      <c r="M270" s="25"/>
      <c r="N270" s="24"/>
      <c r="O270" s="11"/>
      <c r="P270" s="25"/>
      <c r="Q270" s="85">
        <v>26</v>
      </c>
      <c r="R270" s="80" cm="1">
        <f t="array" ref="R27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562.5</v>
      </c>
      <c r="S270" s="80">
        <f>RAPPORT_FINAL[[#This Row],[INVENTAIRE.Quantite]]*RAPPORT_FINAL[[#This Row],[INVENTAIRE.Prix_cout]]</f>
        <v>14625</v>
      </c>
      <c r="T270" s="83" cm="1">
        <f t="array" ref="T27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70" s="88">
        <f>IF(OR(RAPPORT_FINAL[[#This Row],[INVENTAIRE.Quantite]]="",RAPPORT_FINAL[[#This Row],[INVENTAIRE.Prix_vente]]=""),"",RAPPORT_FINAL[[#This Row],[INVENTAIRE.Quantite]]*RAPPORT_FINAL[[#This Row],[INVENTAIRE.Prix_vente]])</f>
        <v>26000</v>
      </c>
      <c r="V27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70" s="24">
        <f>RAPPORT_FINAL[[#This Row],[INVENTAIRE.Prix_cout]]</f>
        <v>562.5</v>
      </c>
      <c r="X270" s="85">
        <f>RAPPORT_FINAL[[#This Row],[INVENTAIRE_THEORIQUE]]*RAPPORT_FINAL[[#This Row],[INVENTAIRE_THEORIQUE.Prix_cout]]</f>
        <v>0</v>
      </c>
      <c r="Y270" s="85">
        <f>RAPPORT_FINAL[[#This Row],[INVENTAIRE.Prix_vente]]</f>
        <v>1000</v>
      </c>
      <c r="Z270" s="85">
        <f>RAPPORT_FINAL[[#This Row],[INVENTAIRE_THEORIQUE]]*RAPPORT_FINAL[[#This Row],[INVENTAIRE_THEORIQUE.Prix_vente]]</f>
        <v>0</v>
      </c>
      <c r="AA270" s="85">
        <f>RAPPORT_FINAL[[#This Row],[INVENTAIRE.Quantite]]-RAPPORT_FINAL[[#This Row],[INVENTAIRE_THEORIQUE]]</f>
        <v>26</v>
      </c>
      <c r="AB270" s="90">
        <f>IFERROR(RAPPORT_FINAL[[#This Row],[ECART.Total_cout]]/RAPPORT_FINAL[[#This Row],[ECART.Quantite]],0)</f>
        <v>562.5</v>
      </c>
      <c r="AC270" s="91">
        <f>IFERROR(RAPPORT_FINAL[[#This Row],[ECART.Quantite]]*RAPPORT_FINAL[[#This Row],[INVENTAIRE.Prix_cout]],"")</f>
        <v>14625</v>
      </c>
      <c r="AD270" s="83">
        <f>IFERROR(RAPPORT_FINAL[[#This Row],[ECART.Total_vente]]/RAPPORT_FINAL[[#This Row],[ECART.Quantite]],0)</f>
        <v>1000</v>
      </c>
      <c r="AE270" s="92">
        <f>IFERROR(RAPPORT_FINAL[[#This Row],[ECART.Quantite]]*RAPPORT_FINAL[[#This Row],[INVENTAIRE.Prix_vente]],"")</f>
        <v>26000</v>
      </c>
    </row>
    <row r="271" spans="1:31" hidden="1" x14ac:dyDescent="0.25">
      <c r="A271" s="83" t="s">
        <v>163</v>
      </c>
      <c r="B271" s="3" t="s">
        <v>76</v>
      </c>
      <c r="C271" s="80" t="s">
        <v>283</v>
      </c>
      <c r="D271" s="3" t="s">
        <v>37</v>
      </c>
      <c r="E271" s="31" t="s">
        <v>97</v>
      </c>
      <c r="F271" s="85" t="str" cm="1">
        <f t="array" ref="F27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71" s="80" t="str" cm="1">
        <f t="array" ref="G27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71" s="80" t="str">
        <f>IF(RAPPORT_FINAL[[#This Row],[INVENTAIRE_PREC.Prix_vente]]="","",RAPPORT_FINAL[[#This Row],[INVENTAIRE_PREC.Quantite]]*RAPPORT_FINAL[[#This Row],[INVENTAIRE_PREC.Prix_cout]])</f>
        <v/>
      </c>
      <c r="I271" s="83" t="str" cm="1">
        <f t="array" ref="I27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71" s="88" t="str">
        <f>IF(RAPPORT_FINAL[[#This Row],[INVENTAIRE_PREC.Prix_vente]]="","",RAPPORT_FINAL[[#This Row],[INVENTAIRE_PREC.Quantite]]*RAPPORT_FINAL[[#This Row],[INVENTAIRE_PREC.Prix_vente]])</f>
        <v/>
      </c>
      <c r="K271" s="24"/>
      <c r="L271" s="11"/>
      <c r="M271" s="25"/>
      <c r="N271" s="24"/>
      <c r="O271" s="11"/>
      <c r="P271" s="25"/>
      <c r="Q271" s="85">
        <v>5</v>
      </c>
      <c r="R271" s="80" cm="1">
        <f t="array" ref="R27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550</v>
      </c>
      <c r="S271" s="80">
        <f>RAPPORT_FINAL[[#This Row],[INVENTAIRE.Quantite]]*RAPPORT_FINAL[[#This Row],[INVENTAIRE.Prix_cout]]</f>
        <v>2750</v>
      </c>
      <c r="T271" s="83" cm="1">
        <f t="array" ref="T27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71" s="88">
        <f>IF(OR(RAPPORT_FINAL[[#This Row],[INVENTAIRE.Quantite]]="",RAPPORT_FINAL[[#This Row],[INVENTAIRE.Prix_vente]]=""),"",RAPPORT_FINAL[[#This Row],[INVENTAIRE.Quantite]]*RAPPORT_FINAL[[#This Row],[INVENTAIRE.Prix_vente]])</f>
        <v>5000</v>
      </c>
      <c r="V27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71" s="24">
        <f>RAPPORT_FINAL[[#This Row],[INVENTAIRE.Prix_cout]]</f>
        <v>550</v>
      </c>
      <c r="X271" s="85">
        <f>RAPPORT_FINAL[[#This Row],[INVENTAIRE_THEORIQUE]]*RAPPORT_FINAL[[#This Row],[INVENTAIRE_THEORIQUE.Prix_cout]]</f>
        <v>0</v>
      </c>
      <c r="Y271" s="85">
        <f>RAPPORT_FINAL[[#This Row],[INVENTAIRE.Prix_vente]]</f>
        <v>1000</v>
      </c>
      <c r="Z271" s="85">
        <f>RAPPORT_FINAL[[#This Row],[INVENTAIRE_THEORIQUE]]*RAPPORT_FINAL[[#This Row],[INVENTAIRE_THEORIQUE.Prix_vente]]</f>
        <v>0</v>
      </c>
      <c r="AA271" s="85">
        <f>RAPPORT_FINAL[[#This Row],[INVENTAIRE.Quantite]]-RAPPORT_FINAL[[#This Row],[INVENTAIRE_THEORIQUE]]</f>
        <v>5</v>
      </c>
      <c r="AB271" s="90">
        <f>IFERROR(RAPPORT_FINAL[[#This Row],[ECART.Total_cout]]/RAPPORT_FINAL[[#This Row],[ECART.Quantite]],0)</f>
        <v>550</v>
      </c>
      <c r="AC271" s="91">
        <f>IFERROR(RAPPORT_FINAL[[#This Row],[ECART.Quantite]]*RAPPORT_FINAL[[#This Row],[INVENTAIRE.Prix_cout]],"")</f>
        <v>2750</v>
      </c>
      <c r="AD271" s="83">
        <f>IFERROR(RAPPORT_FINAL[[#This Row],[ECART.Total_vente]]/RAPPORT_FINAL[[#This Row],[ECART.Quantite]],0)</f>
        <v>1000</v>
      </c>
      <c r="AE271" s="92">
        <f>IFERROR(RAPPORT_FINAL[[#This Row],[ECART.Quantite]]*RAPPORT_FINAL[[#This Row],[INVENTAIRE.Prix_vente]],"")</f>
        <v>5000</v>
      </c>
    </row>
    <row r="272" spans="1:31" hidden="1" x14ac:dyDescent="0.25">
      <c r="A272" s="83" t="s">
        <v>163</v>
      </c>
      <c r="B272" s="3" t="s">
        <v>76</v>
      </c>
      <c r="C272" s="80" t="s">
        <v>283</v>
      </c>
      <c r="D272" s="3" t="s">
        <v>127</v>
      </c>
      <c r="E272" s="31" t="s">
        <v>134</v>
      </c>
      <c r="F272" s="85" t="str" cm="1">
        <f t="array" ref="F27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72" s="80" t="str" cm="1">
        <f t="array" ref="G27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72" s="80" t="str">
        <f>IF(RAPPORT_FINAL[[#This Row],[INVENTAIRE_PREC.Prix_vente]]="","",RAPPORT_FINAL[[#This Row],[INVENTAIRE_PREC.Quantite]]*RAPPORT_FINAL[[#This Row],[INVENTAIRE_PREC.Prix_cout]])</f>
        <v/>
      </c>
      <c r="I272" s="83" t="str" cm="1">
        <f t="array" ref="I27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72" s="88" t="str">
        <f>IF(RAPPORT_FINAL[[#This Row],[INVENTAIRE_PREC.Prix_vente]]="","",RAPPORT_FINAL[[#This Row],[INVENTAIRE_PREC.Quantite]]*RAPPORT_FINAL[[#This Row],[INVENTAIRE_PREC.Prix_vente]])</f>
        <v/>
      </c>
      <c r="K272" s="24"/>
      <c r="L272" s="11"/>
      <c r="M272" s="25"/>
      <c r="N272" s="24"/>
      <c r="O272" s="11"/>
      <c r="P272" s="25"/>
      <c r="Q272" s="85">
        <v>11</v>
      </c>
      <c r="R272" s="80" cm="1">
        <f t="array" ref="R27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920</v>
      </c>
      <c r="S272" s="80">
        <f>RAPPORT_FINAL[[#This Row],[INVENTAIRE.Quantite]]*RAPPORT_FINAL[[#This Row],[INVENTAIRE.Prix_cout]]</f>
        <v>10120</v>
      </c>
      <c r="T272" s="83" cm="1">
        <f t="array" ref="T27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</v>
      </c>
      <c r="U272" s="88">
        <f>IF(OR(RAPPORT_FINAL[[#This Row],[INVENTAIRE.Quantite]]="",RAPPORT_FINAL[[#This Row],[INVENTAIRE.Prix_vente]]=""),"",RAPPORT_FINAL[[#This Row],[INVENTAIRE.Quantite]]*RAPPORT_FINAL[[#This Row],[INVENTAIRE.Prix_vente]])</f>
        <v>16500</v>
      </c>
      <c r="V27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72" s="24">
        <f>RAPPORT_FINAL[[#This Row],[INVENTAIRE.Prix_cout]]</f>
        <v>920</v>
      </c>
      <c r="X272" s="85">
        <f>RAPPORT_FINAL[[#This Row],[INVENTAIRE_THEORIQUE]]*RAPPORT_FINAL[[#This Row],[INVENTAIRE_THEORIQUE.Prix_cout]]</f>
        <v>0</v>
      </c>
      <c r="Y272" s="85">
        <f>RAPPORT_FINAL[[#This Row],[INVENTAIRE.Prix_vente]]</f>
        <v>1500</v>
      </c>
      <c r="Z272" s="85">
        <f>RAPPORT_FINAL[[#This Row],[INVENTAIRE_THEORIQUE]]*RAPPORT_FINAL[[#This Row],[INVENTAIRE_THEORIQUE.Prix_vente]]</f>
        <v>0</v>
      </c>
      <c r="AA272" s="85">
        <f>RAPPORT_FINAL[[#This Row],[INVENTAIRE.Quantite]]-RAPPORT_FINAL[[#This Row],[INVENTAIRE_THEORIQUE]]</f>
        <v>11</v>
      </c>
      <c r="AB272" s="90">
        <f>IFERROR(RAPPORT_FINAL[[#This Row],[ECART.Total_cout]]/RAPPORT_FINAL[[#This Row],[ECART.Quantite]],0)</f>
        <v>920</v>
      </c>
      <c r="AC272" s="91">
        <f>IFERROR(RAPPORT_FINAL[[#This Row],[ECART.Quantite]]*RAPPORT_FINAL[[#This Row],[INVENTAIRE.Prix_cout]],"")</f>
        <v>10120</v>
      </c>
      <c r="AD272" s="83">
        <f>IFERROR(RAPPORT_FINAL[[#This Row],[ECART.Total_vente]]/RAPPORT_FINAL[[#This Row],[ECART.Quantite]],0)</f>
        <v>1500</v>
      </c>
      <c r="AE272" s="92">
        <f>IFERROR(RAPPORT_FINAL[[#This Row],[ECART.Quantite]]*RAPPORT_FINAL[[#This Row],[INVENTAIRE.Prix_vente]],"")</f>
        <v>16500</v>
      </c>
    </row>
    <row r="273" spans="1:31" hidden="1" x14ac:dyDescent="0.25">
      <c r="A273" s="83" t="s">
        <v>163</v>
      </c>
      <c r="B273" s="3" t="s">
        <v>76</v>
      </c>
      <c r="C273" s="80" t="s">
        <v>283</v>
      </c>
      <c r="D273" s="3" t="s">
        <v>43</v>
      </c>
      <c r="E273" s="31" t="s">
        <v>97</v>
      </c>
      <c r="F273" s="85" t="str" cm="1">
        <f t="array" ref="F27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73" s="80" t="str" cm="1">
        <f t="array" ref="G27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73" s="80" t="str">
        <f>IF(RAPPORT_FINAL[[#This Row],[INVENTAIRE_PREC.Prix_vente]]="","",RAPPORT_FINAL[[#This Row],[INVENTAIRE_PREC.Quantite]]*RAPPORT_FINAL[[#This Row],[INVENTAIRE_PREC.Prix_cout]])</f>
        <v/>
      </c>
      <c r="I273" s="83" t="str" cm="1">
        <f t="array" ref="I27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73" s="88" t="str">
        <f>IF(RAPPORT_FINAL[[#This Row],[INVENTAIRE_PREC.Prix_vente]]="","",RAPPORT_FINAL[[#This Row],[INVENTAIRE_PREC.Quantite]]*RAPPORT_FINAL[[#This Row],[INVENTAIRE_PREC.Prix_vente]])</f>
        <v/>
      </c>
      <c r="K273" s="24"/>
      <c r="L273" s="11"/>
      <c r="M273" s="25"/>
      <c r="N273" s="24"/>
      <c r="O273" s="11"/>
      <c r="P273" s="25"/>
      <c r="Q273" s="85">
        <v>5</v>
      </c>
      <c r="R273" s="80" cm="1">
        <f t="array" ref="R27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600</v>
      </c>
      <c r="S273" s="80">
        <f>RAPPORT_FINAL[[#This Row],[INVENTAIRE.Quantite]]*RAPPORT_FINAL[[#This Row],[INVENTAIRE.Prix_cout]]</f>
        <v>3000</v>
      </c>
      <c r="T273" s="83" cm="1">
        <f t="array" ref="T27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73" s="88">
        <f>IF(OR(RAPPORT_FINAL[[#This Row],[INVENTAIRE.Quantite]]="",RAPPORT_FINAL[[#This Row],[INVENTAIRE.Prix_vente]]=""),"",RAPPORT_FINAL[[#This Row],[INVENTAIRE.Quantite]]*RAPPORT_FINAL[[#This Row],[INVENTAIRE.Prix_vente]])</f>
        <v>5000</v>
      </c>
      <c r="V27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73" s="24">
        <f>RAPPORT_FINAL[[#This Row],[INVENTAIRE.Prix_cout]]</f>
        <v>600</v>
      </c>
      <c r="X273" s="85">
        <f>RAPPORT_FINAL[[#This Row],[INVENTAIRE_THEORIQUE]]*RAPPORT_FINAL[[#This Row],[INVENTAIRE_THEORIQUE.Prix_cout]]</f>
        <v>0</v>
      </c>
      <c r="Y273" s="85">
        <f>RAPPORT_FINAL[[#This Row],[INVENTAIRE.Prix_vente]]</f>
        <v>1000</v>
      </c>
      <c r="Z273" s="85">
        <f>RAPPORT_FINAL[[#This Row],[INVENTAIRE_THEORIQUE]]*RAPPORT_FINAL[[#This Row],[INVENTAIRE_THEORIQUE.Prix_vente]]</f>
        <v>0</v>
      </c>
      <c r="AA273" s="85">
        <f>RAPPORT_FINAL[[#This Row],[INVENTAIRE.Quantite]]-RAPPORT_FINAL[[#This Row],[INVENTAIRE_THEORIQUE]]</f>
        <v>5</v>
      </c>
      <c r="AB273" s="90">
        <f>IFERROR(RAPPORT_FINAL[[#This Row],[ECART.Total_cout]]/RAPPORT_FINAL[[#This Row],[ECART.Quantite]],0)</f>
        <v>600</v>
      </c>
      <c r="AC273" s="91">
        <f>IFERROR(RAPPORT_FINAL[[#This Row],[ECART.Quantite]]*RAPPORT_FINAL[[#This Row],[INVENTAIRE.Prix_cout]],"")</f>
        <v>3000</v>
      </c>
      <c r="AD273" s="83">
        <f>IFERROR(RAPPORT_FINAL[[#This Row],[ECART.Total_vente]]/RAPPORT_FINAL[[#This Row],[ECART.Quantite]],0)</f>
        <v>1000</v>
      </c>
      <c r="AE273" s="92">
        <f>IFERROR(RAPPORT_FINAL[[#This Row],[ECART.Quantite]]*RAPPORT_FINAL[[#This Row],[INVENTAIRE.Prix_vente]],"")</f>
        <v>5000</v>
      </c>
    </row>
    <row r="274" spans="1:31" hidden="1" x14ac:dyDescent="0.25">
      <c r="A274" s="83" t="s">
        <v>163</v>
      </c>
      <c r="B274" s="3" t="s">
        <v>76</v>
      </c>
      <c r="C274" s="80" t="s">
        <v>283</v>
      </c>
      <c r="D274" s="3" t="s">
        <v>44</v>
      </c>
      <c r="E274" s="31" t="s">
        <v>97</v>
      </c>
      <c r="F274" s="85" t="str" cm="1">
        <f t="array" ref="F27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74" s="80" t="str" cm="1">
        <f t="array" ref="G27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74" s="80" t="str">
        <f>IF(RAPPORT_FINAL[[#This Row],[INVENTAIRE_PREC.Prix_vente]]="","",RAPPORT_FINAL[[#This Row],[INVENTAIRE_PREC.Quantite]]*RAPPORT_FINAL[[#This Row],[INVENTAIRE_PREC.Prix_cout]])</f>
        <v/>
      </c>
      <c r="I274" s="83" t="str" cm="1">
        <f t="array" ref="I27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74" s="88" t="str">
        <f>IF(RAPPORT_FINAL[[#This Row],[INVENTAIRE_PREC.Prix_vente]]="","",RAPPORT_FINAL[[#This Row],[INVENTAIRE_PREC.Quantite]]*RAPPORT_FINAL[[#This Row],[INVENTAIRE_PREC.Prix_vente]])</f>
        <v/>
      </c>
      <c r="K274" s="24"/>
      <c r="L274" s="11"/>
      <c r="M274" s="25"/>
      <c r="N274" s="24"/>
      <c r="O274" s="11"/>
      <c r="P274" s="25"/>
      <c r="Q274" s="85">
        <v>4</v>
      </c>
      <c r="R274" s="80" cm="1">
        <f t="array" ref="R27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600</v>
      </c>
      <c r="S274" s="80">
        <f>RAPPORT_FINAL[[#This Row],[INVENTAIRE.Quantite]]*RAPPORT_FINAL[[#This Row],[INVENTAIRE.Prix_cout]]</f>
        <v>2400</v>
      </c>
      <c r="T274" s="83" cm="1">
        <f t="array" ref="T27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74" s="88">
        <f>IF(OR(RAPPORT_FINAL[[#This Row],[INVENTAIRE.Quantite]]="",RAPPORT_FINAL[[#This Row],[INVENTAIRE.Prix_vente]]=""),"",RAPPORT_FINAL[[#This Row],[INVENTAIRE.Quantite]]*RAPPORT_FINAL[[#This Row],[INVENTAIRE.Prix_vente]])</f>
        <v>4000</v>
      </c>
      <c r="V27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74" s="24">
        <f>RAPPORT_FINAL[[#This Row],[INVENTAIRE.Prix_cout]]</f>
        <v>600</v>
      </c>
      <c r="X274" s="85">
        <f>RAPPORT_FINAL[[#This Row],[INVENTAIRE_THEORIQUE]]*RAPPORT_FINAL[[#This Row],[INVENTAIRE_THEORIQUE.Prix_cout]]</f>
        <v>0</v>
      </c>
      <c r="Y274" s="85">
        <f>RAPPORT_FINAL[[#This Row],[INVENTAIRE.Prix_vente]]</f>
        <v>1000</v>
      </c>
      <c r="Z274" s="85">
        <f>RAPPORT_FINAL[[#This Row],[INVENTAIRE_THEORIQUE]]*RAPPORT_FINAL[[#This Row],[INVENTAIRE_THEORIQUE.Prix_vente]]</f>
        <v>0</v>
      </c>
      <c r="AA274" s="85">
        <f>RAPPORT_FINAL[[#This Row],[INVENTAIRE.Quantite]]-RAPPORT_FINAL[[#This Row],[INVENTAIRE_THEORIQUE]]</f>
        <v>4</v>
      </c>
      <c r="AB274" s="90">
        <f>IFERROR(RAPPORT_FINAL[[#This Row],[ECART.Total_cout]]/RAPPORT_FINAL[[#This Row],[ECART.Quantite]],0)</f>
        <v>600</v>
      </c>
      <c r="AC274" s="91">
        <f>IFERROR(RAPPORT_FINAL[[#This Row],[ECART.Quantite]]*RAPPORT_FINAL[[#This Row],[INVENTAIRE.Prix_cout]],"")</f>
        <v>2400</v>
      </c>
      <c r="AD274" s="83">
        <f>IFERROR(RAPPORT_FINAL[[#This Row],[ECART.Total_vente]]/RAPPORT_FINAL[[#This Row],[ECART.Quantite]],0)</f>
        <v>1000</v>
      </c>
      <c r="AE274" s="92">
        <f>IFERROR(RAPPORT_FINAL[[#This Row],[ECART.Quantite]]*RAPPORT_FINAL[[#This Row],[INVENTAIRE.Prix_vente]],"")</f>
        <v>4000</v>
      </c>
    </row>
    <row r="275" spans="1:31" hidden="1" x14ac:dyDescent="0.25">
      <c r="A275" s="83" t="s">
        <v>163</v>
      </c>
      <c r="B275" s="3" t="s">
        <v>76</v>
      </c>
      <c r="C275" s="80" t="s">
        <v>283</v>
      </c>
      <c r="D275" s="3" t="s">
        <v>34</v>
      </c>
      <c r="E275" s="31" t="s">
        <v>97</v>
      </c>
      <c r="F275" s="85" t="str" cm="1">
        <f t="array" ref="F27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75" s="80" t="str" cm="1">
        <f t="array" ref="G27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75" s="80" t="str">
        <f>IF(RAPPORT_FINAL[[#This Row],[INVENTAIRE_PREC.Prix_vente]]="","",RAPPORT_FINAL[[#This Row],[INVENTAIRE_PREC.Quantite]]*RAPPORT_FINAL[[#This Row],[INVENTAIRE_PREC.Prix_cout]])</f>
        <v/>
      </c>
      <c r="I275" s="83" t="str" cm="1">
        <f t="array" ref="I27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75" s="88" t="str">
        <f>IF(RAPPORT_FINAL[[#This Row],[INVENTAIRE_PREC.Prix_vente]]="","",RAPPORT_FINAL[[#This Row],[INVENTAIRE_PREC.Quantite]]*RAPPORT_FINAL[[#This Row],[INVENTAIRE_PREC.Prix_vente]])</f>
        <v/>
      </c>
      <c r="K275" s="24"/>
      <c r="L275" s="11"/>
      <c r="M275" s="25"/>
      <c r="N275" s="24"/>
      <c r="O275" s="11"/>
      <c r="P275" s="25"/>
      <c r="Q275" s="85">
        <v>3</v>
      </c>
      <c r="R275" s="80" cm="1">
        <f t="array" ref="R27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600</v>
      </c>
      <c r="S275" s="80">
        <f>RAPPORT_FINAL[[#This Row],[INVENTAIRE.Quantite]]*RAPPORT_FINAL[[#This Row],[INVENTAIRE.Prix_cout]]</f>
        <v>1800</v>
      </c>
      <c r="T275" s="83" cm="1">
        <f t="array" ref="T27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75" s="88">
        <f>IF(OR(RAPPORT_FINAL[[#This Row],[INVENTAIRE.Quantite]]="",RAPPORT_FINAL[[#This Row],[INVENTAIRE.Prix_vente]]=""),"",RAPPORT_FINAL[[#This Row],[INVENTAIRE.Quantite]]*RAPPORT_FINAL[[#This Row],[INVENTAIRE.Prix_vente]])</f>
        <v>3000</v>
      </c>
      <c r="V27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75" s="24">
        <f>RAPPORT_FINAL[[#This Row],[INVENTAIRE.Prix_cout]]</f>
        <v>600</v>
      </c>
      <c r="X275" s="85">
        <f>RAPPORT_FINAL[[#This Row],[INVENTAIRE_THEORIQUE]]*RAPPORT_FINAL[[#This Row],[INVENTAIRE_THEORIQUE.Prix_cout]]</f>
        <v>0</v>
      </c>
      <c r="Y275" s="85">
        <f>RAPPORT_FINAL[[#This Row],[INVENTAIRE.Prix_vente]]</f>
        <v>1000</v>
      </c>
      <c r="Z275" s="85">
        <f>RAPPORT_FINAL[[#This Row],[INVENTAIRE_THEORIQUE]]*RAPPORT_FINAL[[#This Row],[INVENTAIRE_THEORIQUE.Prix_vente]]</f>
        <v>0</v>
      </c>
      <c r="AA275" s="85">
        <f>RAPPORT_FINAL[[#This Row],[INVENTAIRE.Quantite]]-RAPPORT_FINAL[[#This Row],[INVENTAIRE_THEORIQUE]]</f>
        <v>3</v>
      </c>
      <c r="AB275" s="90">
        <f>IFERROR(RAPPORT_FINAL[[#This Row],[ECART.Total_cout]]/RAPPORT_FINAL[[#This Row],[ECART.Quantite]],0)</f>
        <v>600</v>
      </c>
      <c r="AC275" s="91">
        <f>IFERROR(RAPPORT_FINAL[[#This Row],[ECART.Quantite]]*RAPPORT_FINAL[[#This Row],[INVENTAIRE.Prix_cout]],"")</f>
        <v>1800</v>
      </c>
      <c r="AD275" s="83">
        <f>IFERROR(RAPPORT_FINAL[[#This Row],[ECART.Total_vente]]/RAPPORT_FINAL[[#This Row],[ECART.Quantite]],0)</f>
        <v>1000</v>
      </c>
      <c r="AE275" s="92">
        <f>IFERROR(RAPPORT_FINAL[[#This Row],[ECART.Quantite]]*RAPPORT_FINAL[[#This Row],[INVENTAIRE.Prix_vente]],"")</f>
        <v>3000</v>
      </c>
    </row>
    <row r="276" spans="1:31" hidden="1" x14ac:dyDescent="0.25">
      <c r="A276" s="83" t="s">
        <v>163</v>
      </c>
      <c r="B276" s="3" t="s">
        <v>76</v>
      </c>
      <c r="C276" s="80" t="s">
        <v>283</v>
      </c>
      <c r="D276" s="3" t="s">
        <v>32</v>
      </c>
      <c r="E276" s="31" t="s">
        <v>97</v>
      </c>
      <c r="F276" s="85" t="str" cm="1">
        <f t="array" ref="F27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76" s="80" t="str" cm="1">
        <f t="array" ref="G27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76" s="80" t="str">
        <f>IF(RAPPORT_FINAL[[#This Row],[INVENTAIRE_PREC.Prix_vente]]="","",RAPPORT_FINAL[[#This Row],[INVENTAIRE_PREC.Quantite]]*RAPPORT_FINAL[[#This Row],[INVENTAIRE_PREC.Prix_cout]])</f>
        <v/>
      </c>
      <c r="I276" s="83" t="str" cm="1">
        <f t="array" ref="I27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76" s="88" t="str">
        <f>IF(RAPPORT_FINAL[[#This Row],[INVENTAIRE_PREC.Prix_vente]]="","",RAPPORT_FINAL[[#This Row],[INVENTAIRE_PREC.Quantite]]*RAPPORT_FINAL[[#This Row],[INVENTAIRE_PREC.Prix_vente]])</f>
        <v/>
      </c>
      <c r="K276" s="24"/>
      <c r="L276" s="11"/>
      <c r="M276" s="25"/>
      <c r="N276" s="24"/>
      <c r="O276" s="11"/>
      <c r="P276" s="25"/>
      <c r="Q276" s="85">
        <v>4</v>
      </c>
      <c r="R276" s="80" cm="1">
        <f t="array" ref="R27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458.33</v>
      </c>
      <c r="S276" s="80">
        <f>RAPPORT_FINAL[[#This Row],[INVENTAIRE.Quantite]]*RAPPORT_FINAL[[#This Row],[INVENTAIRE.Prix_cout]]</f>
        <v>1833.32</v>
      </c>
      <c r="T276" s="83" cm="1">
        <f t="array" ref="T27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76" s="88">
        <f>IF(OR(RAPPORT_FINAL[[#This Row],[INVENTAIRE.Quantite]]="",RAPPORT_FINAL[[#This Row],[INVENTAIRE.Prix_vente]]=""),"",RAPPORT_FINAL[[#This Row],[INVENTAIRE.Quantite]]*RAPPORT_FINAL[[#This Row],[INVENTAIRE.Prix_vente]])</f>
        <v>4000</v>
      </c>
      <c r="V27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76" s="24">
        <f>RAPPORT_FINAL[[#This Row],[INVENTAIRE.Prix_cout]]</f>
        <v>458.33</v>
      </c>
      <c r="X276" s="85">
        <f>RAPPORT_FINAL[[#This Row],[INVENTAIRE_THEORIQUE]]*RAPPORT_FINAL[[#This Row],[INVENTAIRE_THEORIQUE.Prix_cout]]</f>
        <v>0</v>
      </c>
      <c r="Y276" s="85">
        <f>RAPPORT_FINAL[[#This Row],[INVENTAIRE.Prix_vente]]</f>
        <v>1000</v>
      </c>
      <c r="Z276" s="85">
        <f>RAPPORT_FINAL[[#This Row],[INVENTAIRE_THEORIQUE]]*RAPPORT_FINAL[[#This Row],[INVENTAIRE_THEORIQUE.Prix_vente]]</f>
        <v>0</v>
      </c>
      <c r="AA276" s="85">
        <f>RAPPORT_FINAL[[#This Row],[INVENTAIRE.Quantite]]-RAPPORT_FINAL[[#This Row],[INVENTAIRE_THEORIQUE]]</f>
        <v>4</v>
      </c>
      <c r="AB276" s="90">
        <f>IFERROR(RAPPORT_FINAL[[#This Row],[ECART.Total_cout]]/RAPPORT_FINAL[[#This Row],[ECART.Quantite]],0)</f>
        <v>458.33</v>
      </c>
      <c r="AC276" s="91">
        <f>IFERROR(RAPPORT_FINAL[[#This Row],[ECART.Quantite]]*RAPPORT_FINAL[[#This Row],[INVENTAIRE.Prix_cout]],"")</f>
        <v>1833.32</v>
      </c>
      <c r="AD276" s="83">
        <f>IFERROR(RAPPORT_FINAL[[#This Row],[ECART.Total_vente]]/RAPPORT_FINAL[[#This Row],[ECART.Quantite]],0)</f>
        <v>1000</v>
      </c>
      <c r="AE276" s="92">
        <f>IFERROR(RAPPORT_FINAL[[#This Row],[ECART.Quantite]]*RAPPORT_FINAL[[#This Row],[INVENTAIRE.Prix_vente]],"")</f>
        <v>4000</v>
      </c>
    </row>
    <row r="277" spans="1:31" hidden="1" x14ac:dyDescent="0.25">
      <c r="A277" s="83" t="s">
        <v>163</v>
      </c>
      <c r="B277" s="3" t="s">
        <v>76</v>
      </c>
      <c r="C277" s="80" t="s">
        <v>283</v>
      </c>
      <c r="D277" s="3" t="s">
        <v>39</v>
      </c>
      <c r="E277" s="31" t="s">
        <v>97</v>
      </c>
      <c r="F277" s="85" t="str" cm="1">
        <f t="array" ref="F27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77" s="80" t="str" cm="1">
        <f t="array" ref="G27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77" s="80" t="str">
        <f>IF(RAPPORT_FINAL[[#This Row],[INVENTAIRE_PREC.Prix_vente]]="","",RAPPORT_FINAL[[#This Row],[INVENTAIRE_PREC.Quantite]]*RAPPORT_FINAL[[#This Row],[INVENTAIRE_PREC.Prix_cout]])</f>
        <v/>
      </c>
      <c r="I277" s="83" t="str" cm="1">
        <f t="array" ref="I27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77" s="88" t="str">
        <f>IF(RAPPORT_FINAL[[#This Row],[INVENTAIRE_PREC.Prix_vente]]="","",RAPPORT_FINAL[[#This Row],[INVENTAIRE_PREC.Quantite]]*RAPPORT_FINAL[[#This Row],[INVENTAIRE_PREC.Prix_vente]])</f>
        <v/>
      </c>
      <c r="K277" s="24"/>
      <c r="L277" s="11"/>
      <c r="M277" s="25"/>
      <c r="N277" s="24"/>
      <c r="O277" s="11"/>
      <c r="P277" s="25"/>
      <c r="Q277" s="85">
        <v>5</v>
      </c>
      <c r="R277" s="80" cm="1">
        <f t="array" ref="R27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983.33000000000015</v>
      </c>
      <c r="S277" s="80">
        <f>RAPPORT_FINAL[[#This Row],[INVENTAIRE.Quantite]]*RAPPORT_FINAL[[#This Row],[INVENTAIRE.Prix_cout]]</f>
        <v>4916.6500000000005</v>
      </c>
      <c r="T277" s="83" cm="1">
        <f t="array" ref="T27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</v>
      </c>
      <c r="U277" s="88">
        <f>IF(OR(RAPPORT_FINAL[[#This Row],[INVENTAIRE.Quantite]]="",RAPPORT_FINAL[[#This Row],[INVENTAIRE.Prix_vente]]=""),"",RAPPORT_FINAL[[#This Row],[INVENTAIRE.Quantite]]*RAPPORT_FINAL[[#This Row],[INVENTAIRE.Prix_vente]])</f>
        <v>7500</v>
      </c>
      <c r="V27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77" s="24">
        <f>RAPPORT_FINAL[[#This Row],[INVENTAIRE.Prix_cout]]</f>
        <v>983.33000000000015</v>
      </c>
      <c r="X277" s="85">
        <f>RAPPORT_FINAL[[#This Row],[INVENTAIRE_THEORIQUE]]*RAPPORT_FINAL[[#This Row],[INVENTAIRE_THEORIQUE.Prix_cout]]</f>
        <v>0</v>
      </c>
      <c r="Y277" s="85">
        <f>RAPPORT_FINAL[[#This Row],[INVENTAIRE.Prix_vente]]</f>
        <v>1500</v>
      </c>
      <c r="Z277" s="85">
        <f>RAPPORT_FINAL[[#This Row],[INVENTAIRE_THEORIQUE]]*RAPPORT_FINAL[[#This Row],[INVENTAIRE_THEORIQUE.Prix_vente]]</f>
        <v>0</v>
      </c>
      <c r="AA277" s="85">
        <f>RAPPORT_FINAL[[#This Row],[INVENTAIRE.Quantite]]-RAPPORT_FINAL[[#This Row],[INVENTAIRE_THEORIQUE]]</f>
        <v>5</v>
      </c>
      <c r="AB277" s="90">
        <f>IFERROR(RAPPORT_FINAL[[#This Row],[ECART.Total_cout]]/RAPPORT_FINAL[[#This Row],[ECART.Quantite]],0)</f>
        <v>983.33000000000015</v>
      </c>
      <c r="AC277" s="91">
        <f>IFERROR(RAPPORT_FINAL[[#This Row],[ECART.Quantite]]*RAPPORT_FINAL[[#This Row],[INVENTAIRE.Prix_cout]],"")</f>
        <v>4916.6500000000005</v>
      </c>
      <c r="AD277" s="83">
        <f>IFERROR(RAPPORT_FINAL[[#This Row],[ECART.Total_vente]]/RAPPORT_FINAL[[#This Row],[ECART.Quantite]],0)</f>
        <v>1500</v>
      </c>
      <c r="AE277" s="92">
        <f>IFERROR(RAPPORT_FINAL[[#This Row],[ECART.Quantite]]*RAPPORT_FINAL[[#This Row],[INVENTAIRE.Prix_vente]],"")</f>
        <v>7500</v>
      </c>
    </row>
    <row r="278" spans="1:31" hidden="1" x14ac:dyDescent="0.25">
      <c r="A278" s="83" t="s">
        <v>163</v>
      </c>
      <c r="B278" s="3" t="s">
        <v>76</v>
      </c>
      <c r="C278" s="80" t="s">
        <v>283</v>
      </c>
      <c r="D278" s="3" t="s">
        <v>38</v>
      </c>
      <c r="E278" s="31" t="s">
        <v>97</v>
      </c>
      <c r="F278" s="85" t="str" cm="1">
        <f t="array" ref="F27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78" s="80" t="str" cm="1">
        <f t="array" ref="G27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78" s="80" t="str">
        <f>IF(RAPPORT_FINAL[[#This Row],[INVENTAIRE_PREC.Prix_vente]]="","",RAPPORT_FINAL[[#This Row],[INVENTAIRE_PREC.Quantite]]*RAPPORT_FINAL[[#This Row],[INVENTAIRE_PREC.Prix_cout]])</f>
        <v/>
      </c>
      <c r="I278" s="83" t="str" cm="1">
        <f t="array" ref="I27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78" s="88" t="str">
        <f>IF(RAPPORT_FINAL[[#This Row],[INVENTAIRE_PREC.Prix_vente]]="","",RAPPORT_FINAL[[#This Row],[INVENTAIRE_PREC.Quantite]]*RAPPORT_FINAL[[#This Row],[INVENTAIRE_PREC.Prix_vente]])</f>
        <v/>
      </c>
      <c r="K278" s="24"/>
      <c r="L278" s="11"/>
      <c r="M278" s="25"/>
      <c r="N278" s="24"/>
      <c r="O278" s="11"/>
      <c r="P278" s="25"/>
      <c r="Q278" s="85">
        <v>9</v>
      </c>
      <c r="R278" s="80" cm="1">
        <f t="array" ref="R27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595.83000000000004</v>
      </c>
      <c r="S278" s="80">
        <f>RAPPORT_FINAL[[#This Row],[INVENTAIRE.Quantite]]*RAPPORT_FINAL[[#This Row],[INVENTAIRE.Prix_cout]]</f>
        <v>5362.47</v>
      </c>
      <c r="T278" s="83" cm="1">
        <f t="array" ref="T27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78" s="88">
        <f>IF(OR(RAPPORT_FINAL[[#This Row],[INVENTAIRE.Quantite]]="",RAPPORT_FINAL[[#This Row],[INVENTAIRE.Prix_vente]]=""),"",RAPPORT_FINAL[[#This Row],[INVENTAIRE.Quantite]]*RAPPORT_FINAL[[#This Row],[INVENTAIRE.Prix_vente]])</f>
        <v>9000</v>
      </c>
      <c r="V27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78" s="24">
        <f>RAPPORT_FINAL[[#This Row],[INVENTAIRE.Prix_cout]]</f>
        <v>595.83000000000004</v>
      </c>
      <c r="X278" s="85">
        <f>RAPPORT_FINAL[[#This Row],[INVENTAIRE_THEORIQUE]]*RAPPORT_FINAL[[#This Row],[INVENTAIRE_THEORIQUE.Prix_cout]]</f>
        <v>0</v>
      </c>
      <c r="Y278" s="85">
        <f>RAPPORT_FINAL[[#This Row],[INVENTAIRE.Prix_vente]]</f>
        <v>1000</v>
      </c>
      <c r="Z278" s="85">
        <f>RAPPORT_FINAL[[#This Row],[INVENTAIRE_THEORIQUE]]*RAPPORT_FINAL[[#This Row],[INVENTAIRE_THEORIQUE.Prix_vente]]</f>
        <v>0</v>
      </c>
      <c r="AA278" s="85">
        <f>RAPPORT_FINAL[[#This Row],[INVENTAIRE.Quantite]]-RAPPORT_FINAL[[#This Row],[INVENTAIRE_THEORIQUE]]</f>
        <v>9</v>
      </c>
      <c r="AB278" s="90">
        <f>IFERROR(RAPPORT_FINAL[[#This Row],[ECART.Total_cout]]/RAPPORT_FINAL[[#This Row],[ECART.Quantite]],0)</f>
        <v>595.83000000000004</v>
      </c>
      <c r="AC278" s="91">
        <f>IFERROR(RAPPORT_FINAL[[#This Row],[ECART.Quantite]]*RAPPORT_FINAL[[#This Row],[INVENTAIRE.Prix_cout]],"")</f>
        <v>5362.47</v>
      </c>
      <c r="AD278" s="83">
        <f>IFERROR(RAPPORT_FINAL[[#This Row],[ECART.Total_vente]]/RAPPORT_FINAL[[#This Row],[ECART.Quantite]],0)</f>
        <v>1000</v>
      </c>
      <c r="AE278" s="92">
        <f>IFERROR(RAPPORT_FINAL[[#This Row],[ECART.Quantite]]*RAPPORT_FINAL[[#This Row],[INVENTAIRE.Prix_vente]],"")</f>
        <v>9000</v>
      </c>
    </row>
    <row r="279" spans="1:31" hidden="1" x14ac:dyDescent="0.25">
      <c r="A279" s="83" t="s">
        <v>163</v>
      </c>
      <c r="B279" s="3" t="s">
        <v>76</v>
      </c>
      <c r="C279" s="80" t="s">
        <v>283</v>
      </c>
      <c r="D279" s="3" t="s">
        <v>40</v>
      </c>
      <c r="E279" s="31" t="s">
        <v>97</v>
      </c>
      <c r="F279" s="85" t="str" cm="1">
        <f t="array" ref="F27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79" s="80" t="str" cm="1">
        <f t="array" ref="G27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79" s="80" t="str">
        <f>IF(RAPPORT_FINAL[[#This Row],[INVENTAIRE_PREC.Prix_vente]]="","",RAPPORT_FINAL[[#This Row],[INVENTAIRE_PREC.Quantite]]*RAPPORT_FINAL[[#This Row],[INVENTAIRE_PREC.Prix_cout]])</f>
        <v/>
      </c>
      <c r="I279" s="83" t="str" cm="1">
        <f t="array" ref="I27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79" s="88" t="str">
        <f>IF(RAPPORT_FINAL[[#This Row],[INVENTAIRE_PREC.Prix_vente]]="","",RAPPORT_FINAL[[#This Row],[INVENTAIRE_PREC.Quantite]]*RAPPORT_FINAL[[#This Row],[INVENTAIRE_PREC.Prix_vente]])</f>
        <v/>
      </c>
      <c r="K279" s="24"/>
      <c r="L279" s="11"/>
      <c r="M279" s="25"/>
      <c r="N279" s="24"/>
      <c r="O279" s="11"/>
      <c r="P279" s="25"/>
      <c r="Q279" s="85">
        <v>11</v>
      </c>
      <c r="R279" s="80" cm="1">
        <f t="array" ref="R27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741.67</v>
      </c>
      <c r="S279" s="80">
        <f>RAPPORT_FINAL[[#This Row],[INVENTAIRE.Quantite]]*RAPPORT_FINAL[[#This Row],[INVENTAIRE.Prix_cout]]</f>
        <v>8158.37</v>
      </c>
      <c r="T279" s="83" cm="1">
        <f t="array" ref="T27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79" s="88">
        <f>IF(OR(RAPPORT_FINAL[[#This Row],[INVENTAIRE.Quantite]]="",RAPPORT_FINAL[[#This Row],[INVENTAIRE.Prix_vente]]=""),"",RAPPORT_FINAL[[#This Row],[INVENTAIRE.Quantite]]*RAPPORT_FINAL[[#This Row],[INVENTAIRE.Prix_vente]])</f>
        <v>11000</v>
      </c>
      <c r="V27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79" s="24">
        <f>RAPPORT_FINAL[[#This Row],[INVENTAIRE.Prix_cout]]</f>
        <v>741.67</v>
      </c>
      <c r="X279" s="85">
        <f>RAPPORT_FINAL[[#This Row],[INVENTAIRE_THEORIQUE]]*RAPPORT_FINAL[[#This Row],[INVENTAIRE_THEORIQUE.Prix_cout]]</f>
        <v>0</v>
      </c>
      <c r="Y279" s="85">
        <f>RAPPORT_FINAL[[#This Row],[INVENTAIRE.Prix_vente]]</f>
        <v>1000</v>
      </c>
      <c r="Z279" s="85">
        <f>RAPPORT_FINAL[[#This Row],[INVENTAIRE_THEORIQUE]]*RAPPORT_FINAL[[#This Row],[INVENTAIRE_THEORIQUE.Prix_vente]]</f>
        <v>0</v>
      </c>
      <c r="AA279" s="85">
        <f>RAPPORT_FINAL[[#This Row],[INVENTAIRE.Quantite]]-RAPPORT_FINAL[[#This Row],[INVENTAIRE_THEORIQUE]]</f>
        <v>11</v>
      </c>
      <c r="AB279" s="90">
        <f>IFERROR(RAPPORT_FINAL[[#This Row],[ECART.Total_cout]]/RAPPORT_FINAL[[#This Row],[ECART.Quantite]],0)</f>
        <v>741.67</v>
      </c>
      <c r="AC279" s="91">
        <f>IFERROR(RAPPORT_FINAL[[#This Row],[ECART.Quantite]]*RAPPORT_FINAL[[#This Row],[INVENTAIRE.Prix_cout]],"")</f>
        <v>8158.37</v>
      </c>
      <c r="AD279" s="83">
        <f>IFERROR(RAPPORT_FINAL[[#This Row],[ECART.Total_vente]]/RAPPORT_FINAL[[#This Row],[ECART.Quantite]],0)</f>
        <v>1000</v>
      </c>
      <c r="AE279" s="92">
        <f>IFERROR(RAPPORT_FINAL[[#This Row],[ECART.Quantite]]*RAPPORT_FINAL[[#This Row],[INVENTAIRE.Prix_vente]],"")</f>
        <v>11000</v>
      </c>
    </row>
    <row r="280" spans="1:31" hidden="1" x14ac:dyDescent="0.25">
      <c r="A280" s="83" t="s">
        <v>163</v>
      </c>
      <c r="B280" s="3" t="s">
        <v>76</v>
      </c>
      <c r="C280" s="80" t="s">
        <v>283</v>
      </c>
      <c r="D280" s="3" t="s">
        <v>46</v>
      </c>
      <c r="E280" s="31" t="s">
        <v>97</v>
      </c>
      <c r="F280" s="85" t="str" cm="1">
        <f t="array" ref="F28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80" s="80" t="str" cm="1">
        <f t="array" ref="G28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80" s="80" t="str">
        <f>IF(RAPPORT_FINAL[[#This Row],[INVENTAIRE_PREC.Prix_vente]]="","",RAPPORT_FINAL[[#This Row],[INVENTAIRE_PREC.Quantite]]*RAPPORT_FINAL[[#This Row],[INVENTAIRE_PREC.Prix_cout]])</f>
        <v/>
      </c>
      <c r="I280" s="83" t="str" cm="1">
        <f t="array" ref="I28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80" s="88" t="str">
        <f>IF(RAPPORT_FINAL[[#This Row],[INVENTAIRE_PREC.Prix_vente]]="","",RAPPORT_FINAL[[#This Row],[INVENTAIRE_PREC.Quantite]]*RAPPORT_FINAL[[#This Row],[INVENTAIRE_PREC.Prix_vente]])</f>
        <v/>
      </c>
      <c r="K280" s="24"/>
      <c r="L280" s="11"/>
      <c r="M280" s="25"/>
      <c r="N280" s="24"/>
      <c r="O280" s="11"/>
      <c r="P280" s="25"/>
      <c r="Q280" s="85">
        <v>18</v>
      </c>
      <c r="R280" s="80" cm="1">
        <f t="array" ref="R28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800</v>
      </c>
      <c r="S280" s="80">
        <f>RAPPORT_FINAL[[#This Row],[INVENTAIRE.Quantite]]*RAPPORT_FINAL[[#This Row],[INVENTAIRE.Prix_cout]]</f>
        <v>14400</v>
      </c>
      <c r="T280" s="83" cm="1">
        <f t="array" ref="T28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80" s="88">
        <f>IF(OR(RAPPORT_FINAL[[#This Row],[INVENTAIRE.Quantite]]="",RAPPORT_FINAL[[#This Row],[INVENTAIRE.Prix_vente]]=""),"",RAPPORT_FINAL[[#This Row],[INVENTAIRE.Quantite]]*RAPPORT_FINAL[[#This Row],[INVENTAIRE.Prix_vente]])</f>
        <v>18000</v>
      </c>
      <c r="V28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80" s="24">
        <f>RAPPORT_FINAL[[#This Row],[INVENTAIRE.Prix_cout]]</f>
        <v>800</v>
      </c>
      <c r="X280" s="85">
        <f>RAPPORT_FINAL[[#This Row],[INVENTAIRE_THEORIQUE]]*RAPPORT_FINAL[[#This Row],[INVENTAIRE_THEORIQUE.Prix_cout]]</f>
        <v>0</v>
      </c>
      <c r="Y280" s="85">
        <f>RAPPORT_FINAL[[#This Row],[INVENTAIRE.Prix_vente]]</f>
        <v>1000</v>
      </c>
      <c r="Z280" s="85">
        <f>RAPPORT_FINAL[[#This Row],[INVENTAIRE_THEORIQUE]]*RAPPORT_FINAL[[#This Row],[INVENTAIRE_THEORIQUE.Prix_vente]]</f>
        <v>0</v>
      </c>
      <c r="AA280" s="85">
        <f>RAPPORT_FINAL[[#This Row],[INVENTAIRE.Quantite]]-RAPPORT_FINAL[[#This Row],[INVENTAIRE_THEORIQUE]]</f>
        <v>18</v>
      </c>
      <c r="AB280" s="90">
        <f>IFERROR(RAPPORT_FINAL[[#This Row],[ECART.Total_cout]]/RAPPORT_FINAL[[#This Row],[ECART.Quantite]],0)</f>
        <v>800</v>
      </c>
      <c r="AC280" s="91">
        <f>IFERROR(RAPPORT_FINAL[[#This Row],[ECART.Quantite]]*RAPPORT_FINAL[[#This Row],[INVENTAIRE.Prix_cout]],"")</f>
        <v>14400</v>
      </c>
      <c r="AD280" s="83">
        <f>IFERROR(RAPPORT_FINAL[[#This Row],[ECART.Total_vente]]/RAPPORT_FINAL[[#This Row],[ECART.Quantite]],0)</f>
        <v>1000</v>
      </c>
      <c r="AE280" s="92">
        <f>IFERROR(RAPPORT_FINAL[[#This Row],[ECART.Quantite]]*RAPPORT_FINAL[[#This Row],[INVENTAIRE.Prix_vente]],"")</f>
        <v>18000</v>
      </c>
    </row>
    <row r="281" spans="1:31" hidden="1" x14ac:dyDescent="0.25">
      <c r="A281" s="83" t="s">
        <v>163</v>
      </c>
      <c r="B281" s="3" t="s">
        <v>76</v>
      </c>
      <c r="C281" s="80" t="s">
        <v>283</v>
      </c>
      <c r="D281" s="3" t="s">
        <v>81</v>
      </c>
      <c r="E281" s="31" t="s">
        <v>97</v>
      </c>
      <c r="F281" s="85" t="str" cm="1">
        <f t="array" ref="F28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81" s="80" t="str" cm="1">
        <f t="array" ref="G28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81" s="80" t="str">
        <f>IF(RAPPORT_FINAL[[#This Row],[INVENTAIRE_PREC.Prix_vente]]="","",RAPPORT_FINAL[[#This Row],[INVENTAIRE_PREC.Quantite]]*RAPPORT_FINAL[[#This Row],[INVENTAIRE_PREC.Prix_cout]])</f>
        <v/>
      </c>
      <c r="I281" s="83" t="str" cm="1">
        <f t="array" ref="I28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81" s="88" t="str">
        <f>IF(RAPPORT_FINAL[[#This Row],[INVENTAIRE_PREC.Prix_vente]]="","",RAPPORT_FINAL[[#This Row],[INVENTAIRE_PREC.Quantite]]*RAPPORT_FINAL[[#This Row],[INVENTAIRE_PREC.Prix_vente]])</f>
        <v/>
      </c>
      <c r="K281" s="24"/>
      <c r="L281" s="11"/>
      <c r="M281" s="25"/>
      <c r="N281" s="24"/>
      <c r="O281" s="11"/>
      <c r="P281" s="25"/>
      <c r="Q281" s="85">
        <v>2</v>
      </c>
      <c r="R281" s="80" cm="1">
        <f t="array" ref="R28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2350</v>
      </c>
      <c r="S281" s="80">
        <f>RAPPORT_FINAL[[#This Row],[INVENTAIRE.Quantite]]*RAPPORT_FINAL[[#This Row],[INVENTAIRE.Prix_cout]]</f>
        <v>4700</v>
      </c>
      <c r="T281" s="83" cm="1">
        <f t="array" ref="T28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</v>
      </c>
      <c r="U281" s="88">
        <f>IF(OR(RAPPORT_FINAL[[#This Row],[INVENTAIRE.Quantite]]="",RAPPORT_FINAL[[#This Row],[INVENTAIRE.Prix_vente]]=""),"",RAPPORT_FINAL[[#This Row],[INVENTAIRE.Quantite]]*RAPPORT_FINAL[[#This Row],[INVENTAIRE.Prix_vente]])</f>
        <v>5000</v>
      </c>
      <c r="V28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81" s="24">
        <f>RAPPORT_FINAL[[#This Row],[INVENTAIRE.Prix_cout]]</f>
        <v>2350</v>
      </c>
      <c r="X281" s="85">
        <f>RAPPORT_FINAL[[#This Row],[INVENTAIRE_THEORIQUE]]*RAPPORT_FINAL[[#This Row],[INVENTAIRE_THEORIQUE.Prix_cout]]</f>
        <v>0</v>
      </c>
      <c r="Y281" s="85">
        <f>RAPPORT_FINAL[[#This Row],[INVENTAIRE.Prix_vente]]</f>
        <v>2500</v>
      </c>
      <c r="Z281" s="85">
        <f>RAPPORT_FINAL[[#This Row],[INVENTAIRE_THEORIQUE]]*RAPPORT_FINAL[[#This Row],[INVENTAIRE_THEORIQUE.Prix_vente]]</f>
        <v>0</v>
      </c>
      <c r="AA281" s="85">
        <f>RAPPORT_FINAL[[#This Row],[INVENTAIRE.Quantite]]-RAPPORT_FINAL[[#This Row],[INVENTAIRE_THEORIQUE]]</f>
        <v>2</v>
      </c>
      <c r="AB281" s="90">
        <f>IFERROR(RAPPORT_FINAL[[#This Row],[ECART.Total_cout]]/RAPPORT_FINAL[[#This Row],[ECART.Quantite]],0)</f>
        <v>2350</v>
      </c>
      <c r="AC281" s="91">
        <f>IFERROR(RAPPORT_FINAL[[#This Row],[ECART.Quantite]]*RAPPORT_FINAL[[#This Row],[INVENTAIRE.Prix_cout]],"")</f>
        <v>4700</v>
      </c>
      <c r="AD281" s="83">
        <f>IFERROR(RAPPORT_FINAL[[#This Row],[ECART.Total_vente]]/RAPPORT_FINAL[[#This Row],[ECART.Quantite]],0)</f>
        <v>2500</v>
      </c>
      <c r="AE281" s="92">
        <f>IFERROR(RAPPORT_FINAL[[#This Row],[ECART.Quantite]]*RAPPORT_FINAL[[#This Row],[INVENTAIRE.Prix_vente]],"")</f>
        <v>5000</v>
      </c>
    </row>
    <row r="282" spans="1:31" hidden="1" x14ac:dyDescent="0.25">
      <c r="A282" s="83" t="s">
        <v>163</v>
      </c>
      <c r="B282" s="3" t="s">
        <v>76</v>
      </c>
      <c r="C282" s="80" t="s">
        <v>283</v>
      </c>
      <c r="D282" s="3" t="s">
        <v>36</v>
      </c>
      <c r="E282" s="31" t="s">
        <v>97</v>
      </c>
      <c r="F282" s="85" t="str" cm="1">
        <f t="array" ref="F28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82" s="80" t="str" cm="1">
        <f t="array" ref="G28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82" s="80" t="str">
        <f>IF(RAPPORT_FINAL[[#This Row],[INVENTAIRE_PREC.Prix_vente]]="","",RAPPORT_FINAL[[#This Row],[INVENTAIRE_PREC.Quantite]]*RAPPORT_FINAL[[#This Row],[INVENTAIRE_PREC.Prix_cout]])</f>
        <v/>
      </c>
      <c r="I282" s="83" t="str" cm="1">
        <f t="array" ref="I28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82" s="88" t="str">
        <f>IF(RAPPORT_FINAL[[#This Row],[INVENTAIRE_PREC.Prix_vente]]="","",RAPPORT_FINAL[[#This Row],[INVENTAIRE_PREC.Quantite]]*RAPPORT_FINAL[[#This Row],[INVENTAIRE_PREC.Prix_vente]])</f>
        <v/>
      </c>
      <c r="K282" s="24"/>
      <c r="L282" s="11"/>
      <c r="M282" s="25"/>
      <c r="N282" s="24"/>
      <c r="O282" s="11"/>
      <c r="P282" s="25"/>
      <c r="Q282" s="85">
        <v>11</v>
      </c>
      <c r="R282" s="80" cm="1">
        <f t="array" ref="R28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691.67</v>
      </c>
      <c r="S282" s="80">
        <f>RAPPORT_FINAL[[#This Row],[INVENTAIRE.Quantite]]*RAPPORT_FINAL[[#This Row],[INVENTAIRE.Prix_cout]]</f>
        <v>7608.37</v>
      </c>
      <c r="T282" s="83" cm="1">
        <f t="array" ref="T28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82" s="88">
        <f>IF(OR(RAPPORT_FINAL[[#This Row],[INVENTAIRE.Quantite]]="",RAPPORT_FINAL[[#This Row],[INVENTAIRE.Prix_vente]]=""),"",RAPPORT_FINAL[[#This Row],[INVENTAIRE.Quantite]]*RAPPORT_FINAL[[#This Row],[INVENTAIRE.Prix_vente]])</f>
        <v>11000</v>
      </c>
      <c r="V28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82" s="24">
        <f>RAPPORT_FINAL[[#This Row],[INVENTAIRE.Prix_cout]]</f>
        <v>691.67</v>
      </c>
      <c r="X282" s="85">
        <f>RAPPORT_FINAL[[#This Row],[INVENTAIRE_THEORIQUE]]*RAPPORT_FINAL[[#This Row],[INVENTAIRE_THEORIQUE.Prix_cout]]</f>
        <v>0</v>
      </c>
      <c r="Y282" s="85">
        <f>RAPPORT_FINAL[[#This Row],[INVENTAIRE.Prix_vente]]</f>
        <v>1000</v>
      </c>
      <c r="Z282" s="85">
        <f>RAPPORT_FINAL[[#This Row],[INVENTAIRE_THEORIQUE]]*RAPPORT_FINAL[[#This Row],[INVENTAIRE_THEORIQUE.Prix_vente]]</f>
        <v>0</v>
      </c>
      <c r="AA282" s="85">
        <f>RAPPORT_FINAL[[#This Row],[INVENTAIRE.Quantite]]-RAPPORT_FINAL[[#This Row],[INVENTAIRE_THEORIQUE]]</f>
        <v>11</v>
      </c>
      <c r="AB282" s="90">
        <f>IFERROR(RAPPORT_FINAL[[#This Row],[ECART.Total_cout]]/RAPPORT_FINAL[[#This Row],[ECART.Quantite]],0)</f>
        <v>691.67</v>
      </c>
      <c r="AC282" s="91">
        <f>IFERROR(RAPPORT_FINAL[[#This Row],[ECART.Quantite]]*RAPPORT_FINAL[[#This Row],[INVENTAIRE.Prix_cout]],"")</f>
        <v>7608.37</v>
      </c>
      <c r="AD282" s="83">
        <f>IFERROR(RAPPORT_FINAL[[#This Row],[ECART.Total_vente]]/RAPPORT_FINAL[[#This Row],[ECART.Quantite]],0)</f>
        <v>1000</v>
      </c>
      <c r="AE282" s="92">
        <f>IFERROR(RAPPORT_FINAL[[#This Row],[ECART.Quantite]]*RAPPORT_FINAL[[#This Row],[INVENTAIRE.Prix_vente]],"")</f>
        <v>11000</v>
      </c>
    </row>
    <row r="283" spans="1:31" hidden="1" x14ac:dyDescent="0.25">
      <c r="A283" s="83" t="s">
        <v>163</v>
      </c>
      <c r="B283" s="3" t="s">
        <v>76</v>
      </c>
      <c r="C283" s="80" t="s">
        <v>283</v>
      </c>
      <c r="D283" s="3" t="s">
        <v>42</v>
      </c>
      <c r="E283" s="31" t="s">
        <v>97</v>
      </c>
      <c r="F283" s="85" t="str" cm="1">
        <f t="array" ref="F28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83" s="80" t="str" cm="1">
        <f t="array" ref="G28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83" s="80" t="str">
        <f>IF(RAPPORT_FINAL[[#This Row],[INVENTAIRE_PREC.Prix_vente]]="","",RAPPORT_FINAL[[#This Row],[INVENTAIRE_PREC.Quantite]]*RAPPORT_FINAL[[#This Row],[INVENTAIRE_PREC.Prix_cout]])</f>
        <v/>
      </c>
      <c r="I283" s="83" t="str" cm="1">
        <f t="array" ref="I28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83" s="88" t="str">
        <f>IF(RAPPORT_FINAL[[#This Row],[INVENTAIRE_PREC.Prix_vente]]="","",RAPPORT_FINAL[[#This Row],[INVENTAIRE_PREC.Quantite]]*RAPPORT_FINAL[[#This Row],[INVENTAIRE_PREC.Prix_vente]])</f>
        <v/>
      </c>
      <c r="K283" s="24"/>
      <c r="L283" s="11"/>
      <c r="M283" s="25"/>
      <c r="N283" s="24"/>
      <c r="O283" s="11"/>
      <c r="P283" s="25"/>
      <c r="Q283" s="85">
        <v>3</v>
      </c>
      <c r="R283" s="80" cm="1">
        <f t="array" ref="R28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608.33000000000004</v>
      </c>
      <c r="S283" s="80">
        <f>RAPPORT_FINAL[[#This Row],[INVENTAIRE.Quantite]]*RAPPORT_FINAL[[#This Row],[INVENTAIRE.Prix_cout]]</f>
        <v>1824.9900000000002</v>
      </c>
      <c r="T283" s="83" cm="1">
        <f t="array" ref="T28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83" s="88">
        <f>IF(OR(RAPPORT_FINAL[[#This Row],[INVENTAIRE.Quantite]]="",RAPPORT_FINAL[[#This Row],[INVENTAIRE.Prix_vente]]=""),"",RAPPORT_FINAL[[#This Row],[INVENTAIRE.Quantite]]*RAPPORT_FINAL[[#This Row],[INVENTAIRE.Prix_vente]])</f>
        <v>3000</v>
      </c>
      <c r="V28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83" s="24">
        <f>RAPPORT_FINAL[[#This Row],[INVENTAIRE.Prix_cout]]</f>
        <v>608.33000000000004</v>
      </c>
      <c r="X283" s="85">
        <f>RAPPORT_FINAL[[#This Row],[INVENTAIRE_THEORIQUE]]*RAPPORT_FINAL[[#This Row],[INVENTAIRE_THEORIQUE.Prix_cout]]</f>
        <v>0</v>
      </c>
      <c r="Y283" s="85">
        <f>RAPPORT_FINAL[[#This Row],[INVENTAIRE.Prix_vente]]</f>
        <v>1000</v>
      </c>
      <c r="Z283" s="85">
        <f>RAPPORT_FINAL[[#This Row],[INVENTAIRE_THEORIQUE]]*RAPPORT_FINAL[[#This Row],[INVENTAIRE_THEORIQUE.Prix_vente]]</f>
        <v>0</v>
      </c>
      <c r="AA283" s="85">
        <f>RAPPORT_FINAL[[#This Row],[INVENTAIRE.Quantite]]-RAPPORT_FINAL[[#This Row],[INVENTAIRE_THEORIQUE]]</f>
        <v>3</v>
      </c>
      <c r="AB283" s="90">
        <f>IFERROR(RAPPORT_FINAL[[#This Row],[ECART.Total_cout]]/RAPPORT_FINAL[[#This Row],[ECART.Quantite]],0)</f>
        <v>608.33000000000004</v>
      </c>
      <c r="AC283" s="91">
        <f>IFERROR(RAPPORT_FINAL[[#This Row],[ECART.Quantite]]*RAPPORT_FINAL[[#This Row],[INVENTAIRE.Prix_cout]],"")</f>
        <v>1824.9900000000002</v>
      </c>
      <c r="AD283" s="83">
        <f>IFERROR(RAPPORT_FINAL[[#This Row],[ECART.Total_vente]]/RAPPORT_FINAL[[#This Row],[ECART.Quantite]],0)</f>
        <v>1000</v>
      </c>
      <c r="AE283" s="92">
        <f>IFERROR(RAPPORT_FINAL[[#This Row],[ECART.Quantite]]*RAPPORT_FINAL[[#This Row],[INVENTAIRE.Prix_vente]],"")</f>
        <v>3000</v>
      </c>
    </row>
    <row r="284" spans="1:31" hidden="1" x14ac:dyDescent="0.25">
      <c r="A284" s="83" t="s">
        <v>163</v>
      </c>
      <c r="B284" s="3" t="s">
        <v>76</v>
      </c>
      <c r="C284" s="80" t="s">
        <v>283</v>
      </c>
      <c r="D284" s="3" t="s">
        <v>35</v>
      </c>
      <c r="E284" s="31" t="s">
        <v>97</v>
      </c>
      <c r="F284" s="85" t="str" cm="1">
        <f t="array" ref="F28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84" s="80" t="str" cm="1">
        <f t="array" ref="G28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84" s="80" t="str">
        <f>IF(RAPPORT_FINAL[[#This Row],[INVENTAIRE_PREC.Prix_vente]]="","",RAPPORT_FINAL[[#This Row],[INVENTAIRE_PREC.Quantite]]*RAPPORT_FINAL[[#This Row],[INVENTAIRE_PREC.Prix_cout]])</f>
        <v/>
      </c>
      <c r="I284" s="83" t="str" cm="1">
        <f t="array" ref="I28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84" s="88" t="str">
        <f>IF(RAPPORT_FINAL[[#This Row],[INVENTAIRE_PREC.Prix_vente]]="","",RAPPORT_FINAL[[#This Row],[INVENTAIRE_PREC.Quantite]]*RAPPORT_FINAL[[#This Row],[INVENTAIRE_PREC.Prix_vente]])</f>
        <v/>
      </c>
      <c r="K284" s="24"/>
      <c r="L284" s="11"/>
      <c r="M284" s="25"/>
      <c r="N284" s="24"/>
      <c r="O284" s="11"/>
      <c r="P284" s="25"/>
      <c r="Q284" s="85">
        <v>5</v>
      </c>
      <c r="R284" s="80" cm="1">
        <f t="array" ref="R28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600</v>
      </c>
      <c r="S284" s="80">
        <f>RAPPORT_FINAL[[#This Row],[INVENTAIRE.Quantite]]*RAPPORT_FINAL[[#This Row],[INVENTAIRE.Prix_cout]]</f>
        <v>3000</v>
      </c>
      <c r="T284" s="83" cm="1">
        <f t="array" ref="T28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84" s="88">
        <f>IF(OR(RAPPORT_FINAL[[#This Row],[INVENTAIRE.Quantite]]="",RAPPORT_FINAL[[#This Row],[INVENTAIRE.Prix_vente]]=""),"",RAPPORT_FINAL[[#This Row],[INVENTAIRE.Quantite]]*RAPPORT_FINAL[[#This Row],[INVENTAIRE.Prix_vente]])</f>
        <v>5000</v>
      </c>
      <c r="V28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84" s="24">
        <f>RAPPORT_FINAL[[#This Row],[INVENTAIRE.Prix_cout]]</f>
        <v>600</v>
      </c>
      <c r="X284" s="85">
        <f>RAPPORT_FINAL[[#This Row],[INVENTAIRE_THEORIQUE]]*RAPPORT_FINAL[[#This Row],[INVENTAIRE_THEORIQUE.Prix_cout]]</f>
        <v>0</v>
      </c>
      <c r="Y284" s="85">
        <f>RAPPORT_FINAL[[#This Row],[INVENTAIRE.Prix_vente]]</f>
        <v>1000</v>
      </c>
      <c r="Z284" s="85">
        <f>RAPPORT_FINAL[[#This Row],[INVENTAIRE_THEORIQUE]]*RAPPORT_FINAL[[#This Row],[INVENTAIRE_THEORIQUE.Prix_vente]]</f>
        <v>0</v>
      </c>
      <c r="AA284" s="85">
        <f>RAPPORT_FINAL[[#This Row],[INVENTAIRE.Quantite]]-RAPPORT_FINAL[[#This Row],[INVENTAIRE_THEORIQUE]]</f>
        <v>5</v>
      </c>
      <c r="AB284" s="90">
        <f>IFERROR(RAPPORT_FINAL[[#This Row],[ECART.Total_cout]]/RAPPORT_FINAL[[#This Row],[ECART.Quantite]],0)</f>
        <v>600</v>
      </c>
      <c r="AC284" s="91">
        <f>IFERROR(RAPPORT_FINAL[[#This Row],[ECART.Quantite]]*RAPPORT_FINAL[[#This Row],[INVENTAIRE.Prix_cout]],"")</f>
        <v>3000</v>
      </c>
      <c r="AD284" s="83">
        <f>IFERROR(RAPPORT_FINAL[[#This Row],[ECART.Total_vente]]/RAPPORT_FINAL[[#This Row],[ECART.Quantite]],0)</f>
        <v>1000</v>
      </c>
      <c r="AE284" s="92">
        <f>IFERROR(RAPPORT_FINAL[[#This Row],[ECART.Quantite]]*RAPPORT_FINAL[[#This Row],[INVENTAIRE.Prix_vente]],"")</f>
        <v>5000</v>
      </c>
    </row>
    <row r="285" spans="1:31" hidden="1" x14ac:dyDescent="0.25">
      <c r="A285" s="83" t="s">
        <v>163</v>
      </c>
      <c r="B285" s="3" t="s">
        <v>76</v>
      </c>
      <c r="C285" s="80" t="s">
        <v>283</v>
      </c>
      <c r="D285" s="3" t="s">
        <v>41</v>
      </c>
      <c r="E285" s="31" t="s">
        <v>97</v>
      </c>
      <c r="F285" s="85" t="str" cm="1">
        <f t="array" ref="F28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85" s="80" t="str" cm="1">
        <f t="array" ref="G28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85" s="80" t="str">
        <f>IF(RAPPORT_FINAL[[#This Row],[INVENTAIRE_PREC.Prix_vente]]="","",RAPPORT_FINAL[[#This Row],[INVENTAIRE_PREC.Quantite]]*RAPPORT_FINAL[[#This Row],[INVENTAIRE_PREC.Prix_cout]])</f>
        <v/>
      </c>
      <c r="I285" s="83" t="str" cm="1">
        <f t="array" ref="I28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85" s="88" t="str">
        <f>IF(RAPPORT_FINAL[[#This Row],[INVENTAIRE_PREC.Prix_vente]]="","",RAPPORT_FINAL[[#This Row],[INVENTAIRE_PREC.Quantite]]*RAPPORT_FINAL[[#This Row],[INVENTAIRE_PREC.Prix_vente]])</f>
        <v/>
      </c>
      <c r="K285" s="24"/>
      <c r="L285" s="11"/>
      <c r="M285" s="25"/>
      <c r="N285" s="24"/>
      <c r="O285" s="11"/>
      <c r="P285" s="25"/>
      <c r="Q285" s="85">
        <v>7</v>
      </c>
      <c r="R285" s="80" cm="1">
        <f t="array" ref="R28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600</v>
      </c>
      <c r="S285" s="80">
        <f>RAPPORT_FINAL[[#This Row],[INVENTAIRE.Quantite]]*RAPPORT_FINAL[[#This Row],[INVENTAIRE.Prix_cout]]</f>
        <v>4200</v>
      </c>
      <c r="T285" s="83" cm="1">
        <f t="array" ref="T28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85" s="88">
        <f>IF(OR(RAPPORT_FINAL[[#This Row],[INVENTAIRE.Quantite]]="",RAPPORT_FINAL[[#This Row],[INVENTAIRE.Prix_vente]]=""),"",RAPPORT_FINAL[[#This Row],[INVENTAIRE.Quantite]]*RAPPORT_FINAL[[#This Row],[INVENTAIRE.Prix_vente]])</f>
        <v>7000</v>
      </c>
      <c r="V28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85" s="24">
        <f>RAPPORT_FINAL[[#This Row],[INVENTAIRE.Prix_cout]]</f>
        <v>600</v>
      </c>
      <c r="X285" s="85">
        <f>RAPPORT_FINAL[[#This Row],[INVENTAIRE_THEORIQUE]]*RAPPORT_FINAL[[#This Row],[INVENTAIRE_THEORIQUE.Prix_cout]]</f>
        <v>0</v>
      </c>
      <c r="Y285" s="85">
        <f>RAPPORT_FINAL[[#This Row],[INVENTAIRE.Prix_vente]]</f>
        <v>1000</v>
      </c>
      <c r="Z285" s="85">
        <f>RAPPORT_FINAL[[#This Row],[INVENTAIRE_THEORIQUE]]*RAPPORT_FINAL[[#This Row],[INVENTAIRE_THEORIQUE.Prix_vente]]</f>
        <v>0</v>
      </c>
      <c r="AA285" s="85">
        <f>RAPPORT_FINAL[[#This Row],[INVENTAIRE.Quantite]]-RAPPORT_FINAL[[#This Row],[INVENTAIRE_THEORIQUE]]</f>
        <v>7</v>
      </c>
      <c r="AB285" s="90">
        <f>IFERROR(RAPPORT_FINAL[[#This Row],[ECART.Total_cout]]/RAPPORT_FINAL[[#This Row],[ECART.Quantite]],0)</f>
        <v>600</v>
      </c>
      <c r="AC285" s="91">
        <f>IFERROR(RAPPORT_FINAL[[#This Row],[ECART.Quantite]]*RAPPORT_FINAL[[#This Row],[INVENTAIRE.Prix_cout]],"")</f>
        <v>4200</v>
      </c>
      <c r="AD285" s="83">
        <f>IFERROR(RAPPORT_FINAL[[#This Row],[ECART.Total_vente]]/RAPPORT_FINAL[[#This Row],[ECART.Quantite]],0)</f>
        <v>1000</v>
      </c>
      <c r="AE285" s="92">
        <f>IFERROR(RAPPORT_FINAL[[#This Row],[ECART.Quantite]]*RAPPORT_FINAL[[#This Row],[INVENTAIRE.Prix_vente]],"")</f>
        <v>7000</v>
      </c>
    </row>
    <row r="286" spans="1:31" hidden="1" x14ac:dyDescent="0.25">
      <c r="A286" s="83" t="s">
        <v>163</v>
      </c>
      <c r="B286" s="3" t="s">
        <v>76</v>
      </c>
      <c r="C286" s="80" t="s">
        <v>283</v>
      </c>
      <c r="D286" s="3" t="s">
        <v>47</v>
      </c>
      <c r="E286" s="31" t="s">
        <v>97</v>
      </c>
      <c r="F286" s="85" t="str" cm="1">
        <f t="array" ref="F28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86" s="80" t="str" cm="1">
        <f t="array" ref="G28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86" s="80" t="str">
        <f>IF(RAPPORT_FINAL[[#This Row],[INVENTAIRE_PREC.Prix_vente]]="","",RAPPORT_FINAL[[#This Row],[INVENTAIRE_PREC.Quantite]]*RAPPORT_FINAL[[#This Row],[INVENTAIRE_PREC.Prix_cout]])</f>
        <v/>
      </c>
      <c r="I286" s="83" t="str" cm="1">
        <f t="array" ref="I28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86" s="88" t="str">
        <f>IF(RAPPORT_FINAL[[#This Row],[INVENTAIRE_PREC.Prix_vente]]="","",RAPPORT_FINAL[[#This Row],[INVENTAIRE_PREC.Quantite]]*RAPPORT_FINAL[[#This Row],[INVENTAIRE_PREC.Prix_vente]])</f>
        <v/>
      </c>
      <c r="K286" s="24"/>
      <c r="L286" s="11"/>
      <c r="M286" s="25"/>
      <c r="N286" s="24"/>
      <c r="O286" s="11"/>
      <c r="P286" s="25"/>
      <c r="Q286" s="85">
        <v>2</v>
      </c>
      <c r="R286" s="80" cm="1">
        <f t="array" ref="R28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600</v>
      </c>
      <c r="S286" s="80">
        <f>RAPPORT_FINAL[[#This Row],[INVENTAIRE.Quantite]]*RAPPORT_FINAL[[#This Row],[INVENTAIRE.Prix_cout]]</f>
        <v>1200</v>
      </c>
      <c r="T286" s="83" cm="1">
        <f t="array" ref="T28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86" s="88">
        <f>IF(OR(RAPPORT_FINAL[[#This Row],[INVENTAIRE.Quantite]]="",RAPPORT_FINAL[[#This Row],[INVENTAIRE.Prix_vente]]=""),"",RAPPORT_FINAL[[#This Row],[INVENTAIRE.Quantite]]*RAPPORT_FINAL[[#This Row],[INVENTAIRE.Prix_vente]])</f>
        <v>2000</v>
      </c>
      <c r="V28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86" s="24">
        <f>RAPPORT_FINAL[[#This Row],[INVENTAIRE.Prix_cout]]</f>
        <v>600</v>
      </c>
      <c r="X286" s="85">
        <f>RAPPORT_FINAL[[#This Row],[INVENTAIRE_THEORIQUE]]*RAPPORT_FINAL[[#This Row],[INVENTAIRE_THEORIQUE.Prix_cout]]</f>
        <v>0</v>
      </c>
      <c r="Y286" s="85">
        <f>RAPPORT_FINAL[[#This Row],[INVENTAIRE.Prix_vente]]</f>
        <v>1000</v>
      </c>
      <c r="Z286" s="85">
        <f>RAPPORT_FINAL[[#This Row],[INVENTAIRE_THEORIQUE]]*RAPPORT_FINAL[[#This Row],[INVENTAIRE_THEORIQUE.Prix_vente]]</f>
        <v>0</v>
      </c>
      <c r="AA286" s="85">
        <f>RAPPORT_FINAL[[#This Row],[INVENTAIRE.Quantite]]-RAPPORT_FINAL[[#This Row],[INVENTAIRE_THEORIQUE]]</f>
        <v>2</v>
      </c>
      <c r="AB286" s="90">
        <f>IFERROR(RAPPORT_FINAL[[#This Row],[ECART.Total_cout]]/RAPPORT_FINAL[[#This Row],[ECART.Quantite]],0)</f>
        <v>600</v>
      </c>
      <c r="AC286" s="91">
        <f>IFERROR(RAPPORT_FINAL[[#This Row],[ECART.Quantite]]*RAPPORT_FINAL[[#This Row],[INVENTAIRE.Prix_cout]],"")</f>
        <v>1200</v>
      </c>
      <c r="AD286" s="83">
        <f>IFERROR(RAPPORT_FINAL[[#This Row],[ECART.Total_vente]]/RAPPORT_FINAL[[#This Row],[ECART.Quantite]],0)</f>
        <v>1000</v>
      </c>
      <c r="AE286" s="92">
        <f>IFERROR(RAPPORT_FINAL[[#This Row],[ECART.Quantite]]*RAPPORT_FINAL[[#This Row],[INVENTAIRE.Prix_vente]],"")</f>
        <v>2000</v>
      </c>
    </row>
    <row r="287" spans="1:31" hidden="1" x14ac:dyDescent="0.25">
      <c r="A287" s="83" t="s">
        <v>163</v>
      </c>
      <c r="B287" s="3" t="s">
        <v>76</v>
      </c>
      <c r="C287" s="80" t="s">
        <v>283</v>
      </c>
      <c r="D287" s="3" t="s">
        <v>129</v>
      </c>
      <c r="E287" s="31" t="s">
        <v>130</v>
      </c>
      <c r="F287" s="85" t="str" cm="1">
        <f t="array" ref="F28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87" s="80" t="str" cm="1">
        <f t="array" ref="G28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87" s="80" t="str">
        <f>IF(RAPPORT_FINAL[[#This Row],[INVENTAIRE_PREC.Prix_vente]]="","",RAPPORT_FINAL[[#This Row],[INVENTAIRE_PREC.Quantite]]*RAPPORT_FINAL[[#This Row],[INVENTAIRE_PREC.Prix_cout]])</f>
        <v/>
      </c>
      <c r="I287" s="83" t="str" cm="1">
        <f t="array" ref="I28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87" s="88" t="str">
        <f>IF(RAPPORT_FINAL[[#This Row],[INVENTAIRE_PREC.Prix_vente]]="","",RAPPORT_FINAL[[#This Row],[INVENTAIRE_PREC.Quantite]]*RAPPORT_FINAL[[#This Row],[INVENTAIRE_PREC.Prix_vente]])</f>
        <v/>
      </c>
      <c r="K287" s="24"/>
      <c r="L287" s="11"/>
      <c r="M287" s="25"/>
      <c r="N287" s="24"/>
      <c r="O287" s="11"/>
      <c r="P287" s="25"/>
      <c r="Q287" s="85">
        <v>1</v>
      </c>
      <c r="R287" s="80" cm="1">
        <f t="array" ref="R28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175</v>
      </c>
      <c r="S287" s="80">
        <f>RAPPORT_FINAL[[#This Row],[INVENTAIRE.Quantite]]*RAPPORT_FINAL[[#This Row],[INVENTAIRE.Prix_cout]]</f>
        <v>175</v>
      </c>
      <c r="T287" s="83" cm="1">
        <f t="array" ref="T28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200</v>
      </c>
      <c r="U287" s="88">
        <f>IF(OR(RAPPORT_FINAL[[#This Row],[INVENTAIRE.Quantite]]="",RAPPORT_FINAL[[#This Row],[INVENTAIRE.Prix_vente]]=""),"",RAPPORT_FINAL[[#This Row],[INVENTAIRE.Quantite]]*RAPPORT_FINAL[[#This Row],[INVENTAIRE.Prix_vente]])</f>
        <v>200</v>
      </c>
      <c r="V28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87" s="24">
        <f>RAPPORT_FINAL[[#This Row],[INVENTAIRE.Prix_cout]]</f>
        <v>175</v>
      </c>
      <c r="X287" s="85">
        <f>RAPPORT_FINAL[[#This Row],[INVENTAIRE_THEORIQUE]]*RAPPORT_FINAL[[#This Row],[INVENTAIRE_THEORIQUE.Prix_cout]]</f>
        <v>0</v>
      </c>
      <c r="Y287" s="85">
        <f>RAPPORT_FINAL[[#This Row],[INVENTAIRE.Prix_vente]]</f>
        <v>200</v>
      </c>
      <c r="Z287" s="85">
        <f>RAPPORT_FINAL[[#This Row],[INVENTAIRE_THEORIQUE]]*RAPPORT_FINAL[[#This Row],[INVENTAIRE_THEORIQUE.Prix_vente]]</f>
        <v>0</v>
      </c>
      <c r="AA287" s="85">
        <f>RAPPORT_FINAL[[#This Row],[INVENTAIRE.Quantite]]-RAPPORT_FINAL[[#This Row],[INVENTAIRE_THEORIQUE]]</f>
        <v>1</v>
      </c>
      <c r="AB287" s="90">
        <f>IFERROR(RAPPORT_FINAL[[#This Row],[ECART.Total_cout]]/RAPPORT_FINAL[[#This Row],[ECART.Quantite]],0)</f>
        <v>175</v>
      </c>
      <c r="AC287" s="91">
        <f>IFERROR(RAPPORT_FINAL[[#This Row],[ECART.Quantite]]*RAPPORT_FINAL[[#This Row],[INVENTAIRE.Prix_cout]],"")</f>
        <v>175</v>
      </c>
      <c r="AD287" s="83">
        <f>IFERROR(RAPPORT_FINAL[[#This Row],[ECART.Total_vente]]/RAPPORT_FINAL[[#This Row],[ECART.Quantite]],0)</f>
        <v>200</v>
      </c>
      <c r="AE287" s="92">
        <f>IFERROR(RAPPORT_FINAL[[#This Row],[ECART.Quantite]]*RAPPORT_FINAL[[#This Row],[INVENTAIRE.Prix_vente]],"")</f>
        <v>200</v>
      </c>
    </row>
    <row r="288" spans="1:31" hidden="1" x14ac:dyDescent="0.25">
      <c r="A288" s="83" t="s">
        <v>163</v>
      </c>
      <c r="B288" s="3" t="s">
        <v>76</v>
      </c>
      <c r="C288" s="80" t="s">
        <v>283</v>
      </c>
      <c r="D288" s="3" t="s">
        <v>61</v>
      </c>
      <c r="E288" s="31" t="s">
        <v>97</v>
      </c>
      <c r="F288" s="85" t="str" cm="1">
        <f t="array" ref="F28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88" s="80" t="str" cm="1">
        <f t="array" ref="G28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88" s="80" t="str">
        <f>IF(RAPPORT_FINAL[[#This Row],[INVENTAIRE_PREC.Prix_vente]]="","",RAPPORT_FINAL[[#This Row],[INVENTAIRE_PREC.Quantite]]*RAPPORT_FINAL[[#This Row],[INVENTAIRE_PREC.Prix_cout]])</f>
        <v/>
      </c>
      <c r="I288" s="83" t="str" cm="1">
        <f t="array" ref="I28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88" s="88" t="str">
        <f>IF(RAPPORT_FINAL[[#This Row],[INVENTAIRE_PREC.Prix_vente]]="","",RAPPORT_FINAL[[#This Row],[INVENTAIRE_PREC.Quantite]]*RAPPORT_FINAL[[#This Row],[INVENTAIRE_PREC.Prix_vente]])</f>
        <v/>
      </c>
      <c r="K288" s="24"/>
      <c r="L288" s="11"/>
      <c r="M288" s="25"/>
      <c r="N288" s="24"/>
      <c r="O288" s="11"/>
      <c r="P288" s="25"/>
      <c r="Q288" s="85">
        <v>6</v>
      </c>
      <c r="R288" s="80" cm="1">
        <f t="array" ref="R28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166.67</v>
      </c>
      <c r="S288" s="80">
        <f>RAPPORT_FINAL[[#This Row],[INVENTAIRE.Quantite]]*RAPPORT_FINAL[[#This Row],[INVENTAIRE.Prix_cout]]</f>
        <v>1000.02</v>
      </c>
      <c r="T288" s="83" cm="1">
        <f t="array" ref="T28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</v>
      </c>
      <c r="U288" s="88">
        <f>IF(OR(RAPPORT_FINAL[[#This Row],[INVENTAIRE.Quantite]]="",RAPPORT_FINAL[[#This Row],[INVENTAIRE.Prix_vente]]=""),"",RAPPORT_FINAL[[#This Row],[INVENTAIRE.Quantite]]*RAPPORT_FINAL[[#This Row],[INVENTAIRE.Prix_vente]])</f>
        <v>2100</v>
      </c>
      <c r="V28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88" s="24">
        <f>RAPPORT_FINAL[[#This Row],[INVENTAIRE.Prix_cout]]</f>
        <v>166.67</v>
      </c>
      <c r="X288" s="85">
        <f>RAPPORT_FINAL[[#This Row],[INVENTAIRE_THEORIQUE]]*RAPPORT_FINAL[[#This Row],[INVENTAIRE_THEORIQUE.Prix_cout]]</f>
        <v>0</v>
      </c>
      <c r="Y288" s="85">
        <f>RAPPORT_FINAL[[#This Row],[INVENTAIRE.Prix_vente]]</f>
        <v>350</v>
      </c>
      <c r="Z288" s="85">
        <f>RAPPORT_FINAL[[#This Row],[INVENTAIRE_THEORIQUE]]*RAPPORT_FINAL[[#This Row],[INVENTAIRE_THEORIQUE.Prix_vente]]</f>
        <v>0</v>
      </c>
      <c r="AA288" s="85">
        <f>RAPPORT_FINAL[[#This Row],[INVENTAIRE.Quantite]]-RAPPORT_FINAL[[#This Row],[INVENTAIRE_THEORIQUE]]</f>
        <v>6</v>
      </c>
      <c r="AB288" s="90">
        <f>IFERROR(RAPPORT_FINAL[[#This Row],[ECART.Total_cout]]/RAPPORT_FINAL[[#This Row],[ECART.Quantite]],0)</f>
        <v>166.67</v>
      </c>
      <c r="AC288" s="91">
        <f>IFERROR(RAPPORT_FINAL[[#This Row],[ECART.Quantite]]*RAPPORT_FINAL[[#This Row],[INVENTAIRE.Prix_cout]],"")</f>
        <v>1000.02</v>
      </c>
      <c r="AD288" s="83">
        <f>IFERROR(RAPPORT_FINAL[[#This Row],[ECART.Total_vente]]/RAPPORT_FINAL[[#This Row],[ECART.Quantite]],0)</f>
        <v>350</v>
      </c>
      <c r="AE288" s="92">
        <f>IFERROR(RAPPORT_FINAL[[#This Row],[ECART.Quantite]]*RAPPORT_FINAL[[#This Row],[INVENTAIRE.Prix_vente]],"")</f>
        <v>2100</v>
      </c>
    </row>
    <row r="289" spans="1:31" hidden="1" x14ac:dyDescent="0.25">
      <c r="A289" s="83" t="s">
        <v>163</v>
      </c>
      <c r="B289" s="3" t="s">
        <v>76</v>
      </c>
      <c r="C289" s="80" t="s">
        <v>283</v>
      </c>
      <c r="D289" s="3" t="s">
        <v>60</v>
      </c>
      <c r="E289" s="31" t="s">
        <v>97</v>
      </c>
      <c r="F289" s="85" t="str" cm="1">
        <f t="array" ref="F28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89" s="80" t="str" cm="1">
        <f t="array" ref="G28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89" s="80" t="str">
        <f>IF(RAPPORT_FINAL[[#This Row],[INVENTAIRE_PREC.Prix_vente]]="","",RAPPORT_FINAL[[#This Row],[INVENTAIRE_PREC.Quantite]]*RAPPORT_FINAL[[#This Row],[INVENTAIRE_PREC.Prix_cout]])</f>
        <v/>
      </c>
      <c r="I289" s="83" t="str" cm="1">
        <f t="array" ref="I28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89" s="88" t="str">
        <f>IF(RAPPORT_FINAL[[#This Row],[INVENTAIRE_PREC.Prix_vente]]="","",RAPPORT_FINAL[[#This Row],[INVENTAIRE_PREC.Quantite]]*RAPPORT_FINAL[[#This Row],[INVENTAIRE_PREC.Prix_vente]])</f>
        <v/>
      </c>
      <c r="K289" s="24"/>
      <c r="L289" s="11"/>
      <c r="M289" s="25"/>
      <c r="N289" s="24"/>
      <c r="O289" s="11"/>
      <c r="P289" s="25"/>
      <c r="Q289" s="85">
        <v>3</v>
      </c>
      <c r="R289" s="80" cm="1">
        <f t="array" ref="R28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250</v>
      </c>
      <c r="S289" s="80">
        <f>RAPPORT_FINAL[[#This Row],[INVENTAIRE.Quantite]]*RAPPORT_FINAL[[#This Row],[INVENTAIRE.Prix_cout]]</f>
        <v>750</v>
      </c>
      <c r="T289" s="83" cm="1">
        <f t="array" ref="T28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800</v>
      </c>
      <c r="U289" s="88">
        <f>IF(OR(RAPPORT_FINAL[[#This Row],[INVENTAIRE.Quantite]]="",RAPPORT_FINAL[[#This Row],[INVENTAIRE.Prix_vente]]=""),"",RAPPORT_FINAL[[#This Row],[INVENTAIRE.Quantite]]*RAPPORT_FINAL[[#This Row],[INVENTAIRE.Prix_vente]])</f>
        <v>2400</v>
      </c>
      <c r="V28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89" s="24">
        <f>RAPPORT_FINAL[[#This Row],[INVENTAIRE.Prix_cout]]</f>
        <v>250</v>
      </c>
      <c r="X289" s="85">
        <f>RAPPORT_FINAL[[#This Row],[INVENTAIRE_THEORIQUE]]*RAPPORT_FINAL[[#This Row],[INVENTAIRE_THEORIQUE.Prix_cout]]</f>
        <v>0</v>
      </c>
      <c r="Y289" s="85">
        <f>RAPPORT_FINAL[[#This Row],[INVENTAIRE.Prix_vente]]</f>
        <v>800</v>
      </c>
      <c r="Z289" s="85">
        <f>RAPPORT_FINAL[[#This Row],[INVENTAIRE_THEORIQUE]]*RAPPORT_FINAL[[#This Row],[INVENTAIRE_THEORIQUE.Prix_vente]]</f>
        <v>0</v>
      </c>
      <c r="AA289" s="85">
        <f>RAPPORT_FINAL[[#This Row],[INVENTAIRE.Quantite]]-RAPPORT_FINAL[[#This Row],[INVENTAIRE_THEORIQUE]]</f>
        <v>3</v>
      </c>
      <c r="AB289" s="90">
        <f>IFERROR(RAPPORT_FINAL[[#This Row],[ECART.Total_cout]]/RAPPORT_FINAL[[#This Row],[ECART.Quantite]],0)</f>
        <v>250</v>
      </c>
      <c r="AC289" s="91">
        <f>IFERROR(RAPPORT_FINAL[[#This Row],[ECART.Quantite]]*RAPPORT_FINAL[[#This Row],[INVENTAIRE.Prix_cout]],"")</f>
        <v>750</v>
      </c>
      <c r="AD289" s="83">
        <f>IFERROR(RAPPORT_FINAL[[#This Row],[ECART.Total_vente]]/RAPPORT_FINAL[[#This Row],[ECART.Quantite]],0)</f>
        <v>800</v>
      </c>
      <c r="AE289" s="92">
        <f>IFERROR(RAPPORT_FINAL[[#This Row],[ECART.Quantite]]*RAPPORT_FINAL[[#This Row],[INVENTAIRE.Prix_vente]],"")</f>
        <v>2400</v>
      </c>
    </row>
    <row r="290" spans="1:31" hidden="1" x14ac:dyDescent="0.25">
      <c r="A290" s="83" t="s">
        <v>163</v>
      </c>
      <c r="B290" s="3" t="s">
        <v>76</v>
      </c>
      <c r="C290" s="80" t="s">
        <v>283</v>
      </c>
      <c r="D290" s="3" t="s">
        <v>59</v>
      </c>
      <c r="E290" s="31" t="s">
        <v>97</v>
      </c>
      <c r="F290" s="85" t="str" cm="1">
        <f t="array" ref="F29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90" s="80" t="str" cm="1">
        <f t="array" ref="G29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90" s="80" t="str">
        <f>IF(RAPPORT_FINAL[[#This Row],[INVENTAIRE_PREC.Prix_vente]]="","",RAPPORT_FINAL[[#This Row],[INVENTAIRE_PREC.Quantite]]*RAPPORT_FINAL[[#This Row],[INVENTAIRE_PREC.Prix_cout]])</f>
        <v/>
      </c>
      <c r="I290" s="83" t="str" cm="1">
        <f t="array" ref="I29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90" s="88" t="str">
        <f>IF(RAPPORT_FINAL[[#This Row],[INVENTAIRE_PREC.Prix_vente]]="","",RAPPORT_FINAL[[#This Row],[INVENTAIRE_PREC.Quantite]]*RAPPORT_FINAL[[#This Row],[INVENTAIRE_PREC.Prix_vente]])</f>
        <v/>
      </c>
      <c r="K290" s="24"/>
      <c r="L290" s="11"/>
      <c r="M290" s="25"/>
      <c r="N290" s="24"/>
      <c r="O290" s="11"/>
      <c r="P290" s="25"/>
      <c r="Q290" s="85">
        <v>20</v>
      </c>
      <c r="R290" s="80" cm="1">
        <f t="array" ref="R29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208.33</v>
      </c>
      <c r="S290" s="80">
        <f>RAPPORT_FINAL[[#This Row],[INVENTAIRE.Quantite]]*RAPPORT_FINAL[[#This Row],[INVENTAIRE.Prix_cout]]</f>
        <v>4166.6000000000004</v>
      </c>
      <c r="T290" s="83" cm="1">
        <f t="array" ref="T29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290" s="88">
        <f>IF(OR(RAPPORT_FINAL[[#This Row],[INVENTAIRE.Quantite]]="",RAPPORT_FINAL[[#This Row],[INVENTAIRE.Prix_vente]]=""),"",RAPPORT_FINAL[[#This Row],[INVENTAIRE.Quantite]]*RAPPORT_FINAL[[#This Row],[INVENTAIRE.Prix_vente]])</f>
        <v>10000</v>
      </c>
      <c r="V29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90" s="24">
        <f>RAPPORT_FINAL[[#This Row],[INVENTAIRE.Prix_cout]]</f>
        <v>208.33</v>
      </c>
      <c r="X290" s="85">
        <f>RAPPORT_FINAL[[#This Row],[INVENTAIRE_THEORIQUE]]*RAPPORT_FINAL[[#This Row],[INVENTAIRE_THEORIQUE.Prix_cout]]</f>
        <v>0</v>
      </c>
      <c r="Y290" s="85">
        <f>RAPPORT_FINAL[[#This Row],[INVENTAIRE.Prix_vente]]</f>
        <v>500</v>
      </c>
      <c r="Z290" s="85">
        <f>RAPPORT_FINAL[[#This Row],[INVENTAIRE_THEORIQUE]]*RAPPORT_FINAL[[#This Row],[INVENTAIRE_THEORIQUE.Prix_vente]]</f>
        <v>0</v>
      </c>
      <c r="AA290" s="85">
        <f>RAPPORT_FINAL[[#This Row],[INVENTAIRE.Quantite]]-RAPPORT_FINAL[[#This Row],[INVENTAIRE_THEORIQUE]]</f>
        <v>20</v>
      </c>
      <c r="AB290" s="90">
        <f>IFERROR(RAPPORT_FINAL[[#This Row],[ECART.Total_cout]]/RAPPORT_FINAL[[#This Row],[ECART.Quantite]],0)</f>
        <v>208.33</v>
      </c>
      <c r="AC290" s="91">
        <f>IFERROR(RAPPORT_FINAL[[#This Row],[ECART.Quantite]]*RAPPORT_FINAL[[#This Row],[INVENTAIRE.Prix_cout]],"")</f>
        <v>4166.6000000000004</v>
      </c>
      <c r="AD290" s="83">
        <f>IFERROR(RAPPORT_FINAL[[#This Row],[ECART.Total_vente]]/RAPPORT_FINAL[[#This Row],[ECART.Quantite]],0)</f>
        <v>500</v>
      </c>
      <c r="AE290" s="92">
        <f>IFERROR(RAPPORT_FINAL[[#This Row],[ECART.Quantite]]*RAPPORT_FINAL[[#This Row],[INVENTAIRE.Prix_vente]],"")</f>
        <v>10000</v>
      </c>
    </row>
    <row r="291" spans="1:31" hidden="1" x14ac:dyDescent="0.25">
      <c r="A291" s="83" t="s">
        <v>163</v>
      </c>
      <c r="B291" s="3" t="s">
        <v>76</v>
      </c>
      <c r="C291" s="80" t="s">
        <v>283</v>
      </c>
      <c r="D291" s="3" t="s">
        <v>33</v>
      </c>
      <c r="E291" s="31" t="s">
        <v>97</v>
      </c>
      <c r="F291" s="85" t="str" cm="1">
        <f t="array" ref="F29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91" s="80" t="str" cm="1">
        <f t="array" ref="G29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91" s="80" t="str">
        <f>IF(RAPPORT_FINAL[[#This Row],[INVENTAIRE_PREC.Prix_vente]]="","",RAPPORT_FINAL[[#This Row],[INVENTAIRE_PREC.Quantite]]*RAPPORT_FINAL[[#This Row],[INVENTAIRE_PREC.Prix_cout]])</f>
        <v/>
      </c>
      <c r="I291" s="83" t="str" cm="1">
        <f t="array" ref="I29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91" s="88" t="str">
        <f>IF(RAPPORT_FINAL[[#This Row],[INVENTAIRE_PREC.Prix_vente]]="","",RAPPORT_FINAL[[#This Row],[INVENTAIRE_PREC.Quantite]]*RAPPORT_FINAL[[#This Row],[INVENTAIRE_PREC.Prix_vente]])</f>
        <v/>
      </c>
      <c r="K291" s="24"/>
      <c r="L291" s="11"/>
      <c r="M291" s="25"/>
      <c r="N291" s="24"/>
      <c r="O291" s="11"/>
      <c r="P291" s="25"/>
      <c r="Q291" s="85">
        <v>3</v>
      </c>
      <c r="R291" s="80" cm="1">
        <f t="array" ref="R29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600</v>
      </c>
      <c r="S291" s="80">
        <f>RAPPORT_FINAL[[#This Row],[INVENTAIRE.Quantite]]*RAPPORT_FINAL[[#This Row],[INVENTAIRE.Prix_cout]]</f>
        <v>1800</v>
      </c>
      <c r="T291" s="83" cm="1">
        <f t="array" ref="T29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1000</v>
      </c>
      <c r="U291" s="88">
        <f>IF(OR(RAPPORT_FINAL[[#This Row],[INVENTAIRE.Quantite]]="",RAPPORT_FINAL[[#This Row],[INVENTAIRE.Prix_vente]]=""),"",RAPPORT_FINAL[[#This Row],[INVENTAIRE.Quantite]]*RAPPORT_FINAL[[#This Row],[INVENTAIRE.Prix_vente]])</f>
        <v>3000</v>
      </c>
      <c r="V29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91" s="24">
        <f>RAPPORT_FINAL[[#This Row],[INVENTAIRE.Prix_cout]]</f>
        <v>600</v>
      </c>
      <c r="X291" s="85">
        <f>RAPPORT_FINAL[[#This Row],[INVENTAIRE_THEORIQUE]]*RAPPORT_FINAL[[#This Row],[INVENTAIRE_THEORIQUE.Prix_cout]]</f>
        <v>0</v>
      </c>
      <c r="Y291" s="85">
        <f>RAPPORT_FINAL[[#This Row],[INVENTAIRE.Prix_vente]]</f>
        <v>1000</v>
      </c>
      <c r="Z291" s="85">
        <f>RAPPORT_FINAL[[#This Row],[INVENTAIRE_THEORIQUE]]*RAPPORT_FINAL[[#This Row],[INVENTAIRE_THEORIQUE.Prix_vente]]</f>
        <v>0</v>
      </c>
      <c r="AA291" s="85">
        <f>RAPPORT_FINAL[[#This Row],[INVENTAIRE.Quantite]]-RAPPORT_FINAL[[#This Row],[INVENTAIRE_THEORIQUE]]</f>
        <v>3</v>
      </c>
      <c r="AB291" s="90">
        <f>IFERROR(RAPPORT_FINAL[[#This Row],[ECART.Total_cout]]/RAPPORT_FINAL[[#This Row],[ECART.Quantite]],0)</f>
        <v>600</v>
      </c>
      <c r="AC291" s="91">
        <f>IFERROR(RAPPORT_FINAL[[#This Row],[ECART.Quantite]]*RAPPORT_FINAL[[#This Row],[INVENTAIRE.Prix_cout]],"")</f>
        <v>1800</v>
      </c>
      <c r="AD291" s="83">
        <f>IFERROR(RAPPORT_FINAL[[#This Row],[ECART.Total_vente]]/RAPPORT_FINAL[[#This Row],[ECART.Quantite]],0)</f>
        <v>1000</v>
      </c>
      <c r="AE291" s="92">
        <f>IFERROR(RAPPORT_FINAL[[#This Row],[ECART.Quantite]]*RAPPORT_FINAL[[#This Row],[INVENTAIRE.Prix_vente]],"")</f>
        <v>3000</v>
      </c>
    </row>
    <row r="292" spans="1:31" hidden="1" x14ac:dyDescent="0.25">
      <c r="A292" s="83" t="s">
        <v>163</v>
      </c>
      <c r="B292" s="3" t="s">
        <v>76</v>
      </c>
      <c r="C292" s="80" t="s">
        <v>283</v>
      </c>
      <c r="D292" s="3" t="s">
        <v>80</v>
      </c>
      <c r="E292" s="31" t="s">
        <v>97</v>
      </c>
      <c r="F292" s="85" t="str" cm="1">
        <f t="array" ref="F29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92" s="80" t="str" cm="1">
        <f t="array" ref="G29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92" s="80" t="str">
        <f>IF(RAPPORT_FINAL[[#This Row],[INVENTAIRE_PREC.Prix_vente]]="","",RAPPORT_FINAL[[#This Row],[INVENTAIRE_PREC.Quantite]]*RAPPORT_FINAL[[#This Row],[INVENTAIRE_PREC.Prix_cout]])</f>
        <v/>
      </c>
      <c r="I292" s="83" t="str" cm="1">
        <f t="array" ref="I29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92" s="88" t="str">
        <f>IF(RAPPORT_FINAL[[#This Row],[INVENTAIRE_PREC.Prix_vente]]="","",RAPPORT_FINAL[[#This Row],[INVENTAIRE_PREC.Quantite]]*RAPPORT_FINAL[[#This Row],[INVENTAIRE_PREC.Prix_vente]])</f>
        <v/>
      </c>
      <c r="K292" s="24"/>
      <c r="L292" s="11"/>
      <c r="M292" s="25"/>
      <c r="N292" s="24"/>
      <c r="O292" s="11"/>
      <c r="P292" s="25"/>
      <c r="Q292" s="85">
        <v>1</v>
      </c>
      <c r="R292" s="80" cm="1">
        <f t="array" ref="R29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9850</v>
      </c>
      <c r="S292" s="80">
        <f>RAPPORT_FINAL[[#This Row],[INVENTAIRE.Quantite]]*RAPPORT_FINAL[[#This Row],[INVENTAIRE.Prix_cout]]</f>
        <v>9850</v>
      </c>
      <c r="T292" s="83" cm="1">
        <f t="array" ref="T29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15000</v>
      </c>
      <c r="U292" s="88">
        <f>IF(OR(RAPPORT_FINAL[[#This Row],[INVENTAIRE.Quantite]]="",RAPPORT_FINAL[[#This Row],[INVENTAIRE.Prix_vente]]=""),"",RAPPORT_FINAL[[#This Row],[INVENTAIRE.Quantite]]*RAPPORT_FINAL[[#This Row],[INVENTAIRE.Prix_vente]])</f>
        <v>15000</v>
      </c>
      <c r="V29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92" s="24">
        <f>RAPPORT_FINAL[[#This Row],[INVENTAIRE.Prix_cout]]</f>
        <v>9850</v>
      </c>
      <c r="X292" s="85">
        <f>RAPPORT_FINAL[[#This Row],[INVENTAIRE_THEORIQUE]]*RAPPORT_FINAL[[#This Row],[INVENTAIRE_THEORIQUE.Prix_cout]]</f>
        <v>0</v>
      </c>
      <c r="Y292" s="85">
        <f>RAPPORT_FINAL[[#This Row],[INVENTAIRE.Prix_vente]]</f>
        <v>15000</v>
      </c>
      <c r="Z292" s="85">
        <f>RAPPORT_FINAL[[#This Row],[INVENTAIRE_THEORIQUE]]*RAPPORT_FINAL[[#This Row],[INVENTAIRE_THEORIQUE.Prix_vente]]</f>
        <v>0</v>
      </c>
      <c r="AA292" s="85">
        <f>RAPPORT_FINAL[[#This Row],[INVENTAIRE.Quantite]]-RAPPORT_FINAL[[#This Row],[INVENTAIRE_THEORIQUE]]</f>
        <v>1</v>
      </c>
      <c r="AB292" s="90">
        <f>IFERROR(RAPPORT_FINAL[[#This Row],[ECART.Total_cout]]/RAPPORT_FINAL[[#This Row],[ECART.Quantite]],0)</f>
        <v>9850</v>
      </c>
      <c r="AC292" s="91">
        <f>IFERROR(RAPPORT_FINAL[[#This Row],[ECART.Quantite]]*RAPPORT_FINAL[[#This Row],[INVENTAIRE.Prix_cout]],"")</f>
        <v>9850</v>
      </c>
      <c r="AD292" s="83">
        <f>IFERROR(RAPPORT_FINAL[[#This Row],[ECART.Total_vente]]/RAPPORT_FINAL[[#This Row],[ECART.Quantite]],0)</f>
        <v>15000</v>
      </c>
      <c r="AE292" s="92">
        <f>IFERROR(RAPPORT_FINAL[[#This Row],[ECART.Quantite]]*RAPPORT_FINAL[[#This Row],[INVENTAIRE.Prix_vente]],"")</f>
        <v>15000</v>
      </c>
    </row>
    <row r="293" spans="1:31" hidden="1" x14ac:dyDescent="0.25">
      <c r="A293" s="83" t="s">
        <v>163</v>
      </c>
      <c r="B293" s="3" t="s">
        <v>149</v>
      </c>
      <c r="C293" s="80" t="s">
        <v>283</v>
      </c>
      <c r="D293" s="3" t="s">
        <v>148</v>
      </c>
      <c r="E293" s="31" t="s">
        <v>150</v>
      </c>
      <c r="F293" s="85" t="str" cm="1">
        <f t="array" ref="F29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93" s="80" t="str" cm="1">
        <f t="array" ref="G29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93" s="80" t="str">
        <f>IF(RAPPORT_FINAL[[#This Row],[INVENTAIRE_PREC.Prix_vente]]="","",RAPPORT_FINAL[[#This Row],[INVENTAIRE_PREC.Quantite]]*RAPPORT_FINAL[[#This Row],[INVENTAIRE_PREC.Prix_cout]])</f>
        <v/>
      </c>
      <c r="I293" s="83" t="str" cm="1">
        <f t="array" ref="I29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93" s="88" t="str">
        <f>IF(RAPPORT_FINAL[[#This Row],[INVENTAIRE_PREC.Prix_vente]]="","",RAPPORT_FINAL[[#This Row],[INVENTAIRE_PREC.Quantite]]*RAPPORT_FINAL[[#This Row],[INVENTAIRE_PREC.Prix_vente]])</f>
        <v/>
      </c>
      <c r="K293" s="24"/>
      <c r="L293" s="11"/>
      <c r="M293" s="25"/>
      <c r="N293" s="24"/>
      <c r="O293" s="11"/>
      <c r="P293" s="25"/>
      <c r="Q293" s="85">
        <v>11</v>
      </c>
      <c r="R293" s="80" cm="1">
        <f t="array" ref="R29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80</v>
      </c>
      <c r="S293" s="80">
        <f>RAPPORT_FINAL[[#This Row],[INVENTAIRE.Quantite]]*RAPPORT_FINAL[[#This Row],[INVENTAIRE.Prix_cout]]</f>
        <v>880</v>
      </c>
      <c r="T293" s="83" cm="1">
        <f t="array" ref="T29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293" s="88">
        <f>IF(OR(RAPPORT_FINAL[[#This Row],[INVENTAIRE.Quantite]]="",RAPPORT_FINAL[[#This Row],[INVENTAIRE.Prix_vente]]=""),"",RAPPORT_FINAL[[#This Row],[INVENTAIRE.Quantite]]*RAPPORT_FINAL[[#This Row],[INVENTAIRE.Prix_vente]])</f>
        <v>5500</v>
      </c>
      <c r="V29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93" s="24">
        <f>RAPPORT_FINAL[[#This Row],[INVENTAIRE.Prix_cout]]</f>
        <v>80</v>
      </c>
      <c r="X293" s="85">
        <f>RAPPORT_FINAL[[#This Row],[INVENTAIRE_THEORIQUE]]*RAPPORT_FINAL[[#This Row],[INVENTAIRE_THEORIQUE.Prix_cout]]</f>
        <v>0</v>
      </c>
      <c r="Y293" s="85">
        <f>RAPPORT_FINAL[[#This Row],[INVENTAIRE.Prix_vente]]</f>
        <v>500</v>
      </c>
      <c r="Z293" s="85">
        <f>RAPPORT_FINAL[[#This Row],[INVENTAIRE_THEORIQUE]]*RAPPORT_FINAL[[#This Row],[INVENTAIRE_THEORIQUE.Prix_vente]]</f>
        <v>0</v>
      </c>
      <c r="AA293" s="85">
        <f>RAPPORT_FINAL[[#This Row],[INVENTAIRE.Quantite]]-RAPPORT_FINAL[[#This Row],[INVENTAIRE_THEORIQUE]]</f>
        <v>11</v>
      </c>
      <c r="AB293" s="90">
        <f>IFERROR(RAPPORT_FINAL[[#This Row],[ECART.Total_cout]]/RAPPORT_FINAL[[#This Row],[ECART.Quantite]],0)</f>
        <v>80</v>
      </c>
      <c r="AC293" s="91">
        <f>IFERROR(RAPPORT_FINAL[[#This Row],[ECART.Quantite]]*RAPPORT_FINAL[[#This Row],[INVENTAIRE.Prix_cout]],"")</f>
        <v>880</v>
      </c>
      <c r="AD293" s="83">
        <f>IFERROR(RAPPORT_FINAL[[#This Row],[ECART.Total_vente]]/RAPPORT_FINAL[[#This Row],[ECART.Quantite]],0)</f>
        <v>500</v>
      </c>
      <c r="AE293" s="92">
        <f>IFERROR(RAPPORT_FINAL[[#This Row],[ECART.Quantite]]*RAPPORT_FINAL[[#This Row],[INVENTAIRE.Prix_vente]],"")</f>
        <v>5500</v>
      </c>
    </row>
    <row r="294" spans="1:31" hidden="1" x14ac:dyDescent="0.25">
      <c r="A294" s="83" t="s">
        <v>163</v>
      </c>
      <c r="B294" s="3" t="s">
        <v>71</v>
      </c>
      <c r="C294" s="80" t="s">
        <v>285</v>
      </c>
      <c r="D294" s="3" t="s">
        <v>16</v>
      </c>
      <c r="E294" s="31" t="s">
        <v>96</v>
      </c>
      <c r="F294" s="85" t="str" cm="1">
        <f t="array" ref="F29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94" s="80" t="str" cm="1">
        <f t="array" ref="G29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94" s="80" t="str">
        <f>IF(RAPPORT_FINAL[[#This Row],[INVENTAIRE_PREC.Prix_vente]]="","",RAPPORT_FINAL[[#This Row],[INVENTAIRE_PREC.Quantite]]*RAPPORT_FINAL[[#This Row],[INVENTAIRE_PREC.Prix_cout]])</f>
        <v/>
      </c>
      <c r="I294" s="83" t="str" cm="1">
        <f t="array" ref="I29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94" s="88" t="str">
        <f>IF(RAPPORT_FINAL[[#This Row],[INVENTAIRE_PREC.Prix_vente]]="","",RAPPORT_FINAL[[#This Row],[INVENTAIRE_PREC.Quantite]]*RAPPORT_FINAL[[#This Row],[INVENTAIRE_PREC.Prix_vente]])</f>
        <v/>
      </c>
      <c r="K294" s="24"/>
      <c r="L294" s="11"/>
      <c r="M294" s="25"/>
      <c r="N294" s="24"/>
      <c r="O294" s="11"/>
      <c r="P294" s="25"/>
      <c r="Q294" s="85">
        <v>9</v>
      </c>
      <c r="R294" s="80" cm="1">
        <f t="array" ref="R29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954.54999999999984</v>
      </c>
      <c r="S294" s="80">
        <f>RAPPORT_FINAL[[#This Row],[INVENTAIRE.Quantite]]*RAPPORT_FINAL[[#This Row],[INVENTAIRE.Prix_cout]]</f>
        <v>8590.9499999999989</v>
      </c>
      <c r="T294" s="83" cm="1">
        <f t="array" ref="T29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294" s="88">
        <f>IF(OR(RAPPORT_FINAL[[#This Row],[INVENTAIRE.Quantite]]="",RAPPORT_FINAL[[#This Row],[INVENTAIRE.Prix_vente]]=""),"",RAPPORT_FINAL[[#This Row],[INVENTAIRE.Quantite]]*RAPPORT_FINAL[[#This Row],[INVENTAIRE.Prix_vente]])</f>
        <v>27000</v>
      </c>
      <c r="V29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94" s="24">
        <f>RAPPORT_FINAL[[#This Row],[INVENTAIRE.Prix_cout]]</f>
        <v>954.54999999999984</v>
      </c>
      <c r="X294" s="85">
        <f>RAPPORT_FINAL[[#This Row],[INVENTAIRE_THEORIQUE]]*RAPPORT_FINAL[[#This Row],[INVENTAIRE_THEORIQUE.Prix_cout]]</f>
        <v>0</v>
      </c>
      <c r="Y294" s="85">
        <f>RAPPORT_FINAL[[#This Row],[INVENTAIRE.Prix_vente]]</f>
        <v>3000</v>
      </c>
      <c r="Z294" s="85">
        <f>RAPPORT_FINAL[[#This Row],[INVENTAIRE_THEORIQUE]]*RAPPORT_FINAL[[#This Row],[INVENTAIRE_THEORIQUE.Prix_vente]]</f>
        <v>0</v>
      </c>
      <c r="AA294" s="85">
        <f>RAPPORT_FINAL[[#This Row],[INVENTAIRE.Quantite]]-RAPPORT_FINAL[[#This Row],[INVENTAIRE_THEORIQUE]]</f>
        <v>9</v>
      </c>
      <c r="AB294" s="90">
        <f>IFERROR(RAPPORT_FINAL[[#This Row],[ECART.Total_cout]]/RAPPORT_FINAL[[#This Row],[ECART.Quantite]],0)</f>
        <v>954.54999999999984</v>
      </c>
      <c r="AC294" s="91">
        <f>IFERROR(RAPPORT_FINAL[[#This Row],[ECART.Quantite]]*RAPPORT_FINAL[[#This Row],[INVENTAIRE.Prix_cout]],"")</f>
        <v>8590.9499999999989</v>
      </c>
      <c r="AD294" s="83">
        <f>IFERROR(RAPPORT_FINAL[[#This Row],[ECART.Total_vente]]/RAPPORT_FINAL[[#This Row],[ECART.Quantite]],0)</f>
        <v>3000</v>
      </c>
      <c r="AE294" s="92">
        <f>IFERROR(RAPPORT_FINAL[[#This Row],[ECART.Quantite]]*RAPPORT_FINAL[[#This Row],[INVENTAIRE.Prix_vente]],"")</f>
        <v>27000</v>
      </c>
    </row>
    <row r="295" spans="1:31" x14ac:dyDescent="0.25">
      <c r="A295" s="83" t="s">
        <v>163</v>
      </c>
      <c r="B295" s="3" t="s">
        <v>71</v>
      </c>
      <c r="C295" s="80" t="s">
        <v>284</v>
      </c>
      <c r="D295" s="3" t="s">
        <v>8</v>
      </c>
      <c r="E295" s="31" t="s">
        <v>108</v>
      </c>
      <c r="F295" s="85" t="str" cm="1">
        <f t="array" ref="F29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95" s="80" t="str" cm="1">
        <f t="array" ref="G29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95" s="80" t="str">
        <f>IF(RAPPORT_FINAL[[#This Row],[INVENTAIRE_PREC.Prix_vente]]="","",RAPPORT_FINAL[[#This Row],[INVENTAIRE_PREC.Quantite]]*RAPPORT_FINAL[[#This Row],[INVENTAIRE_PREC.Prix_cout]])</f>
        <v/>
      </c>
      <c r="I295" s="83" t="str" cm="1">
        <f t="array" ref="I29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95" s="88" t="str">
        <f>IF(RAPPORT_FINAL[[#This Row],[INVENTAIRE_PREC.Prix_vente]]="","",RAPPORT_FINAL[[#This Row],[INVENTAIRE_PREC.Quantite]]*RAPPORT_FINAL[[#This Row],[INVENTAIRE_PREC.Prix_vente]])</f>
        <v/>
      </c>
      <c r="K295" s="24"/>
      <c r="L295" s="11"/>
      <c r="M295" s="25"/>
      <c r="N295" s="24"/>
      <c r="O295" s="11"/>
      <c r="P295" s="25"/>
      <c r="Q295" s="85">
        <v>0</v>
      </c>
      <c r="R295" s="80" cm="1">
        <f t="array" ref="R29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295" s="80">
        <f>RAPPORT_FINAL[[#This Row],[INVENTAIRE.Quantite]]*RAPPORT_FINAL[[#This Row],[INVENTAIRE.Prix_cout]]</f>
        <v>0</v>
      </c>
      <c r="T295" s="83" cm="1">
        <f t="array" ref="T29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0.4</v>
      </c>
      <c r="U295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29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95" s="24">
        <f>RAPPORT_FINAL[[#This Row],[INVENTAIRE.Prix_cout]]</f>
        <v>0</v>
      </c>
      <c r="X295" s="85">
        <f>RAPPORT_FINAL[[#This Row],[INVENTAIRE_THEORIQUE]]*RAPPORT_FINAL[[#This Row],[INVENTAIRE_THEORIQUE.Prix_cout]]</f>
        <v>0</v>
      </c>
      <c r="Y295" s="85">
        <f>RAPPORT_FINAL[[#This Row],[INVENTAIRE.Prix_vente]]</f>
        <v>0.4</v>
      </c>
      <c r="Z295" s="85">
        <f>RAPPORT_FINAL[[#This Row],[INVENTAIRE_THEORIQUE]]*RAPPORT_FINAL[[#This Row],[INVENTAIRE_THEORIQUE.Prix_vente]]</f>
        <v>0</v>
      </c>
      <c r="AA295" s="85">
        <f>RAPPORT_FINAL[[#This Row],[INVENTAIRE.Quantite]]-RAPPORT_FINAL[[#This Row],[INVENTAIRE_THEORIQUE]]</f>
        <v>0</v>
      </c>
      <c r="AB295" s="90">
        <f>IFERROR(RAPPORT_FINAL[[#This Row],[ECART.Total_cout]]/RAPPORT_FINAL[[#This Row],[ECART.Quantite]],0)</f>
        <v>0</v>
      </c>
      <c r="AC295" s="91">
        <f>IFERROR(RAPPORT_FINAL[[#This Row],[ECART.Quantite]]*RAPPORT_FINAL[[#This Row],[INVENTAIRE.Prix_cout]],"")</f>
        <v>0</v>
      </c>
      <c r="AD295" s="83">
        <f>IFERROR(RAPPORT_FINAL[[#This Row],[ECART.Total_vente]]/RAPPORT_FINAL[[#This Row],[ECART.Quantite]],0)</f>
        <v>0</v>
      </c>
      <c r="AE295" s="92">
        <f>IFERROR(RAPPORT_FINAL[[#This Row],[ECART.Quantite]]*RAPPORT_FINAL[[#This Row],[INVENTAIRE.Prix_vente]],"")</f>
        <v>0</v>
      </c>
    </row>
    <row r="296" spans="1:31" hidden="1" x14ac:dyDescent="0.25">
      <c r="A296" s="83" t="s">
        <v>163</v>
      </c>
      <c r="B296" s="3" t="s">
        <v>71</v>
      </c>
      <c r="C296" s="80" t="s">
        <v>284</v>
      </c>
      <c r="D296" s="3" t="s">
        <v>26</v>
      </c>
      <c r="E296" s="31" t="s">
        <v>108</v>
      </c>
      <c r="F296" s="85" t="str" cm="1">
        <f t="array" ref="F29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96" s="80" t="str" cm="1">
        <f t="array" ref="G29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96" s="80" t="str">
        <f>IF(RAPPORT_FINAL[[#This Row],[INVENTAIRE_PREC.Prix_vente]]="","",RAPPORT_FINAL[[#This Row],[INVENTAIRE_PREC.Quantite]]*RAPPORT_FINAL[[#This Row],[INVENTAIRE_PREC.Prix_cout]])</f>
        <v/>
      </c>
      <c r="I296" s="83" t="str" cm="1">
        <f t="array" ref="I29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96" s="88" t="str">
        <f>IF(RAPPORT_FINAL[[#This Row],[INVENTAIRE_PREC.Prix_vente]]="","",RAPPORT_FINAL[[#This Row],[INVENTAIRE_PREC.Quantite]]*RAPPORT_FINAL[[#This Row],[INVENTAIRE_PREC.Prix_vente]])</f>
        <v/>
      </c>
      <c r="K296" s="24"/>
      <c r="L296" s="11"/>
      <c r="M296" s="25"/>
      <c r="N296" s="24"/>
      <c r="O296" s="11"/>
      <c r="P296" s="25"/>
      <c r="Q296" s="85">
        <v>1494</v>
      </c>
      <c r="R296" s="80" cm="1">
        <f t="array" ref="R29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1.2</v>
      </c>
      <c r="S296" s="80">
        <f>RAPPORT_FINAL[[#This Row],[INVENTAIRE.Quantite]]*RAPPORT_FINAL[[#This Row],[INVENTAIRE.Prix_cout]]</f>
        <v>1792.8</v>
      </c>
      <c r="T296" s="83" cm="1">
        <f t="array" ref="T29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3.0303030303030303</v>
      </c>
      <c r="U296" s="88">
        <f>IF(OR(RAPPORT_FINAL[[#This Row],[INVENTAIRE.Quantite]]="",RAPPORT_FINAL[[#This Row],[INVENTAIRE.Prix_vente]]=""),"",RAPPORT_FINAL[[#This Row],[INVENTAIRE.Quantite]]*RAPPORT_FINAL[[#This Row],[INVENTAIRE.Prix_vente]])</f>
        <v>4527.272727272727</v>
      </c>
      <c r="V29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96" s="24">
        <f>RAPPORT_FINAL[[#This Row],[INVENTAIRE.Prix_cout]]</f>
        <v>1.2</v>
      </c>
      <c r="X296" s="85">
        <f>RAPPORT_FINAL[[#This Row],[INVENTAIRE_THEORIQUE]]*RAPPORT_FINAL[[#This Row],[INVENTAIRE_THEORIQUE.Prix_cout]]</f>
        <v>0</v>
      </c>
      <c r="Y296" s="85">
        <f>RAPPORT_FINAL[[#This Row],[INVENTAIRE.Prix_vente]]</f>
        <v>3.0303030303030303</v>
      </c>
      <c r="Z296" s="85">
        <f>RAPPORT_FINAL[[#This Row],[INVENTAIRE_THEORIQUE]]*RAPPORT_FINAL[[#This Row],[INVENTAIRE_THEORIQUE.Prix_vente]]</f>
        <v>0</v>
      </c>
      <c r="AA296" s="85">
        <f>RAPPORT_FINAL[[#This Row],[INVENTAIRE.Quantite]]-RAPPORT_FINAL[[#This Row],[INVENTAIRE_THEORIQUE]]</f>
        <v>1494</v>
      </c>
      <c r="AB296" s="90">
        <f>IFERROR(RAPPORT_FINAL[[#This Row],[ECART.Total_cout]]/RAPPORT_FINAL[[#This Row],[ECART.Quantite]],0)</f>
        <v>1.2</v>
      </c>
      <c r="AC296" s="91">
        <f>IFERROR(RAPPORT_FINAL[[#This Row],[ECART.Quantite]]*RAPPORT_FINAL[[#This Row],[INVENTAIRE.Prix_cout]],"")</f>
        <v>1792.8</v>
      </c>
      <c r="AD296" s="83">
        <f>IFERROR(RAPPORT_FINAL[[#This Row],[ECART.Total_vente]]/RAPPORT_FINAL[[#This Row],[ECART.Quantite]],0)</f>
        <v>3.0303030303030303</v>
      </c>
      <c r="AE296" s="92">
        <f>IFERROR(RAPPORT_FINAL[[#This Row],[ECART.Quantite]]*RAPPORT_FINAL[[#This Row],[INVENTAIRE.Prix_vente]],"")</f>
        <v>4527.272727272727</v>
      </c>
    </row>
    <row r="297" spans="1:31" x14ac:dyDescent="0.25">
      <c r="A297" s="83" t="s">
        <v>163</v>
      </c>
      <c r="B297" s="3" t="s">
        <v>71</v>
      </c>
      <c r="C297" s="80" t="s">
        <v>284</v>
      </c>
      <c r="D297" s="3" t="s">
        <v>10</v>
      </c>
      <c r="E297" s="31" t="s">
        <v>108</v>
      </c>
      <c r="F297" s="85" t="str" cm="1">
        <f t="array" ref="F29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97" s="80" t="str" cm="1">
        <f t="array" ref="G29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97" s="80" t="str">
        <f>IF(RAPPORT_FINAL[[#This Row],[INVENTAIRE_PREC.Prix_vente]]="","",RAPPORT_FINAL[[#This Row],[INVENTAIRE_PREC.Quantite]]*RAPPORT_FINAL[[#This Row],[INVENTAIRE_PREC.Prix_cout]])</f>
        <v/>
      </c>
      <c r="I297" s="83" t="str" cm="1">
        <f t="array" ref="I29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97" s="88" t="str">
        <f>IF(RAPPORT_FINAL[[#This Row],[INVENTAIRE_PREC.Prix_vente]]="","",RAPPORT_FINAL[[#This Row],[INVENTAIRE_PREC.Quantite]]*RAPPORT_FINAL[[#This Row],[INVENTAIRE_PREC.Prix_vente]])</f>
        <v/>
      </c>
      <c r="K297" s="24"/>
      <c r="L297" s="11"/>
      <c r="M297" s="25"/>
      <c r="N297" s="24"/>
      <c r="O297" s="11"/>
      <c r="P297" s="25"/>
      <c r="Q297" s="85">
        <v>0</v>
      </c>
      <c r="R297" s="80" cm="1">
        <f t="array" ref="R29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297" s="80">
        <f>RAPPORT_FINAL[[#This Row],[INVENTAIRE.Quantite]]*RAPPORT_FINAL[[#This Row],[INVENTAIRE.Prix_cout]]</f>
        <v>0</v>
      </c>
      <c r="T297" s="83" cm="1">
        <f t="array" ref="T29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0.2</v>
      </c>
      <c r="U297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29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97" s="24">
        <f>RAPPORT_FINAL[[#This Row],[INVENTAIRE.Prix_cout]]</f>
        <v>0</v>
      </c>
      <c r="X297" s="85">
        <f>RAPPORT_FINAL[[#This Row],[INVENTAIRE_THEORIQUE]]*RAPPORT_FINAL[[#This Row],[INVENTAIRE_THEORIQUE.Prix_cout]]</f>
        <v>0</v>
      </c>
      <c r="Y297" s="85">
        <f>RAPPORT_FINAL[[#This Row],[INVENTAIRE.Prix_vente]]</f>
        <v>0.2</v>
      </c>
      <c r="Z297" s="85">
        <f>RAPPORT_FINAL[[#This Row],[INVENTAIRE_THEORIQUE]]*RAPPORT_FINAL[[#This Row],[INVENTAIRE_THEORIQUE.Prix_vente]]</f>
        <v>0</v>
      </c>
      <c r="AA297" s="85">
        <f>RAPPORT_FINAL[[#This Row],[INVENTAIRE.Quantite]]-RAPPORT_FINAL[[#This Row],[INVENTAIRE_THEORIQUE]]</f>
        <v>0</v>
      </c>
      <c r="AB297" s="90">
        <f>IFERROR(RAPPORT_FINAL[[#This Row],[ECART.Total_cout]]/RAPPORT_FINAL[[#This Row],[ECART.Quantite]],0)</f>
        <v>0</v>
      </c>
      <c r="AC297" s="91">
        <f>IFERROR(RAPPORT_FINAL[[#This Row],[ECART.Quantite]]*RAPPORT_FINAL[[#This Row],[INVENTAIRE.Prix_cout]],"")</f>
        <v>0</v>
      </c>
      <c r="AD297" s="83">
        <f>IFERROR(RAPPORT_FINAL[[#This Row],[ECART.Total_vente]]/RAPPORT_FINAL[[#This Row],[ECART.Quantite]],0)</f>
        <v>0</v>
      </c>
      <c r="AE297" s="92">
        <f>IFERROR(RAPPORT_FINAL[[#This Row],[ECART.Quantite]]*RAPPORT_FINAL[[#This Row],[INVENTAIRE.Prix_vente]],"")</f>
        <v>0</v>
      </c>
    </row>
    <row r="298" spans="1:31" hidden="1" x14ac:dyDescent="0.25">
      <c r="A298" s="83" t="s">
        <v>163</v>
      </c>
      <c r="B298" s="3" t="s">
        <v>71</v>
      </c>
      <c r="C298" s="80" t="s">
        <v>285</v>
      </c>
      <c r="D298" s="3" t="s">
        <v>112</v>
      </c>
      <c r="E298" s="31" t="s">
        <v>96</v>
      </c>
      <c r="F298" s="85" t="str" cm="1">
        <f t="array" ref="F29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98" s="80" t="str" cm="1">
        <f t="array" ref="G29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98" s="80" t="str">
        <f>IF(RAPPORT_FINAL[[#This Row],[INVENTAIRE_PREC.Prix_vente]]="","",RAPPORT_FINAL[[#This Row],[INVENTAIRE_PREC.Quantite]]*RAPPORT_FINAL[[#This Row],[INVENTAIRE_PREC.Prix_cout]])</f>
        <v/>
      </c>
      <c r="I298" s="83" t="str" cm="1">
        <f t="array" ref="I29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98" s="88" t="str">
        <f>IF(RAPPORT_FINAL[[#This Row],[INVENTAIRE_PREC.Prix_vente]]="","",RAPPORT_FINAL[[#This Row],[INVENTAIRE_PREC.Quantite]]*RAPPORT_FINAL[[#This Row],[INVENTAIRE_PREC.Prix_vente]])</f>
        <v/>
      </c>
      <c r="K298" s="24"/>
      <c r="L298" s="11"/>
      <c r="M298" s="25"/>
      <c r="N298" s="24"/>
      <c r="O298" s="11"/>
      <c r="P298" s="25"/>
      <c r="Q298" s="85">
        <v>4</v>
      </c>
      <c r="R298" s="80" cm="1">
        <f t="array" ref="R29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1312.5</v>
      </c>
      <c r="S298" s="80">
        <f>RAPPORT_FINAL[[#This Row],[INVENTAIRE.Quantite]]*RAPPORT_FINAL[[#This Row],[INVENTAIRE.Prix_cout]]</f>
        <v>5250</v>
      </c>
      <c r="T298" s="83" cm="1">
        <f t="array" ref="T29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298" s="88">
        <f>IF(OR(RAPPORT_FINAL[[#This Row],[INVENTAIRE.Quantite]]="",RAPPORT_FINAL[[#This Row],[INVENTAIRE.Prix_vente]]=""),"",RAPPORT_FINAL[[#This Row],[INVENTAIRE.Quantite]]*RAPPORT_FINAL[[#This Row],[INVENTAIRE.Prix_vente]])</f>
        <v>12000</v>
      </c>
      <c r="V29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98" s="24">
        <f>RAPPORT_FINAL[[#This Row],[INVENTAIRE.Prix_cout]]</f>
        <v>1312.5</v>
      </c>
      <c r="X298" s="85">
        <f>RAPPORT_FINAL[[#This Row],[INVENTAIRE_THEORIQUE]]*RAPPORT_FINAL[[#This Row],[INVENTAIRE_THEORIQUE.Prix_cout]]</f>
        <v>0</v>
      </c>
      <c r="Y298" s="85">
        <f>RAPPORT_FINAL[[#This Row],[INVENTAIRE.Prix_vente]]</f>
        <v>3000</v>
      </c>
      <c r="Z298" s="85">
        <f>RAPPORT_FINAL[[#This Row],[INVENTAIRE_THEORIQUE]]*RAPPORT_FINAL[[#This Row],[INVENTAIRE_THEORIQUE.Prix_vente]]</f>
        <v>0</v>
      </c>
      <c r="AA298" s="85">
        <f>RAPPORT_FINAL[[#This Row],[INVENTAIRE.Quantite]]-RAPPORT_FINAL[[#This Row],[INVENTAIRE_THEORIQUE]]</f>
        <v>4</v>
      </c>
      <c r="AB298" s="90">
        <f>IFERROR(RAPPORT_FINAL[[#This Row],[ECART.Total_cout]]/RAPPORT_FINAL[[#This Row],[ECART.Quantite]],0)</f>
        <v>1312.5</v>
      </c>
      <c r="AC298" s="91">
        <f>IFERROR(RAPPORT_FINAL[[#This Row],[ECART.Quantite]]*RAPPORT_FINAL[[#This Row],[INVENTAIRE.Prix_cout]],"")</f>
        <v>5250</v>
      </c>
      <c r="AD298" s="83">
        <f>IFERROR(RAPPORT_FINAL[[#This Row],[ECART.Total_vente]]/RAPPORT_FINAL[[#This Row],[ECART.Quantite]],0)</f>
        <v>3000</v>
      </c>
      <c r="AE298" s="92">
        <f>IFERROR(RAPPORT_FINAL[[#This Row],[ECART.Quantite]]*RAPPORT_FINAL[[#This Row],[INVENTAIRE.Prix_vente]],"")</f>
        <v>12000</v>
      </c>
    </row>
    <row r="299" spans="1:31" x14ac:dyDescent="0.25">
      <c r="A299" s="83" t="s">
        <v>163</v>
      </c>
      <c r="B299" s="3" t="s">
        <v>71</v>
      </c>
      <c r="C299" s="80" t="s">
        <v>284</v>
      </c>
      <c r="D299" s="3" t="s">
        <v>109</v>
      </c>
      <c r="E299" s="31" t="s">
        <v>96</v>
      </c>
      <c r="F299" s="85" t="str" cm="1">
        <f t="array" ref="F29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299" s="80" t="str" cm="1">
        <f t="array" ref="G29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299" s="80" t="str">
        <f>IF(RAPPORT_FINAL[[#This Row],[INVENTAIRE_PREC.Prix_vente]]="","",RAPPORT_FINAL[[#This Row],[INVENTAIRE_PREC.Quantite]]*RAPPORT_FINAL[[#This Row],[INVENTAIRE_PREC.Prix_cout]])</f>
        <v/>
      </c>
      <c r="I299" s="83" t="str" cm="1">
        <f t="array" ref="I29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299" s="88" t="str">
        <f>IF(RAPPORT_FINAL[[#This Row],[INVENTAIRE_PREC.Prix_vente]]="","",RAPPORT_FINAL[[#This Row],[INVENTAIRE_PREC.Quantite]]*RAPPORT_FINAL[[#This Row],[INVENTAIRE_PREC.Prix_vente]])</f>
        <v/>
      </c>
      <c r="K299" s="24"/>
      <c r="L299" s="11"/>
      <c r="M299" s="25"/>
      <c r="N299" s="24"/>
      <c r="O299" s="11"/>
      <c r="P299" s="25"/>
      <c r="Q299" s="85">
        <v>0</v>
      </c>
      <c r="R299" s="80" cm="1">
        <f t="array" ref="R29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299" s="80">
        <f>RAPPORT_FINAL[[#This Row],[INVENTAIRE.Quantite]]*RAPPORT_FINAL[[#This Row],[INVENTAIRE.Prix_cout]]</f>
        <v>0</v>
      </c>
      <c r="T299" s="83" cm="1">
        <f t="array" ref="T29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</v>
      </c>
      <c r="U299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29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299" s="24">
        <f>RAPPORT_FINAL[[#This Row],[INVENTAIRE.Prix_cout]]</f>
        <v>0</v>
      </c>
      <c r="X299" s="85">
        <f>RAPPORT_FINAL[[#This Row],[INVENTAIRE_THEORIQUE]]*RAPPORT_FINAL[[#This Row],[INVENTAIRE_THEORIQUE.Prix_cout]]</f>
        <v>0</v>
      </c>
      <c r="Y299" s="85">
        <f>RAPPORT_FINAL[[#This Row],[INVENTAIRE.Prix_vente]]</f>
        <v>250</v>
      </c>
      <c r="Z299" s="85">
        <f>RAPPORT_FINAL[[#This Row],[INVENTAIRE_THEORIQUE]]*RAPPORT_FINAL[[#This Row],[INVENTAIRE_THEORIQUE.Prix_vente]]</f>
        <v>0</v>
      </c>
      <c r="AA299" s="85">
        <f>RAPPORT_FINAL[[#This Row],[INVENTAIRE.Quantite]]-RAPPORT_FINAL[[#This Row],[INVENTAIRE_THEORIQUE]]</f>
        <v>0</v>
      </c>
      <c r="AB299" s="90">
        <f>IFERROR(RAPPORT_FINAL[[#This Row],[ECART.Total_cout]]/RAPPORT_FINAL[[#This Row],[ECART.Quantite]],0)</f>
        <v>0</v>
      </c>
      <c r="AC299" s="91">
        <f>IFERROR(RAPPORT_FINAL[[#This Row],[ECART.Quantite]]*RAPPORT_FINAL[[#This Row],[INVENTAIRE.Prix_cout]],"")</f>
        <v>0</v>
      </c>
      <c r="AD299" s="83">
        <f>IFERROR(RAPPORT_FINAL[[#This Row],[ECART.Total_vente]]/RAPPORT_FINAL[[#This Row],[ECART.Quantite]],0)</f>
        <v>0</v>
      </c>
      <c r="AE299" s="92">
        <f>IFERROR(RAPPORT_FINAL[[#This Row],[ECART.Quantite]]*RAPPORT_FINAL[[#This Row],[INVENTAIRE.Prix_vente]],"")</f>
        <v>0</v>
      </c>
    </row>
    <row r="300" spans="1:31" hidden="1" x14ac:dyDescent="0.25">
      <c r="A300" s="83" t="s">
        <v>163</v>
      </c>
      <c r="B300" s="3" t="s">
        <v>71</v>
      </c>
      <c r="C300" s="80" t="s">
        <v>284</v>
      </c>
      <c r="D300" s="3" t="s">
        <v>25</v>
      </c>
      <c r="E300" s="31" t="s">
        <v>108</v>
      </c>
      <c r="F300" s="85" t="str" cm="1">
        <f t="array" ref="F30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00" s="80" t="str" cm="1">
        <f t="array" ref="G30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00" s="80" t="str">
        <f>IF(RAPPORT_FINAL[[#This Row],[INVENTAIRE_PREC.Prix_vente]]="","",RAPPORT_FINAL[[#This Row],[INVENTAIRE_PREC.Quantite]]*RAPPORT_FINAL[[#This Row],[INVENTAIRE_PREC.Prix_cout]])</f>
        <v/>
      </c>
      <c r="I300" s="83" t="str" cm="1">
        <f t="array" ref="I30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00" s="88" t="str">
        <f>IF(RAPPORT_FINAL[[#This Row],[INVENTAIRE_PREC.Prix_vente]]="","",RAPPORT_FINAL[[#This Row],[INVENTAIRE_PREC.Quantite]]*RAPPORT_FINAL[[#This Row],[INVENTAIRE_PREC.Prix_vente]])</f>
        <v/>
      </c>
      <c r="K300" s="24"/>
      <c r="L300" s="11"/>
      <c r="M300" s="25"/>
      <c r="N300" s="24"/>
      <c r="O300" s="11"/>
      <c r="P300" s="25"/>
      <c r="Q300" s="85">
        <v>6400</v>
      </c>
      <c r="R300" s="80" cm="1">
        <f t="array" ref="R30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1.35</v>
      </c>
      <c r="S300" s="80">
        <f>RAPPORT_FINAL[[#This Row],[INVENTAIRE.Quantite]]*RAPPORT_FINAL[[#This Row],[INVENTAIRE.Prix_cout]]</f>
        <v>8640</v>
      </c>
      <c r="T300" s="83" cm="1">
        <f t="array" ref="T30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2.5</v>
      </c>
      <c r="U300" s="88">
        <f>IF(OR(RAPPORT_FINAL[[#This Row],[INVENTAIRE.Quantite]]="",RAPPORT_FINAL[[#This Row],[INVENTAIRE.Prix_vente]]=""),"",RAPPORT_FINAL[[#This Row],[INVENTAIRE.Quantite]]*RAPPORT_FINAL[[#This Row],[INVENTAIRE.Prix_vente]])</f>
        <v>16000</v>
      </c>
      <c r="V30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00" s="24">
        <f>RAPPORT_FINAL[[#This Row],[INVENTAIRE.Prix_cout]]</f>
        <v>1.35</v>
      </c>
      <c r="X300" s="85">
        <f>RAPPORT_FINAL[[#This Row],[INVENTAIRE_THEORIQUE]]*RAPPORT_FINAL[[#This Row],[INVENTAIRE_THEORIQUE.Prix_cout]]</f>
        <v>0</v>
      </c>
      <c r="Y300" s="85">
        <f>RAPPORT_FINAL[[#This Row],[INVENTAIRE.Prix_vente]]</f>
        <v>2.5</v>
      </c>
      <c r="Z300" s="85">
        <f>RAPPORT_FINAL[[#This Row],[INVENTAIRE_THEORIQUE]]*RAPPORT_FINAL[[#This Row],[INVENTAIRE_THEORIQUE.Prix_vente]]</f>
        <v>0</v>
      </c>
      <c r="AA300" s="85">
        <f>RAPPORT_FINAL[[#This Row],[INVENTAIRE.Quantite]]-RAPPORT_FINAL[[#This Row],[INVENTAIRE_THEORIQUE]]</f>
        <v>6400</v>
      </c>
      <c r="AB300" s="90">
        <f>IFERROR(RAPPORT_FINAL[[#This Row],[ECART.Total_cout]]/RAPPORT_FINAL[[#This Row],[ECART.Quantite]],0)</f>
        <v>1.35</v>
      </c>
      <c r="AC300" s="91">
        <f>IFERROR(RAPPORT_FINAL[[#This Row],[ECART.Quantite]]*RAPPORT_FINAL[[#This Row],[INVENTAIRE.Prix_cout]],"")</f>
        <v>8640</v>
      </c>
      <c r="AD300" s="83">
        <f>IFERROR(RAPPORT_FINAL[[#This Row],[ECART.Total_vente]]/RAPPORT_FINAL[[#This Row],[ECART.Quantite]],0)</f>
        <v>2.5</v>
      </c>
      <c r="AE300" s="92">
        <f>IFERROR(RAPPORT_FINAL[[#This Row],[ECART.Quantite]]*RAPPORT_FINAL[[#This Row],[INVENTAIRE.Prix_vente]],"")</f>
        <v>16000</v>
      </c>
    </row>
    <row r="301" spans="1:31" hidden="1" x14ac:dyDescent="0.25">
      <c r="A301" s="83" t="s">
        <v>163</v>
      </c>
      <c r="B301" s="3" t="s">
        <v>71</v>
      </c>
      <c r="C301" s="80" t="s">
        <v>285</v>
      </c>
      <c r="D301" s="3" t="s">
        <v>28</v>
      </c>
      <c r="E301" s="31" t="s">
        <v>96</v>
      </c>
      <c r="F301" s="85" t="str" cm="1">
        <f t="array" ref="F30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01" s="80" t="str" cm="1">
        <f t="array" ref="G30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01" s="80" t="str">
        <f>IF(RAPPORT_FINAL[[#This Row],[INVENTAIRE_PREC.Prix_vente]]="","",RAPPORT_FINAL[[#This Row],[INVENTAIRE_PREC.Quantite]]*RAPPORT_FINAL[[#This Row],[INVENTAIRE_PREC.Prix_cout]])</f>
        <v/>
      </c>
      <c r="I301" s="83" t="str" cm="1">
        <f t="array" ref="I30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01" s="88" t="str">
        <f>IF(RAPPORT_FINAL[[#This Row],[INVENTAIRE_PREC.Prix_vente]]="","",RAPPORT_FINAL[[#This Row],[INVENTAIRE_PREC.Quantite]]*RAPPORT_FINAL[[#This Row],[INVENTAIRE_PREC.Prix_vente]])</f>
        <v/>
      </c>
      <c r="K301" s="24"/>
      <c r="L301" s="11"/>
      <c r="M301" s="25"/>
      <c r="N301" s="24"/>
      <c r="O301" s="11"/>
      <c r="P301" s="25"/>
      <c r="Q301" s="85">
        <v>8</v>
      </c>
      <c r="R301" s="80" cm="1">
        <f t="array" ref="R30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1062.5</v>
      </c>
      <c r="S301" s="80">
        <f>RAPPORT_FINAL[[#This Row],[INVENTAIRE.Quantite]]*RAPPORT_FINAL[[#This Row],[INVENTAIRE.Prix_cout]]</f>
        <v>8500</v>
      </c>
      <c r="T301" s="83" cm="1">
        <f t="array" ref="T30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301" s="88">
        <f>IF(OR(RAPPORT_FINAL[[#This Row],[INVENTAIRE.Quantite]]="",RAPPORT_FINAL[[#This Row],[INVENTAIRE.Prix_vente]]=""),"",RAPPORT_FINAL[[#This Row],[INVENTAIRE.Quantite]]*RAPPORT_FINAL[[#This Row],[INVENTAIRE.Prix_vente]])</f>
        <v>28000</v>
      </c>
      <c r="V30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01" s="24">
        <f>RAPPORT_FINAL[[#This Row],[INVENTAIRE.Prix_cout]]</f>
        <v>1062.5</v>
      </c>
      <c r="X301" s="85">
        <f>RAPPORT_FINAL[[#This Row],[INVENTAIRE_THEORIQUE]]*RAPPORT_FINAL[[#This Row],[INVENTAIRE_THEORIQUE.Prix_cout]]</f>
        <v>0</v>
      </c>
      <c r="Y301" s="85">
        <f>RAPPORT_FINAL[[#This Row],[INVENTAIRE.Prix_vente]]</f>
        <v>3500</v>
      </c>
      <c r="Z301" s="85">
        <f>RAPPORT_FINAL[[#This Row],[INVENTAIRE_THEORIQUE]]*RAPPORT_FINAL[[#This Row],[INVENTAIRE_THEORIQUE.Prix_vente]]</f>
        <v>0</v>
      </c>
      <c r="AA301" s="85">
        <f>RAPPORT_FINAL[[#This Row],[INVENTAIRE.Quantite]]-RAPPORT_FINAL[[#This Row],[INVENTAIRE_THEORIQUE]]</f>
        <v>8</v>
      </c>
      <c r="AB301" s="90">
        <f>IFERROR(RAPPORT_FINAL[[#This Row],[ECART.Total_cout]]/RAPPORT_FINAL[[#This Row],[ECART.Quantite]],0)</f>
        <v>1062.5</v>
      </c>
      <c r="AC301" s="91">
        <f>IFERROR(RAPPORT_FINAL[[#This Row],[ECART.Quantite]]*RAPPORT_FINAL[[#This Row],[INVENTAIRE.Prix_cout]],"")</f>
        <v>8500</v>
      </c>
      <c r="AD301" s="83">
        <f>IFERROR(RAPPORT_FINAL[[#This Row],[ECART.Total_vente]]/RAPPORT_FINAL[[#This Row],[ECART.Quantite]],0)</f>
        <v>3500</v>
      </c>
      <c r="AE301" s="92">
        <f>IFERROR(RAPPORT_FINAL[[#This Row],[ECART.Quantite]]*RAPPORT_FINAL[[#This Row],[INVENTAIRE.Prix_vente]],"")</f>
        <v>28000</v>
      </c>
    </row>
    <row r="302" spans="1:31" hidden="1" x14ac:dyDescent="0.25">
      <c r="A302" s="83" t="s">
        <v>163</v>
      </c>
      <c r="B302" s="3" t="s">
        <v>71</v>
      </c>
      <c r="C302" s="80" t="s">
        <v>285</v>
      </c>
      <c r="D302" s="3" t="s">
        <v>17</v>
      </c>
      <c r="E302" s="31" t="s">
        <v>92</v>
      </c>
      <c r="F302" s="85" t="str" cm="1">
        <f t="array" ref="F30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02" s="80" t="str" cm="1">
        <f t="array" ref="G30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02" s="80" t="str">
        <f>IF(RAPPORT_FINAL[[#This Row],[INVENTAIRE_PREC.Prix_vente]]="","",RAPPORT_FINAL[[#This Row],[INVENTAIRE_PREC.Quantite]]*RAPPORT_FINAL[[#This Row],[INVENTAIRE_PREC.Prix_cout]])</f>
        <v/>
      </c>
      <c r="I302" s="83" t="str" cm="1">
        <f t="array" ref="I30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02" s="88" t="str">
        <f>IF(RAPPORT_FINAL[[#This Row],[INVENTAIRE_PREC.Prix_vente]]="","",RAPPORT_FINAL[[#This Row],[INVENTAIRE_PREC.Quantite]]*RAPPORT_FINAL[[#This Row],[INVENTAIRE_PREC.Prix_vente]])</f>
        <v/>
      </c>
      <c r="K302" s="24"/>
      <c r="L302" s="11"/>
      <c r="M302" s="25"/>
      <c r="N302" s="24"/>
      <c r="O302" s="11"/>
      <c r="P302" s="25"/>
      <c r="Q302" s="85">
        <v>14</v>
      </c>
      <c r="R302" s="80" cm="1">
        <f t="array" ref="R30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954.55</v>
      </c>
      <c r="S302" s="80">
        <f>RAPPORT_FINAL[[#This Row],[INVENTAIRE.Quantite]]*RAPPORT_FINAL[[#This Row],[INVENTAIRE.Prix_cout]]</f>
        <v>13363.699999999999</v>
      </c>
      <c r="T302" s="83" cm="1">
        <f t="array" ref="T30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302" s="88">
        <f>IF(OR(RAPPORT_FINAL[[#This Row],[INVENTAIRE.Quantite]]="",RAPPORT_FINAL[[#This Row],[INVENTAIRE.Prix_vente]]=""),"",RAPPORT_FINAL[[#This Row],[INVENTAIRE.Quantite]]*RAPPORT_FINAL[[#This Row],[INVENTAIRE.Prix_vente]])</f>
        <v>49000</v>
      </c>
      <c r="V30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02" s="24">
        <f>RAPPORT_FINAL[[#This Row],[INVENTAIRE.Prix_cout]]</f>
        <v>954.55</v>
      </c>
      <c r="X302" s="85">
        <f>RAPPORT_FINAL[[#This Row],[INVENTAIRE_THEORIQUE]]*RAPPORT_FINAL[[#This Row],[INVENTAIRE_THEORIQUE.Prix_cout]]</f>
        <v>0</v>
      </c>
      <c r="Y302" s="85">
        <f>RAPPORT_FINAL[[#This Row],[INVENTAIRE.Prix_vente]]</f>
        <v>3500</v>
      </c>
      <c r="Z302" s="85">
        <f>RAPPORT_FINAL[[#This Row],[INVENTAIRE_THEORIQUE]]*RAPPORT_FINAL[[#This Row],[INVENTAIRE_THEORIQUE.Prix_vente]]</f>
        <v>0</v>
      </c>
      <c r="AA302" s="85">
        <f>RAPPORT_FINAL[[#This Row],[INVENTAIRE.Quantite]]-RAPPORT_FINAL[[#This Row],[INVENTAIRE_THEORIQUE]]</f>
        <v>14</v>
      </c>
      <c r="AB302" s="90">
        <f>IFERROR(RAPPORT_FINAL[[#This Row],[ECART.Total_cout]]/RAPPORT_FINAL[[#This Row],[ECART.Quantite]],0)</f>
        <v>954.55</v>
      </c>
      <c r="AC302" s="91">
        <f>IFERROR(RAPPORT_FINAL[[#This Row],[ECART.Quantite]]*RAPPORT_FINAL[[#This Row],[INVENTAIRE.Prix_cout]],"")</f>
        <v>13363.699999999999</v>
      </c>
      <c r="AD302" s="83">
        <f>IFERROR(RAPPORT_FINAL[[#This Row],[ECART.Total_vente]]/RAPPORT_FINAL[[#This Row],[ECART.Quantite]],0)</f>
        <v>3500</v>
      </c>
      <c r="AE302" s="92">
        <f>IFERROR(RAPPORT_FINAL[[#This Row],[ECART.Quantite]]*RAPPORT_FINAL[[#This Row],[INVENTAIRE.Prix_vente]],"")</f>
        <v>49000</v>
      </c>
    </row>
    <row r="303" spans="1:31" hidden="1" x14ac:dyDescent="0.25">
      <c r="A303" s="83" t="s">
        <v>163</v>
      </c>
      <c r="B303" s="3" t="s">
        <v>71</v>
      </c>
      <c r="C303" s="80" t="s">
        <v>285</v>
      </c>
      <c r="D303" s="3" t="s">
        <v>27</v>
      </c>
      <c r="E303" s="31" t="s">
        <v>96</v>
      </c>
      <c r="F303" s="85" t="str" cm="1">
        <f t="array" ref="F30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03" s="80" t="str" cm="1">
        <f t="array" ref="G30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03" s="80" t="str">
        <f>IF(RAPPORT_FINAL[[#This Row],[INVENTAIRE_PREC.Prix_vente]]="","",RAPPORT_FINAL[[#This Row],[INVENTAIRE_PREC.Quantite]]*RAPPORT_FINAL[[#This Row],[INVENTAIRE_PREC.Prix_cout]])</f>
        <v/>
      </c>
      <c r="I303" s="83" t="str" cm="1">
        <f t="array" ref="I30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03" s="88" t="str">
        <f>IF(RAPPORT_FINAL[[#This Row],[INVENTAIRE_PREC.Prix_vente]]="","",RAPPORT_FINAL[[#This Row],[INVENTAIRE_PREC.Quantite]]*RAPPORT_FINAL[[#This Row],[INVENTAIRE_PREC.Prix_vente]])</f>
        <v/>
      </c>
      <c r="K303" s="24"/>
      <c r="L303" s="11"/>
      <c r="M303" s="25"/>
      <c r="N303" s="24"/>
      <c r="O303" s="11"/>
      <c r="P303" s="25"/>
      <c r="Q303" s="85">
        <v>2</v>
      </c>
      <c r="R303" s="80" cm="1">
        <f t="array" ref="R30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500</v>
      </c>
      <c r="S303" s="80">
        <f>RAPPORT_FINAL[[#This Row],[INVENTAIRE.Quantite]]*RAPPORT_FINAL[[#This Row],[INVENTAIRE.Prix_cout]]</f>
        <v>1000</v>
      </c>
      <c r="T303" s="83" cm="1">
        <f t="array" ref="T30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303" s="88">
        <f>IF(OR(RAPPORT_FINAL[[#This Row],[INVENTAIRE.Quantite]]="",RAPPORT_FINAL[[#This Row],[INVENTAIRE.Prix_vente]]=""),"",RAPPORT_FINAL[[#This Row],[INVENTAIRE.Quantite]]*RAPPORT_FINAL[[#This Row],[INVENTAIRE.Prix_vente]])</f>
        <v>7000</v>
      </c>
      <c r="V30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03" s="24">
        <f>RAPPORT_FINAL[[#This Row],[INVENTAIRE.Prix_cout]]</f>
        <v>500</v>
      </c>
      <c r="X303" s="85">
        <f>RAPPORT_FINAL[[#This Row],[INVENTAIRE_THEORIQUE]]*RAPPORT_FINAL[[#This Row],[INVENTAIRE_THEORIQUE.Prix_cout]]</f>
        <v>0</v>
      </c>
      <c r="Y303" s="85">
        <f>RAPPORT_FINAL[[#This Row],[INVENTAIRE.Prix_vente]]</f>
        <v>3500</v>
      </c>
      <c r="Z303" s="85">
        <f>RAPPORT_FINAL[[#This Row],[INVENTAIRE_THEORIQUE]]*RAPPORT_FINAL[[#This Row],[INVENTAIRE_THEORIQUE.Prix_vente]]</f>
        <v>0</v>
      </c>
      <c r="AA303" s="85">
        <f>RAPPORT_FINAL[[#This Row],[INVENTAIRE.Quantite]]-RAPPORT_FINAL[[#This Row],[INVENTAIRE_THEORIQUE]]</f>
        <v>2</v>
      </c>
      <c r="AB303" s="90">
        <f>IFERROR(RAPPORT_FINAL[[#This Row],[ECART.Total_cout]]/RAPPORT_FINAL[[#This Row],[ECART.Quantite]],0)</f>
        <v>500</v>
      </c>
      <c r="AC303" s="91">
        <f>IFERROR(RAPPORT_FINAL[[#This Row],[ECART.Quantite]]*RAPPORT_FINAL[[#This Row],[INVENTAIRE.Prix_cout]],"")</f>
        <v>1000</v>
      </c>
      <c r="AD303" s="83">
        <f>IFERROR(RAPPORT_FINAL[[#This Row],[ECART.Total_vente]]/RAPPORT_FINAL[[#This Row],[ECART.Quantite]],0)</f>
        <v>3500</v>
      </c>
      <c r="AE303" s="92">
        <f>IFERROR(RAPPORT_FINAL[[#This Row],[ECART.Quantite]]*RAPPORT_FINAL[[#This Row],[INVENTAIRE.Prix_vente]],"")</f>
        <v>7000</v>
      </c>
    </row>
    <row r="304" spans="1:31" x14ac:dyDescent="0.25">
      <c r="A304" s="83" t="s">
        <v>163</v>
      </c>
      <c r="B304" s="3" t="s">
        <v>71</v>
      </c>
      <c r="C304" s="80" t="s">
        <v>284</v>
      </c>
      <c r="D304" s="3" t="s">
        <v>24</v>
      </c>
      <c r="E304" s="31" t="s">
        <v>96</v>
      </c>
      <c r="F304" s="85" t="str" cm="1">
        <f t="array" ref="F30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04" s="80" t="str" cm="1">
        <f t="array" ref="G30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04" s="80" t="str">
        <f>IF(RAPPORT_FINAL[[#This Row],[INVENTAIRE_PREC.Prix_vente]]="","",RAPPORT_FINAL[[#This Row],[INVENTAIRE_PREC.Quantite]]*RAPPORT_FINAL[[#This Row],[INVENTAIRE_PREC.Prix_cout]])</f>
        <v/>
      </c>
      <c r="I304" s="83" t="str" cm="1">
        <f t="array" ref="I30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04" s="88" t="str">
        <f>IF(RAPPORT_FINAL[[#This Row],[INVENTAIRE_PREC.Prix_vente]]="","",RAPPORT_FINAL[[#This Row],[INVENTAIRE_PREC.Quantite]]*RAPPORT_FINAL[[#This Row],[INVENTAIRE_PREC.Prix_vente]])</f>
        <v/>
      </c>
      <c r="K304" s="24"/>
      <c r="L304" s="11"/>
      <c r="M304" s="25"/>
      <c r="N304" s="24"/>
      <c r="O304" s="11"/>
      <c r="P304" s="25"/>
      <c r="Q304" s="85">
        <v>0</v>
      </c>
      <c r="R304" s="80" cm="1">
        <f t="array" ref="R30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04" s="80">
        <f>RAPPORT_FINAL[[#This Row],[INVENTAIRE.Quantite]]*RAPPORT_FINAL[[#This Row],[INVENTAIRE.Prix_cout]]</f>
        <v>0</v>
      </c>
      <c r="T304" s="83" cm="1">
        <f t="array" ref="T30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304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0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04" s="24">
        <f>RAPPORT_FINAL[[#This Row],[INVENTAIRE.Prix_cout]]</f>
        <v>0</v>
      </c>
      <c r="X304" s="85">
        <f>RAPPORT_FINAL[[#This Row],[INVENTAIRE_THEORIQUE]]*RAPPORT_FINAL[[#This Row],[INVENTAIRE_THEORIQUE.Prix_cout]]</f>
        <v>0</v>
      </c>
      <c r="Y304" s="85">
        <f>RAPPORT_FINAL[[#This Row],[INVENTAIRE.Prix_vente]]</f>
        <v>500</v>
      </c>
      <c r="Z304" s="85">
        <f>RAPPORT_FINAL[[#This Row],[INVENTAIRE_THEORIQUE]]*RAPPORT_FINAL[[#This Row],[INVENTAIRE_THEORIQUE.Prix_vente]]</f>
        <v>0</v>
      </c>
      <c r="AA304" s="85">
        <f>RAPPORT_FINAL[[#This Row],[INVENTAIRE.Quantite]]-RAPPORT_FINAL[[#This Row],[INVENTAIRE_THEORIQUE]]</f>
        <v>0</v>
      </c>
      <c r="AB304" s="90">
        <f>IFERROR(RAPPORT_FINAL[[#This Row],[ECART.Total_cout]]/RAPPORT_FINAL[[#This Row],[ECART.Quantite]],0)</f>
        <v>0</v>
      </c>
      <c r="AC304" s="91">
        <f>IFERROR(RAPPORT_FINAL[[#This Row],[ECART.Quantite]]*RAPPORT_FINAL[[#This Row],[INVENTAIRE.Prix_cout]],"")</f>
        <v>0</v>
      </c>
      <c r="AD304" s="83">
        <f>IFERROR(RAPPORT_FINAL[[#This Row],[ECART.Total_vente]]/RAPPORT_FINAL[[#This Row],[ECART.Quantite]],0)</f>
        <v>0</v>
      </c>
      <c r="AE304" s="92">
        <f>IFERROR(RAPPORT_FINAL[[#This Row],[ECART.Quantite]]*RAPPORT_FINAL[[#This Row],[INVENTAIRE.Prix_vente]],"")</f>
        <v>0</v>
      </c>
    </row>
    <row r="305" spans="1:31" x14ac:dyDescent="0.25">
      <c r="A305" s="83" t="s">
        <v>163</v>
      </c>
      <c r="B305" s="3" t="s">
        <v>71</v>
      </c>
      <c r="C305" s="80" t="s">
        <v>284</v>
      </c>
      <c r="D305" s="3" t="s">
        <v>13</v>
      </c>
      <c r="E305" s="31" t="s">
        <v>108</v>
      </c>
      <c r="F305" s="85" t="str" cm="1">
        <f t="array" ref="F30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05" s="80" t="str" cm="1">
        <f t="array" ref="G30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05" s="80" t="str">
        <f>IF(RAPPORT_FINAL[[#This Row],[INVENTAIRE_PREC.Prix_vente]]="","",RAPPORT_FINAL[[#This Row],[INVENTAIRE_PREC.Quantite]]*RAPPORT_FINAL[[#This Row],[INVENTAIRE_PREC.Prix_cout]])</f>
        <v/>
      </c>
      <c r="I305" s="83" t="str" cm="1">
        <f t="array" ref="I30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05" s="88" t="str">
        <f>IF(RAPPORT_FINAL[[#This Row],[INVENTAIRE_PREC.Prix_vente]]="","",RAPPORT_FINAL[[#This Row],[INVENTAIRE_PREC.Quantite]]*RAPPORT_FINAL[[#This Row],[INVENTAIRE_PREC.Prix_vente]])</f>
        <v/>
      </c>
      <c r="K305" s="24"/>
      <c r="L305" s="11"/>
      <c r="M305" s="25"/>
      <c r="N305" s="24"/>
      <c r="O305" s="11"/>
      <c r="P305" s="25"/>
      <c r="Q305" s="85">
        <v>0</v>
      </c>
      <c r="R305" s="80" cm="1">
        <f t="array" ref="R30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05" s="80">
        <f>RAPPORT_FINAL[[#This Row],[INVENTAIRE.Quantite]]*RAPPORT_FINAL[[#This Row],[INVENTAIRE.Prix_cout]]</f>
        <v>0</v>
      </c>
      <c r="T305" s="83" cm="1">
        <f t="array" ref="T30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1.1399999999999999</v>
      </c>
      <c r="U305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0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05" s="24">
        <f>RAPPORT_FINAL[[#This Row],[INVENTAIRE.Prix_cout]]</f>
        <v>0</v>
      </c>
      <c r="X305" s="85">
        <f>RAPPORT_FINAL[[#This Row],[INVENTAIRE_THEORIQUE]]*RAPPORT_FINAL[[#This Row],[INVENTAIRE_THEORIQUE.Prix_cout]]</f>
        <v>0</v>
      </c>
      <c r="Y305" s="85">
        <f>RAPPORT_FINAL[[#This Row],[INVENTAIRE.Prix_vente]]</f>
        <v>1.1399999999999999</v>
      </c>
      <c r="Z305" s="85">
        <f>RAPPORT_FINAL[[#This Row],[INVENTAIRE_THEORIQUE]]*RAPPORT_FINAL[[#This Row],[INVENTAIRE_THEORIQUE.Prix_vente]]</f>
        <v>0</v>
      </c>
      <c r="AA305" s="85">
        <f>RAPPORT_FINAL[[#This Row],[INVENTAIRE.Quantite]]-RAPPORT_FINAL[[#This Row],[INVENTAIRE_THEORIQUE]]</f>
        <v>0</v>
      </c>
      <c r="AB305" s="90">
        <f>IFERROR(RAPPORT_FINAL[[#This Row],[ECART.Total_cout]]/RAPPORT_FINAL[[#This Row],[ECART.Quantite]],0)</f>
        <v>0</v>
      </c>
      <c r="AC305" s="91">
        <f>IFERROR(RAPPORT_FINAL[[#This Row],[ECART.Quantite]]*RAPPORT_FINAL[[#This Row],[INVENTAIRE.Prix_cout]],"")</f>
        <v>0</v>
      </c>
      <c r="AD305" s="83">
        <f>IFERROR(RAPPORT_FINAL[[#This Row],[ECART.Total_vente]]/RAPPORT_FINAL[[#This Row],[ECART.Quantite]],0)</f>
        <v>0</v>
      </c>
      <c r="AE305" s="92">
        <f>IFERROR(RAPPORT_FINAL[[#This Row],[ECART.Quantite]]*RAPPORT_FINAL[[#This Row],[INVENTAIRE.Prix_vente]],"")</f>
        <v>0</v>
      </c>
    </row>
    <row r="306" spans="1:31" x14ac:dyDescent="0.25">
      <c r="A306" s="83" t="s">
        <v>163</v>
      </c>
      <c r="B306" s="3" t="s">
        <v>71</v>
      </c>
      <c r="C306" s="80" t="s">
        <v>284</v>
      </c>
      <c r="D306" s="3" t="s">
        <v>11</v>
      </c>
      <c r="E306" s="31" t="s">
        <v>108</v>
      </c>
      <c r="F306" s="85" t="str" cm="1">
        <f t="array" ref="F30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06" s="80" t="str" cm="1">
        <f t="array" ref="G30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06" s="80" t="str">
        <f>IF(RAPPORT_FINAL[[#This Row],[INVENTAIRE_PREC.Prix_vente]]="","",RAPPORT_FINAL[[#This Row],[INVENTAIRE_PREC.Quantite]]*RAPPORT_FINAL[[#This Row],[INVENTAIRE_PREC.Prix_cout]])</f>
        <v/>
      </c>
      <c r="I306" s="83" t="str" cm="1">
        <f t="array" ref="I30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06" s="88" t="str">
        <f>IF(RAPPORT_FINAL[[#This Row],[INVENTAIRE_PREC.Prix_vente]]="","",RAPPORT_FINAL[[#This Row],[INVENTAIRE_PREC.Quantite]]*RAPPORT_FINAL[[#This Row],[INVENTAIRE_PREC.Prix_vente]])</f>
        <v/>
      </c>
      <c r="K306" s="24"/>
      <c r="L306" s="11"/>
      <c r="M306" s="25"/>
      <c r="N306" s="24"/>
      <c r="O306" s="11"/>
      <c r="P306" s="25"/>
      <c r="Q306" s="85">
        <v>0</v>
      </c>
      <c r="R306" s="80" cm="1">
        <f t="array" ref="R30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06" s="80">
        <f>RAPPORT_FINAL[[#This Row],[INVENTAIRE.Quantite]]*RAPPORT_FINAL[[#This Row],[INVENTAIRE.Prix_cout]]</f>
        <v>0</v>
      </c>
      <c r="T306" s="83" cm="1">
        <f t="array" ref="T30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</v>
      </c>
      <c r="U306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0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06" s="24">
        <f>RAPPORT_FINAL[[#This Row],[INVENTAIRE.Prix_cout]]</f>
        <v>0</v>
      </c>
      <c r="X306" s="85">
        <f>RAPPORT_FINAL[[#This Row],[INVENTAIRE_THEORIQUE]]*RAPPORT_FINAL[[#This Row],[INVENTAIRE_THEORIQUE.Prix_cout]]</f>
        <v>0</v>
      </c>
      <c r="Y306" s="85">
        <f>RAPPORT_FINAL[[#This Row],[INVENTAIRE.Prix_vente]]</f>
        <v>1</v>
      </c>
      <c r="Z306" s="85">
        <f>RAPPORT_FINAL[[#This Row],[INVENTAIRE_THEORIQUE]]*RAPPORT_FINAL[[#This Row],[INVENTAIRE_THEORIQUE.Prix_vente]]</f>
        <v>0</v>
      </c>
      <c r="AA306" s="85">
        <f>RAPPORT_FINAL[[#This Row],[INVENTAIRE.Quantite]]-RAPPORT_FINAL[[#This Row],[INVENTAIRE_THEORIQUE]]</f>
        <v>0</v>
      </c>
      <c r="AB306" s="90">
        <f>IFERROR(RAPPORT_FINAL[[#This Row],[ECART.Total_cout]]/RAPPORT_FINAL[[#This Row],[ECART.Quantite]],0)</f>
        <v>0</v>
      </c>
      <c r="AC306" s="91">
        <f>IFERROR(RAPPORT_FINAL[[#This Row],[ECART.Quantite]]*RAPPORT_FINAL[[#This Row],[INVENTAIRE.Prix_cout]],"")</f>
        <v>0</v>
      </c>
      <c r="AD306" s="83">
        <f>IFERROR(RAPPORT_FINAL[[#This Row],[ECART.Total_vente]]/RAPPORT_FINAL[[#This Row],[ECART.Quantite]],0)</f>
        <v>0</v>
      </c>
      <c r="AE306" s="92">
        <f>IFERROR(RAPPORT_FINAL[[#This Row],[ECART.Quantite]]*RAPPORT_FINAL[[#This Row],[INVENTAIRE.Prix_vente]],"")</f>
        <v>0</v>
      </c>
    </row>
    <row r="307" spans="1:31" hidden="1" x14ac:dyDescent="0.25">
      <c r="A307" s="83" t="s">
        <v>163</v>
      </c>
      <c r="B307" s="3" t="s">
        <v>71</v>
      </c>
      <c r="C307" s="80" t="s">
        <v>285</v>
      </c>
      <c r="D307" s="3" t="s">
        <v>29</v>
      </c>
      <c r="E307" s="31" t="s">
        <v>168</v>
      </c>
      <c r="F307" s="85" t="str" cm="1">
        <f t="array" ref="F30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07" s="80" t="str" cm="1">
        <f t="array" ref="G30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07" s="80" t="str">
        <f>IF(RAPPORT_FINAL[[#This Row],[INVENTAIRE_PREC.Prix_vente]]="","",RAPPORT_FINAL[[#This Row],[INVENTAIRE_PREC.Quantite]]*RAPPORT_FINAL[[#This Row],[INVENTAIRE_PREC.Prix_cout]])</f>
        <v/>
      </c>
      <c r="I307" s="83" t="str" cm="1">
        <f t="array" ref="I30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07" s="88" t="str">
        <f>IF(RAPPORT_FINAL[[#This Row],[INVENTAIRE_PREC.Prix_vente]]="","",RAPPORT_FINAL[[#This Row],[INVENTAIRE_PREC.Quantite]]*RAPPORT_FINAL[[#This Row],[INVENTAIRE_PREC.Prix_vente]])</f>
        <v/>
      </c>
      <c r="K307" s="24"/>
      <c r="L307" s="11"/>
      <c r="M307" s="25"/>
      <c r="N307" s="24"/>
      <c r="O307" s="11"/>
      <c r="P307" s="25"/>
      <c r="Q307" s="85">
        <v>5</v>
      </c>
      <c r="R307" s="80" cm="1">
        <f t="array" ref="R30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937.5</v>
      </c>
      <c r="S307" s="80">
        <f>RAPPORT_FINAL[[#This Row],[INVENTAIRE.Quantite]]*RAPPORT_FINAL[[#This Row],[INVENTAIRE.Prix_cout]]</f>
        <v>4687.5</v>
      </c>
      <c r="T307" s="83" cm="1">
        <f t="array" ref="T30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3500</v>
      </c>
      <c r="U307" s="88">
        <f>IF(OR(RAPPORT_FINAL[[#This Row],[INVENTAIRE.Quantite]]="",RAPPORT_FINAL[[#This Row],[INVENTAIRE.Prix_vente]]=""),"",RAPPORT_FINAL[[#This Row],[INVENTAIRE.Quantite]]*RAPPORT_FINAL[[#This Row],[INVENTAIRE.Prix_vente]])</f>
        <v>17500</v>
      </c>
      <c r="V30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07" s="24">
        <f>RAPPORT_FINAL[[#This Row],[INVENTAIRE.Prix_cout]]</f>
        <v>937.5</v>
      </c>
      <c r="X307" s="85">
        <f>RAPPORT_FINAL[[#This Row],[INVENTAIRE_THEORIQUE]]*RAPPORT_FINAL[[#This Row],[INVENTAIRE_THEORIQUE.Prix_cout]]</f>
        <v>0</v>
      </c>
      <c r="Y307" s="85">
        <f>RAPPORT_FINAL[[#This Row],[INVENTAIRE.Prix_vente]]</f>
        <v>3500</v>
      </c>
      <c r="Z307" s="85">
        <f>RAPPORT_FINAL[[#This Row],[INVENTAIRE_THEORIQUE]]*RAPPORT_FINAL[[#This Row],[INVENTAIRE_THEORIQUE.Prix_vente]]</f>
        <v>0</v>
      </c>
      <c r="AA307" s="85">
        <f>RAPPORT_FINAL[[#This Row],[INVENTAIRE.Quantite]]-RAPPORT_FINAL[[#This Row],[INVENTAIRE_THEORIQUE]]</f>
        <v>5</v>
      </c>
      <c r="AB307" s="90">
        <f>IFERROR(RAPPORT_FINAL[[#This Row],[ECART.Total_cout]]/RAPPORT_FINAL[[#This Row],[ECART.Quantite]],0)</f>
        <v>937.5</v>
      </c>
      <c r="AC307" s="91">
        <f>IFERROR(RAPPORT_FINAL[[#This Row],[ECART.Quantite]]*RAPPORT_FINAL[[#This Row],[INVENTAIRE.Prix_cout]],"")</f>
        <v>4687.5</v>
      </c>
      <c r="AD307" s="83">
        <f>IFERROR(RAPPORT_FINAL[[#This Row],[ECART.Total_vente]]/RAPPORT_FINAL[[#This Row],[ECART.Quantite]],0)</f>
        <v>3500</v>
      </c>
      <c r="AE307" s="92">
        <f>IFERROR(RAPPORT_FINAL[[#This Row],[ECART.Quantite]]*RAPPORT_FINAL[[#This Row],[INVENTAIRE.Prix_vente]],"")</f>
        <v>17500</v>
      </c>
    </row>
    <row r="308" spans="1:31" hidden="1" x14ac:dyDescent="0.25">
      <c r="A308" s="83" t="s">
        <v>163</v>
      </c>
      <c r="B308" s="3" t="s">
        <v>71</v>
      </c>
      <c r="C308" s="80" t="s">
        <v>284</v>
      </c>
      <c r="D308" s="3" t="s">
        <v>23</v>
      </c>
      <c r="E308" s="31" t="s">
        <v>96</v>
      </c>
      <c r="F308" s="85" t="str" cm="1">
        <f t="array" ref="F30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08" s="80" t="str" cm="1">
        <f t="array" ref="G30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08" s="80" t="str">
        <f>IF(RAPPORT_FINAL[[#This Row],[INVENTAIRE_PREC.Prix_vente]]="","",RAPPORT_FINAL[[#This Row],[INVENTAIRE_PREC.Quantite]]*RAPPORT_FINAL[[#This Row],[INVENTAIRE_PREC.Prix_cout]])</f>
        <v/>
      </c>
      <c r="I308" s="83" t="str" cm="1">
        <f t="array" ref="I30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08" s="88" t="str">
        <f>IF(RAPPORT_FINAL[[#This Row],[INVENTAIRE_PREC.Prix_vente]]="","",RAPPORT_FINAL[[#This Row],[INVENTAIRE_PREC.Quantite]]*RAPPORT_FINAL[[#This Row],[INVENTAIRE_PREC.Prix_vente]])</f>
        <v/>
      </c>
      <c r="K308" s="24"/>
      <c r="L308" s="11"/>
      <c r="M308" s="25"/>
      <c r="N308" s="24"/>
      <c r="O308" s="11"/>
      <c r="P308" s="25"/>
      <c r="Q308" s="85">
        <v>5</v>
      </c>
      <c r="R308" s="80" cm="1">
        <f t="array" ref="R30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159.1</v>
      </c>
      <c r="S308" s="80">
        <f>RAPPORT_FINAL[[#This Row],[INVENTAIRE.Quantite]]*RAPPORT_FINAL[[#This Row],[INVENTAIRE.Prix_cout]]</f>
        <v>795.5</v>
      </c>
      <c r="T308" s="83" cm="1">
        <f t="array" ref="T30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308" s="88">
        <f>IF(OR(RAPPORT_FINAL[[#This Row],[INVENTAIRE.Quantite]]="",RAPPORT_FINAL[[#This Row],[INVENTAIRE.Prix_vente]]=""),"",RAPPORT_FINAL[[#This Row],[INVENTAIRE.Quantite]]*RAPPORT_FINAL[[#This Row],[INVENTAIRE.Prix_vente]])</f>
        <v>2500</v>
      </c>
      <c r="V30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08" s="24">
        <f>RAPPORT_FINAL[[#This Row],[INVENTAIRE.Prix_cout]]</f>
        <v>159.1</v>
      </c>
      <c r="X308" s="85">
        <f>RAPPORT_FINAL[[#This Row],[INVENTAIRE_THEORIQUE]]*RAPPORT_FINAL[[#This Row],[INVENTAIRE_THEORIQUE.Prix_cout]]</f>
        <v>0</v>
      </c>
      <c r="Y308" s="85">
        <f>RAPPORT_FINAL[[#This Row],[INVENTAIRE.Prix_vente]]</f>
        <v>500</v>
      </c>
      <c r="Z308" s="85">
        <f>RAPPORT_FINAL[[#This Row],[INVENTAIRE_THEORIQUE]]*RAPPORT_FINAL[[#This Row],[INVENTAIRE_THEORIQUE.Prix_vente]]</f>
        <v>0</v>
      </c>
      <c r="AA308" s="85">
        <f>RAPPORT_FINAL[[#This Row],[INVENTAIRE.Quantite]]-RAPPORT_FINAL[[#This Row],[INVENTAIRE_THEORIQUE]]</f>
        <v>5</v>
      </c>
      <c r="AB308" s="90">
        <f>IFERROR(RAPPORT_FINAL[[#This Row],[ECART.Total_cout]]/RAPPORT_FINAL[[#This Row],[ECART.Quantite]],0)</f>
        <v>159.1</v>
      </c>
      <c r="AC308" s="91">
        <f>IFERROR(RAPPORT_FINAL[[#This Row],[ECART.Quantite]]*RAPPORT_FINAL[[#This Row],[INVENTAIRE.Prix_cout]],"")</f>
        <v>795.5</v>
      </c>
      <c r="AD308" s="83">
        <f>IFERROR(RAPPORT_FINAL[[#This Row],[ECART.Total_vente]]/RAPPORT_FINAL[[#This Row],[ECART.Quantite]],0)</f>
        <v>500</v>
      </c>
      <c r="AE308" s="92">
        <f>IFERROR(RAPPORT_FINAL[[#This Row],[ECART.Quantite]]*RAPPORT_FINAL[[#This Row],[INVENTAIRE.Prix_vente]],"")</f>
        <v>2500</v>
      </c>
    </row>
    <row r="309" spans="1:31" x14ac:dyDescent="0.25">
      <c r="A309" s="83" t="s">
        <v>163</v>
      </c>
      <c r="B309" s="3" t="s">
        <v>71</v>
      </c>
      <c r="C309" s="80" t="s">
        <v>284</v>
      </c>
      <c r="D309" s="3" t="s">
        <v>125</v>
      </c>
      <c r="E309" s="31" t="s">
        <v>126</v>
      </c>
      <c r="F309" s="85" t="str" cm="1">
        <f t="array" ref="F30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09" s="80" t="str" cm="1">
        <f t="array" ref="G30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09" s="80" t="str">
        <f>IF(RAPPORT_FINAL[[#This Row],[INVENTAIRE_PREC.Prix_vente]]="","",RAPPORT_FINAL[[#This Row],[INVENTAIRE_PREC.Quantite]]*RAPPORT_FINAL[[#This Row],[INVENTAIRE_PREC.Prix_cout]])</f>
        <v/>
      </c>
      <c r="I309" s="83" t="str" cm="1">
        <f t="array" ref="I30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09" s="88" t="str">
        <f>IF(RAPPORT_FINAL[[#This Row],[INVENTAIRE_PREC.Prix_vente]]="","",RAPPORT_FINAL[[#This Row],[INVENTAIRE_PREC.Quantite]]*RAPPORT_FINAL[[#This Row],[INVENTAIRE_PREC.Prix_vente]])</f>
        <v/>
      </c>
      <c r="K309" s="24"/>
      <c r="L309" s="11"/>
      <c r="M309" s="25"/>
      <c r="N309" s="24"/>
      <c r="O309" s="11"/>
      <c r="P309" s="25"/>
      <c r="Q309" s="85">
        <v>0</v>
      </c>
      <c r="R309" s="80" cm="1">
        <f t="array" ref="R30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09" s="80">
        <f>RAPPORT_FINAL[[#This Row],[INVENTAIRE.Quantite]]*RAPPORT_FINAL[[#This Row],[INVENTAIRE.Prix_cout]]</f>
        <v>0</v>
      </c>
      <c r="T309" s="83" cm="1">
        <f t="array" ref="T30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309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0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09" s="24">
        <f>RAPPORT_FINAL[[#This Row],[INVENTAIRE.Prix_cout]]</f>
        <v>0</v>
      </c>
      <c r="X309" s="85">
        <f>RAPPORT_FINAL[[#This Row],[INVENTAIRE_THEORIQUE]]*RAPPORT_FINAL[[#This Row],[INVENTAIRE_THEORIQUE.Prix_cout]]</f>
        <v>0</v>
      </c>
      <c r="Y309" s="85">
        <f>RAPPORT_FINAL[[#This Row],[INVENTAIRE.Prix_vente]]</f>
        <v>500</v>
      </c>
      <c r="Z309" s="85">
        <f>RAPPORT_FINAL[[#This Row],[INVENTAIRE_THEORIQUE]]*RAPPORT_FINAL[[#This Row],[INVENTAIRE_THEORIQUE.Prix_vente]]</f>
        <v>0</v>
      </c>
      <c r="AA309" s="85">
        <f>RAPPORT_FINAL[[#This Row],[INVENTAIRE.Quantite]]-RAPPORT_FINAL[[#This Row],[INVENTAIRE_THEORIQUE]]</f>
        <v>0</v>
      </c>
      <c r="AB309" s="90">
        <f>IFERROR(RAPPORT_FINAL[[#This Row],[ECART.Total_cout]]/RAPPORT_FINAL[[#This Row],[ECART.Quantite]],0)</f>
        <v>0</v>
      </c>
      <c r="AC309" s="91">
        <f>IFERROR(RAPPORT_FINAL[[#This Row],[ECART.Quantite]]*RAPPORT_FINAL[[#This Row],[INVENTAIRE.Prix_cout]],"")</f>
        <v>0</v>
      </c>
      <c r="AD309" s="83">
        <f>IFERROR(RAPPORT_FINAL[[#This Row],[ECART.Total_vente]]/RAPPORT_FINAL[[#This Row],[ECART.Quantite]],0)</f>
        <v>0</v>
      </c>
      <c r="AE309" s="92">
        <f>IFERROR(RAPPORT_FINAL[[#This Row],[ECART.Quantite]]*RAPPORT_FINAL[[#This Row],[INVENTAIRE.Prix_vente]],"")</f>
        <v>0</v>
      </c>
    </row>
    <row r="310" spans="1:31" hidden="1" x14ac:dyDescent="0.25">
      <c r="A310" s="83" t="s">
        <v>163</v>
      </c>
      <c r="B310" s="3" t="s">
        <v>71</v>
      </c>
      <c r="C310" s="80" t="s">
        <v>284</v>
      </c>
      <c r="D310" s="3" t="s">
        <v>22</v>
      </c>
      <c r="E310" s="31" t="s">
        <v>99</v>
      </c>
      <c r="F310" s="85" t="str" cm="1">
        <f t="array" ref="F31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10" s="80" t="str" cm="1">
        <f t="array" ref="G31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10" s="80" t="str">
        <f>IF(RAPPORT_FINAL[[#This Row],[INVENTAIRE_PREC.Prix_vente]]="","",RAPPORT_FINAL[[#This Row],[INVENTAIRE_PREC.Quantite]]*RAPPORT_FINAL[[#This Row],[INVENTAIRE_PREC.Prix_cout]])</f>
        <v/>
      </c>
      <c r="I310" s="83" t="str" cm="1">
        <f t="array" ref="I31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10" s="88" t="str">
        <f>IF(RAPPORT_FINAL[[#This Row],[INVENTAIRE_PREC.Prix_vente]]="","",RAPPORT_FINAL[[#This Row],[INVENTAIRE_PREC.Quantite]]*RAPPORT_FINAL[[#This Row],[INVENTAIRE_PREC.Prix_vente]])</f>
        <v/>
      </c>
      <c r="K310" s="24"/>
      <c r="L310" s="11"/>
      <c r="M310" s="25"/>
      <c r="N310" s="24"/>
      <c r="O310" s="11"/>
      <c r="P310" s="25"/>
      <c r="Q310" s="85">
        <v>3000</v>
      </c>
      <c r="R310" s="80" cm="1">
        <f t="array" ref="R31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1.5</v>
      </c>
      <c r="S310" s="80">
        <f>RAPPORT_FINAL[[#This Row],[INVENTAIRE.Quantite]]*RAPPORT_FINAL[[#This Row],[INVENTAIRE.Prix_cout]]</f>
        <v>4500</v>
      </c>
      <c r="T310" s="83" cm="1">
        <f t="array" ref="T31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1.5</v>
      </c>
      <c r="U310" s="88">
        <f>IF(OR(RAPPORT_FINAL[[#This Row],[INVENTAIRE.Quantite]]="",RAPPORT_FINAL[[#This Row],[INVENTAIRE.Prix_vente]]=""),"",RAPPORT_FINAL[[#This Row],[INVENTAIRE.Quantite]]*RAPPORT_FINAL[[#This Row],[INVENTAIRE.Prix_vente]])</f>
        <v>4500</v>
      </c>
      <c r="V31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10" s="24">
        <f>RAPPORT_FINAL[[#This Row],[INVENTAIRE.Prix_cout]]</f>
        <v>1.5</v>
      </c>
      <c r="X310" s="85">
        <f>RAPPORT_FINAL[[#This Row],[INVENTAIRE_THEORIQUE]]*RAPPORT_FINAL[[#This Row],[INVENTAIRE_THEORIQUE.Prix_cout]]</f>
        <v>0</v>
      </c>
      <c r="Y310" s="85">
        <f>RAPPORT_FINAL[[#This Row],[INVENTAIRE.Prix_vente]]</f>
        <v>1.5</v>
      </c>
      <c r="Z310" s="85">
        <f>RAPPORT_FINAL[[#This Row],[INVENTAIRE_THEORIQUE]]*RAPPORT_FINAL[[#This Row],[INVENTAIRE_THEORIQUE.Prix_vente]]</f>
        <v>0</v>
      </c>
      <c r="AA310" s="85">
        <f>RAPPORT_FINAL[[#This Row],[INVENTAIRE.Quantite]]-RAPPORT_FINAL[[#This Row],[INVENTAIRE_THEORIQUE]]</f>
        <v>3000</v>
      </c>
      <c r="AB310" s="90">
        <f>IFERROR(RAPPORT_FINAL[[#This Row],[ECART.Total_cout]]/RAPPORT_FINAL[[#This Row],[ECART.Quantite]],0)</f>
        <v>1.5</v>
      </c>
      <c r="AC310" s="91">
        <f>IFERROR(RAPPORT_FINAL[[#This Row],[ECART.Quantite]]*RAPPORT_FINAL[[#This Row],[INVENTAIRE.Prix_cout]],"")</f>
        <v>4500</v>
      </c>
      <c r="AD310" s="83">
        <f>IFERROR(RAPPORT_FINAL[[#This Row],[ECART.Total_vente]]/RAPPORT_FINAL[[#This Row],[ECART.Quantite]],0)</f>
        <v>1.5</v>
      </c>
      <c r="AE310" s="92">
        <f>IFERROR(RAPPORT_FINAL[[#This Row],[ECART.Quantite]]*RAPPORT_FINAL[[#This Row],[INVENTAIRE.Prix_vente]],"")</f>
        <v>4500</v>
      </c>
    </row>
    <row r="311" spans="1:31" x14ac:dyDescent="0.25">
      <c r="A311" s="83" t="s">
        <v>163</v>
      </c>
      <c r="B311" s="3" t="s">
        <v>71</v>
      </c>
      <c r="C311" s="80" t="s">
        <v>284</v>
      </c>
      <c r="D311" s="3" t="s">
        <v>12</v>
      </c>
      <c r="E311" s="31" t="s">
        <v>108</v>
      </c>
      <c r="F311" s="85" t="str" cm="1">
        <f t="array" ref="F31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11" s="80" t="str" cm="1">
        <f t="array" ref="G31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11" s="80" t="str">
        <f>IF(RAPPORT_FINAL[[#This Row],[INVENTAIRE_PREC.Prix_vente]]="","",RAPPORT_FINAL[[#This Row],[INVENTAIRE_PREC.Quantite]]*RAPPORT_FINAL[[#This Row],[INVENTAIRE_PREC.Prix_cout]])</f>
        <v/>
      </c>
      <c r="I311" s="83" t="str" cm="1">
        <f t="array" ref="I31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11" s="88" t="str">
        <f>IF(RAPPORT_FINAL[[#This Row],[INVENTAIRE_PREC.Prix_vente]]="","",RAPPORT_FINAL[[#This Row],[INVENTAIRE_PREC.Quantite]]*RAPPORT_FINAL[[#This Row],[INVENTAIRE_PREC.Prix_vente]])</f>
        <v/>
      </c>
      <c r="K311" s="24"/>
      <c r="L311" s="11"/>
      <c r="M311" s="25"/>
      <c r="N311" s="24"/>
      <c r="O311" s="11"/>
      <c r="P311" s="25"/>
      <c r="Q311" s="85">
        <v>0</v>
      </c>
      <c r="R311" s="80" cm="1">
        <f t="array" ref="R31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11" s="80">
        <f>RAPPORT_FINAL[[#This Row],[INVENTAIRE.Quantite]]*RAPPORT_FINAL[[#This Row],[INVENTAIRE.Prix_cout]]</f>
        <v>0</v>
      </c>
      <c r="T311" s="83" cm="1">
        <f t="array" ref="T31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0.55000000000000004</v>
      </c>
      <c r="U311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1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11" s="24">
        <f>RAPPORT_FINAL[[#This Row],[INVENTAIRE.Prix_cout]]</f>
        <v>0</v>
      </c>
      <c r="X311" s="85">
        <f>RAPPORT_FINAL[[#This Row],[INVENTAIRE_THEORIQUE]]*RAPPORT_FINAL[[#This Row],[INVENTAIRE_THEORIQUE.Prix_cout]]</f>
        <v>0</v>
      </c>
      <c r="Y311" s="85">
        <f>RAPPORT_FINAL[[#This Row],[INVENTAIRE.Prix_vente]]</f>
        <v>0.55000000000000004</v>
      </c>
      <c r="Z311" s="85">
        <f>RAPPORT_FINAL[[#This Row],[INVENTAIRE_THEORIQUE]]*RAPPORT_FINAL[[#This Row],[INVENTAIRE_THEORIQUE.Prix_vente]]</f>
        <v>0</v>
      </c>
      <c r="AA311" s="85">
        <f>RAPPORT_FINAL[[#This Row],[INVENTAIRE.Quantite]]-RAPPORT_FINAL[[#This Row],[INVENTAIRE_THEORIQUE]]</f>
        <v>0</v>
      </c>
      <c r="AB311" s="90">
        <f>IFERROR(RAPPORT_FINAL[[#This Row],[ECART.Total_cout]]/RAPPORT_FINAL[[#This Row],[ECART.Quantite]],0)</f>
        <v>0</v>
      </c>
      <c r="AC311" s="91">
        <f>IFERROR(RAPPORT_FINAL[[#This Row],[ECART.Quantite]]*RAPPORT_FINAL[[#This Row],[INVENTAIRE.Prix_cout]],"")</f>
        <v>0</v>
      </c>
      <c r="AD311" s="83">
        <f>IFERROR(RAPPORT_FINAL[[#This Row],[ECART.Total_vente]]/RAPPORT_FINAL[[#This Row],[ECART.Quantite]],0)</f>
        <v>0</v>
      </c>
      <c r="AE311" s="92">
        <f>IFERROR(RAPPORT_FINAL[[#This Row],[ECART.Quantite]]*RAPPORT_FINAL[[#This Row],[INVENTAIRE.Prix_vente]],"")</f>
        <v>0</v>
      </c>
    </row>
    <row r="312" spans="1:31" x14ac:dyDescent="0.25">
      <c r="A312" s="83" t="s">
        <v>163</v>
      </c>
      <c r="B312" s="3" t="s">
        <v>71</v>
      </c>
      <c r="C312" s="80" t="s">
        <v>284</v>
      </c>
      <c r="D312" s="3" t="s">
        <v>18</v>
      </c>
      <c r="E312" s="31" t="s">
        <v>108</v>
      </c>
      <c r="F312" s="85" t="str" cm="1">
        <f t="array" ref="F31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12" s="80" t="str" cm="1">
        <f t="array" ref="G31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12" s="80" t="str">
        <f>IF(RAPPORT_FINAL[[#This Row],[INVENTAIRE_PREC.Prix_vente]]="","",RAPPORT_FINAL[[#This Row],[INVENTAIRE_PREC.Quantite]]*RAPPORT_FINAL[[#This Row],[INVENTAIRE_PREC.Prix_cout]])</f>
        <v/>
      </c>
      <c r="I312" s="83" t="str" cm="1">
        <f t="array" ref="I31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12" s="88" t="str">
        <f>IF(RAPPORT_FINAL[[#This Row],[INVENTAIRE_PREC.Prix_vente]]="","",RAPPORT_FINAL[[#This Row],[INVENTAIRE_PREC.Quantite]]*RAPPORT_FINAL[[#This Row],[INVENTAIRE_PREC.Prix_vente]])</f>
        <v/>
      </c>
      <c r="K312" s="24"/>
      <c r="L312" s="11"/>
      <c r="M312" s="25"/>
      <c r="N312" s="24"/>
      <c r="O312" s="11"/>
      <c r="P312" s="25"/>
      <c r="Q312" s="85">
        <v>0</v>
      </c>
      <c r="R312" s="80" cm="1">
        <f t="array" ref="R31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12" s="80">
        <f>RAPPORT_FINAL[[#This Row],[INVENTAIRE.Quantite]]*RAPPORT_FINAL[[#This Row],[INVENTAIRE.Prix_cout]]</f>
        <v>0</v>
      </c>
      <c r="T312" s="83" cm="1">
        <f t="array" ref="T31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1.1200000000000001</v>
      </c>
      <c r="U312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1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12" s="24">
        <f>RAPPORT_FINAL[[#This Row],[INVENTAIRE.Prix_cout]]</f>
        <v>0</v>
      </c>
      <c r="X312" s="85">
        <f>RAPPORT_FINAL[[#This Row],[INVENTAIRE_THEORIQUE]]*RAPPORT_FINAL[[#This Row],[INVENTAIRE_THEORIQUE.Prix_cout]]</f>
        <v>0</v>
      </c>
      <c r="Y312" s="85">
        <f>RAPPORT_FINAL[[#This Row],[INVENTAIRE.Prix_vente]]</f>
        <v>1.1200000000000001</v>
      </c>
      <c r="Z312" s="85">
        <f>RAPPORT_FINAL[[#This Row],[INVENTAIRE_THEORIQUE]]*RAPPORT_FINAL[[#This Row],[INVENTAIRE_THEORIQUE.Prix_vente]]</f>
        <v>0</v>
      </c>
      <c r="AA312" s="85">
        <f>RAPPORT_FINAL[[#This Row],[INVENTAIRE.Quantite]]-RAPPORT_FINAL[[#This Row],[INVENTAIRE_THEORIQUE]]</f>
        <v>0</v>
      </c>
      <c r="AB312" s="90">
        <f>IFERROR(RAPPORT_FINAL[[#This Row],[ECART.Total_cout]]/RAPPORT_FINAL[[#This Row],[ECART.Quantite]],0)</f>
        <v>0</v>
      </c>
      <c r="AC312" s="91">
        <f>IFERROR(RAPPORT_FINAL[[#This Row],[ECART.Quantite]]*RAPPORT_FINAL[[#This Row],[INVENTAIRE.Prix_cout]],"")</f>
        <v>0</v>
      </c>
      <c r="AD312" s="83">
        <f>IFERROR(RAPPORT_FINAL[[#This Row],[ECART.Total_vente]]/RAPPORT_FINAL[[#This Row],[ECART.Quantite]],0)</f>
        <v>0</v>
      </c>
      <c r="AE312" s="92">
        <f>IFERROR(RAPPORT_FINAL[[#This Row],[ECART.Quantite]]*RAPPORT_FINAL[[#This Row],[INVENTAIRE.Prix_vente]],"")</f>
        <v>0</v>
      </c>
    </row>
    <row r="313" spans="1:31" x14ac:dyDescent="0.25">
      <c r="A313" s="83" t="s">
        <v>163</v>
      </c>
      <c r="B313" s="3" t="s">
        <v>71</v>
      </c>
      <c r="C313" s="80" t="s">
        <v>284</v>
      </c>
      <c r="D313" s="3" t="s">
        <v>9</v>
      </c>
      <c r="E313" s="31" t="s">
        <v>108</v>
      </c>
      <c r="F313" s="85" t="str" cm="1">
        <f t="array" ref="F31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13" s="80" t="str" cm="1">
        <f t="array" ref="G31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13" s="80" t="str">
        <f>IF(RAPPORT_FINAL[[#This Row],[INVENTAIRE_PREC.Prix_vente]]="","",RAPPORT_FINAL[[#This Row],[INVENTAIRE_PREC.Quantite]]*RAPPORT_FINAL[[#This Row],[INVENTAIRE_PREC.Prix_cout]])</f>
        <v/>
      </c>
      <c r="I313" s="83" t="str" cm="1">
        <f t="array" ref="I31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13" s="88" t="str">
        <f>IF(RAPPORT_FINAL[[#This Row],[INVENTAIRE_PREC.Prix_vente]]="","",RAPPORT_FINAL[[#This Row],[INVENTAIRE_PREC.Quantite]]*RAPPORT_FINAL[[#This Row],[INVENTAIRE_PREC.Prix_vente]])</f>
        <v/>
      </c>
      <c r="K313" s="24"/>
      <c r="L313" s="11"/>
      <c r="M313" s="25"/>
      <c r="N313" s="24"/>
      <c r="O313" s="11"/>
      <c r="P313" s="25"/>
      <c r="Q313" s="85">
        <v>0</v>
      </c>
      <c r="R313" s="80" cm="1">
        <f t="array" ref="R31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13" s="80">
        <f>RAPPORT_FINAL[[#This Row],[INVENTAIRE.Quantite]]*RAPPORT_FINAL[[#This Row],[INVENTAIRE.Prix_cout]]</f>
        <v>0</v>
      </c>
      <c r="T313" s="83" cm="1">
        <f t="array" ref="T31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1.67</v>
      </c>
      <c r="U313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1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13" s="24">
        <f>RAPPORT_FINAL[[#This Row],[INVENTAIRE.Prix_cout]]</f>
        <v>0</v>
      </c>
      <c r="X313" s="85">
        <f>RAPPORT_FINAL[[#This Row],[INVENTAIRE_THEORIQUE]]*RAPPORT_FINAL[[#This Row],[INVENTAIRE_THEORIQUE.Prix_cout]]</f>
        <v>0</v>
      </c>
      <c r="Y313" s="85">
        <f>RAPPORT_FINAL[[#This Row],[INVENTAIRE.Prix_vente]]</f>
        <v>1.67</v>
      </c>
      <c r="Z313" s="85">
        <f>RAPPORT_FINAL[[#This Row],[INVENTAIRE_THEORIQUE]]*RAPPORT_FINAL[[#This Row],[INVENTAIRE_THEORIQUE.Prix_vente]]</f>
        <v>0</v>
      </c>
      <c r="AA313" s="85">
        <f>RAPPORT_FINAL[[#This Row],[INVENTAIRE.Quantite]]-RAPPORT_FINAL[[#This Row],[INVENTAIRE_THEORIQUE]]</f>
        <v>0</v>
      </c>
      <c r="AB313" s="90">
        <f>IFERROR(RAPPORT_FINAL[[#This Row],[ECART.Total_cout]]/RAPPORT_FINAL[[#This Row],[ECART.Quantite]],0)</f>
        <v>0</v>
      </c>
      <c r="AC313" s="91">
        <f>IFERROR(RAPPORT_FINAL[[#This Row],[ECART.Quantite]]*RAPPORT_FINAL[[#This Row],[INVENTAIRE.Prix_cout]],"")</f>
        <v>0</v>
      </c>
      <c r="AD313" s="83">
        <f>IFERROR(RAPPORT_FINAL[[#This Row],[ECART.Total_vente]]/RAPPORT_FINAL[[#This Row],[ECART.Quantite]],0)</f>
        <v>0</v>
      </c>
      <c r="AE313" s="92">
        <f>IFERROR(RAPPORT_FINAL[[#This Row],[ECART.Quantite]]*RAPPORT_FINAL[[#This Row],[INVENTAIRE.Prix_vente]],"")</f>
        <v>0</v>
      </c>
    </row>
    <row r="314" spans="1:31" x14ac:dyDescent="0.25">
      <c r="A314" s="83" t="s">
        <v>163</v>
      </c>
      <c r="B314" s="3" t="s">
        <v>71</v>
      </c>
      <c r="C314" s="80" t="s">
        <v>284</v>
      </c>
      <c r="D314" s="3" t="s">
        <v>14</v>
      </c>
      <c r="E314" s="31" t="s">
        <v>108</v>
      </c>
      <c r="F314" s="85" t="str" cm="1">
        <f t="array" ref="F31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14" s="80" t="str" cm="1">
        <f t="array" ref="G31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14" s="80" t="str">
        <f>IF(RAPPORT_FINAL[[#This Row],[INVENTAIRE_PREC.Prix_vente]]="","",RAPPORT_FINAL[[#This Row],[INVENTAIRE_PREC.Quantite]]*RAPPORT_FINAL[[#This Row],[INVENTAIRE_PREC.Prix_cout]])</f>
        <v/>
      </c>
      <c r="I314" s="83" t="str" cm="1">
        <f t="array" ref="I31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14" s="88" t="str">
        <f>IF(RAPPORT_FINAL[[#This Row],[INVENTAIRE_PREC.Prix_vente]]="","",RAPPORT_FINAL[[#This Row],[INVENTAIRE_PREC.Quantite]]*RAPPORT_FINAL[[#This Row],[INVENTAIRE_PREC.Prix_vente]])</f>
        <v/>
      </c>
      <c r="K314" s="24"/>
      <c r="L314" s="11"/>
      <c r="M314" s="25"/>
      <c r="N314" s="24"/>
      <c r="O314" s="11"/>
      <c r="P314" s="25"/>
      <c r="Q314" s="85">
        <v>0</v>
      </c>
      <c r="R314" s="80" cm="1">
        <f t="array" ref="R31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14" s="80">
        <f>RAPPORT_FINAL[[#This Row],[INVENTAIRE.Quantite]]*RAPPORT_FINAL[[#This Row],[INVENTAIRE.Prix_cout]]</f>
        <v>0</v>
      </c>
      <c r="T314" s="83" cm="1">
        <f t="array" ref="T31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</v>
      </c>
      <c r="U314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1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14" s="24">
        <f>RAPPORT_FINAL[[#This Row],[INVENTAIRE.Prix_cout]]</f>
        <v>0</v>
      </c>
      <c r="X314" s="85">
        <f>RAPPORT_FINAL[[#This Row],[INVENTAIRE_THEORIQUE]]*RAPPORT_FINAL[[#This Row],[INVENTAIRE_THEORIQUE.Prix_cout]]</f>
        <v>0</v>
      </c>
      <c r="Y314" s="85">
        <f>RAPPORT_FINAL[[#This Row],[INVENTAIRE.Prix_vente]]</f>
        <v>1</v>
      </c>
      <c r="Z314" s="85">
        <f>RAPPORT_FINAL[[#This Row],[INVENTAIRE_THEORIQUE]]*RAPPORT_FINAL[[#This Row],[INVENTAIRE_THEORIQUE.Prix_vente]]</f>
        <v>0</v>
      </c>
      <c r="AA314" s="85">
        <f>RAPPORT_FINAL[[#This Row],[INVENTAIRE.Quantite]]-RAPPORT_FINAL[[#This Row],[INVENTAIRE_THEORIQUE]]</f>
        <v>0</v>
      </c>
      <c r="AB314" s="90">
        <f>IFERROR(RAPPORT_FINAL[[#This Row],[ECART.Total_cout]]/RAPPORT_FINAL[[#This Row],[ECART.Quantite]],0)</f>
        <v>0</v>
      </c>
      <c r="AC314" s="91">
        <f>IFERROR(RAPPORT_FINAL[[#This Row],[ECART.Quantite]]*RAPPORT_FINAL[[#This Row],[INVENTAIRE.Prix_cout]],"")</f>
        <v>0</v>
      </c>
      <c r="AD314" s="83">
        <f>IFERROR(RAPPORT_FINAL[[#This Row],[ECART.Total_vente]]/RAPPORT_FINAL[[#This Row],[ECART.Quantite]],0)</f>
        <v>0</v>
      </c>
      <c r="AE314" s="92">
        <f>IFERROR(RAPPORT_FINAL[[#This Row],[ECART.Quantite]]*RAPPORT_FINAL[[#This Row],[INVENTAIRE.Prix_vente]],"")</f>
        <v>0</v>
      </c>
    </row>
    <row r="315" spans="1:31" x14ac:dyDescent="0.25">
      <c r="A315" s="83" t="s">
        <v>163</v>
      </c>
      <c r="B315" s="3" t="s">
        <v>71</v>
      </c>
      <c r="C315" s="80" t="s">
        <v>284</v>
      </c>
      <c r="D315" s="3" t="s">
        <v>19</v>
      </c>
      <c r="E315" s="31" t="s">
        <v>108</v>
      </c>
      <c r="F315" s="85" t="str" cm="1">
        <f t="array" ref="F31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15" s="80" t="str" cm="1">
        <f t="array" ref="G31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15" s="80" t="str">
        <f>IF(RAPPORT_FINAL[[#This Row],[INVENTAIRE_PREC.Prix_vente]]="","",RAPPORT_FINAL[[#This Row],[INVENTAIRE_PREC.Quantite]]*RAPPORT_FINAL[[#This Row],[INVENTAIRE_PREC.Prix_cout]])</f>
        <v/>
      </c>
      <c r="I315" s="83" t="str" cm="1">
        <f t="array" ref="I31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15" s="88" t="str">
        <f>IF(RAPPORT_FINAL[[#This Row],[INVENTAIRE_PREC.Prix_vente]]="","",RAPPORT_FINAL[[#This Row],[INVENTAIRE_PREC.Quantite]]*RAPPORT_FINAL[[#This Row],[INVENTAIRE_PREC.Prix_vente]])</f>
        <v/>
      </c>
      <c r="K315" s="24"/>
      <c r="L315" s="11"/>
      <c r="M315" s="25"/>
      <c r="N315" s="24"/>
      <c r="O315" s="11"/>
      <c r="P315" s="25"/>
      <c r="Q315" s="85">
        <v>0</v>
      </c>
      <c r="R315" s="80" cm="1">
        <f t="array" ref="R31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15" s="80">
        <f>RAPPORT_FINAL[[#This Row],[INVENTAIRE.Quantite]]*RAPPORT_FINAL[[#This Row],[INVENTAIRE.Prix_cout]]</f>
        <v>0</v>
      </c>
      <c r="T315" s="83" cm="1">
        <f t="array" ref="T31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</v>
      </c>
      <c r="U315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1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15" s="24">
        <f>RAPPORT_FINAL[[#This Row],[INVENTAIRE.Prix_cout]]</f>
        <v>0</v>
      </c>
      <c r="X315" s="85">
        <f>RAPPORT_FINAL[[#This Row],[INVENTAIRE_THEORIQUE]]*RAPPORT_FINAL[[#This Row],[INVENTAIRE_THEORIQUE.Prix_cout]]</f>
        <v>0</v>
      </c>
      <c r="Y315" s="85">
        <f>RAPPORT_FINAL[[#This Row],[INVENTAIRE.Prix_vente]]</f>
        <v>5</v>
      </c>
      <c r="Z315" s="85">
        <f>RAPPORT_FINAL[[#This Row],[INVENTAIRE_THEORIQUE]]*RAPPORT_FINAL[[#This Row],[INVENTAIRE_THEORIQUE.Prix_vente]]</f>
        <v>0</v>
      </c>
      <c r="AA315" s="85">
        <f>RAPPORT_FINAL[[#This Row],[INVENTAIRE.Quantite]]-RAPPORT_FINAL[[#This Row],[INVENTAIRE_THEORIQUE]]</f>
        <v>0</v>
      </c>
      <c r="AB315" s="90">
        <f>IFERROR(RAPPORT_FINAL[[#This Row],[ECART.Total_cout]]/RAPPORT_FINAL[[#This Row],[ECART.Quantite]],0)</f>
        <v>0</v>
      </c>
      <c r="AC315" s="91">
        <f>IFERROR(RAPPORT_FINAL[[#This Row],[ECART.Quantite]]*RAPPORT_FINAL[[#This Row],[INVENTAIRE.Prix_cout]],"")</f>
        <v>0</v>
      </c>
      <c r="AD315" s="83">
        <f>IFERROR(RAPPORT_FINAL[[#This Row],[ECART.Total_vente]]/RAPPORT_FINAL[[#This Row],[ECART.Quantite]],0)</f>
        <v>0</v>
      </c>
      <c r="AE315" s="92">
        <f>IFERROR(RAPPORT_FINAL[[#This Row],[ECART.Quantite]]*RAPPORT_FINAL[[#This Row],[INVENTAIRE.Prix_vente]],"")</f>
        <v>0</v>
      </c>
    </row>
    <row r="316" spans="1:31" hidden="1" x14ac:dyDescent="0.25">
      <c r="A316" s="83" t="s">
        <v>163</v>
      </c>
      <c r="B316" s="3" t="s">
        <v>71</v>
      </c>
      <c r="C316" s="80" t="s">
        <v>285</v>
      </c>
      <c r="D316" s="3" t="s">
        <v>15</v>
      </c>
      <c r="E316" s="31" t="s">
        <v>96</v>
      </c>
      <c r="F316" s="85" t="str" cm="1">
        <f t="array" ref="F31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16" s="80" t="str" cm="1">
        <f t="array" ref="G31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16" s="80" t="str">
        <f>IF(RAPPORT_FINAL[[#This Row],[INVENTAIRE_PREC.Prix_vente]]="","",RAPPORT_FINAL[[#This Row],[INVENTAIRE_PREC.Quantite]]*RAPPORT_FINAL[[#This Row],[INVENTAIRE_PREC.Prix_cout]])</f>
        <v/>
      </c>
      <c r="I316" s="83" t="str" cm="1">
        <f t="array" ref="I31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16" s="88" t="str">
        <f>IF(RAPPORT_FINAL[[#This Row],[INVENTAIRE_PREC.Prix_vente]]="","",RAPPORT_FINAL[[#This Row],[INVENTAIRE_PREC.Quantite]]*RAPPORT_FINAL[[#This Row],[INVENTAIRE_PREC.Prix_vente]])</f>
        <v/>
      </c>
      <c r="K316" s="24"/>
      <c r="L316" s="11"/>
      <c r="M316" s="25"/>
      <c r="N316" s="24"/>
      <c r="O316" s="11"/>
      <c r="P316" s="25"/>
      <c r="Q316" s="85">
        <v>7</v>
      </c>
      <c r="R316" s="80" cm="1">
        <f t="array" ref="R31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1312.5</v>
      </c>
      <c r="S316" s="80">
        <f>RAPPORT_FINAL[[#This Row],[INVENTAIRE.Quantite]]*RAPPORT_FINAL[[#This Row],[INVENTAIRE.Prix_cout]]</f>
        <v>9187.5</v>
      </c>
      <c r="T316" s="83" cm="1">
        <f t="array" ref="T31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3000</v>
      </c>
      <c r="U316" s="88">
        <f>IF(OR(RAPPORT_FINAL[[#This Row],[INVENTAIRE.Quantite]]="",RAPPORT_FINAL[[#This Row],[INVENTAIRE.Prix_vente]]=""),"",RAPPORT_FINAL[[#This Row],[INVENTAIRE.Quantite]]*RAPPORT_FINAL[[#This Row],[INVENTAIRE.Prix_vente]])</f>
        <v>21000</v>
      </c>
      <c r="V31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16" s="24">
        <f>RAPPORT_FINAL[[#This Row],[INVENTAIRE.Prix_cout]]</f>
        <v>1312.5</v>
      </c>
      <c r="X316" s="85">
        <f>RAPPORT_FINAL[[#This Row],[INVENTAIRE_THEORIQUE]]*RAPPORT_FINAL[[#This Row],[INVENTAIRE_THEORIQUE.Prix_cout]]</f>
        <v>0</v>
      </c>
      <c r="Y316" s="85">
        <f>RAPPORT_FINAL[[#This Row],[INVENTAIRE.Prix_vente]]</f>
        <v>3000</v>
      </c>
      <c r="Z316" s="85">
        <f>RAPPORT_FINAL[[#This Row],[INVENTAIRE_THEORIQUE]]*RAPPORT_FINAL[[#This Row],[INVENTAIRE_THEORIQUE.Prix_vente]]</f>
        <v>0</v>
      </c>
      <c r="AA316" s="85">
        <f>RAPPORT_FINAL[[#This Row],[INVENTAIRE.Quantite]]-RAPPORT_FINAL[[#This Row],[INVENTAIRE_THEORIQUE]]</f>
        <v>7</v>
      </c>
      <c r="AB316" s="90">
        <f>IFERROR(RAPPORT_FINAL[[#This Row],[ECART.Total_cout]]/RAPPORT_FINAL[[#This Row],[ECART.Quantite]],0)</f>
        <v>1312.5</v>
      </c>
      <c r="AC316" s="91">
        <f>IFERROR(RAPPORT_FINAL[[#This Row],[ECART.Quantite]]*RAPPORT_FINAL[[#This Row],[INVENTAIRE.Prix_cout]],"")</f>
        <v>9187.5</v>
      </c>
      <c r="AD316" s="83">
        <f>IFERROR(RAPPORT_FINAL[[#This Row],[ECART.Total_vente]]/RAPPORT_FINAL[[#This Row],[ECART.Quantite]],0)</f>
        <v>3000</v>
      </c>
      <c r="AE316" s="92">
        <f>IFERROR(RAPPORT_FINAL[[#This Row],[ECART.Quantite]]*RAPPORT_FINAL[[#This Row],[INVENTAIRE.Prix_vente]],"")</f>
        <v>21000</v>
      </c>
    </row>
    <row r="317" spans="1:31" x14ac:dyDescent="0.25">
      <c r="A317" s="83" t="s">
        <v>163</v>
      </c>
      <c r="B317" s="3" t="s">
        <v>71</v>
      </c>
      <c r="C317" s="80" t="s">
        <v>284</v>
      </c>
      <c r="D317" s="3" t="s">
        <v>121</v>
      </c>
      <c r="E317" s="31" t="s">
        <v>122</v>
      </c>
      <c r="F317" s="85" t="str" cm="1">
        <f t="array" ref="F31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17" s="80" t="str" cm="1">
        <f t="array" ref="G31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17" s="80" t="str">
        <f>IF(RAPPORT_FINAL[[#This Row],[INVENTAIRE_PREC.Prix_vente]]="","",RAPPORT_FINAL[[#This Row],[INVENTAIRE_PREC.Quantite]]*RAPPORT_FINAL[[#This Row],[INVENTAIRE_PREC.Prix_cout]])</f>
        <v/>
      </c>
      <c r="I317" s="83" t="str" cm="1">
        <f t="array" ref="I31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17" s="88" t="str">
        <f>IF(RAPPORT_FINAL[[#This Row],[INVENTAIRE_PREC.Prix_vente]]="","",RAPPORT_FINAL[[#This Row],[INVENTAIRE_PREC.Quantite]]*RAPPORT_FINAL[[#This Row],[INVENTAIRE_PREC.Prix_vente]])</f>
        <v/>
      </c>
      <c r="K317" s="24"/>
      <c r="L317" s="11"/>
      <c r="M317" s="25"/>
      <c r="N317" s="24"/>
      <c r="O317" s="11"/>
      <c r="P317" s="25"/>
      <c r="Q317" s="85">
        <v>0</v>
      </c>
      <c r="R317" s="80" cm="1">
        <f t="array" ref="R31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17" s="80">
        <f>RAPPORT_FINAL[[#This Row],[INVENTAIRE.Quantite]]*RAPPORT_FINAL[[#This Row],[INVENTAIRE.Prix_cout]]</f>
        <v>0</v>
      </c>
      <c r="T317" s="83" cm="1">
        <f t="array" ref="T31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150</v>
      </c>
      <c r="U317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1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17" s="24">
        <f>RAPPORT_FINAL[[#This Row],[INVENTAIRE.Prix_cout]]</f>
        <v>0</v>
      </c>
      <c r="X317" s="85">
        <f>RAPPORT_FINAL[[#This Row],[INVENTAIRE_THEORIQUE]]*RAPPORT_FINAL[[#This Row],[INVENTAIRE_THEORIQUE.Prix_cout]]</f>
        <v>0</v>
      </c>
      <c r="Y317" s="85">
        <f>RAPPORT_FINAL[[#This Row],[INVENTAIRE.Prix_vente]]</f>
        <v>150</v>
      </c>
      <c r="Z317" s="85">
        <f>RAPPORT_FINAL[[#This Row],[INVENTAIRE_THEORIQUE]]*RAPPORT_FINAL[[#This Row],[INVENTAIRE_THEORIQUE.Prix_vente]]</f>
        <v>0</v>
      </c>
      <c r="AA317" s="85">
        <f>RAPPORT_FINAL[[#This Row],[INVENTAIRE.Quantite]]-RAPPORT_FINAL[[#This Row],[INVENTAIRE_THEORIQUE]]</f>
        <v>0</v>
      </c>
      <c r="AB317" s="90">
        <f>IFERROR(RAPPORT_FINAL[[#This Row],[ECART.Total_cout]]/RAPPORT_FINAL[[#This Row],[ECART.Quantite]],0)</f>
        <v>0</v>
      </c>
      <c r="AC317" s="91">
        <f>IFERROR(RAPPORT_FINAL[[#This Row],[ECART.Quantite]]*RAPPORT_FINAL[[#This Row],[INVENTAIRE.Prix_cout]],"")</f>
        <v>0</v>
      </c>
      <c r="AD317" s="83">
        <f>IFERROR(RAPPORT_FINAL[[#This Row],[ECART.Total_vente]]/RAPPORT_FINAL[[#This Row],[ECART.Quantite]],0)</f>
        <v>0</v>
      </c>
      <c r="AE317" s="92">
        <f>IFERROR(RAPPORT_FINAL[[#This Row],[ECART.Quantite]]*RAPPORT_FINAL[[#This Row],[INVENTAIRE.Prix_vente]],"")</f>
        <v>0</v>
      </c>
    </row>
    <row r="318" spans="1:31" hidden="1" x14ac:dyDescent="0.25">
      <c r="A318" s="83" t="s">
        <v>163</v>
      </c>
      <c r="B318" s="3" t="s">
        <v>71</v>
      </c>
      <c r="C318" s="80" t="s">
        <v>284</v>
      </c>
      <c r="D318" s="3" t="s">
        <v>137</v>
      </c>
      <c r="E318" s="31" t="s">
        <v>143</v>
      </c>
      <c r="F318" s="85" t="str" cm="1">
        <f t="array" ref="F318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18" s="80" t="str" cm="1">
        <f t="array" ref="G318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18" s="80" t="str">
        <f>IF(RAPPORT_FINAL[[#This Row],[INVENTAIRE_PREC.Prix_vente]]="","",RAPPORT_FINAL[[#This Row],[INVENTAIRE_PREC.Quantite]]*RAPPORT_FINAL[[#This Row],[INVENTAIRE_PREC.Prix_cout]])</f>
        <v/>
      </c>
      <c r="I318" s="83" t="str" cm="1">
        <f t="array" ref="I318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18" s="88" t="str">
        <f>IF(RAPPORT_FINAL[[#This Row],[INVENTAIRE_PREC.Prix_vente]]="","",RAPPORT_FINAL[[#This Row],[INVENTAIRE_PREC.Quantite]]*RAPPORT_FINAL[[#This Row],[INVENTAIRE_PREC.Prix_vente]])</f>
        <v/>
      </c>
      <c r="K318" s="24"/>
      <c r="L318" s="11"/>
      <c r="M318" s="25"/>
      <c r="N318" s="24"/>
      <c r="O318" s="11"/>
      <c r="P318" s="25"/>
      <c r="Q318" s="85">
        <v>52</v>
      </c>
      <c r="R318" s="80" cm="1">
        <f t="array" ref="R318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50</v>
      </c>
      <c r="S318" s="80">
        <f>RAPPORT_FINAL[[#This Row],[INVENTAIRE.Quantite]]*RAPPORT_FINAL[[#This Row],[INVENTAIRE.Prix_cout]]</f>
        <v>2600</v>
      </c>
      <c r="T318" s="83" cm="1">
        <f t="array" ref="T318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</v>
      </c>
      <c r="U318" s="88">
        <f>IF(OR(RAPPORT_FINAL[[#This Row],[INVENTAIRE.Quantite]]="",RAPPORT_FINAL[[#This Row],[INVENTAIRE.Prix_vente]]=""),"",RAPPORT_FINAL[[#This Row],[INVENTAIRE.Quantite]]*RAPPORT_FINAL[[#This Row],[INVENTAIRE.Prix_vente]])</f>
        <v>2600</v>
      </c>
      <c r="V318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18" s="24">
        <f>RAPPORT_FINAL[[#This Row],[INVENTAIRE.Prix_cout]]</f>
        <v>50</v>
      </c>
      <c r="X318" s="85">
        <f>RAPPORT_FINAL[[#This Row],[INVENTAIRE_THEORIQUE]]*RAPPORT_FINAL[[#This Row],[INVENTAIRE_THEORIQUE.Prix_cout]]</f>
        <v>0</v>
      </c>
      <c r="Y318" s="85">
        <f>RAPPORT_FINAL[[#This Row],[INVENTAIRE.Prix_vente]]</f>
        <v>50</v>
      </c>
      <c r="Z318" s="85">
        <f>RAPPORT_FINAL[[#This Row],[INVENTAIRE_THEORIQUE]]*RAPPORT_FINAL[[#This Row],[INVENTAIRE_THEORIQUE.Prix_vente]]</f>
        <v>0</v>
      </c>
      <c r="AA318" s="85">
        <f>RAPPORT_FINAL[[#This Row],[INVENTAIRE.Quantite]]-RAPPORT_FINAL[[#This Row],[INVENTAIRE_THEORIQUE]]</f>
        <v>52</v>
      </c>
      <c r="AB318" s="90">
        <f>IFERROR(RAPPORT_FINAL[[#This Row],[ECART.Total_cout]]/RAPPORT_FINAL[[#This Row],[ECART.Quantite]],0)</f>
        <v>50</v>
      </c>
      <c r="AC318" s="91">
        <f>IFERROR(RAPPORT_FINAL[[#This Row],[ECART.Quantite]]*RAPPORT_FINAL[[#This Row],[INVENTAIRE.Prix_cout]],"")</f>
        <v>2600</v>
      </c>
      <c r="AD318" s="83">
        <f>IFERROR(RAPPORT_FINAL[[#This Row],[ECART.Total_vente]]/RAPPORT_FINAL[[#This Row],[ECART.Quantite]],0)</f>
        <v>50</v>
      </c>
      <c r="AE318" s="92">
        <f>IFERROR(RAPPORT_FINAL[[#This Row],[ECART.Quantite]]*RAPPORT_FINAL[[#This Row],[INVENTAIRE.Prix_vente]],"")</f>
        <v>2600</v>
      </c>
    </row>
    <row r="319" spans="1:31" x14ac:dyDescent="0.25">
      <c r="A319" s="83" t="s">
        <v>163</v>
      </c>
      <c r="B319" s="3" t="s">
        <v>71</v>
      </c>
      <c r="C319" s="80" t="s">
        <v>284</v>
      </c>
      <c r="D319" s="3" t="s">
        <v>21</v>
      </c>
      <c r="E319" s="31" t="s">
        <v>108</v>
      </c>
      <c r="F319" s="85" t="str" cm="1">
        <f t="array" ref="F319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19" s="80" t="str" cm="1">
        <f t="array" ref="G319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19" s="80" t="str">
        <f>IF(RAPPORT_FINAL[[#This Row],[INVENTAIRE_PREC.Prix_vente]]="","",RAPPORT_FINAL[[#This Row],[INVENTAIRE_PREC.Quantite]]*RAPPORT_FINAL[[#This Row],[INVENTAIRE_PREC.Prix_cout]])</f>
        <v/>
      </c>
      <c r="I319" s="83" t="str" cm="1">
        <f t="array" ref="I319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19" s="88" t="str">
        <f>IF(RAPPORT_FINAL[[#This Row],[INVENTAIRE_PREC.Prix_vente]]="","",RAPPORT_FINAL[[#This Row],[INVENTAIRE_PREC.Quantite]]*RAPPORT_FINAL[[#This Row],[INVENTAIRE_PREC.Prix_vente]])</f>
        <v/>
      </c>
      <c r="K319" s="24"/>
      <c r="L319" s="11"/>
      <c r="M319" s="25"/>
      <c r="N319" s="24"/>
      <c r="O319" s="11"/>
      <c r="P319" s="25"/>
      <c r="Q319" s="85">
        <v>0</v>
      </c>
      <c r="R319" s="80" cm="1">
        <f t="array" ref="R319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19" s="80">
        <f>RAPPORT_FINAL[[#This Row],[INVENTAIRE.Quantite]]*RAPPORT_FINAL[[#This Row],[INVENTAIRE.Prix_cout]]</f>
        <v>0</v>
      </c>
      <c r="T319" s="83" cm="1">
        <f t="array" ref="T319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4.37</v>
      </c>
      <c r="U319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19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19" s="24">
        <f>RAPPORT_FINAL[[#This Row],[INVENTAIRE.Prix_cout]]</f>
        <v>0</v>
      </c>
      <c r="X319" s="85">
        <f>RAPPORT_FINAL[[#This Row],[INVENTAIRE_THEORIQUE]]*RAPPORT_FINAL[[#This Row],[INVENTAIRE_THEORIQUE.Prix_cout]]</f>
        <v>0</v>
      </c>
      <c r="Y319" s="85">
        <f>RAPPORT_FINAL[[#This Row],[INVENTAIRE.Prix_vente]]</f>
        <v>4.37</v>
      </c>
      <c r="Z319" s="85">
        <f>RAPPORT_FINAL[[#This Row],[INVENTAIRE_THEORIQUE]]*RAPPORT_FINAL[[#This Row],[INVENTAIRE_THEORIQUE.Prix_vente]]</f>
        <v>0</v>
      </c>
      <c r="AA319" s="85">
        <f>RAPPORT_FINAL[[#This Row],[INVENTAIRE.Quantite]]-RAPPORT_FINAL[[#This Row],[INVENTAIRE_THEORIQUE]]</f>
        <v>0</v>
      </c>
      <c r="AB319" s="90">
        <f>IFERROR(RAPPORT_FINAL[[#This Row],[ECART.Total_cout]]/RAPPORT_FINAL[[#This Row],[ECART.Quantite]],0)</f>
        <v>0</v>
      </c>
      <c r="AC319" s="91">
        <f>IFERROR(RAPPORT_FINAL[[#This Row],[ECART.Quantite]]*RAPPORT_FINAL[[#This Row],[INVENTAIRE.Prix_cout]],"")</f>
        <v>0</v>
      </c>
      <c r="AD319" s="83">
        <f>IFERROR(RAPPORT_FINAL[[#This Row],[ECART.Total_vente]]/RAPPORT_FINAL[[#This Row],[ECART.Quantite]],0)</f>
        <v>0</v>
      </c>
      <c r="AE319" s="92">
        <f>IFERROR(RAPPORT_FINAL[[#This Row],[ECART.Quantite]]*RAPPORT_FINAL[[#This Row],[INVENTAIRE.Prix_vente]],"")</f>
        <v>0</v>
      </c>
    </row>
    <row r="320" spans="1:31" x14ac:dyDescent="0.25">
      <c r="A320" s="83" t="s">
        <v>163</v>
      </c>
      <c r="B320" s="3" t="s">
        <v>71</v>
      </c>
      <c r="C320" s="80" t="s">
        <v>284</v>
      </c>
      <c r="D320" s="3" t="s">
        <v>124</v>
      </c>
      <c r="E320" s="31" t="s">
        <v>99</v>
      </c>
      <c r="F320" s="85" t="str" cm="1">
        <f t="array" ref="F320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20" s="80" t="str" cm="1">
        <f t="array" ref="G320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20" s="80" t="str">
        <f>IF(RAPPORT_FINAL[[#This Row],[INVENTAIRE_PREC.Prix_vente]]="","",RAPPORT_FINAL[[#This Row],[INVENTAIRE_PREC.Quantite]]*RAPPORT_FINAL[[#This Row],[INVENTAIRE_PREC.Prix_cout]])</f>
        <v/>
      </c>
      <c r="I320" s="83" t="str" cm="1">
        <f t="array" ref="I320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20" s="88" t="str">
        <f>IF(RAPPORT_FINAL[[#This Row],[INVENTAIRE_PREC.Prix_vente]]="","",RAPPORT_FINAL[[#This Row],[INVENTAIRE_PREC.Quantite]]*RAPPORT_FINAL[[#This Row],[INVENTAIRE_PREC.Prix_vente]])</f>
        <v/>
      </c>
      <c r="K320" s="24"/>
      <c r="L320" s="11"/>
      <c r="M320" s="25"/>
      <c r="N320" s="24"/>
      <c r="O320" s="11"/>
      <c r="P320" s="25"/>
      <c r="Q320" s="85">
        <v>0</v>
      </c>
      <c r="R320" s="80" cm="1">
        <f t="array" ref="R320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20" s="80">
        <f>RAPPORT_FINAL[[#This Row],[INVENTAIRE.Quantite]]*RAPPORT_FINAL[[#This Row],[INVENTAIRE.Prix_cout]]</f>
        <v>0</v>
      </c>
      <c r="T320" s="83" cm="1">
        <f t="array" ref="T320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3.75</v>
      </c>
      <c r="U320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20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20" s="24">
        <f>RAPPORT_FINAL[[#This Row],[INVENTAIRE.Prix_cout]]</f>
        <v>0</v>
      </c>
      <c r="X320" s="85">
        <f>RAPPORT_FINAL[[#This Row],[INVENTAIRE_THEORIQUE]]*RAPPORT_FINAL[[#This Row],[INVENTAIRE_THEORIQUE.Prix_cout]]</f>
        <v>0</v>
      </c>
      <c r="Y320" s="85">
        <f>RAPPORT_FINAL[[#This Row],[INVENTAIRE.Prix_vente]]</f>
        <v>3.75</v>
      </c>
      <c r="Z320" s="85">
        <f>RAPPORT_FINAL[[#This Row],[INVENTAIRE_THEORIQUE]]*RAPPORT_FINAL[[#This Row],[INVENTAIRE_THEORIQUE.Prix_vente]]</f>
        <v>0</v>
      </c>
      <c r="AA320" s="85">
        <f>RAPPORT_FINAL[[#This Row],[INVENTAIRE.Quantite]]-RAPPORT_FINAL[[#This Row],[INVENTAIRE_THEORIQUE]]</f>
        <v>0</v>
      </c>
      <c r="AB320" s="90">
        <f>IFERROR(RAPPORT_FINAL[[#This Row],[ECART.Total_cout]]/RAPPORT_FINAL[[#This Row],[ECART.Quantite]],0)</f>
        <v>0</v>
      </c>
      <c r="AC320" s="91">
        <f>IFERROR(RAPPORT_FINAL[[#This Row],[ECART.Quantite]]*RAPPORT_FINAL[[#This Row],[INVENTAIRE.Prix_cout]],"")</f>
        <v>0</v>
      </c>
      <c r="AD320" s="83">
        <f>IFERROR(RAPPORT_FINAL[[#This Row],[ECART.Total_vente]]/RAPPORT_FINAL[[#This Row],[ECART.Quantite]],0)</f>
        <v>0</v>
      </c>
      <c r="AE320" s="92">
        <f>IFERROR(RAPPORT_FINAL[[#This Row],[ECART.Quantite]]*RAPPORT_FINAL[[#This Row],[INVENTAIRE.Prix_vente]],"")</f>
        <v>0</v>
      </c>
    </row>
    <row r="321" spans="1:31" hidden="1" x14ac:dyDescent="0.25">
      <c r="A321" s="83" t="s">
        <v>163</v>
      </c>
      <c r="B321" s="3" t="s">
        <v>71</v>
      </c>
      <c r="C321" s="80" t="s">
        <v>285</v>
      </c>
      <c r="D321" s="3" t="s">
        <v>20</v>
      </c>
      <c r="E321" s="31" t="s">
        <v>93</v>
      </c>
      <c r="F321" s="85" t="str" cm="1">
        <f t="array" ref="F321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21" s="80" t="str" cm="1">
        <f t="array" ref="G321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21" s="80" t="str">
        <f>IF(RAPPORT_FINAL[[#This Row],[INVENTAIRE_PREC.Prix_vente]]="","",RAPPORT_FINAL[[#This Row],[INVENTAIRE_PREC.Quantite]]*RAPPORT_FINAL[[#This Row],[INVENTAIRE_PREC.Prix_cout]])</f>
        <v/>
      </c>
      <c r="I321" s="83" t="str" cm="1">
        <f t="array" ref="I321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21" s="88" t="str">
        <f>IF(RAPPORT_FINAL[[#This Row],[INVENTAIRE_PREC.Prix_vente]]="","",RAPPORT_FINAL[[#This Row],[INVENTAIRE_PREC.Quantite]]*RAPPORT_FINAL[[#This Row],[INVENTAIRE_PREC.Prix_vente]])</f>
        <v/>
      </c>
      <c r="K321" s="24"/>
      <c r="L321" s="11"/>
      <c r="M321" s="25"/>
      <c r="N321" s="24"/>
      <c r="O321" s="11"/>
      <c r="P321" s="25"/>
      <c r="Q321" s="85">
        <v>8</v>
      </c>
      <c r="R321" s="80" cm="1">
        <f t="array" ref="R321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83.34</v>
      </c>
      <c r="S321" s="80">
        <f>RAPPORT_FINAL[[#This Row],[INVENTAIRE.Quantite]]*RAPPORT_FINAL[[#This Row],[INVENTAIRE.Prix_cout]]</f>
        <v>666.72</v>
      </c>
      <c r="T321" s="83" cm="1">
        <f t="array" ref="T321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2500</v>
      </c>
      <c r="U321" s="88">
        <f>IF(OR(RAPPORT_FINAL[[#This Row],[INVENTAIRE.Quantite]]="",RAPPORT_FINAL[[#This Row],[INVENTAIRE.Prix_vente]]=""),"",RAPPORT_FINAL[[#This Row],[INVENTAIRE.Quantite]]*RAPPORT_FINAL[[#This Row],[INVENTAIRE.Prix_vente]])</f>
        <v>20000</v>
      </c>
      <c r="V321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21" s="24">
        <f>RAPPORT_FINAL[[#This Row],[INVENTAIRE.Prix_cout]]</f>
        <v>83.34</v>
      </c>
      <c r="X321" s="85">
        <f>RAPPORT_FINAL[[#This Row],[INVENTAIRE_THEORIQUE]]*RAPPORT_FINAL[[#This Row],[INVENTAIRE_THEORIQUE.Prix_cout]]</f>
        <v>0</v>
      </c>
      <c r="Y321" s="85">
        <f>RAPPORT_FINAL[[#This Row],[INVENTAIRE.Prix_vente]]</f>
        <v>2500</v>
      </c>
      <c r="Z321" s="85">
        <f>RAPPORT_FINAL[[#This Row],[INVENTAIRE_THEORIQUE]]*RAPPORT_FINAL[[#This Row],[INVENTAIRE_THEORIQUE.Prix_vente]]</f>
        <v>0</v>
      </c>
      <c r="AA321" s="85">
        <f>RAPPORT_FINAL[[#This Row],[INVENTAIRE.Quantite]]-RAPPORT_FINAL[[#This Row],[INVENTAIRE_THEORIQUE]]</f>
        <v>8</v>
      </c>
      <c r="AB321" s="90">
        <f>IFERROR(RAPPORT_FINAL[[#This Row],[ECART.Total_cout]]/RAPPORT_FINAL[[#This Row],[ECART.Quantite]],0)</f>
        <v>83.34</v>
      </c>
      <c r="AC321" s="91">
        <f>IFERROR(RAPPORT_FINAL[[#This Row],[ECART.Quantite]]*RAPPORT_FINAL[[#This Row],[INVENTAIRE.Prix_cout]],"")</f>
        <v>666.72</v>
      </c>
      <c r="AD321" s="83">
        <f>IFERROR(RAPPORT_FINAL[[#This Row],[ECART.Total_vente]]/RAPPORT_FINAL[[#This Row],[ECART.Quantite]],0)</f>
        <v>2500</v>
      </c>
      <c r="AE321" s="92">
        <f>IFERROR(RAPPORT_FINAL[[#This Row],[ECART.Quantite]]*RAPPORT_FINAL[[#This Row],[INVENTAIRE.Prix_vente]],"")</f>
        <v>20000</v>
      </c>
    </row>
    <row r="322" spans="1:31" hidden="1" x14ac:dyDescent="0.25">
      <c r="A322" s="83" t="s">
        <v>163</v>
      </c>
      <c r="B322" s="3" t="s">
        <v>71</v>
      </c>
      <c r="C322" s="80" t="s">
        <v>284</v>
      </c>
      <c r="D322" s="3" t="s">
        <v>139</v>
      </c>
      <c r="E322" s="31" t="s">
        <v>143</v>
      </c>
      <c r="F322" s="85" t="str" cm="1">
        <f t="array" ref="F322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22" s="80" t="str" cm="1">
        <f t="array" ref="G322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22" s="80" t="str">
        <f>IF(RAPPORT_FINAL[[#This Row],[INVENTAIRE_PREC.Prix_vente]]="","",RAPPORT_FINAL[[#This Row],[INVENTAIRE_PREC.Quantite]]*RAPPORT_FINAL[[#This Row],[INVENTAIRE_PREC.Prix_cout]])</f>
        <v/>
      </c>
      <c r="I322" s="83" t="str" cm="1">
        <f t="array" ref="I322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22" s="88" t="str">
        <f>IF(RAPPORT_FINAL[[#This Row],[INVENTAIRE_PREC.Prix_vente]]="","",RAPPORT_FINAL[[#This Row],[INVENTAIRE_PREC.Quantite]]*RAPPORT_FINAL[[#This Row],[INVENTAIRE_PREC.Prix_vente]])</f>
        <v/>
      </c>
      <c r="K322" s="24"/>
      <c r="L322" s="11"/>
      <c r="M322" s="25"/>
      <c r="N322" s="24"/>
      <c r="O322" s="11"/>
      <c r="P322" s="25"/>
      <c r="Q322" s="85">
        <v>92</v>
      </c>
      <c r="R322" s="80" cm="1">
        <f t="array" ref="R322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50</v>
      </c>
      <c r="S322" s="80">
        <f>RAPPORT_FINAL[[#This Row],[INVENTAIRE.Quantite]]*RAPPORT_FINAL[[#This Row],[INVENTAIRE.Prix_cout]]</f>
        <v>4600</v>
      </c>
      <c r="T322" s="83" cm="1">
        <f t="array" ref="T322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</v>
      </c>
      <c r="U322" s="88">
        <f>IF(OR(RAPPORT_FINAL[[#This Row],[INVENTAIRE.Quantite]]="",RAPPORT_FINAL[[#This Row],[INVENTAIRE.Prix_vente]]=""),"",RAPPORT_FINAL[[#This Row],[INVENTAIRE.Quantite]]*RAPPORT_FINAL[[#This Row],[INVENTAIRE.Prix_vente]])</f>
        <v>4600</v>
      </c>
      <c r="V322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22" s="24">
        <f>RAPPORT_FINAL[[#This Row],[INVENTAIRE.Prix_cout]]</f>
        <v>50</v>
      </c>
      <c r="X322" s="85">
        <f>RAPPORT_FINAL[[#This Row],[INVENTAIRE_THEORIQUE]]*RAPPORT_FINAL[[#This Row],[INVENTAIRE_THEORIQUE.Prix_cout]]</f>
        <v>0</v>
      </c>
      <c r="Y322" s="85">
        <f>RAPPORT_FINAL[[#This Row],[INVENTAIRE.Prix_vente]]</f>
        <v>50</v>
      </c>
      <c r="Z322" s="85">
        <f>RAPPORT_FINAL[[#This Row],[INVENTAIRE_THEORIQUE]]*RAPPORT_FINAL[[#This Row],[INVENTAIRE_THEORIQUE.Prix_vente]]</f>
        <v>0</v>
      </c>
      <c r="AA322" s="85">
        <f>RAPPORT_FINAL[[#This Row],[INVENTAIRE.Quantite]]-RAPPORT_FINAL[[#This Row],[INVENTAIRE_THEORIQUE]]</f>
        <v>92</v>
      </c>
      <c r="AB322" s="90">
        <f>IFERROR(RAPPORT_FINAL[[#This Row],[ECART.Total_cout]]/RAPPORT_FINAL[[#This Row],[ECART.Quantite]],0)</f>
        <v>50</v>
      </c>
      <c r="AC322" s="91">
        <f>IFERROR(RAPPORT_FINAL[[#This Row],[ECART.Quantite]]*RAPPORT_FINAL[[#This Row],[INVENTAIRE.Prix_cout]],"")</f>
        <v>4600</v>
      </c>
      <c r="AD322" s="83">
        <f>IFERROR(RAPPORT_FINAL[[#This Row],[ECART.Total_vente]]/RAPPORT_FINAL[[#This Row],[ECART.Quantite]],0)</f>
        <v>50</v>
      </c>
      <c r="AE322" s="92">
        <f>IFERROR(RAPPORT_FINAL[[#This Row],[ECART.Quantite]]*RAPPORT_FINAL[[#This Row],[INVENTAIRE.Prix_vente]],"")</f>
        <v>4600</v>
      </c>
    </row>
    <row r="323" spans="1:31" hidden="1" x14ac:dyDescent="0.25">
      <c r="A323" s="83" t="s">
        <v>163</v>
      </c>
      <c r="B323" s="3" t="s">
        <v>71</v>
      </c>
      <c r="C323" s="80" t="s">
        <v>284</v>
      </c>
      <c r="D323" s="3" t="s">
        <v>138</v>
      </c>
      <c r="E323" s="31" t="s">
        <v>143</v>
      </c>
      <c r="F323" s="85" t="str" cm="1">
        <f t="array" ref="F323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23" s="80" t="str" cm="1">
        <f t="array" ref="G323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23" s="80" t="str">
        <f>IF(RAPPORT_FINAL[[#This Row],[INVENTAIRE_PREC.Prix_vente]]="","",RAPPORT_FINAL[[#This Row],[INVENTAIRE_PREC.Quantite]]*RAPPORT_FINAL[[#This Row],[INVENTAIRE_PREC.Prix_cout]])</f>
        <v/>
      </c>
      <c r="I323" s="83" t="str" cm="1">
        <f t="array" ref="I323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23" s="88" t="str">
        <f>IF(RAPPORT_FINAL[[#This Row],[INVENTAIRE_PREC.Prix_vente]]="","",RAPPORT_FINAL[[#This Row],[INVENTAIRE_PREC.Quantite]]*RAPPORT_FINAL[[#This Row],[INVENTAIRE_PREC.Prix_vente]])</f>
        <v/>
      </c>
      <c r="K323" s="24"/>
      <c r="L323" s="11"/>
      <c r="M323" s="25"/>
      <c r="N323" s="24"/>
      <c r="O323" s="11"/>
      <c r="P323" s="25"/>
      <c r="Q323" s="85">
        <v>84</v>
      </c>
      <c r="R323" s="80" cm="1">
        <f t="array" ref="R323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100</v>
      </c>
      <c r="S323" s="80">
        <f>RAPPORT_FINAL[[#This Row],[INVENTAIRE.Quantite]]*RAPPORT_FINAL[[#This Row],[INVENTAIRE.Prix_cout]]</f>
        <v>8400</v>
      </c>
      <c r="T323" s="83" cm="1">
        <f t="array" ref="T323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100</v>
      </c>
      <c r="U323" s="88">
        <f>IF(OR(RAPPORT_FINAL[[#This Row],[INVENTAIRE.Quantite]]="",RAPPORT_FINAL[[#This Row],[INVENTAIRE.Prix_vente]]=""),"",RAPPORT_FINAL[[#This Row],[INVENTAIRE.Quantite]]*RAPPORT_FINAL[[#This Row],[INVENTAIRE.Prix_vente]])</f>
        <v>8400</v>
      </c>
      <c r="V323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23" s="24">
        <f>RAPPORT_FINAL[[#This Row],[INVENTAIRE.Prix_cout]]</f>
        <v>100</v>
      </c>
      <c r="X323" s="85">
        <f>RAPPORT_FINAL[[#This Row],[INVENTAIRE_THEORIQUE]]*RAPPORT_FINAL[[#This Row],[INVENTAIRE_THEORIQUE.Prix_cout]]</f>
        <v>0</v>
      </c>
      <c r="Y323" s="85">
        <f>RAPPORT_FINAL[[#This Row],[INVENTAIRE.Prix_vente]]</f>
        <v>100</v>
      </c>
      <c r="Z323" s="85">
        <f>RAPPORT_FINAL[[#This Row],[INVENTAIRE_THEORIQUE]]*RAPPORT_FINAL[[#This Row],[INVENTAIRE_THEORIQUE.Prix_vente]]</f>
        <v>0</v>
      </c>
      <c r="AA323" s="85">
        <f>RAPPORT_FINAL[[#This Row],[INVENTAIRE.Quantite]]-RAPPORT_FINAL[[#This Row],[INVENTAIRE_THEORIQUE]]</f>
        <v>84</v>
      </c>
      <c r="AB323" s="90">
        <f>IFERROR(RAPPORT_FINAL[[#This Row],[ECART.Total_cout]]/RAPPORT_FINAL[[#This Row],[ECART.Quantite]],0)</f>
        <v>100</v>
      </c>
      <c r="AC323" s="91">
        <f>IFERROR(RAPPORT_FINAL[[#This Row],[ECART.Quantite]]*RAPPORT_FINAL[[#This Row],[INVENTAIRE.Prix_cout]],"")</f>
        <v>8400</v>
      </c>
      <c r="AD323" s="83">
        <f>IFERROR(RAPPORT_FINAL[[#This Row],[ECART.Total_vente]]/RAPPORT_FINAL[[#This Row],[ECART.Quantite]],0)</f>
        <v>100</v>
      </c>
      <c r="AE323" s="92">
        <f>IFERROR(RAPPORT_FINAL[[#This Row],[ECART.Quantite]]*RAPPORT_FINAL[[#This Row],[INVENTAIRE.Prix_vente]],"")</f>
        <v>8400</v>
      </c>
    </row>
    <row r="324" spans="1:31" hidden="1" x14ac:dyDescent="0.25">
      <c r="A324" s="83" t="s">
        <v>163</v>
      </c>
      <c r="B324" s="3" t="s">
        <v>71</v>
      </c>
      <c r="C324" s="80" t="s">
        <v>284</v>
      </c>
      <c r="D324" s="3" t="s">
        <v>135</v>
      </c>
      <c r="E324" s="31" t="s">
        <v>145</v>
      </c>
      <c r="F324" s="85" t="str" cm="1">
        <f t="array" ref="F324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24" s="80" t="str" cm="1">
        <f t="array" ref="G324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24" s="80" t="str">
        <f>IF(RAPPORT_FINAL[[#This Row],[INVENTAIRE_PREC.Prix_vente]]="","",RAPPORT_FINAL[[#This Row],[INVENTAIRE_PREC.Quantite]]*RAPPORT_FINAL[[#This Row],[INVENTAIRE_PREC.Prix_cout]])</f>
        <v/>
      </c>
      <c r="I324" s="83" t="str" cm="1">
        <f t="array" ref="I324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24" s="88" t="str">
        <f>IF(RAPPORT_FINAL[[#This Row],[INVENTAIRE_PREC.Prix_vente]]="","",RAPPORT_FINAL[[#This Row],[INVENTAIRE_PREC.Quantite]]*RAPPORT_FINAL[[#This Row],[INVENTAIRE_PREC.Prix_vente]])</f>
        <v/>
      </c>
      <c r="K324" s="24"/>
      <c r="L324" s="11"/>
      <c r="M324" s="25"/>
      <c r="N324" s="24"/>
      <c r="O324" s="11"/>
      <c r="P324" s="25"/>
      <c r="Q324" s="85">
        <v>46</v>
      </c>
      <c r="R324" s="80" cm="1">
        <f t="array" ref="R324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83.34</v>
      </c>
      <c r="S324" s="80">
        <f>RAPPORT_FINAL[[#This Row],[INVENTAIRE.Quantite]]*RAPPORT_FINAL[[#This Row],[INVENTAIRE.Prix_cout]]</f>
        <v>3833.6400000000003</v>
      </c>
      <c r="T324" s="83" cm="1">
        <f t="array" ref="T324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324" s="88">
        <f>IF(OR(RAPPORT_FINAL[[#This Row],[INVENTAIRE.Quantite]]="",RAPPORT_FINAL[[#This Row],[INVENTAIRE.Prix_vente]]=""),"",RAPPORT_FINAL[[#This Row],[INVENTAIRE.Quantite]]*RAPPORT_FINAL[[#This Row],[INVENTAIRE.Prix_vente]])</f>
        <v>23000</v>
      </c>
      <c r="V324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24" s="24">
        <f>RAPPORT_FINAL[[#This Row],[INVENTAIRE.Prix_cout]]</f>
        <v>83.34</v>
      </c>
      <c r="X324" s="85">
        <f>RAPPORT_FINAL[[#This Row],[INVENTAIRE_THEORIQUE]]*RAPPORT_FINAL[[#This Row],[INVENTAIRE_THEORIQUE.Prix_cout]]</f>
        <v>0</v>
      </c>
      <c r="Y324" s="85">
        <f>RAPPORT_FINAL[[#This Row],[INVENTAIRE.Prix_vente]]</f>
        <v>500</v>
      </c>
      <c r="Z324" s="85">
        <f>RAPPORT_FINAL[[#This Row],[INVENTAIRE_THEORIQUE]]*RAPPORT_FINAL[[#This Row],[INVENTAIRE_THEORIQUE.Prix_vente]]</f>
        <v>0</v>
      </c>
      <c r="AA324" s="85">
        <f>RAPPORT_FINAL[[#This Row],[INVENTAIRE.Quantite]]-RAPPORT_FINAL[[#This Row],[INVENTAIRE_THEORIQUE]]</f>
        <v>46</v>
      </c>
      <c r="AB324" s="90">
        <f>IFERROR(RAPPORT_FINAL[[#This Row],[ECART.Total_cout]]/RAPPORT_FINAL[[#This Row],[ECART.Quantite]],0)</f>
        <v>83.34</v>
      </c>
      <c r="AC324" s="91">
        <f>IFERROR(RAPPORT_FINAL[[#This Row],[ECART.Quantite]]*RAPPORT_FINAL[[#This Row],[INVENTAIRE.Prix_cout]],"")</f>
        <v>3833.6400000000003</v>
      </c>
      <c r="AD324" s="83">
        <f>IFERROR(RAPPORT_FINAL[[#This Row],[ECART.Total_vente]]/RAPPORT_FINAL[[#This Row],[ECART.Quantite]],0)</f>
        <v>500</v>
      </c>
      <c r="AE324" s="92">
        <f>IFERROR(RAPPORT_FINAL[[#This Row],[ECART.Quantite]]*RAPPORT_FINAL[[#This Row],[INVENTAIRE.Prix_vente]],"")</f>
        <v>23000</v>
      </c>
    </row>
    <row r="325" spans="1:31" x14ac:dyDescent="0.25">
      <c r="A325" s="83" t="s">
        <v>163</v>
      </c>
      <c r="B325" s="3" t="s">
        <v>71</v>
      </c>
      <c r="C325" s="80" t="s">
        <v>284</v>
      </c>
      <c r="D325" s="3" t="s">
        <v>123</v>
      </c>
      <c r="E325" s="31" t="s">
        <v>99</v>
      </c>
      <c r="F325" s="85" t="str" cm="1">
        <f t="array" ref="F325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25" s="80" t="str" cm="1">
        <f t="array" ref="G325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25" s="80" t="str">
        <f>IF(RAPPORT_FINAL[[#This Row],[INVENTAIRE_PREC.Prix_vente]]="","",RAPPORT_FINAL[[#This Row],[INVENTAIRE_PREC.Quantite]]*RAPPORT_FINAL[[#This Row],[INVENTAIRE_PREC.Prix_cout]])</f>
        <v/>
      </c>
      <c r="I325" s="83" t="str" cm="1">
        <f t="array" ref="I325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25" s="88" t="str">
        <f>IF(RAPPORT_FINAL[[#This Row],[INVENTAIRE_PREC.Prix_vente]]="","",RAPPORT_FINAL[[#This Row],[INVENTAIRE_PREC.Quantite]]*RAPPORT_FINAL[[#This Row],[INVENTAIRE_PREC.Prix_vente]])</f>
        <v/>
      </c>
      <c r="K325" s="24"/>
      <c r="L325" s="11"/>
      <c r="M325" s="25"/>
      <c r="N325" s="24"/>
      <c r="O325" s="11"/>
      <c r="P325" s="25"/>
      <c r="Q325" s="85">
        <v>0</v>
      </c>
      <c r="R325" s="80" cm="1">
        <f t="array" ref="R325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25" s="80">
        <f>RAPPORT_FINAL[[#This Row],[INVENTAIRE.Quantite]]*RAPPORT_FINAL[[#This Row],[INVENTAIRE.Prix_cout]]</f>
        <v>0</v>
      </c>
      <c r="T325" s="83" cm="1">
        <f t="array" ref="T325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2.8</v>
      </c>
      <c r="U325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25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25" s="24">
        <f>RAPPORT_FINAL[[#This Row],[INVENTAIRE.Prix_cout]]</f>
        <v>0</v>
      </c>
      <c r="X325" s="85">
        <f>RAPPORT_FINAL[[#This Row],[INVENTAIRE_THEORIQUE]]*RAPPORT_FINAL[[#This Row],[INVENTAIRE_THEORIQUE.Prix_cout]]</f>
        <v>0</v>
      </c>
      <c r="Y325" s="85">
        <f>RAPPORT_FINAL[[#This Row],[INVENTAIRE.Prix_vente]]</f>
        <v>2.8</v>
      </c>
      <c r="Z325" s="85">
        <f>RAPPORT_FINAL[[#This Row],[INVENTAIRE_THEORIQUE]]*RAPPORT_FINAL[[#This Row],[INVENTAIRE_THEORIQUE.Prix_vente]]</f>
        <v>0</v>
      </c>
      <c r="AA325" s="85">
        <f>RAPPORT_FINAL[[#This Row],[INVENTAIRE.Quantite]]-RAPPORT_FINAL[[#This Row],[INVENTAIRE_THEORIQUE]]</f>
        <v>0</v>
      </c>
      <c r="AB325" s="90">
        <f>IFERROR(RAPPORT_FINAL[[#This Row],[ECART.Total_cout]]/RAPPORT_FINAL[[#This Row],[ECART.Quantite]],0)</f>
        <v>0</v>
      </c>
      <c r="AC325" s="91">
        <f>IFERROR(RAPPORT_FINAL[[#This Row],[ECART.Quantite]]*RAPPORT_FINAL[[#This Row],[INVENTAIRE.Prix_cout]],"")</f>
        <v>0</v>
      </c>
      <c r="AD325" s="83">
        <f>IFERROR(RAPPORT_FINAL[[#This Row],[ECART.Total_vente]]/RAPPORT_FINAL[[#This Row],[ECART.Quantite]],0)</f>
        <v>0</v>
      </c>
      <c r="AE325" s="92">
        <f>IFERROR(RAPPORT_FINAL[[#This Row],[ECART.Quantite]]*RAPPORT_FINAL[[#This Row],[INVENTAIRE.Prix_vente]],"")</f>
        <v>0</v>
      </c>
    </row>
    <row r="326" spans="1:31" x14ac:dyDescent="0.25">
      <c r="A326" s="83" t="s">
        <v>163</v>
      </c>
      <c r="B326" s="3" t="s">
        <v>142</v>
      </c>
      <c r="C326" s="80" t="s">
        <v>283</v>
      </c>
      <c r="D326" s="3" t="s">
        <v>141</v>
      </c>
      <c r="E326" s="31" t="s">
        <v>144</v>
      </c>
      <c r="F326" s="85" t="str" cm="1">
        <f t="array" ref="F326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26" s="80" t="str" cm="1">
        <f t="array" ref="G326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26" s="80" t="str">
        <f>IF(RAPPORT_FINAL[[#This Row],[INVENTAIRE_PREC.Prix_vente]]="","",RAPPORT_FINAL[[#This Row],[INVENTAIRE_PREC.Quantite]]*RAPPORT_FINAL[[#This Row],[INVENTAIRE_PREC.Prix_cout]])</f>
        <v/>
      </c>
      <c r="I326" s="83" t="str" cm="1">
        <f t="array" ref="I326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26" s="88" t="str">
        <f>IF(RAPPORT_FINAL[[#This Row],[INVENTAIRE_PREC.Prix_vente]]="","",RAPPORT_FINAL[[#This Row],[INVENTAIRE_PREC.Quantite]]*RAPPORT_FINAL[[#This Row],[INVENTAIRE_PREC.Prix_vente]])</f>
        <v/>
      </c>
      <c r="K326" s="24"/>
      <c r="L326" s="11"/>
      <c r="M326" s="25"/>
      <c r="N326" s="24"/>
      <c r="O326" s="11"/>
      <c r="P326" s="25"/>
      <c r="Q326" s="85">
        <v>0</v>
      </c>
      <c r="R326" s="80" cm="1">
        <f t="array" ref="R326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0</v>
      </c>
      <c r="S326" s="80">
        <f>RAPPORT_FINAL[[#This Row],[INVENTAIRE.Quantite]]*RAPPORT_FINAL[[#This Row],[INVENTAIRE.Prix_cout]]</f>
        <v>0</v>
      </c>
      <c r="T326" s="83" cm="1">
        <f t="array" ref="T326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326" s="88">
        <f>IF(OR(RAPPORT_FINAL[[#This Row],[INVENTAIRE.Quantite]]="",RAPPORT_FINAL[[#This Row],[INVENTAIRE.Prix_vente]]=""),"",RAPPORT_FINAL[[#This Row],[INVENTAIRE.Quantite]]*RAPPORT_FINAL[[#This Row],[INVENTAIRE.Prix_vente]])</f>
        <v>0</v>
      </c>
      <c r="V326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26" s="24">
        <f>RAPPORT_FINAL[[#This Row],[INVENTAIRE.Prix_cout]]</f>
        <v>0</v>
      </c>
      <c r="X326" s="85">
        <f>RAPPORT_FINAL[[#This Row],[INVENTAIRE_THEORIQUE]]*RAPPORT_FINAL[[#This Row],[INVENTAIRE_THEORIQUE.Prix_cout]]</f>
        <v>0</v>
      </c>
      <c r="Y326" s="85">
        <f>RAPPORT_FINAL[[#This Row],[INVENTAIRE.Prix_vente]]</f>
        <v>500</v>
      </c>
      <c r="Z326" s="85">
        <f>RAPPORT_FINAL[[#This Row],[INVENTAIRE_THEORIQUE]]*RAPPORT_FINAL[[#This Row],[INVENTAIRE_THEORIQUE.Prix_vente]]</f>
        <v>0</v>
      </c>
      <c r="AA326" s="85">
        <f>RAPPORT_FINAL[[#This Row],[INVENTAIRE.Quantite]]-RAPPORT_FINAL[[#This Row],[INVENTAIRE_THEORIQUE]]</f>
        <v>0</v>
      </c>
      <c r="AB326" s="90">
        <f>IFERROR(RAPPORT_FINAL[[#This Row],[ECART.Total_cout]]/RAPPORT_FINAL[[#This Row],[ECART.Quantite]],0)</f>
        <v>0</v>
      </c>
      <c r="AC326" s="91">
        <f>IFERROR(RAPPORT_FINAL[[#This Row],[ECART.Quantite]]*RAPPORT_FINAL[[#This Row],[INVENTAIRE.Prix_cout]],"")</f>
        <v>0</v>
      </c>
      <c r="AD326" s="83">
        <f>IFERROR(RAPPORT_FINAL[[#This Row],[ECART.Total_vente]]/RAPPORT_FINAL[[#This Row],[ECART.Quantite]],0)</f>
        <v>0</v>
      </c>
      <c r="AE326" s="92">
        <f>IFERROR(RAPPORT_FINAL[[#This Row],[ECART.Quantite]]*RAPPORT_FINAL[[#This Row],[INVENTAIRE.Prix_vente]],"")</f>
        <v>0</v>
      </c>
    </row>
    <row r="327" spans="1:31" hidden="1" x14ac:dyDescent="0.25">
      <c r="A327" s="83" t="s">
        <v>163</v>
      </c>
      <c r="B327" s="3" t="s">
        <v>142</v>
      </c>
      <c r="C327" s="80" t="s">
        <v>283</v>
      </c>
      <c r="D327" s="3" t="s">
        <v>140</v>
      </c>
      <c r="E327" s="31" t="s">
        <v>143</v>
      </c>
      <c r="F327" s="85" t="str" cm="1">
        <f t="array" ref="F327">_xlfn.XLOOKUP(_xlfn.TEXTJOIN("P",TRUE,LEFT(RAPPORT_FINAL[[#This Row],[Periode]],2) - (RIGHT(RAPPORT_FINAL[[#This Row],[Periode]],2) = 1),MOD(RIGHT(RAPPORT_FINAL[[#This Row],[Periode]],2) - 2, 12) + 1)&amp;"-"&amp;RAPPORT_FINAL[[#This Row],[Designation]],
         RAPPORT_FINAL[Periode] &amp; "-" &amp; RAPPORT_FINAL[Designation],
         RAPPORT_FINAL[INVENTAIRE.Quantite],
         "",0)</f>
        <v/>
      </c>
      <c r="G327" s="80" t="str" cm="1">
        <f t="array" ref="G327">_xlfn.LET(
   _xlpm.prix_cout,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_xlpm.myxlookup(_xlpm.prix_cout),
   _xlpm.is_not_ingredient,_xlpm.myxlookup(_xlpm.prix_cout),
   IF(OR(RAPPORT_FINAL[[#This Row],[Categorie]] = "Ingredient",RAPPORT_FINAL[[#This Row],[Categorie]] = "Petit Dej"), _xlpm.is_ingredient, _xlpm.is_not_ingredient)
)</f>
        <v/>
      </c>
      <c r="H327" s="80" t="str">
        <f>IF(RAPPORT_FINAL[[#This Row],[INVENTAIRE_PREC.Prix_vente]]="","",RAPPORT_FINAL[[#This Row],[INVENTAIRE_PREC.Quantite]]*RAPPORT_FINAL[[#This Row],[INVENTAIRE_PREC.Prix_cout]])</f>
        <v/>
      </c>
      <c r="I327" s="83" t="str" cm="1">
        <f t="array" ref="I327">_xlfn.LET(
   _xlpm.prix_achat, RAPPORT_FINAL[INVENTAIRE.Prix_cout],
   _xlpm.prix_vente, RAPPORT_FINAL[INVENTAIRE.Prix_vente],
   _xlpm.myxlookup,
      _xlfn.LAMBDA(_xlpm.prix,
         _xlfn.XLOOKUP(
            _xlfn.TEXTJOIN("P", TRUE, LEFT(RAPPORT_FINAL[[#This Row],[Periode]], 2) - (RIGHT(RAPPORT_FINAL[[#This Row],[Periode]], 2) = 1), MOD(RIGHT(RAPPORT_FINAL[[#This Row],[Periode]], 2) - 2, 12) + 1) &amp; "-" &amp; RAPPORT_FINAL[[#This Row],[Designation]],
            RAPPORT_FINAL[Periode] &amp; "-" &amp; RAPPORT_FINAL[Designation],
            _xlpm.prix,
            "",
            0
         )
      ),
   _xlpm.is_ingredient, _xlpm.myxlookup(_xlpm.prix_achat),
   _xlpm.is_not_ingredient,_xlpm.myxlookup(_xlpm.prix_vente),
   IF(OR(RAPPORT_FINAL[[#This Row],[Categorie]] = "Ingredient",RAPPORT_FINAL[[#This Row],[Categorie]] = "Petit Dej"), _xlpm.is_ingredient, _xlpm.is_not_ingredient)
)</f>
        <v/>
      </c>
      <c r="J327" s="88" t="str">
        <f>IF(RAPPORT_FINAL[[#This Row],[INVENTAIRE_PREC.Prix_vente]]="","",RAPPORT_FINAL[[#This Row],[INVENTAIRE_PREC.Quantite]]*RAPPORT_FINAL[[#This Row],[INVENTAIRE_PREC.Prix_vente]])</f>
        <v/>
      </c>
      <c r="K327" s="24"/>
      <c r="L327" s="11"/>
      <c r="M327" s="25"/>
      <c r="N327" s="24"/>
      <c r="O327" s="11"/>
      <c r="P327" s="25"/>
      <c r="Q327" s="85">
        <v>25</v>
      </c>
      <c r="R327" s="80" cm="1">
        <f t="array" ref="R327">IF(RAPPORT_FINAL[[#This Row],[Periode]]="24P10",
    IFERROR(
            (IFERROR(_xlfn.XLOOKUP(RAPPORT_FINAL[[#This Row],[Designation]]&amp;RAPPORT_FINAL[[#This Row],[UDM]],ROOT[Designation]&amp;ROOT[UDM],ROOT[Prix Achat],0,0)* RAPPORT_FINAL[[#This Row],[INVENTAIRE.Quantite]], 0) + RAPPORT_FINAL[[#This Row],[ACHAT.Total]])
             /
            (RAPPORT_FINAL[[#This Row],[INVENTAIRE.Quantite]]+ RAPPORT_FINAL[[#This Row],[ACHAT.Quantite]]),
            0),
     IFERROR( (RAPPORT_FINAL[[#This Row],[INVENTAIRE_PREC.Total_cout]]+ RAPPORT_FINAL[[#This Row],[ACHAT.Total]])
          / (RAPPORT_FINAL[[#This Row],[INVENTAIRE_PREC.Quantite]] + RAPPORT_FINAL[[#This Row],[ACHAT.Quantite]]),
        0))</f>
        <v>64</v>
      </c>
      <c r="S327" s="80">
        <f>RAPPORT_FINAL[[#This Row],[INVENTAIRE.Quantite]]*RAPPORT_FINAL[[#This Row],[INVENTAIRE.Prix_cout]]</f>
        <v>1600</v>
      </c>
      <c r="T327" s="83" cm="1">
        <f t="array" ref="T327">_xlfn.IFS(_xlfn.XLOOKUP(RAPPORT_FINAL[[#This Row],[Designation]]&amp;RAPPORT_FINAL[[#This Row],[UDM]],ROOT[Designation]&amp;ROOT[UDM],ROOT[Prix Vente],"",0)&lt;&gt;"",
     _xlfn.XLOOKUP(RAPPORT_FINAL[[#This Row],[Designation]]&amp;RAPPORT_FINAL[[#This Row],[UDM]],ROOT[Designation]&amp;ROOT[UDM],ROOT[Prix Vente],"",0),
     RAPPORT_FINAL[[#This Row],[Categorie]]="Ingredient",
     IF(RAPPORT_FINAL[[#This Row],[ACHAT.Prix Unitaire]]&lt;&gt;"",
        RAPPORT_FINAL[[#This Row],[ACHAT.Prix Unitaire]],
        _xlfn.XLOOKUP(RAPPORT_FINAL[[#This Row],[Designation]] &amp; RAPPORT_FINAL[[#This Row],[Categorie]], ROOT[Designation] &amp; ROOT[Categorie],ROOT[Prix Achat], "Not Found")),
     RAPPORT_FINAL[[#This Row],[Categorie]]&lt;&gt;"Ingredient",
     IF(RAPPORT_FINAL[[#This Row],[VENTE.Prix]]&lt;&gt;"",
        RAPPORT_FINAL[[#This Row],[VENTE.Prix]],
        _xlfn.XLOOKUP(RAPPORT_FINAL[[#This Row],[Designation]] &amp; RAPPORT_FINAL[[#This Row],[Categorie]], ROOT[Designation] &amp; ROOT[Categorie],ROOT[Prix Vente], "Not Found")))</f>
        <v>500</v>
      </c>
      <c r="U327" s="88">
        <f>IF(OR(RAPPORT_FINAL[[#This Row],[INVENTAIRE.Quantite]]="",RAPPORT_FINAL[[#This Row],[INVENTAIRE.Prix_vente]]=""),"",RAPPORT_FINAL[[#This Row],[INVENTAIRE.Quantite]]*RAPPORT_FINAL[[#This Row],[INVENTAIRE.Prix_vente]])</f>
        <v>12500</v>
      </c>
      <c r="V327" s="89">
        <f>IF(RAPPORT_FINAL[[#This Row],[INVENTAIRE_PREC.Quantite]]="",0,RAPPORT_FINAL[[#This Row],[INVENTAIRE_PREC.Quantite]])
 + IF(RAPPORT_FINAL[[#This Row],[ACHAT.Quantite]]="",0,RAPPORT_FINAL[[#This Row],[ACHAT.Quantite]])
 - IF(RAPPORT_FINAL[[#This Row],[VENTE.Quantite]]="",0,RAPPORT_FINAL[[#This Row],[VENTE.Quantite]])</f>
        <v>0</v>
      </c>
      <c r="W327" s="24">
        <f>RAPPORT_FINAL[[#This Row],[INVENTAIRE.Prix_cout]]</f>
        <v>64</v>
      </c>
      <c r="X327" s="85">
        <f>RAPPORT_FINAL[[#This Row],[INVENTAIRE_THEORIQUE]]*RAPPORT_FINAL[[#This Row],[INVENTAIRE_THEORIQUE.Prix_cout]]</f>
        <v>0</v>
      </c>
      <c r="Y327" s="85">
        <f>RAPPORT_FINAL[[#This Row],[INVENTAIRE.Prix_vente]]</f>
        <v>500</v>
      </c>
      <c r="Z327" s="85">
        <f>RAPPORT_FINAL[[#This Row],[INVENTAIRE_THEORIQUE]]*RAPPORT_FINAL[[#This Row],[INVENTAIRE_THEORIQUE.Prix_vente]]</f>
        <v>0</v>
      </c>
      <c r="AA327" s="85">
        <f>RAPPORT_FINAL[[#This Row],[INVENTAIRE.Quantite]]-RAPPORT_FINAL[[#This Row],[INVENTAIRE_THEORIQUE]]</f>
        <v>25</v>
      </c>
      <c r="AB327" s="90">
        <f>IFERROR(RAPPORT_FINAL[[#This Row],[ECART.Total_cout]]/RAPPORT_FINAL[[#This Row],[ECART.Quantite]],0)</f>
        <v>64</v>
      </c>
      <c r="AC327" s="91">
        <f>IFERROR(RAPPORT_FINAL[[#This Row],[ECART.Quantite]]*RAPPORT_FINAL[[#This Row],[INVENTAIRE.Prix_cout]],"")</f>
        <v>1600</v>
      </c>
      <c r="AD327" s="83">
        <f>IFERROR(RAPPORT_FINAL[[#This Row],[ECART.Total_vente]]/RAPPORT_FINAL[[#This Row],[ECART.Quantite]],0)</f>
        <v>500</v>
      </c>
      <c r="AE327" s="92">
        <f>IFERROR(RAPPORT_FINAL[[#This Row],[ECART.Quantite]]*RAPPORT_FINAL[[#This Row],[INVENTAIRE.Prix_vente]],"")</f>
        <v>12500</v>
      </c>
    </row>
  </sheetData>
  <mergeCells count="1">
    <mergeCell ref="AI5:AO2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161B-CE9C-4214-818A-303040F6F650}">
  <sheetPr>
    <pageSetUpPr fitToPage="1"/>
  </sheetPr>
  <dimension ref="A1:R57"/>
  <sheetViews>
    <sheetView tabSelected="1" zoomScale="85" zoomScaleNormal="85" zoomScaleSheetLayoutView="90" workbookViewId="0">
      <selection activeCell="K26" sqref="K26:K27"/>
    </sheetView>
  </sheetViews>
  <sheetFormatPr defaultRowHeight="15" x14ac:dyDescent="0.25"/>
  <cols>
    <col min="1" max="1" width="10.28515625" bestFit="1" customWidth="1"/>
    <col min="2" max="2" width="11.85546875" bestFit="1" customWidth="1"/>
    <col min="3" max="3" width="12.85546875" bestFit="1" customWidth="1"/>
    <col min="4" max="4" width="32.140625" bestFit="1" customWidth="1"/>
    <col min="5" max="5" width="9.5703125" bestFit="1" customWidth="1"/>
    <col min="6" max="6" width="15.7109375" bestFit="1" customWidth="1"/>
    <col min="7" max="7" width="9.5703125" bestFit="1" customWidth="1"/>
    <col min="8" max="9" width="9.42578125" bestFit="1" customWidth="1"/>
    <col min="10" max="10" width="20.28515625" bestFit="1" customWidth="1"/>
    <col min="11" max="11" width="9.28515625" bestFit="1" customWidth="1"/>
    <col min="12" max="12" width="18.85546875" bestFit="1" customWidth="1"/>
    <col min="13" max="13" width="20.28515625" bestFit="1" customWidth="1"/>
    <col min="14" max="14" width="20.28515625" customWidth="1"/>
    <col min="15" max="15" width="11.28515625" bestFit="1" customWidth="1"/>
    <col min="16" max="16" width="4.85546875" bestFit="1" customWidth="1"/>
    <col min="17" max="17" width="2" bestFit="1" customWidth="1"/>
    <col min="18" max="18" width="6.140625" bestFit="1" customWidth="1"/>
    <col min="19" max="24" width="2" bestFit="1" customWidth="1"/>
    <col min="25" max="39" width="3" bestFit="1" customWidth="1"/>
  </cols>
  <sheetData>
    <row r="1" spans="1:18" x14ac:dyDescent="0.25">
      <c r="O1" t="s">
        <v>2</v>
      </c>
      <c r="R1" t="str" cm="1">
        <f t="array" ref="R1:R3">_xlfn.UNIQUE(RAPPORT_FINAL[Periode])</f>
        <v>24P12</v>
      </c>
    </row>
    <row r="2" spans="1:18" ht="23.25" x14ac:dyDescent="0.35">
      <c r="A2" s="47" t="str">
        <f xml:space="preserve"> "ECART HOTEL PERIODE DU " &amp; PERIODE[[#This Row],[PERIODE]]</f>
        <v>ECART HOTEL PERIODE DU 24P12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O2" t="s">
        <v>308</v>
      </c>
      <c r="R2" t="str">
        <v>24P11</v>
      </c>
    </row>
    <row r="3" spans="1:18" x14ac:dyDescent="0.25">
      <c r="R3" t="str">
        <v>24P10</v>
      </c>
    </row>
    <row r="4" spans="1:18" x14ac:dyDescent="0.25">
      <c r="A4" s="77" t="s">
        <v>4</v>
      </c>
      <c r="B4" s="77" t="s">
        <v>3</v>
      </c>
      <c r="C4" s="77" t="s">
        <v>282</v>
      </c>
      <c r="D4" s="77" t="s">
        <v>5</v>
      </c>
      <c r="E4" s="77" t="s">
        <v>94</v>
      </c>
      <c r="F4" t="s">
        <v>306</v>
      </c>
      <c r="G4" t="s">
        <v>98</v>
      </c>
      <c r="H4" t="s">
        <v>1</v>
      </c>
      <c r="I4" t="s">
        <v>307</v>
      </c>
      <c r="J4" t="s">
        <v>106</v>
      </c>
      <c r="K4" t="s">
        <v>103</v>
      </c>
      <c r="L4" s="77" t="s">
        <v>289</v>
      </c>
      <c r="M4" s="78" t="s">
        <v>291</v>
      </c>
    </row>
    <row r="5" spans="1:18" x14ac:dyDescent="0.25">
      <c r="A5" s="94" t="s">
        <v>308</v>
      </c>
      <c r="B5" s="34" t="s">
        <v>71</v>
      </c>
      <c r="C5" s="34" t="s">
        <v>285</v>
      </c>
      <c r="D5" s="34" t="s">
        <v>27</v>
      </c>
      <c r="E5" s="34" t="s">
        <v>96</v>
      </c>
      <c r="F5">
        <v>8</v>
      </c>
      <c r="H5">
        <v>2</v>
      </c>
      <c r="I5">
        <v>0</v>
      </c>
      <c r="J5">
        <v>6</v>
      </c>
      <c r="K5">
        <v>-6</v>
      </c>
      <c r="L5" s="96">
        <v>-6900</v>
      </c>
      <c r="M5" s="13">
        <v>-21000</v>
      </c>
    </row>
    <row r="6" spans="1:18" x14ac:dyDescent="0.25">
      <c r="A6" s="93" t="s">
        <v>308</v>
      </c>
      <c r="B6" s="3" t="s">
        <v>71</v>
      </c>
      <c r="C6" s="3" t="s">
        <v>285</v>
      </c>
      <c r="D6" s="3" t="s">
        <v>29</v>
      </c>
      <c r="E6" s="3" t="s">
        <v>168</v>
      </c>
      <c r="F6">
        <v>7</v>
      </c>
      <c r="G6">
        <v>16</v>
      </c>
      <c r="H6">
        <v>5</v>
      </c>
      <c r="I6">
        <v>15</v>
      </c>
      <c r="J6">
        <v>18</v>
      </c>
      <c r="K6">
        <v>-3</v>
      </c>
      <c r="L6" s="95">
        <v>-2897.7842809364547</v>
      </c>
      <c r="M6" s="13">
        <v>-10500</v>
      </c>
    </row>
    <row r="7" spans="1:18" x14ac:dyDescent="0.25">
      <c r="A7" s="93" t="s">
        <v>308</v>
      </c>
      <c r="B7" s="3" t="s">
        <v>71</v>
      </c>
      <c r="C7" s="3" t="s">
        <v>284</v>
      </c>
      <c r="D7" s="3" t="s">
        <v>135</v>
      </c>
      <c r="E7" s="3" t="s">
        <v>145</v>
      </c>
      <c r="F7">
        <v>88</v>
      </c>
      <c r="H7">
        <v>14</v>
      </c>
      <c r="I7">
        <v>41</v>
      </c>
      <c r="J7">
        <v>74</v>
      </c>
      <c r="K7">
        <v>-33</v>
      </c>
      <c r="L7" s="95">
        <v>-2750.0954716981128</v>
      </c>
      <c r="M7" s="13">
        <v>-16500</v>
      </c>
    </row>
    <row r="8" spans="1:18" x14ac:dyDescent="0.25">
      <c r="A8" s="93" t="s">
        <v>308</v>
      </c>
      <c r="B8" s="3" t="s">
        <v>71</v>
      </c>
      <c r="C8" s="3" t="s">
        <v>284</v>
      </c>
      <c r="D8" s="3" t="s">
        <v>12</v>
      </c>
      <c r="E8" s="3" t="s">
        <v>108</v>
      </c>
      <c r="F8">
        <v>7000</v>
      </c>
      <c r="H8">
        <v>678</v>
      </c>
      <c r="I8">
        <v>4445</v>
      </c>
      <c r="J8">
        <v>6322</v>
      </c>
      <c r="K8">
        <v>-1877</v>
      </c>
      <c r="L8" s="95">
        <v>-2442.4202992843198</v>
      </c>
      <c r="M8" s="13">
        <v>-1032.3500000000001</v>
      </c>
    </row>
    <row r="9" spans="1:18" x14ac:dyDescent="0.25">
      <c r="A9" s="93" t="s">
        <v>308</v>
      </c>
      <c r="B9" s="3" t="s">
        <v>71</v>
      </c>
      <c r="C9" s="3" t="s">
        <v>284</v>
      </c>
      <c r="D9" s="3" t="s">
        <v>22</v>
      </c>
      <c r="E9" s="3" t="s">
        <v>99</v>
      </c>
      <c r="F9">
        <v>7500</v>
      </c>
      <c r="G9">
        <v>5000</v>
      </c>
      <c r="H9">
        <v>3450</v>
      </c>
      <c r="I9">
        <v>7500</v>
      </c>
      <c r="J9">
        <v>9050</v>
      </c>
      <c r="K9">
        <v>-1550</v>
      </c>
      <c r="L9" s="95">
        <v>-2325</v>
      </c>
      <c r="M9" s="13">
        <v>-2325</v>
      </c>
    </row>
    <row r="10" spans="1:18" x14ac:dyDescent="0.25">
      <c r="A10" s="93" t="s">
        <v>308</v>
      </c>
      <c r="B10" s="3" t="s">
        <v>71</v>
      </c>
      <c r="C10" s="3" t="s">
        <v>284</v>
      </c>
      <c r="D10" s="3" t="s">
        <v>23</v>
      </c>
      <c r="E10" s="3" t="s">
        <v>96</v>
      </c>
      <c r="F10">
        <v>4</v>
      </c>
      <c r="G10">
        <v>24</v>
      </c>
      <c r="H10">
        <v>9</v>
      </c>
      <c r="I10">
        <v>5</v>
      </c>
      <c r="J10">
        <v>19</v>
      </c>
      <c r="K10">
        <v>-14</v>
      </c>
      <c r="L10" s="95">
        <v>-2076.4545454545455</v>
      </c>
      <c r="M10" s="13">
        <v>-7000</v>
      </c>
    </row>
    <row r="11" spans="1:18" x14ac:dyDescent="0.25">
      <c r="A11" s="93" t="s">
        <v>308</v>
      </c>
      <c r="B11" s="3" t="s">
        <v>71</v>
      </c>
      <c r="C11" s="3" t="s">
        <v>284</v>
      </c>
      <c r="D11" s="3" t="s">
        <v>135</v>
      </c>
      <c r="E11" s="3" t="s">
        <v>145</v>
      </c>
      <c r="F11">
        <v>88</v>
      </c>
      <c r="H11">
        <v>28</v>
      </c>
      <c r="I11">
        <v>41</v>
      </c>
      <c r="J11">
        <v>60</v>
      </c>
      <c r="K11">
        <v>-19</v>
      </c>
      <c r="L11" s="95">
        <v>-1583.3883018867923</v>
      </c>
      <c r="M11" s="13">
        <v>-9500</v>
      </c>
    </row>
    <row r="12" spans="1:18" x14ac:dyDescent="0.25">
      <c r="A12" s="93" t="s">
        <v>308</v>
      </c>
      <c r="B12" s="3" t="s">
        <v>71</v>
      </c>
      <c r="C12" s="3" t="s">
        <v>284</v>
      </c>
      <c r="D12" s="3" t="s">
        <v>138</v>
      </c>
      <c r="E12" s="3" t="s">
        <v>143</v>
      </c>
      <c r="F12">
        <v>73</v>
      </c>
      <c r="H12">
        <v>13</v>
      </c>
      <c r="I12">
        <v>47</v>
      </c>
      <c r="J12">
        <v>60</v>
      </c>
      <c r="K12">
        <v>-13</v>
      </c>
      <c r="L12" s="95">
        <v>-1300</v>
      </c>
      <c r="M12" s="13">
        <v>-1300</v>
      </c>
    </row>
    <row r="13" spans="1:18" x14ac:dyDescent="0.25">
      <c r="A13" s="93" t="s">
        <v>308</v>
      </c>
      <c r="B13" s="3" t="s">
        <v>71</v>
      </c>
      <c r="C13" s="3" t="s">
        <v>285</v>
      </c>
      <c r="D13" s="3" t="s">
        <v>17</v>
      </c>
      <c r="E13" s="3" t="s">
        <v>92</v>
      </c>
      <c r="F13">
        <v>19</v>
      </c>
      <c r="H13">
        <v>10</v>
      </c>
      <c r="I13">
        <v>8</v>
      </c>
      <c r="J13">
        <v>9</v>
      </c>
      <c r="K13">
        <v>-1</v>
      </c>
      <c r="L13" s="95">
        <v>-936.77878787878774</v>
      </c>
      <c r="M13" s="13">
        <v>-3500</v>
      </c>
    </row>
    <row r="14" spans="1:18" x14ac:dyDescent="0.25">
      <c r="A14" s="93" t="s">
        <v>308</v>
      </c>
      <c r="B14" s="3" t="s">
        <v>71</v>
      </c>
      <c r="C14" s="3" t="s">
        <v>284</v>
      </c>
      <c r="D14" s="3" t="s">
        <v>23</v>
      </c>
      <c r="E14" s="3" t="s">
        <v>96</v>
      </c>
      <c r="F14">
        <v>4</v>
      </c>
      <c r="G14">
        <v>24</v>
      </c>
      <c r="H14">
        <v>17</v>
      </c>
      <c r="I14">
        <v>5</v>
      </c>
      <c r="J14">
        <v>11</v>
      </c>
      <c r="K14">
        <v>-6</v>
      </c>
      <c r="L14" s="95">
        <v>-889.90909090909088</v>
      </c>
      <c r="M14" s="13">
        <v>-3000</v>
      </c>
    </row>
    <row r="15" spans="1:18" x14ac:dyDescent="0.25">
      <c r="A15" s="93" t="s">
        <v>308</v>
      </c>
      <c r="B15" s="3" t="s">
        <v>76</v>
      </c>
      <c r="C15" s="3" t="s">
        <v>283</v>
      </c>
      <c r="D15" s="3" t="s">
        <v>155</v>
      </c>
      <c r="E15" s="3" t="s">
        <v>97</v>
      </c>
      <c r="F15">
        <v>6</v>
      </c>
      <c r="G15">
        <v>13</v>
      </c>
      <c r="H15">
        <v>4</v>
      </c>
      <c r="I15">
        <v>13</v>
      </c>
      <c r="J15">
        <v>15</v>
      </c>
      <c r="K15">
        <v>-2</v>
      </c>
      <c r="L15" s="95">
        <v>-763.15578947368419</v>
      </c>
      <c r="M15" s="13">
        <v>-1600</v>
      </c>
    </row>
    <row r="16" spans="1:18" x14ac:dyDescent="0.25">
      <c r="A16" s="93" t="s">
        <v>308</v>
      </c>
      <c r="B16" s="3" t="s">
        <v>76</v>
      </c>
      <c r="C16" s="3" t="s">
        <v>283</v>
      </c>
      <c r="D16" s="3" t="s">
        <v>33</v>
      </c>
      <c r="E16" s="3" t="s">
        <v>97</v>
      </c>
      <c r="F16">
        <v>6</v>
      </c>
      <c r="G16">
        <v>6</v>
      </c>
      <c r="H16">
        <v>5</v>
      </c>
      <c r="I16">
        <v>6</v>
      </c>
      <c r="J16">
        <v>7</v>
      </c>
      <c r="K16">
        <v>-1</v>
      </c>
      <c r="L16" s="95">
        <v>-641.66666666666663</v>
      </c>
      <c r="M16" s="13">
        <v>-1000</v>
      </c>
    </row>
    <row r="17" spans="1:14" x14ac:dyDescent="0.25">
      <c r="A17" s="93" t="s">
        <v>308</v>
      </c>
      <c r="B17" s="3" t="s">
        <v>76</v>
      </c>
      <c r="C17" s="3" t="s">
        <v>283</v>
      </c>
      <c r="D17" s="3" t="s">
        <v>38</v>
      </c>
      <c r="E17" s="3" t="s">
        <v>97</v>
      </c>
      <c r="F17">
        <v>26</v>
      </c>
      <c r="H17">
        <v>9</v>
      </c>
      <c r="I17">
        <v>16</v>
      </c>
      <c r="J17">
        <v>17</v>
      </c>
      <c r="K17">
        <v>-1</v>
      </c>
      <c r="L17" s="95">
        <v>-632.19606060606066</v>
      </c>
      <c r="M17" s="13">
        <v>-1000</v>
      </c>
    </row>
    <row r="18" spans="1:14" x14ac:dyDescent="0.25">
      <c r="A18" s="93" t="s">
        <v>308</v>
      </c>
      <c r="B18" s="3" t="s">
        <v>71</v>
      </c>
      <c r="C18" s="3" t="s">
        <v>284</v>
      </c>
      <c r="D18" s="3" t="s">
        <v>125</v>
      </c>
      <c r="E18" s="3" t="s">
        <v>126</v>
      </c>
      <c r="F18">
        <v>2</v>
      </c>
      <c r="I18">
        <v>1</v>
      </c>
      <c r="J18">
        <v>2</v>
      </c>
      <c r="K18">
        <v>-1</v>
      </c>
      <c r="L18" s="95">
        <v>-500</v>
      </c>
      <c r="M18" s="13">
        <v>-500</v>
      </c>
    </row>
    <row r="19" spans="1:14" x14ac:dyDescent="0.25">
      <c r="A19" s="93" t="s">
        <v>308</v>
      </c>
      <c r="B19" s="3" t="s">
        <v>71</v>
      </c>
      <c r="C19" s="3" t="s">
        <v>284</v>
      </c>
      <c r="D19" s="3" t="s">
        <v>24</v>
      </c>
      <c r="E19" s="3" t="s">
        <v>96</v>
      </c>
      <c r="F19">
        <v>19</v>
      </c>
      <c r="H19">
        <v>6</v>
      </c>
      <c r="I19">
        <v>11</v>
      </c>
      <c r="J19">
        <v>13</v>
      </c>
      <c r="K19">
        <v>-2</v>
      </c>
      <c r="L19" s="95">
        <v>-400</v>
      </c>
      <c r="M19" s="13">
        <v>-1000</v>
      </c>
    </row>
    <row r="20" spans="1:14" x14ac:dyDescent="0.25">
      <c r="A20" s="93" t="s">
        <v>308</v>
      </c>
      <c r="B20" s="3" t="s">
        <v>71</v>
      </c>
      <c r="C20" s="3" t="s">
        <v>284</v>
      </c>
      <c r="D20" s="3" t="s">
        <v>14</v>
      </c>
      <c r="E20" s="3" t="s">
        <v>108</v>
      </c>
      <c r="F20">
        <v>1225</v>
      </c>
      <c r="H20">
        <v>165</v>
      </c>
      <c r="I20">
        <v>505</v>
      </c>
      <c r="J20">
        <v>1060</v>
      </c>
      <c r="K20">
        <v>-555</v>
      </c>
      <c r="L20" s="95">
        <v>-397.84946236559142</v>
      </c>
      <c r="M20" s="13">
        <v>-555</v>
      </c>
    </row>
    <row r="21" spans="1:14" x14ac:dyDescent="0.25">
      <c r="A21" s="93" t="s">
        <v>308</v>
      </c>
      <c r="B21" s="3" t="s">
        <v>71</v>
      </c>
      <c r="C21" s="3" t="s">
        <v>284</v>
      </c>
      <c r="D21" s="3" t="s">
        <v>26</v>
      </c>
      <c r="E21" s="3" t="s">
        <v>108</v>
      </c>
      <c r="F21">
        <v>660</v>
      </c>
      <c r="G21">
        <v>2500</v>
      </c>
      <c r="I21">
        <v>3000</v>
      </c>
      <c r="J21">
        <v>3160</v>
      </c>
      <c r="K21">
        <v>-160</v>
      </c>
      <c r="L21" s="95">
        <v>-166.68354430379748</v>
      </c>
      <c r="M21" s="13">
        <v>-484.84848484848487</v>
      </c>
    </row>
    <row r="22" spans="1:14" x14ac:dyDescent="0.25">
      <c r="A22" s="93" t="s">
        <v>308</v>
      </c>
      <c r="B22" s="3" t="s">
        <v>76</v>
      </c>
      <c r="C22" s="3" t="s">
        <v>283</v>
      </c>
      <c r="D22" s="3" t="s">
        <v>61</v>
      </c>
      <c r="E22" s="3" t="s">
        <v>97</v>
      </c>
      <c r="F22">
        <v>12</v>
      </c>
      <c r="H22">
        <v>11</v>
      </c>
      <c r="I22">
        <v>0</v>
      </c>
      <c r="J22">
        <v>1</v>
      </c>
      <c r="K22">
        <v>-1</v>
      </c>
      <c r="L22" s="95">
        <v>-166.66777777777779</v>
      </c>
      <c r="M22" s="13">
        <v>-350</v>
      </c>
    </row>
    <row r="23" spans="1:14" x14ac:dyDescent="0.25">
      <c r="A23" s="93" t="s">
        <v>308</v>
      </c>
      <c r="B23" s="3" t="s">
        <v>71</v>
      </c>
      <c r="C23" s="3" t="s">
        <v>284</v>
      </c>
      <c r="D23" s="3" t="s">
        <v>139</v>
      </c>
      <c r="E23" s="3" t="s">
        <v>143</v>
      </c>
      <c r="F23">
        <v>81</v>
      </c>
      <c r="H23">
        <v>13</v>
      </c>
      <c r="I23">
        <v>66</v>
      </c>
      <c r="J23">
        <v>68</v>
      </c>
      <c r="K23">
        <v>-2</v>
      </c>
      <c r="L23" s="95">
        <v>-100</v>
      </c>
      <c r="M23" s="13">
        <v>-100</v>
      </c>
      <c r="N23" s="13"/>
    </row>
    <row r="24" spans="1:14" x14ac:dyDescent="0.25">
      <c r="A24" s="93" t="s">
        <v>308</v>
      </c>
      <c r="B24" s="3" t="s">
        <v>71</v>
      </c>
      <c r="C24" s="3" t="s">
        <v>285</v>
      </c>
      <c r="D24" s="3" t="s">
        <v>20</v>
      </c>
      <c r="E24" s="3" t="s">
        <v>93</v>
      </c>
      <c r="F24">
        <v>6</v>
      </c>
      <c r="H24">
        <v>1</v>
      </c>
      <c r="I24">
        <v>4</v>
      </c>
      <c r="J24">
        <v>5</v>
      </c>
      <c r="K24">
        <v>-1</v>
      </c>
      <c r="L24" s="95">
        <v>-83.34</v>
      </c>
      <c r="M24" s="13">
        <v>-2500</v>
      </c>
    </row>
    <row r="25" spans="1:14" x14ac:dyDescent="0.25">
      <c r="A25" s="93" t="s">
        <v>308</v>
      </c>
      <c r="B25" s="3" t="s">
        <v>142</v>
      </c>
      <c r="C25" s="3" t="s">
        <v>283</v>
      </c>
      <c r="D25" s="3" t="s">
        <v>140</v>
      </c>
      <c r="E25" s="3" t="s">
        <v>143</v>
      </c>
      <c r="F25">
        <v>23</v>
      </c>
      <c r="H25">
        <v>2</v>
      </c>
      <c r="I25">
        <v>20</v>
      </c>
      <c r="J25">
        <v>21</v>
      </c>
      <c r="K25">
        <v>-1</v>
      </c>
      <c r="L25" s="95">
        <v>-64</v>
      </c>
      <c r="M25" s="13">
        <v>-500</v>
      </c>
    </row>
    <row r="26" spans="1:14" x14ac:dyDescent="0.25">
      <c r="A26" s="93" t="s">
        <v>308</v>
      </c>
      <c r="B26" s="3" t="s">
        <v>76</v>
      </c>
      <c r="C26" s="3" t="s">
        <v>283</v>
      </c>
      <c r="D26" s="3" t="s">
        <v>50</v>
      </c>
      <c r="E26" s="3" t="s">
        <v>97</v>
      </c>
      <c r="F26">
        <v>0</v>
      </c>
      <c r="I26">
        <v>4</v>
      </c>
      <c r="J26">
        <v>0</v>
      </c>
      <c r="K26">
        <v>4</v>
      </c>
      <c r="L26" s="95">
        <v>0</v>
      </c>
      <c r="M26" s="13">
        <v>3200</v>
      </c>
    </row>
    <row r="27" spans="1:14" x14ac:dyDescent="0.25">
      <c r="A27" s="93" t="s">
        <v>308</v>
      </c>
      <c r="B27" s="3" t="s">
        <v>71</v>
      </c>
      <c r="C27" s="3" t="s">
        <v>284</v>
      </c>
      <c r="D27" s="3" t="s">
        <v>9</v>
      </c>
      <c r="E27" s="3" t="s">
        <v>108</v>
      </c>
      <c r="F27">
        <v>0</v>
      </c>
      <c r="H27">
        <v>82.5</v>
      </c>
      <c r="I27">
        <v>0</v>
      </c>
      <c r="J27">
        <v>-82.5</v>
      </c>
      <c r="K27">
        <v>82.5</v>
      </c>
      <c r="L27" s="95">
        <v>0</v>
      </c>
      <c r="M27" s="13">
        <v>137.77500000000001</v>
      </c>
    </row>
    <row r="28" spans="1:14" x14ac:dyDescent="0.25">
      <c r="A28" s="93" t="s">
        <v>308</v>
      </c>
      <c r="B28" s="3" t="s">
        <v>71</v>
      </c>
      <c r="C28" s="3" t="s">
        <v>284</v>
      </c>
      <c r="D28" s="3" t="s">
        <v>109</v>
      </c>
      <c r="E28" s="3" t="s">
        <v>96</v>
      </c>
      <c r="F28">
        <v>0</v>
      </c>
      <c r="H28">
        <v>2</v>
      </c>
      <c r="I28">
        <v>0</v>
      </c>
      <c r="J28">
        <v>-2</v>
      </c>
      <c r="K28">
        <v>2</v>
      </c>
      <c r="L28" s="95">
        <v>0</v>
      </c>
      <c r="M28" s="13">
        <v>500</v>
      </c>
    </row>
    <row r="29" spans="1:14" x14ac:dyDescent="0.25">
      <c r="A29" s="93" t="s">
        <v>308</v>
      </c>
      <c r="B29" s="3" t="s">
        <v>71</v>
      </c>
      <c r="C29" s="3" t="s">
        <v>284</v>
      </c>
      <c r="D29" s="3" t="s">
        <v>19</v>
      </c>
      <c r="E29" s="3" t="s">
        <v>108</v>
      </c>
      <c r="F29">
        <v>0</v>
      </c>
      <c r="H29">
        <v>16.600000000000001</v>
      </c>
      <c r="I29">
        <v>0</v>
      </c>
      <c r="J29">
        <v>-16.600000000000001</v>
      </c>
      <c r="K29">
        <v>16.600000000000001</v>
      </c>
      <c r="L29" s="95">
        <v>0</v>
      </c>
      <c r="M29" s="13">
        <v>83</v>
      </c>
    </row>
    <row r="30" spans="1:14" x14ac:dyDescent="0.25">
      <c r="A30" s="93" t="s">
        <v>308</v>
      </c>
      <c r="B30" s="3" t="s">
        <v>71</v>
      </c>
      <c r="C30" s="3" t="s">
        <v>284</v>
      </c>
      <c r="D30" s="3" t="s">
        <v>11</v>
      </c>
      <c r="E30" s="3" t="s">
        <v>108</v>
      </c>
      <c r="F30">
        <v>0</v>
      </c>
      <c r="H30">
        <v>3.3</v>
      </c>
      <c r="I30">
        <v>0</v>
      </c>
      <c r="J30">
        <v>-3.3</v>
      </c>
      <c r="K30">
        <v>3.3</v>
      </c>
      <c r="L30" s="95">
        <v>0</v>
      </c>
      <c r="M30" s="13">
        <v>3.3</v>
      </c>
    </row>
    <row r="31" spans="1:14" x14ac:dyDescent="0.25">
      <c r="A31" s="93" t="s">
        <v>308</v>
      </c>
      <c r="B31" s="3" t="s">
        <v>71</v>
      </c>
      <c r="C31" s="3" t="s">
        <v>284</v>
      </c>
      <c r="D31" s="3" t="s">
        <v>10</v>
      </c>
      <c r="E31" s="3" t="s">
        <v>108</v>
      </c>
      <c r="F31">
        <v>0</v>
      </c>
      <c r="H31">
        <v>3.3</v>
      </c>
      <c r="I31">
        <v>0</v>
      </c>
      <c r="J31">
        <v>-3.3</v>
      </c>
      <c r="K31">
        <v>3.3</v>
      </c>
      <c r="L31" s="95">
        <v>0</v>
      </c>
      <c r="M31" s="13">
        <v>0.66</v>
      </c>
    </row>
    <row r="32" spans="1:14" x14ac:dyDescent="0.25">
      <c r="A32" s="93" t="s">
        <v>308</v>
      </c>
      <c r="B32" s="3" t="s">
        <v>71</v>
      </c>
      <c r="C32" s="3" t="s">
        <v>284</v>
      </c>
      <c r="D32" s="3" t="s">
        <v>18</v>
      </c>
      <c r="E32" s="3" t="s">
        <v>108</v>
      </c>
      <c r="F32">
        <v>0</v>
      </c>
      <c r="H32">
        <v>300</v>
      </c>
      <c r="I32">
        <v>0</v>
      </c>
      <c r="J32">
        <v>-300</v>
      </c>
      <c r="K32">
        <v>300</v>
      </c>
      <c r="L32" s="95">
        <v>0</v>
      </c>
      <c r="M32" s="13">
        <v>336.00000000000006</v>
      </c>
    </row>
    <row r="33" spans="1:15" x14ac:dyDescent="0.25">
      <c r="A33" s="93" t="s">
        <v>308</v>
      </c>
      <c r="B33" s="3" t="s">
        <v>71</v>
      </c>
      <c r="C33" s="3" t="s">
        <v>284</v>
      </c>
      <c r="D33" s="3" t="s">
        <v>13</v>
      </c>
      <c r="E33" s="3" t="s">
        <v>108</v>
      </c>
      <c r="F33">
        <v>0</v>
      </c>
      <c r="H33">
        <v>165</v>
      </c>
      <c r="I33">
        <v>0</v>
      </c>
      <c r="J33">
        <v>-165</v>
      </c>
      <c r="K33">
        <v>165</v>
      </c>
      <c r="L33" s="95">
        <v>0</v>
      </c>
      <c r="M33" s="13">
        <v>188.1</v>
      </c>
    </row>
    <row r="34" spans="1:15" x14ac:dyDescent="0.25">
      <c r="A34" s="93" t="s">
        <v>308</v>
      </c>
      <c r="B34" s="3" t="s">
        <v>71</v>
      </c>
      <c r="C34" s="3" t="s">
        <v>284</v>
      </c>
      <c r="D34" s="3" t="s">
        <v>21</v>
      </c>
      <c r="E34" s="3" t="s">
        <v>108</v>
      </c>
      <c r="F34">
        <v>0</v>
      </c>
      <c r="H34">
        <v>76.400000000000006</v>
      </c>
      <c r="I34">
        <v>0</v>
      </c>
      <c r="J34">
        <v>-76.400000000000006</v>
      </c>
      <c r="K34">
        <v>76.400000000000006</v>
      </c>
      <c r="L34" s="95">
        <v>0</v>
      </c>
      <c r="M34" s="13">
        <v>333.86800000000005</v>
      </c>
    </row>
    <row r="35" spans="1:15" x14ac:dyDescent="0.25">
      <c r="A35" s="93" t="s">
        <v>308</v>
      </c>
      <c r="B35" s="3" t="s">
        <v>142</v>
      </c>
      <c r="C35" s="3" t="s">
        <v>283</v>
      </c>
      <c r="D35" s="3" t="s">
        <v>141</v>
      </c>
      <c r="E35" s="3" t="s">
        <v>144</v>
      </c>
      <c r="F35">
        <v>0</v>
      </c>
      <c r="H35">
        <v>3</v>
      </c>
      <c r="I35">
        <v>0</v>
      </c>
      <c r="J35">
        <v>-3</v>
      </c>
      <c r="K35">
        <v>3</v>
      </c>
      <c r="L35" s="95">
        <v>0</v>
      </c>
      <c r="M35" s="13">
        <v>1500</v>
      </c>
    </row>
    <row r="36" spans="1:15" x14ac:dyDescent="0.25">
      <c r="A36" s="93" t="s">
        <v>308</v>
      </c>
      <c r="B36" s="3" t="s">
        <v>71</v>
      </c>
      <c r="C36" s="3" t="s">
        <v>284</v>
      </c>
      <c r="D36" s="3" t="s">
        <v>121</v>
      </c>
      <c r="E36" s="3" t="s">
        <v>122</v>
      </c>
      <c r="F36">
        <v>17</v>
      </c>
      <c r="H36">
        <v>13</v>
      </c>
      <c r="I36">
        <v>6</v>
      </c>
      <c r="J36">
        <v>4</v>
      </c>
      <c r="K36">
        <v>2</v>
      </c>
      <c r="L36" s="95">
        <v>300</v>
      </c>
      <c r="M36" s="13">
        <v>300</v>
      </c>
      <c r="N36" s="13"/>
    </row>
    <row r="37" spans="1:15" x14ac:dyDescent="0.25">
      <c r="A37" s="93" t="s">
        <v>308</v>
      </c>
      <c r="B37" s="3" t="s">
        <v>76</v>
      </c>
      <c r="C37" s="3" t="s">
        <v>283</v>
      </c>
      <c r="D37" s="3" t="s">
        <v>45</v>
      </c>
      <c r="E37" s="3" t="s">
        <v>97</v>
      </c>
      <c r="F37">
        <v>15</v>
      </c>
      <c r="G37">
        <v>24</v>
      </c>
      <c r="H37">
        <v>13</v>
      </c>
      <c r="I37">
        <v>27</v>
      </c>
      <c r="J37">
        <v>26</v>
      </c>
      <c r="K37">
        <v>1</v>
      </c>
      <c r="L37" s="95">
        <v>588.14102564102564</v>
      </c>
      <c r="M37" s="13">
        <v>1000</v>
      </c>
    </row>
    <row r="38" spans="1:15" x14ac:dyDescent="0.25">
      <c r="A38" s="93" t="s">
        <v>308</v>
      </c>
      <c r="B38" s="3" t="s">
        <v>71</v>
      </c>
      <c r="C38" s="3" t="s">
        <v>284</v>
      </c>
      <c r="D38" s="3" t="s">
        <v>8</v>
      </c>
      <c r="E38" s="3" t="s">
        <v>108</v>
      </c>
      <c r="F38">
        <v>12000</v>
      </c>
      <c r="H38">
        <v>6600</v>
      </c>
      <c r="I38">
        <v>7660</v>
      </c>
      <c r="J38">
        <v>5400</v>
      </c>
      <c r="K38">
        <v>2260</v>
      </c>
      <c r="L38" s="95">
        <v>904</v>
      </c>
      <c r="M38" s="13">
        <v>904</v>
      </c>
    </row>
    <row r="39" spans="1:15" x14ac:dyDescent="0.25">
      <c r="A39" s="93" t="s">
        <v>308</v>
      </c>
      <c r="B39" s="3" t="s">
        <v>71</v>
      </c>
      <c r="C39" s="3" t="s">
        <v>285</v>
      </c>
      <c r="D39" s="3" t="s">
        <v>15</v>
      </c>
      <c r="E39" s="3" t="s">
        <v>96</v>
      </c>
      <c r="F39">
        <v>4</v>
      </c>
      <c r="G39">
        <v>10</v>
      </c>
      <c r="H39">
        <v>1</v>
      </c>
      <c r="I39">
        <v>14</v>
      </c>
      <c r="J39">
        <v>13</v>
      </c>
      <c r="K39">
        <v>1</v>
      </c>
      <c r="L39" s="95">
        <v>1125</v>
      </c>
      <c r="M39" s="13">
        <v>3000</v>
      </c>
      <c r="N39" s="13"/>
      <c r="O39" s="13"/>
    </row>
    <row r="40" spans="1:15" x14ac:dyDescent="0.25">
      <c r="A40" s="93" t="s">
        <v>308</v>
      </c>
      <c r="B40" s="3" t="s">
        <v>71</v>
      </c>
      <c r="C40" s="3" t="s">
        <v>285</v>
      </c>
      <c r="D40" s="3" t="s">
        <v>27</v>
      </c>
      <c r="E40" s="3" t="s">
        <v>96</v>
      </c>
      <c r="F40">
        <v>8</v>
      </c>
      <c r="H40">
        <v>9</v>
      </c>
      <c r="I40">
        <v>0</v>
      </c>
      <c r="J40">
        <v>-1</v>
      </c>
      <c r="K40">
        <v>1</v>
      </c>
      <c r="L40" s="95">
        <v>1150</v>
      </c>
      <c r="M40" s="13">
        <v>3500</v>
      </c>
      <c r="N40" s="13"/>
      <c r="O40" s="13"/>
    </row>
    <row r="41" spans="1:15" x14ac:dyDescent="0.25">
      <c r="A41" s="93" t="s">
        <v>308</v>
      </c>
      <c r="B41" s="3" t="s">
        <v>71</v>
      </c>
      <c r="C41" s="3" t="s">
        <v>285</v>
      </c>
      <c r="D41" s="3" t="s">
        <v>112</v>
      </c>
      <c r="E41" s="3" t="s">
        <v>96</v>
      </c>
      <c r="F41">
        <v>6</v>
      </c>
      <c r="H41">
        <v>4</v>
      </c>
      <c r="I41">
        <v>3</v>
      </c>
      <c r="J41">
        <v>2</v>
      </c>
      <c r="K41">
        <v>1</v>
      </c>
      <c r="L41" s="95">
        <v>1325</v>
      </c>
      <c r="M41" s="13">
        <v>3000</v>
      </c>
      <c r="N41" s="13"/>
      <c r="O41" s="13"/>
    </row>
    <row r="42" spans="1:15" x14ac:dyDescent="0.25">
      <c r="A42" s="93" t="s">
        <v>308</v>
      </c>
      <c r="B42" s="3" t="s">
        <v>76</v>
      </c>
      <c r="C42" s="3" t="s">
        <v>283</v>
      </c>
      <c r="D42" s="3" t="s">
        <v>53</v>
      </c>
      <c r="E42" s="3" t="s">
        <v>97</v>
      </c>
      <c r="F42">
        <v>2</v>
      </c>
      <c r="H42">
        <v>5</v>
      </c>
      <c r="I42">
        <v>0</v>
      </c>
      <c r="J42">
        <v>-3</v>
      </c>
      <c r="K42">
        <v>3</v>
      </c>
      <c r="L42" s="95">
        <v>1687.5</v>
      </c>
      <c r="M42" s="13">
        <v>3000</v>
      </c>
      <c r="N42" s="13"/>
      <c r="O42" s="13"/>
    </row>
    <row r="43" spans="1:15" x14ac:dyDescent="0.25">
      <c r="A43" s="93" t="s">
        <v>308</v>
      </c>
      <c r="B43" s="3" t="s">
        <v>71</v>
      </c>
      <c r="C43" s="3" t="s">
        <v>285</v>
      </c>
      <c r="D43" s="3" t="s">
        <v>15</v>
      </c>
      <c r="E43" s="3" t="s">
        <v>96</v>
      </c>
      <c r="F43">
        <v>4</v>
      </c>
      <c r="G43">
        <v>10</v>
      </c>
      <c r="H43">
        <v>2</v>
      </c>
      <c r="I43">
        <v>14</v>
      </c>
      <c r="J43">
        <v>12</v>
      </c>
      <c r="K43">
        <v>2</v>
      </c>
      <c r="L43" s="95">
        <v>2250</v>
      </c>
      <c r="M43" s="13">
        <v>6000</v>
      </c>
      <c r="N43" s="13"/>
      <c r="O43" s="13"/>
    </row>
    <row r="44" spans="1:15" x14ac:dyDescent="0.25">
      <c r="A44" s="93" t="s">
        <v>308</v>
      </c>
      <c r="B44" s="3" t="s">
        <v>71</v>
      </c>
      <c r="C44" s="3" t="s">
        <v>285</v>
      </c>
      <c r="D44" s="3" t="s">
        <v>17</v>
      </c>
      <c r="E44" s="3" t="s">
        <v>92</v>
      </c>
      <c r="F44">
        <v>19</v>
      </c>
      <c r="H44">
        <v>14</v>
      </c>
      <c r="I44">
        <v>8</v>
      </c>
      <c r="J44">
        <v>5</v>
      </c>
      <c r="K44">
        <v>3</v>
      </c>
      <c r="L44" s="95">
        <v>2810.3363636363633</v>
      </c>
      <c r="M44" s="13">
        <v>10500</v>
      </c>
      <c r="N44" s="13"/>
      <c r="O44" s="13"/>
    </row>
    <row r="45" spans="1:15" x14ac:dyDescent="0.25">
      <c r="A45" s="93" t="s">
        <v>308</v>
      </c>
      <c r="B45" s="3" t="s">
        <v>71</v>
      </c>
      <c r="C45" s="3" t="s">
        <v>285</v>
      </c>
      <c r="D45" s="3" t="s">
        <v>16</v>
      </c>
      <c r="E45" s="3" t="s">
        <v>96</v>
      </c>
      <c r="F45">
        <v>2</v>
      </c>
      <c r="G45">
        <v>10</v>
      </c>
      <c r="H45">
        <v>7</v>
      </c>
      <c r="I45">
        <v>10</v>
      </c>
      <c r="J45">
        <v>5</v>
      </c>
      <c r="K45">
        <v>5</v>
      </c>
      <c r="L45" s="95">
        <v>4962.125</v>
      </c>
      <c r="M45" s="13">
        <v>15000</v>
      </c>
      <c r="N45" s="13"/>
      <c r="O45" s="13"/>
    </row>
    <row r="46" spans="1:15" x14ac:dyDescent="0.25">
      <c r="A46" s="93" t="s">
        <v>308</v>
      </c>
      <c r="B46" s="3" t="s">
        <v>71</v>
      </c>
      <c r="C46" s="3" t="s">
        <v>284</v>
      </c>
      <c r="D46" s="3" t="s">
        <v>25</v>
      </c>
      <c r="E46" s="3" t="s">
        <v>108</v>
      </c>
      <c r="F46">
        <v>2200</v>
      </c>
      <c r="H46">
        <v>1800</v>
      </c>
      <c r="I46">
        <v>4800</v>
      </c>
      <c r="J46">
        <v>400</v>
      </c>
      <c r="K46">
        <v>4400</v>
      </c>
      <c r="L46" s="95">
        <v>11395.486381322959</v>
      </c>
      <c r="M46" s="13">
        <v>11000</v>
      </c>
      <c r="N46" s="13"/>
      <c r="O46" s="13"/>
    </row>
    <row r="47" spans="1:15" x14ac:dyDescent="0.25">
      <c r="A47" s="93" t="s">
        <v>308</v>
      </c>
      <c r="B47" s="3" t="s">
        <v>71</v>
      </c>
      <c r="C47" s="3" t="s">
        <v>284</v>
      </c>
      <c r="D47" s="3" t="s">
        <v>25</v>
      </c>
      <c r="E47" s="3" t="s">
        <v>108</v>
      </c>
      <c r="F47">
        <v>2200</v>
      </c>
      <c r="H47">
        <v>4000</v>
      </c>
      <c r="I47">
        <v>4800</v>
      </c>
      <c r="J47">
        <v>-1800</v>
      </c>
      <c r="K47">
        <v>6600</v>
      </c>
      <c r="L47" s="95">
        <v>17093.229571984437</v>
      </c>
      <c r="M47" s="13">
        <v>16500</v>
      </c>
      <c r="N47" s="13"/>
      <c r="O47" s="13"/>
    </row>
    <row r="48" spans="1:1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3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</sheetData>
  <phoneticPr fontId="1" type="noConversion"/>
  <dataValidations count="1">
    <dataValidation type="list" allowBlank="1" showInputMessage="1" showErrorMessage="1" sqref="O2" xr:uid="{C3261ABD-612C-44DF-ADA5-5AB2AED80F2C}">
      <formula1>R:R</formula1>
    </dataValidation>
  </dataValidations>
  <pageMargins left="0.7" right="0.7" top="0.75" bottom="0.75" header="0.3" footer="0.3"/>
  <pageSetup paperSize="9" scale="65" fitToHeight="0" orientation="landscape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6EB9-395E-437C-B548-62D3A730F582}">
  <dimension ref="A4:O51"/>
  <sheetViews>
    <sheetView topLeftCell="A19" zoomScale="85" zoomScaleNormal="85" workbookViewId="0">
      <selection activeCell="L49" sqref="L49"/>
    </sheetView>
  </sheetViews>
  <sheetFormatPr defaultRowHeight="15" x14ac:dyDescent="0.25"/>
  <cols>
    <col min="1" max="1" width="8.7109375" bestFit="1" customWidth="1"/>
    <col min="2" max="2" width="14" bestFit="1" customWidth="1"/>
    <col min="3" max="3" width="58.28515625" bestFit="1" customWidth="1"/>
    <col min="4" max="6" width="14" bestFit="1" customWidth="1"/>
    <col min="7" max="7" width="9.85546875" bestFit="1" customWidth="1"/>
    <col min="8" max="8" width="14" bestFit="1" customWidth="1"/>
    <col min="9" max="9" width="21.5703125" bestFit="1" customWidth="1"/>
    <col min="10" max="10" width="28.28515625" bestFit="1" customWidth="1"/>
    <col min="11" max="11" width="21.5703125" bestFit="1" customWidth="1"/>
    <col min="12" max="12" width="35.140625" bestFit="1" customWidth="1"/>
  </cols>
  <sheetData>
    <row r="4" spans="1:15" x14ac:dyDescent="0.25">
      <c r="A4" s="51" t="s">
        <v>175</v>
      </c>
      <c r="B4" s="51" t="s">
        <v>176</v>
      </c>
      <c r="C4" s="51" t="s">
        <v>177</v>
      </c>
      <c r="D4" s="51" t="s">
        <v>178</v>
      </c>
      <c r="E4" s="51" t="s">
        <v>179</v>
      </c>
      <c r="F4" s="51" t="s">
        <v>180</v>
      </c>
      <c r="G4" s="51" t="s">
        <v>181</v>
      </c>
      <c r="H4" s="51" t="s">
        <v>182</v>
      </c>
      <c r="I4" s="51" t="s">
        <v>288</v>
      </c>
      <c r="J4" s="51" t="s">
        <v>287</v>
      </c>
      <c r="K4" s="51" t="s">
        <v>286</v>
      </c>
      <c r="L4" s="51" t="s">
        <v>305</v>
      </c>
    </row>
    <row r="5" spans="1:15" x14ac:dyDescent="0.25">
      <c r="A5" s="51"/>
      <c r="B5" s="51"/>
      <c r="C5" s="51"/>
      <c r="D5" s="51"/>
      <c r="E5" s="51"/>
      <c r="F5" s="51"/>
      <c r="G5" s="51"/>
      <c r="H5" s="51"/>
      <c r="I5" s="51" t="s">
        <v>163</v>
      </c>
      <c r="J5" s="51" t="s">
        <v>163</v>
      </c>
      <c r="K5" s="51" t="s">
        <v>30</v>
      </c>
      <c r="L5" s="51" t="s">
        <v>30</v>
      </c>
    </row>
    <row r="6" spans="1:15" x14ac:dyDescent="0.25">
      <c r="A6" s="53" t="s">
        <v>183</v>
      </c>
      <c r="B6" s="54"/>
      <c r="C6" s="54" t="s">
        <v>184</v>
      </c>
      <c r="D6" s="54"/>
      <c r="E6" s="52" t="s">
        <v>185</v>
      </c>
      <c r="F6" s="55" t="s">
        <v>186</v>
      </c>
      <c r="G6" s="53">
        <v>21</v>
      </c>
      <c r="H6" s="54"/>
      <c r="I6" s="56">
        <f>SUMIFS(VENTE[Total],VENTE[Categorie],"Bar",VENTE[Periode],I5)+SUMIFS(VENTE[Total],VENTE[Categorie],"Emballage",VENTE[Periode],I5)</f>
        <v>0</v>
      </c>
      <c r="J6" s="56">
        <f>SUMIFS(VENTE[Total],VENTE[Categorie],"Bar",VENTE[Periode],J5)+SUMIFS(VENTE[Total],VENTE[Categorie],"Emballage",VENTE[Periode],J5)</f>
        <v>0</v>
      </c>
      <c r="K6" s="56">
        <f>SUMIFS(VENTE[Total],VENTE[Categorie],"Bar",VENTE[Periode],K5)+SUMIFS(VENTE[Total],VENTE[Categorie],"Emballage",VENTE[Periode],K5)</f>
        <v>145700</v>
      </c>
      <c r="L6" s="56">
        <f>SUMIFS(VENTE[Total],VENTE[Categorie],"Bar",VENTE[Periode],L5)+SUMIFS(VENTE[Total],VENTE[Categorie],"Emballage",VENTE[Periode],L5)</f>
        <v>145700</v>
      </c>
    </row>
    <row r="7" spans="1:15" x14ac:dyDescent="0.25">
      <c r="A7" s="53" t="s">
        <v>187</v>
      </c>
      <c r="B7" s="54"/>
      <c r="C7" s="54" t="s">
        <v>188</v>
      </c>
      <c r="D7" s="54"/>
      <c r="E7" s="52"/>
      <c r="F7" s="55" t="s">
        <v>189</v>
      </c>
      <c r="G7" s="53">
        <v>22</v>
      </c>
      <c r="H7" s="54"/>
      <c r="I7" s="56">
        <f>SUMIFS(ACHAT[Total],ACHAT[Categorie],"Bar",ACHAT[Periode],I5) + SUMIFS(ACHAT[Total],ACHAT[Categorie],"Emballage",ACHAT[Periode],I5)</f>
        <v>0</v>
      </c>
      <c r="J7" s="56">
        <f>SUMIFS(ACHAT[Total],ACHAT[Categorie],"Bar",ACHAT[Periode],J5) + SUMIFS(ACHAT[Total],ACHAT[Categorie],"Emballage",ACHAT[Periode],J5)</f>
        <v>0</v>
      </c>
      <c r="K7" s="56">
        <f>SUMIFS(ACHAT[Total],ACHAT[Categorie],"Bar",ACHAT[Periode],K5) + SUMIFS(ACHAT[Total],ACHAT[Categorie],"Emballage",ACHAT[Periode],K5)</f>
        <v>66800</v>
      </c>
      <c r="L7" s="56">
        <f>SUMIFS(ACHAT[Total],ACHAT[Categorie],"Bar",ACHAT[Periode],L5) + SUMIFS(ACHAT[Total],ACHAT[Categorie],"Emballage",ACHAT[Periode],L5)</f>
        <v>66800</v>
      </c>
    </row>
    <row r="8" spans="1:15" x14ac:dyDescent="0.25">
      <c r="A8" s="53" t="s">
        <v>190</v>
      </c>
      <c r="B8" s="54"/>
      <c r="C8" s="54" t="s">
        <v>191</v>
      </c>
      <c r="D8" s="54"/>
      <c r="E8" s="52"/>
      <c r="F8" s="55" t="s">
        <v>192</v>
      </c>
      <c r="G8" s="53">
        <v>6</v>
      </c>
      <c r="H8" s="54"/>
      <c r="I8" s="56">
        <f>(SUMIFS(RAPPORT_FINAL[INVENTAIRE.Total_cout],RAPPORT_FINAL[Categorie],"Bar",RAPPORT_FINAL[Periode],I5) + SUMIFS(RAPPORT_FINAL[INVENTAIRE.Total_prix_vente],RAPPORT_FINAL[Categorie],"Emballage",RAPPORT_FINAL[Periode],I5)) - (SUMIFS(RAPPORT_FINAL[INVENTAIRE_PREC.Total_cout],RAPPORT_FINAL[Categorie],"Bar",RAPPORT_FINAL[Periode],I5) + SUMIFS(RAPPORT_FINAL[INVENTAIRE_PREC.Total_vente],RAPPORT_FINAL[Categorie],"Emballage",RAPPORT_FINAL[Periode],I5))</f>
        <v>211147.24999999997</v>
      </c>
      <c r="J8" s="56">
        <f>(SUMIFS(RAPPORT_FINAL[INVENTAIRE_THEORIQUE.Total_cout],RAPPORT_FINAL[Categorie],"Bar",RAPPORT_FINAL[Periode],J5)
        +
      SUMIFS(RAPPORT_FINAL[INVENTAIRE_THEORIQUE.Total_vente],RAPPORT_FINAL[Categorie],"Emballage",RAPPORT_FINAL[Periode],J5))
 -
 (SUMIFS(RAPPORT_FINAL[INVENTAIRE_PREC.Total_cout],RAPPORT_FINAL[Categorie],"Bar",RAPPORT_FINAL[Periode],J5)
        +
      SUMIFS(RAPPORT_FINAL[INVENTAIRE_PREC.Total_vente],RAPPORT_FINAL[Categorie],"Emballage",RAPPORT_FINAL[Periode],J5)
)</f>
        <v>0</v>
      </c>
      <c r="K8" s="56">
        <f>(SUMIFS(RAPPORT_FINAL[INVENTAIRE.Total_cout],RAPPORT_FINAL[Categorie],"Bar",RAPPORT_FINAL[Periode],K5)
  + SUMIFS(RAPPORT_FINAL[INVENTAIRE.Total_cout],RAPPORT_FINAL[Categorie],"Emballage",RAPPORT_FINAL[Periode],K5))
- (SUMIFS(RAPPORT_FINAL[INVENTAIRE_PREC.Total_cout],RAPPORT_FINAL[Categorie],"Bar",RAPPORT_FINAL[Periode],K5)
   + SUMIFS(RAPPORT_FINAL[INVENTAIRE_PREC.Total_cout],RAPPORT_FINAL[Categorie],"Emballage",RAPPORT_FINAL[Periode],K5))</f>
        <v>-16217.361717922497</v>
      </c>
      <c r="L8" s="56">
        <f>(SUMIFS(RAPPORT_FINAL[INVENTAIRE_THEORIQUE.Total_cout],RAPPORT_FINAL[Categorie],"Bar",RAPPORT_FINAL[Periode],L5)
      +
  SUMIFS(RAPPORT_FINAL[INVENTAIRE_THEORIQUE.Total_cout],RAPPORT_FINAL[Categorie],"Emballage",RAPPORT_FINAL[Periode],L5))
 -
(SUMIFS(RAPPORT_FINAL[INVENTAIRE_PREC.Total_cout],RAPPORT_FINAL[Categorie],"Bar",RAPPORT_FINAL[Periode],L5)
      +
 SUMIFS(RAPPORT_FINAL[INVENTAIRE_PREC.Total_cout],RAPPORT_FINAL[Categorie],"Emballage",RAPPORT_FINAL[Periode],L5)
)</f>
        <v>-4408.0251782399137</v>
      </c>
    </row>
    <row r="9" spans="1:15" x14ac:dyDescent="0.25">
      <c r="A9" s="57" t="s">
        <v>193</v>
      </c>
      <c r="B9" s="52"/>
      <c r="C9" s="52" t="s">
        <v>194</v>
      </c>
      <c r="D9" s="52"/>
      <c r="E9" s="52"/>
      <c r="F9" s="58"/>
      <c r="G9" s="57"/>
      <c r="H9" s="52"/>
      <c r="I9" s="59">
        <f>I6-(I7+I8)</f>
        <v>-211147.24999999997</v>
      </c>
      <c r="J9" s="59">
        <f>J6-(J7+J8)</f>
        <v>0</v>
      </c>
      <c r="K9" s="59">
        <f>K6-(K7+K8)</f>
        <v>95117.361717922497</v>
      </c>
      <c r="L9" s="59">
        <f>L6-(L7+L8)</f>
        <v>83308.025178239914</v>
      </c>
    </row>
    <row r="10" spans="1:15" x14ac:dyDescent="0.25">
      <c r="A10" s="53" t="s">
        <v>195</v>
      </c>
      <c r="B10" s="54"/>
      <c r="C10" s="54" t="s">
        <v>196</v>
      </c>
      <c r="D10" s="54"/>
      <c r="E10" s="52" t="s">
        <v>197</v>
      </c>
      <c r="F10" s="55" t="s">
        <v>186</v>
      </c>
      <c r="G10" s="53">
        <v>21</v>
      </c>
      <c r="H10" s="54"/>
      <c r="I10" s="56">
        <f>SUMIFS(VENTE[Total],VENTE[Periode],I5) - I6</f>
        <v>0</v>
      </c>
      <c r="J10" s="56">
        <f>SUMIFS(VENTE[Total],VENTE[Periode],J5) - J6</f>
        <v>0</v>
      </c>
      <c r="K10" s="56">
        <f>SUMIFS(VENTE[Total],VENTE[Periode],K5) - K6</f>
        <v>151000</v>
      </c>
      <c r="L10" s="56">
        <f>SUMIFS(VENTE[Total],VENTE[Periode],L5) - L6</f>
        <v>151000</v>
      </c>
    </row>
    <row r="11" spans="1:15" x14ac:dyDescent="0.25">
      <c r="A11" s="53" t="s">
        <v>198</v>
      </c>
      <c r="B11" s="54"/>
      <c r="C11" s="54" t="s">
        <v>199</v>
      </c>
      <c r="D11" s="54"/>
      <c r="E11" s="52" t="s">
        <v>200</v>
      </c>
      <c r="F11" s="55" t="s">
        <v>186</v>
      </c>
      <c r="G11" s="53">
        <v>21</v>
      </c>
      <c r="H11" s="54"/>
      <c r="I11" s="56">
        <v>0</v>
      </c>
      <c r="J11" s="56">
        <v>0</v>
      </c>
      <c r="K11" s="56">
        <v>0</v>
      </c>
      <c r="L11" s="56">
        <v>0</v>
      </c>
    </row>
    <row r="12" spans="1:15" x14ac:dyDescent="0.25">
      <c r="A12" s="53" t="s">
        <v>201</v>
      </c>
      <c r="B12" s="54"/>
      <c r="C12" s="54" t="s">
        <v>202</v>
      </c>
      <c r="D12" s="54"/>
      <c r="E12" s="52" t="s">
        <v>203</v>
      </c>
      <c r="F12" s="55" t="s">
        <v>186</v>
      </c>
      <c r="G12" s="53">
        <v>21</v>
      </c>
      <c r="H12" s="54"/>
      <c r="I12" s="56">
        <v>0</v>
      </c>
      <c r="J12" s="56">
        <v>0</v>
      </c>
      <c r="K12" s="56">
        <v>0</v>
      </c>
      <c r="L12" s="56">
        <v>0</v>
      </c>
    </row>
    <row r="13" spans="1:15" x14ac:dyDescent="0.25">
      <c r="A13" s="60" t="s">
        <v>204</v>
      </c>
      <c r="B13" s="61"/>
      <c r="C13" s="61" t="s">
        <v>205</v>
      </c>
      <c r="D13" s="61"/>
      <c r="E13" s="61"/>
      <c r="F13" s="62"/>
      <c r="G13" s="60"/>
      <c r="H13" s="61"/>
      <c r="I13" s="63">
        <f>I6+I10+I11+I12</f>
        <v>0</v>
      </c>
      <c r="J13" s="63">
        <f>J6+J10+J11+J12</f>
        <v>0</v>
      </c>
      <c r="K13" s="63">
        <f>K6+K10+K11+K12</f>
        <v>296700</v>
      </c>
      <c r="L13" s="63">
        <f>L6+L10+L11+L12</f>
        <v>296700</v>
      </c>
      <c r="N13" s="75"/>
      <c r="O13" s="75"/>
    </row>
    <row r="14" spans="1:15" x14ac:dyDescent="0.25">
      <c r="A14" s="53" t="s">
        <v>206</v>
      </c>
      <c r="B14" s="54"/>
      <c r="C14" s="54" t="s">
        <v>207</v>
      </c>
      <c r="D14" s="54"/>
      <c r="E14" s="54"/>
      <c r="F14" s="55" t="s">
        <v>192</v>
      </c>
      <c r="G14" s="53">
        <v>6</v>
      </c>
      <c r="H14" s="54"/>
      <c r="I14">
        <f>ROUND(SUM(SUMIFS(RAPPORT_FINAL[INVENTAIRE.Total_cout],RAPPORT_FINAL[Categorie2],"SF",RAPPORT_FINAL[Periode],I5)) - SUM(SUMIFS(RAPPORT_FINAL[INVENTAIRE_PREC.Total_cout],RAPPORT_FINAL[Categorie2],"SF",RAPPORT_FINAL[Periode],I5)),2)</f>
        <v>51246.37</v>
      </c>
      <c r="J14">
        <f>ROUND(SUM(SUMIFS(RAPPORT_FINAL[INVENTAIRE_THEORIQUE.Total_vente],RAPPORT_FINAL[Categorie2],"SF",RAPPORT_FINAL[Periode],J5)) - SUM(SUMIFS(RAPPORT_FINAL[INVENTAIRE_PREC.Total_cout],RAPPORT_FINAL[Categorie2],"SF",RAPPORT_FINAL[Periode],J5)),2)</f>
        <v>0</v>
      </c>
      <c r="K14">
        <f>ROUND(SUM(SUMIFS(RAPPORT_FINAL[INVENTAIRE.Total_cout],RAPPORT_FINAL[Categorie2],"SF",RAPPORT_FINAL[Periode],K5))
     - SUM(SUMIFS(RAPPORT_FINAL[INVENTAIRE_PREC.Total_cout],RAPPORT_FINAL[Categorie2],"SF",RAPPORT_FINAL[Periode],K5)),2)</f>
        <v>32186.65</v>
      </c>
      <c r="L14">
        <f>ROUND(SUM(SUMIFS(RAPPORT_FINAL[INVENTAIRE_THEORIQUE.Total_cout],RAPPORT_FINAL[Categorie2],"SF",RAPPORT_FINAL[Periode],L5))
        - SUM(SUMIFS(RAPPORT_FINAL[INVENTAIRE_PREC.Total_cout],RAPPORT_FINAL[Categorie2],"SF",RAPPORT_FINAL[Periode],L5)),2)</f>
        <v>43452.68</v>
      </c>
    </row>
    <row r="15" spans="1:15" x14ac:dyDescent="0.25">
      <c r="A15" s="53" t="s">
        <v>208</v>
      </c>
      <c r="B15" s="54"/>
      <c r="C15" s="54" t="s">
        <v>209</v>
      </c>
      <c r="D15" s="54"/>
      <c r="E15" s="54"/>
      <c r="F15" s="55"/>
      <c r="G15" s="53">
        <v>21</v>
      </c>
      <c r="H15" s="54"/>
      <c r="I15" s="56">
        <v>0</v>
      </c>
      <c r="J15" s="56">
        <v>0</v>
      </c>
      <c r="K15" s="56">
        <v>0</v>
      </c>
      <c r="L15" s="56">
        <v>0</v>
      </c>
    </row>
    <row r="16" spans="1:15" x14ac:dyDescent="0.25">
      <c r="A16" s="53" t="s">
        <v>210</v>
      </c>
      <c r="B16" s="54"/>
      <c r="C16" s="54" t="s">
        <v>211</v>
      </c>
      <c r="D16" s="54"/>
      <c r="E16" s="54"/>
      <c r="F16" s="55"/>
      <c r="G16" s="53">
        <v>21</v>
      </c>
      <c r="H16" s="54"/>
      <c r="I16" s="56">
        <v>0</v>
      </c>
      <c r="J16" s="56">
        <v>0</v>
      </c>
      <c r="K16" s="56">
        <v>0</v>
      </c>
      <c r="L16" s="56">
        <v>0</v>
      </c>
    </row>
    <row r="17" spans="1:15" x14ac:dyDescent="0.25">
      <c r="A17" s="53" t="s">
        <v>212</v>
      </c>
      <c r="B17" s="54"/>
      <c r="C17" s="54" t="s">
        <v>213</v>
      </c>
      <c r="D17" s="54"/>
      <c r="E17" s="54"/>
      <c r="F17" s="55" t="s">
        <v>186</v>
      </c>
      <c r="G17" s="53">
        <v>21</v>
      </c>
      <c r="H17" s="54"/>
      <c r="I17" s="56">
        <v>0</v>
      </c>
      <c r="J17" s="56">
        <v>0</v>
      </c>
      <c r="K17" s="56">
        <v>0</v>
      </c>
      <c r="L17" s="56">
        <v>0</v>
      </c>
    </row>
    <row r="18" spans="1:15" x14ac:dyDescent="0.25">
      <c r="A18" s="53" t="s">
        <v>214</v>
      </c>
      <c r="B18" s="54"/>
      <c r="C18" s="54" t="s">
        <v>215</v>
      </c>
      <c r="D18" s="54"/>
      <c r="E18" s="54"/>
      <c r="F18" s="55" t="s">
        <v>186</v>
      </c>
      <c r="G18" s="53">
        <v>12</v>
      </c>
      <c r="H18" s="54"/>
      <c r="I18" s="56">
        <v>0</v>
      </c>
      <c r="J18" s="56">
        <v>0</v>
      </c>
      <c r="K18" s="56">
        <v>0</v>
      </c>
      <c r="L18" s="56">
        <v>0</v>
      </c>
    </row>
    <row r="19" spans="1:15" x14ac:dyDescent="0.25">
      <c r="A19" s="53" t="s">
        <v>216</v>
      </c>
      <c r="B19" s="54"/>
      <c r="C19" s="54" t="s">
        <v>217</v>
      </c>
      <c r="D19" s="54"/>
      <c r="E19" s="54"/>
      <c r="F19" s="55" t="s">
        <v>189</v>
      </c>
      <c r="G19" s="53">
        <v>22</v>
      </c>
      <c r="H19" s="54"/>
      <c r="I19" s="56">
        <f>SUMIFS(ACHAT[Total],ACHAT[Categorie],"Ingredient",ACHAT[Periode],I5)</f>
        <v>0</v>
      </c>
      <c r="J19" s="56">
        <f>SUMIFS(ACHAT[Total],ACHAT[Categorie],"Ingredient",ACHAT[Periode],J5)</f>
        <v>0</v>
      </c>
      <c r="K19" s="56">
        <f>SUMIFS(ACHAT[Total],ACHAT[Categorie],"Ingredient",ACHAT[Periode],K5)</f>
        <v>95050</v>
      </c>
      <c r="L19" s="56">
        <f>SUMIFS(ACHAT[Total],ACHAT[Categorie],"Ingredient",ACHAT[Periode],L5)</f>
        <v>95050</v>
      </c>
      <c r="N19" s="75"/>
      <c r="O19" s="75"/>
    </row>
    <row r="20" spans="1:15" x14ac:dyDescent="0.25">
      <c r="A20" s="53" t="s">
        <v>218</v>
      </c>
      <c r="B20" s="54"/>
      <c r="C20" s="54" t="s">
        <v>219</v>
      </c>
      <c r="D20" s="54"/>
      <c r="E20" s="54"/>
      <c r="F20" s="55" t="s">
        <v>192</v>
      </c>
      <c r="G20" s="53">
        <v>6</v>
      </c>
      <c r="H20" s="54"/>
      <c r="I20" s="56">
        <f>ROUND(SUM(SUMIFS(RAPPORT_FINAL[INVENTAIRE.Total_cout],RAPPORT_FINAL[Categorie2],"MP",RAPPORT_FINAL[Periode],I5)) - SUM(SUMIFS(RAPPORT_FINAL[INVENTAIRE_PREC.Prix_cout],RAPPORT_FINAL[Categorie2],"MP",RAPPORT_FINAL[Periode],I5)),2)</f>
        <v>35161.94</v>
      </c>
      <c r="J20" s="56">
        <f>ROUND(SUM(SUMIFS(RAPPORT_FINAL[INVENTAIRE_THEORIQUE.Total_vente],RAPPORT_FINAL[Categorie2],"MP",RAPPORT_FINAL[Periode],J5)) - SUM(SUMIFS(RAPPORT_FINAL[INVENTAIRE_PREC.Total_cout],RAPPORT_FINAL[Categorie2],"MP",RAPPORT_FINAL[Periode],J5)),2)</f>
        <v>0</v>
      </c>
      <c r="K20" s="56">
        <f>ROUND(SUM(SUMIFS(RAPPORT_FINAL[INVENTAIRE.Total_cout],RAPPORT_FINAL[Categorie2],"MP",RAPPORT_FINAL[Periode],K5)) - SUM(SUMIFS(RAPPORT_FINAL[INVENTAIRE_PREC.Total_cout],RAPPORT_FINAL[Categorie2],"MP",RAPPORT_FINAL[Periode],K5)),2)</f>
        <v>60932.38</v>
      </c>
      <c r="L20" s="56">
        <f>ROUND(SUM(SUMIFS(RAPPORT_FINAL[INVENTAIRE_THEORIQUE.Total_cout],RAPPORT_FINAL[Categorie2],"MP",RAPPORT_FINAL[Periode],L5)) - SUM(SUMIFS(RAPPORT_FINAL[INVENTAIRE_PREC.Total_cout],RAPPORT_FINAL[Categorie2],"MP",RAPPORT_FINAL[Periode],L5)),2)</f>
        <v>58183.46</v>
      </c>
      <c r="N20" s="75"/>
      <c r="O20" s="75"/>
    </row>
    <row r="21" spans="1:15" x14ac:dyDescent="0.25">
      <c r="A21" s="53" t="s">
        <v>220</v>
      </c>
      <c r="B21" s="54"/>
      <c r="C21" s="54" t="s">
        <v>221</v>
      </c>
      <c r="D21" s="54"/>
      <c r="E21" s="54"/>
      <c r="F21" s="55" t="s">
        <v>189</v>
      </c>
      <c r="G21" s="53">
        <v>22</v>
      </c>
      <c r="H21" s="54"/>
      <c r="I21" s="56">
        <v>0</v>
      </c>
      <c r="J21" s="56">
        <v>0</v>
      </c>
      <c r="K21" s="56">
        <v>0</v>
      </c>
      <c r="L21" s="56">
        <v>0</v>
      </c>
    </row>
    <row r="22" spans="1:15" x14ac:dyDescent="0.25">
      <c r="A22" s="53" t="s">
        <v>222</v>
      </c>
      <c r="B22" s="54"/>
      <c r="C22" s="54" t="s">
        <v>223</v>
      </c>
      <c r="D22" s="54"/>
      <c r="E22" s="54"/>
      <c r="F22" s="55" t="s">
        <v>192</v>
      </c>
      <c r="G22" s="53">
        <v>6</v>
      </c>
      <c r="H22" s="54"/>
      <c r="I22" s="56"/>
      <c r="J22" s="56"/>
      <c r="K22" s="56"/>
      <c r="L22" s="56"/>
    </row>
    <row r="23" spans="1:15" x14ac:dyDescent="0.25">
      <c r="A23" s="53" t="s">
        <v>224</v>
      </c>
      <c r="B23" s="54"/>
      <c r="C23" s="54" t="s">
        <v>225</v>
      </c>
      <c r="D23" s="54"/>
      <c r="E23" s="54"/>
      <c r="F23" s="55" t="s">
        <v>189</v>
      </c>
      <c r="G23" s="53">
        <v>23</v>
      </c>
      <c r="H23" s="54"/>
      <c r="I23" s="56">
        <v>0</v>
      </c>
      <c r="J23" s="56">
        <v>0</v>
      </c>
      <c r="K23" s="56">
        <v>0</v>
      </c>
      <c r="L23" s="56">
        <v>0</v>
      </c>
    </row>
    <row r="24" spans="1:15" x14ac:dyDescent="0.25">
      <c r="A24" s="53" t="s">
        <v>226</v>
      </c>
      <c r="B24" s="54"/>
      <c r="C24" s="54" t="s">
        <v>227</v>
      </c>
      <c r="D24" s="54"/>
      <c r="E24" s="54"/>
      <c r="F24" s="55" t="s">
        <v>189</v>
      </c>
      <c r="G24" s="53">
        <v>24</v>
      </c>
      <c r="H24" s="54"/>
      <c r="I24" s="56">
        <v>0</v>
      </c>
      <c r="J24" s="56">
        <v>0</v>
      </c>
      <c r="K24" s="56">
        <v>0</v>
      </c>
      <c r="L24" s="56">
        <v>0</v>
      </c>
    </row>
    <row r="25" spans="1:15" x14ac:dyDescent="0.25">
      <c r="A25" s="53" t="s">
        <v>228</v>
      </c>
      <c r="B25" s="54"/>
      <c r="C25" s="54" t="s">
        <v>229</v>
      </c>
      <c r="D25" s="54"/>
      <c r="E25" s="54"/>
      <c r="F25" s="55" t="s">
        <v>189</v>
      </c>
      <c r="G25" s="53">
        <v>25</v>
      </c>
      <c r="H25" s="54"/>
      <c r="I25" s="56">
        <v>0</v>
      </c>
      <c r="J25" s="56">
        <v>0</v>
      </c>
      <c r="K25" s="56">
        <v>0</v>
      </c>
      <c r="L25" s="56">
        <v>0</v>
      </c>
    </row>
    <row r="26" spans="1:15" x14ac:dyDescent="0.25">
      <c r="A26" s="53" t="s">
        <v>230</v>
      </c>
      <c r="B26" s="54"/>
      <c r="C26" s="54" t="s">
        <v>231</v>
      </c>
      <c r="D26" s="54"/>
      <c r="E26" s="54"/>
      <c r="F26" s="55" t="s">
        <v>189</v>
      </c>
      <c r="G26" s="53">
        <v>26</v>
      </c>
      <c r="H26" s="54"/>
      <c r="I26" s="56">
        <v>0</v>
      </c>
      <c r="J26" s="56">
        <v>0</v>
      </c>
      <c r="K26" s="56">
        <v>30000</v>
      </c>
      <c r="L26" s="56">
        <v>30000</v>
      </c>
    </row>
    <row r="27" spans="1:15" x14ac:dyDescent="0.25">
      <c r="A27" s="57" t="s">
        <v>232</v>
      </c>
      <c r="B27" s="52"/>
      <c r="C27" s="52" t="s">
        <v>233</v>
      </c>
      <c r="D27" s="52"/>
      <c r="E27" s="52"/>
      <c r="F27" s="58"/>
      <c r="G27" s="57"/>
      <c r="H27" s="52"/>
      <c r="I27" s="59">
        <f>(I13+I14+I15+I16+I17+I18)-(I19+I20+I21+I22+I23+I24+I25+I26)</f>
        <v>16084.43</v>
      </c>
      <c r="J27" s="59">
        <f>(J13+J14+J15+J16+J17+J18)-(J19+J20+J21+J22+J23+J24+J25+J26)</f>
        <v>0</v>
      </c>
      <c r="K27" s="59">
        <f>(K13+K14+K15+K16+K17+K18)-(K19+K20+K21+K22+K23+K24+K25+K26)</f>
        <v>142904.27000000002</v>
      </c>
      <c r="L27" s="59">
        <f>(L13+L14+L15+L16+L17+L18)-(L19+L20+L21+L22+L23+L24+L25+L26)</f>
        <v>156919.22</v>
      </c>
      <c r="M27" s="59"/>
      <c r="N27" s="59"/>
      <c r="O27" s="59"/>
    </row>
    <row r="28" spans="1:15" x14ac:dyDescent="0.25">
      <c r="A28" s="53" t="s">
        <v>234</v>
      </c>
      <c r="B28" s="54"/>
      <c r="C28" s="54" t="s">
        <v>235</v>
      </c>
      <c r="D28" s="54"/>
      <c r="E28" s="54"/>
      <c r="F28" s="55" t="s">
        <v>189</v>
      </c>
      <c r="G28" s="53">
        <v>27</v>
      </c>
      <c r="H28" s="54"/>
      <c r="I28" s="56">
        <v>99000</v>
      </c>
      <c r="J28" s="56">
        <v>99000</v>
      </c>
      <c r="K28" s="56">
        <v>99000</v>
      </c>
      <c r="L28" s="56">
        <v>99000</v>
      </c>
      <c r="O28" s="75"/>
    </row>
    <row r="29" spans="1:15" x14ac:dyDescent="0.25">
      <c r="A29" s="57" t="s">
        <v>236</v>
      </c>
      <c r="B29" s="52"/>
      <c r="C29" s="52" t="s">
        <v>237</v>
      </c>
      <c r="D29" s="52"/>
      <c r="E29" s="52"/>
      <c r="F29" s="58"/>
      <c r="G29" s="57">
        <v>28</v>
      </c>
      <c r="H29" s="52"/>
      <c r="I29" s="59">
        <f>I27-I28</f>
        <v>-82915.570000000007</v>
      </c>
      <c r="J29" s="59">
        <f>J27-J28</f>
        <v>-99000</v>
      </c>
      <c r="K29" s="59">
        <f>K27-K28</f>
        <v>43904.270000000019</v>
      </c>
      <c r="L29" s="59">
        <f>L27-L28</f>
        <v>57919.22</v>
      </c>
    </row>
    <row r="30" spans="1:15" x14ac:dyDescent="0.25">
      <c r="A30" s="53" t="s">
        <v>238</v>
      </c>
      <c r="B30" s="54"/>
      <c r="C30" s="54" t="s">
        <v>239</v>
      </c>
      <c r="D30" s="54"/>
      <c r="E30" s="54"/>
      <c r="F30" s="55" t="s">
        <v>186</v>
      </c>
      <c r="G30" s="53">
        <v>28</v>
      </c>
      <c r="H30" s="54"/>
      <c r="I30" s="56">
        <v>0</v>
      </c>
      <c r="J30" s="56">
        <v>0</v>
      </c>
      <c r="K30" s="56">
        <v>0</v>
      </c>
      <c r="L30" s="56">
        <v>0</v>
      </c>
    </row>
    <row r="31" spans="1:15" x14ac:dyDescent="0.25">
      <c r="A31" s="53" t="s">
        <v>240</v>
      </c>
      <c r="B31" s="54"/>
      <c r="C31" s="54" t="s">
        <v>241</v>
      </c>
      <c r="D31" s="54"/>
      <c r="E31" s="54"/>
      <c r="F31" s="55" t="s">
        <v>189</v>
      </c>
      <c r="G31" s="53" t="s">
        <v>242</v>
      </c>
      <c r="H31" s="54"/>
      <c r="I31" s="56">
        <v>0</v>
      </c>
      <c r="J31" s="56">
        <v>0</v>
      </c>
      <c r="K31" s="56">
        <v>0</v>
      </c>
      <c r="L31" s="56">
        <v>0</v>
      </c>
    </row>
    <row r="32" spans="1:15" x14ac:dyDescent="0.25">
      <c r="A32" s="60" t="s">
        <v>243</v>
      </c>
      <c r="B32" s="61"/>
      <c r="C32" s="61" t="s">
        <v>244</v>
      </c>
      <c r="D32" s="61"/>
      <c r="E32" s="61"/>
      <c r="F32" s="62"/>
      <c r="G32" s="60"/>
      <c r="H32" s="61"/>
      <c r="I32" s="63">
        <f>I29+I30-I31</f>
        <v>-82915.570000000007</v>
      </c>
      <c r="J32" s="63">
        <f>J29+J30-J31</f>
        <v>-99000</v>
      </c>
      <c r="K32" s="63">
        <f>K29+K30-K31</f>
        <v>43904.270000000019</v>
      </c>
      <c r="L32" s="63">
        <f>L29+L30-L31</f>
        <v>57919.22</v>
      </c>
    </row>
    <row r="33" spans="1:12" x14ac:dyDescent="0.25">
      <c r="A33" s="53" t="s">
        <v>245</v>
      </c>
      <c r="B33" s="54"/>
      <c r="C33" s="54" t="s">
        <v>246</v>
      </c>
      <c r="D33" s="54"/>
      <c r="E33" s="54"/>
      <c r="F33" s="55" t="s">
        <v>186</v>
      </c>
      <c r="G33" s="53">
        <v>29</v>
      </c>
      <c r="H33" s="54"/>
      <c r="I33" s="56">
        <v>0</v>
      </c>
      <c r="J33" s="56">
        <v>0</v>
      </c>
      <c r="K33" s="56">
        <v>0</v>
      </c>
      <c r="L33" s="56">
        <v>0</v>
      </c>
    </row>
    <row r="34" spans="1:12" x14ac:dyDescent="0.25">
      <c r="A34" s="53" t="s">
        <v>247</v>
      </c>
      <c r="B34" s="54"/>
      <c r="C34" s="54" t="s">
        <v>248</v>
      </c>
      <c r="D34" s="54"/>
      <c r="E34" s="54"/>
      <c r="F34" s="55" t="s">
        <v>186</v>
      </c>
      <c r="G34" s="53">
        <v>28</v>
      </c>
      <c r="H34" s="54"/>
      <c r="I34" s="56"/>
      <c r="J34" s="56"/>
      <c r="K34" s="56"/>
      <c r="L34" s="56"/>
    </row>
    <row r="35" spans="1:12" x14ac:dyDescent="0.25">
      <c r="A35" s="53" t="s">
        <v>249</v>
      </c>
      <c r="B35" s="54"/>
      <c r="C35" s="54" t="s">
        <v>250</v>
      </c>
      <c r="D35" s="54"/>
      <c r="E35" s="54"/>
      <c r="F35" s="55" t="s">
        <v>186</v>
      </c>
      <c r="G35" s="53">
        <v>12</v>
      </c>
      <c r="H35" s="54"/>
      <c r="I35" s="56"/>
      <c r="J35" s="56"/>
      <c r="K35" s="56"/>
      <c r="L35" s="56"/>
    </row>
    <row r="36" spans="1:12" x14ac:dyDescent="0.25">
      <c r="A36" s="53" t="s">
        <v>251</v>
      </c>
      <c r="B36" s="54"/>
      <c r="C36" s="54" t="s">
        <v>252</v>
      </c>
      <c r="D36" s="54"/>
      <c r="E36" s="54"/>
      <c r="F36" s="55" t="s">
        <v>189</v>
      </c>
      <c r="G36" s="53">
        <v>29</v>
      </c>
      <c r="H36" s="54"/>
      <c r="I36" s="56">
        <v>0</v>
      </c>
      <c r="J36" s="56">
        <v>0</v>
      </c>
      <c r="K36" s="56">
        <v>0</v>
      </c>
      <c r="L36" s="56">
        <v>0</v>
      </c>
    </row>
    <row r="37" spans="1:12" x14ac:dyDescent="0.25">
      <c r="A37" s="53" t="s">
        <v>253</v>
      </c>
      <c r="B37" s="54"/>
      <c r="C37" s="54" t="s">
        <v>254</v>
      </c>
      <c r="D37" s="54"/>
      <c r="E37" s="54"/>
      <c r="F37" s="55" t="s">
        <v>189</v>
      </c>
      <c r="G37" s="53" t="s">
        <v>242</v>
      </c>
      <c r="H37" s="54"/>
      <c r="I37" s="56">
        <v>0</v>
      </c>
      <c r="J37" s="56">
        <v>0</v>
      </c>
      <c r="K37" s="56">
        <v>0</v>
      </c>
      <c r="L37" s="56">
        <v>0</v>
      </c>
    </row>
    <row r="38" spans="1:12" x14ac:dyDescent="0.25">
      <c r="A38" s="60" t="s">
        <v>255</v>
      </c>
      <c r="B38" s="61"/>
      <c r="C38" s="61" t="s">
        <v>256</v>
      </c>
      <c r="D38" s="61"/>
      <c r="E38" s="61"/>
      <c r="F38" s="62"/>
      <c r="G38" s="60"/>
      <c r="H38" s="61"/>
      <c r="I38" s="63">
        <f>(I33+I34+I35)-(I36+I37)</f>
        <v>0</v>
      </c>
      <c r="J38" s="63">
        <f>(J33+J34+J35)-(J36+J37)</f>
        <v>0</v>
      </c>
      <c r="K38" s="63">
        <f>(K33+K34+K35)-(K36+K37)</f>
        <v>0</v>
      </c>
      <c r="L38" s="63">
        <f>(L33+L34+L35)-(L36+L37)</f>
        <v>0</v>
      </c>
    </row>
    <row r="39" spans="1:12" x14ac:dyDescent="0.25">
      <c r="A39" s="60" t="s">
        <v>257</v>
      </c>
      <c r="B39" s="61"/>
      <c r="C39" s="61" t="s">
        <v>258</v>
      </c>
      <c r="D39" s="61"/>
      <c r="E39" s="61"/>
      <c r="F39" s="62"/>
      <c r="G39" s="60"/>
      <c r="H39" s="61"/>
      <c r="I39" s="63">
        <f>I32+I38</f>
        <v>-82915.570000000007</v>
      </c>
      <c r="J39" s="63">
        <f>J32+J38</f>
        <v>-99000</v>
      </c>
      <c r="K39" s="63">
        <f>K32+K38</f>
        <v>43904.270000000019</v>
      </c>
      <c r="L39" s="63">
        <f>L32+L38</f>
        <v>57919.22</v>
      </c>
    </row>
    <row r="40" spans="1:12" x14ac:dyDescent="0.25">
      <c r="A40" s="53" t="s">
        <v>259</v>
      </c>
      <c r="B40" s="54"/>
      <c r="C40" s="54" t="s">
        <v>260</v>
      </c>
      <c r="D40" s="54"/>
      <c r="E40" s="54"/>
      <c r="F40" s="55" t="s">
        <v>186</v>
      </c>
      <c r="G40" s="53" t="s">
        <v>261</v>
      </c>
      <c r="H40" s="54"/>
      <c r="I40" s="56">
        <v>0</v>
      </c>
      <c r="J40" s="56">
        <v>0</v>
      </c>
      <c r="K40" s="56">
        <v>0</v>
      </c>
      <c r="L40" s="56">
        <v>0</v>
      </c>
    </row>
    <row r="41" spans="1:12" x14ac:dyDescent="0.25">
      <c r="A41" s="53" t="s">
        <v>262</v>
      </c>
      <c r="B41" s="54"/>
      <c r="C41" s="54" t="s">
        <v>263</v>
      </c>
      <c r="D41" s="54"/>
      <c r="E41" s="54"/>
      <c r="F41" s="55" t="s">
        <v>186</v>
      </c>
      <c r="G41" s="53">
        <v>30</v>
      </c>
      <c r="H41" s="54"/>
      <c r="I41" s="56">
        <v>0</v>
      </c>
      <c r="J41" s="56">
        <v>0</v>
      </c>
      <c r="K41" s="56">
        <v>0</v>
      </c>
      <c r="L41" s="56">
        <v>0</v>
      </c>
    </row>
    <row r="42" spans="1:12" x14ac:dyDescent="0.25">
      <c r="A42" s="53" t="s">
        <v>264</v>
      </c>
      <c r="B42" s="54"/>
      <c r="C42" s="54" t="s">
        <v>265</v>
      </c>
      <c r="D42" s="54"/>
      <c r="E42" s="54"/>
      <c r="F42" s="55" t="s">
        <v>189</v>
      </c>
      <c r="G42" s="53" t="s">
        <v>261</v>
      </c>
      <c r="H42" s="54"/>
      <c r="I42" s="56">
        <v>0</v>
      </c>
      <c r="J42" s="56">
        <v>0</v>
      </c>
      <c r="K42" s="56">
        <v>0</v>
      </c>
      <c r="L42" s="56">
        <v>0</v>
      </c>
    </row>
    <row r="43" spans="1:12" x14ac:dyDescent="0.25">
      <c r="A43" s="53" t="s">
        <v>266</v>
      </c>
      <c r="B43" s="54"/>
      <c r="C43" s="54" t="s">
        <v>267</v>
      </c>
      <c r="D43" s="54"/>
      <c r="E43" s="54"/>
      <c r="F43" s="55" t="s">
        <v>189</v>
      </c>
      <c r="G43" s="53">
        <v>30</v>
      </c>
      <c r="H43" s="54"/>
      <c r="I43" s="56">
        <v>0</v>
      </c>
      <c r="J43" s="56">
        <v>0</v>
      </c>
      <c r="K43" s="56">
        <v>0</v>
      </c>
      <c r="L43" s="56">
        <v>0</v>
      </c>
    </row>
    <row r="44" spans="1:12" x14ac:dyDescent="0.25">
      <c r="A44" s="60" t="s">
        <v>268</v>
      </c>
      <c r="B44" s="61"/>
      <c r="C44" s="61" t="s">
        <v>269</v>
      </c>
      <c r="D44" s="61"/>
      <c r="E44" s="61"/>
      <c r="F44" s="62"/>
      <c r="G44" s="60"/>
      <c r="H44" s="61"/>
      <c r="I44" s="63">
        <f>(I40+I41)-(I42+I43)</f>
        <v>0</v>
      </c>
      <c r="J44" s="63">
        <f>(J40+J41)-(J42+J43)</f>
        <v>0</v>
      </c>
      <c r="K44" s="63">
        <f>(K40+K41)-(K42+K43)</f>
        <v>0</v>
      </c>
      <c r="L44" s="63">
        <f>(L40+L41)-(L42+L43)</f>
        <v>0</v>
      </c>
    </row>
    <row r="45" spans="1:12" x14ac:dyDescent="0.25">
      <c r="A45" s="53" t="s">
        <v>270</v>
      </c>
      <c r="B45" s="54"/>
      <c r="C45" s="54" t="s">
        <v>271</v>
      </c>
      <c r="D45" s="54"/>
      <c r="E45" s="54"/>
      <c r="F45" s="55" t="s">
        <v>189</v>
      </c>
      <c r="G45" s="53">
        <v>30</v>
      </c>
      <c r="H45" s="54"/>
      <c r="I45" s="56">
        <v>0</v>
      </c>
      <c r="J45" s="56">
        <v>0</v>
      </c>
      <c r="K45" s="56">
        <v>0</v>
      </c>
      <c r="L45" s="56">
        <v>0</v>
      </c>
    </row>
    <row r="46" spans="1:12" x14ac:dyDescent="0.25">
      <c r="A46" s="53" t="s">
        <v>272</v>
      </c>
      <c r="B46" s="54"/>
      <c r="C46" s="54" t="s">
        <v>273</v>
      </c>
      <c r="D46" s="54"/>
      <c r="E46" s="54"/>
      <c r="F46" s="55" t="s">
        <v>189</v>
      </c>
      <c r="G46" s="53"/>
      <c r="H46" s="54"/>
      <c r="I46" s="56">
        <v>0</v>
      </c>
      <c r="J46" s="56">
        <v>0</v>
      </c>
      <c r="K46" s="56">
        <v>0</v>
      </c>
      <c r="L46" s="56">
        <v>0</v>
      </c>
    </row>
    <row r="47" spans="1:12" x14ac:dyDescent="0.25">
      <c r="A47" s="64" t="s">
        <v>274</v>
      </c>
      <c r="B47" s="65"/>
      <c r="C47" s="65" t="s">
        <v>275</v>
      </c>
      <c r="D47" s="65"/>
      <c r="E47" s="65"/>
      <c r="F47" s="66"/>
      <c r="G47" s="65"/>
      <c r="H47" s="65"/>
      <c r="I47" s="67">
        <f>(I39+I44)-(I45+I46)</f>
        <v>-82915.570000000007</v>
      </c>
      <c r="J47" s="67">
        <f>(J39+J44)-(J45+J46)</f>
        <v>-99000</v>
      </c>
      <c r="K47" s="67">
        <f>(K39+K44)-(K45+K46)</f>
        <v>43904.270000000019</v>
      </c>
      <c r="L47" s="67">
        <f>(L39+L44)-(L45+L46)</f>
        <v>57919.22</v>
      </c>
    </row>
    <row r="49" spans="10:12" x14ac:dyDescent="0.25">
      <c r="L49" s="75">
        <f>K47-L47</f>
        <v>-14014.949999999983</v>
      </c>
    </row>
    <row r="50" spans="10:12" x14ac:dyDescent="0.25">
      <c r="J50" s="75"/>
      <c r="L50" s="75"/>
    </row>
    <row r="51" spans="10:12" x14ac:dyDescent="0.25">
      <c r="L51" s="75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9820-868E-4FB0-9420-D9B4F03D9A4E}">
  <dimension ref="A1:C7"/>
  <sheetViews>
    <sheetView zoomScale="160" zoomScaleNormal="160" workbookViewId="0">
      <selection activeCell="B3" sqref="B3"/>
    </sheetView>
  </sheetViews>
  <sheetFormatPr defaultRowHeight="15" x14ac:dyDescent="0.25"/>
  <cols>
    <col min="1" max="1" width="25.5703125" bestFit="1" customWidth="1"/>
    <col min="2" max="2" width="11" customWidth="1"/>
  </cols>
  <sheetData>
    <row r="1" spans="1:3" x14ac:dyDescent="0.25">
      <c r="A1" t="s">
        <v>169</v>
      </c>
      <c r="B1" t="s">
        <v>173</v>
      </c>
      <c r="C1" t="s">
        <v>170</v>
      </c>
    </row>
    <row r="2" spans="1:3" x14ac:dyDescent="0.25">
      <c r="A2" t="s">
        <v>2</v>
      </c>
      <c r="B2" t="s">
        <v>30</v>
      </c>
    </row>
    <row r="3" spans="1:3" x14ac:dyDescent="0.25">
      <c r="A3" t="s">
        <v>171</v>
      </c>
      <c r="B3">
        <f>SUMIF(RAPPORT_FINAL[Periode],Sheet1!B2,RAPPORT_FINAL[INVENTAIRE_PREC.Total_vente])</f>
        <v>986447.63999999966</v>
      </c>
    </row>
    <row r="4" spans="1:3" x14ac:dyDescent="0.25">
      <c r="A4" t="s">
        <v>98</v>
      </c>
      <c r="B4">
        <f>SUMIF(RAPPORT_FINAL[Periode],Sheet1!B2,RAPPORT_FINAL[ACHAT.Total])</f>
        <v>456800</v>
      </c>
    </row>
    <row r="5" spans="1:3" x14ac:dyDescent="0.25">
      <c r="A5" t="s">
        <v>172</v>
      </c>
      <c r="B5">
        <f>SUMIF(RAPPORT_FINAL[Periode],Sheet1!B2,RAPPORT_FINAL[INVENTAIRE.Total_prix_vente])</f>
        <v>1749073.5788425531</v>
      </c>
    </row>
    <row r="6" spans="1:3" x14ac:dyDescent="0.25">
      <c r="A6" t="s">
        <v>174</v>
      </c>
      <c r="B6">
        <f>B3+B4-B5</f>
        <v>-305825.93884255341</v>
      </c>
    </row>
    <row r="7" spans="1:3" x14ac:dyDescent="0.25">
      <c r="B7">
        <f>SUMIF(RAPPORT_FINAL[Periode],Sheet1!B2,RAPPORT_FINAL[VENTE.Total])</f>
        <v>870529.16399999999</v>
      </c>
      <c r="C7">
        <f>Table4[[#This Row],[Values]]/B6</f>
        <v>-2.8464857078332044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9B4B83-7FCD-4A90-AEBA-BC50A89834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Table</vt:lpstr>
      <vt:lpstr>Achats</vt:lpstr>
      <vt:lpstr>Ventes</vt:lpstr>
      <vt:lpstr>Cout de Vente</vt:lpstr>
      <vt:lpstr>Inventaire</vt:lpstr>
      <vt:lpstr>Rapport</vt:lpstr>
      <vt:lpstr>Ecart</vt:lpstr>
      <vt:lpstr>Resultats Comptes</vt:lpstr>
      <vt:lpstr>Sheet1</vt:lpstr>
      <vt:lpstr>_liste_inventaire_name_range</vt:lpstr>
      <vt:lpstr>Ecart!Print_Area</vt:lpstr>
      <vt:lpstr>Ecart!Print_Titles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DG-EXCELLE XIOR</dc:creator>
  <cp:lastModifiedBy>b30942</cp:lastModifiedBy>
  <cp:lastPrinted>2024-12-28T12:02:11Z</cp:lastPrinted>
  <dcterms:created xsi:type="dcterms:W3CDTF">2024-11-11T09:27:44Z</dcterms:created>
  <dcterms:modified xsi:type="dcterms:W3CDTF">2025-01-20T16:59:14Z</dcterms:modified>
</cp:coreProperties>
</file>