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ran\Documents\Disciplinas\Elementos de Máquina\2019\Engrenagem\Pesquisa AGMA\"/>
    </mc:Choice>
  </mc:AlternateContent>
  <bookViews>
    <workbookView xWindow="0" yWindow="0" windowWidth="38400" windowHeight="12435" activeTab="2"/>
  </bookViews>
  <sheets>
    <sheet name="Estudo" sheetId="1" r:id="rId1"/>
    <sheet name="Comparativo" sheetId="2" r:id="rId2"/>
    <sheet name="Resultado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N15" i="1" l="1"/>
  <c r="N13" i="1"/>
  <c r="I42" i="1"/>
  <c r="I27" i="1"/>
  <c r="I32" i="1" s="1"/>
  <c r="I15" i="1"/>
  <c r="D11" i="1"/>
  <c r="C27" i="1"/>
  <c r="D12" i="1"/>
  <c r="D13" i="1"/>
  <c r="D19" i="1" s="1"/>
  <c r="N14" i="1"/>
  <c r="I51" i="1"/>
  <c r="I40" i="1"/>
  <c r="I23" i="1"/>
  <c r="I26" i="1"/>
  <c r="I29" i="1" s="1"/>
  <c r="I8" i="1"/>
  <c r="I11" i="1"/>
  <c r="I12" i="1" s="1"/>
  <c r="E27" i="1"/>
  <c r="D27" i="1"/>
  <c r="D16" i="1"/>
  <c r="D15" i="1"/>
  <c r="D14" i="1"/>
  <c r="D22" i="1" s="1"/>
  <c r="D23" i="1" s="1"/>
  <c r="D24" i="1" s="1"/>
  <c r="D25" i="1" s="1"/>
  <c r="I28" i="1" l="1"/>
  <c r="I19" i="1"/>
  <c r="I24" i="1" s="1"/>
  <c r="I31" i="1"/>
  <c r="D30" i="1"/>
  <c r="D21" i="1"/>
  <c r="I13" i="1"/>
  <c r="N4" i="1"/>
  <c r="I30" i="1"/>
  <c r="I43" i="1"/>
  <c r="D18" i="1"/>
  <c r="D20" i="1" s="1"/>
  <c r="N6" i="1" l="1"/>
  <c r="N7" i="1" s="1"/>
  <c r="N9" i="1" s="1"/>
  <c r="N16" i="1" s="1"/>
  <c r="I33" i="1"/>
  <c r="I34" i="1" l="1"/>
  <c r="I35" i="1" s="1"/>
  <c r="I48" i="1" l="1"/>
  <c r="I49" i="1" s="1"/>
  <c r="I52" i="1"/>
</calcChain>
</file>

<file path=xl/sharedStrings.xml><?xml version="1.0" encoding="utf-8"?>
<sst xmlns="http://schemas.openxmlformats.org/spreadsheetml/2006/main" count="279" uniqueCount="208">
  <si>
    <t>Potência de projeto</t>
  </si>
  <si>
    <t>P</t>
  </si>
  <si>
    <t>W</t>
  </si>
  <si>
    <t>modulo</t>
  </si>
  <si>
    <t>m</t>
  </si>
  <si>
    <t>Rotação de entrada</t>
  </si>
  <si>
    <t>rpm</t>
  </si>
  <si>
    <t>Número de dentes pinhão</t>
  </si>
  <si>
    <r>
      <t>N</t>
    </r>
    <r>
      <rPr>
        <vertAlign val="subscript"/>
        <sz val="11"/>
        <color theme="1"/>
        <rFont val="Calibri"/>
        <family val="2"/>
        <scheme val="minor"/>
      </rPr>
      <t>P</t>
    </r>
  </si>
  <si>
    <t>Relação de transmissão</t>
  </si>
  <si>
    <t>i</t>
  </si>
  <si>
    <t>Raio de filete</t>
  </si>
  <si>
    <t>r</t>
  </si>
  <si>
    <t>mm</t>
  </si>
  <si>
    <t>Rotação de saída</t>
  </si>
  <si>
    <t>Número de dentes coroa</t>
  </si>
  <si>
    <r>
      <t>N</t>
    </r>
    <r>
      <rPr>
        <vertAlign val="subscript"/>
        <sz val="11"/>
        <color theme="1"/>
        <rFont val="Calibri"/>
        <family val="2"/>
        <scheme val="minor"/>
      </rPr>
      <t>G</t>
    </r>
  </si>
  <si>
    <t>Diâmetro primitivo - Pinhão</t>
  </si>
  <si>
    <t>Diâmetro externo do - Pinhão</t>
  </si>
  <si>
    <r>
      <t>D</t>
    </r>
    <r>
      <rPr>
        <vertAlign val="subscript"/>
        <sz val="11"/>
        <color theme="1"/>
        <rFont val="Calibri"/>
        <family val="2"/>
        <scheme val="minor"/>
      </rPr>
      <t>eP</t>
    </r>
  </si>
  <si>
    <t>Diâmetro raiz - Pinhão</t>
  </si>
  <si>
    <r>
      <t>D</t>
    </r>
    <r>
      <rPr>
        <vertAlign val="subscript"/>
        <sz val="11"/>
        <color theme="1"/>
        <rFont val="Calibri"/>
        <family val="2"/>
        <scheme val="minor"/>
      </rPr>
      <t>rP</t>
    </r>
  </si>
  <si>
    <t>Torque do pinhão</t>
  </si>
  <si>
    <r>
      <t>T</t>
    </r>
    <r>
      <rPr>
        <vertAlign val="subscript"/>
        <sz val="11"/>
        <color theme="1"/>
        <rFont val="Calibri"/>
        <family val="2"/>
        <scheme val="minor"/>
      </rPr>
      <t>P</t>
    </r>
  </si>
  <si>
    <t>N-m</t>
  </si>
  <si>
    <t>Diâmetro primitivo Coroa</t>
  </si>
  <si>
    <t>Torque da coroa</t>
  </si>
  <si>
    <t>Distância de centro</t>
  </si>
  <si>
    <t>C</t>
  </si>
  <si>
    <t>Velocidade na linha primitiva</t>
  </si>
  <si>
    <t>V</t>
  </si>
  <si>
    <t>m/s</t>
  </si>
  <si>
    <r>
      <t>W</t>
    </r>
    <r>
      <rPr>
        <vertAlign val="superscript"/>
        <sz val="11"/>
        <color theme="1"/>
        <rFont val="Calibri"/>
        <family val="2"/>
        <scheme val="minor"/>
      </rPr>
      <t>t</t>
    </r>
  </si>
  <si>
    <t xml:space="preserve">N </t>
  </si>
  <si>
    <t xml:space="preserve">Largura da face </t>
  </si>
  <si>
    <t>insira largura escolhida</t>
  </si>
  <si>
    <t>b</t>
  </si>
  <si>
    <r>
      <t>b/D</t>
    </r>
    <r>
      <rPr>
        <vertAlign val="subscript"/>
        <sz val="11"/>
        <color theme="1"/>
        <rFont val="Calibri"/>
        <family val="2"/>
        <scheme val="minor"/>
      </rPr>
      <t>P</t>
    </r>
  </si>
  <si>
    <r>
      <rPr>
        <sz val="14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b/D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&lt;</t>
    </r>
  </si>
  <si>
    <r>
      <t>k</t>
    </r>
    <r>
      <rPr>
        <vertAlign val="subscript"/>
        <sz val="11"/>
        <color theme="1"/>
        <rFont val="Calibri"/>
        <family val="2"/>
        <scheme val="minor"/>
      </rPr>
      <t>O</t>
    </r>
  </si>
  <si>
    <t>Insira: índice de qualidade</t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</si>
  <si>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</si>
  <si>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t>B</t>
  </si>
  <si>
    <r>
      <t>Z</t>
    </r>
    <r>
      <rPr>
        <vertAlign val="subscript"/>
        <sz val="11"/>
        <color theme="1"/>
        <rFont val="Calibri"/>
        <family val="2"/>
        <scheme val="minor"/>
      </rPr>
      <t>E</t>
    </r>
  </si>
  <si>
    <t>MPa</t>
  </si>
  <si>
    <t>Fator dinâmico</t>
  </si>
  <si>
    <r>
      <t>k</t>
    </r>
    <r>
      <rPr>
        <vertAlign val="subscript"/>
        <sz val="11"/>
        <color theme="1"/>
        <rFont val="Calibri"/>
        <family val="2"/>
        <scheme val="minor"/>
      </rPr>
      <t>V</t>
    </r>
  </si>
  <si>
    <t>Insira fator de forma</t>
  </si>
  <si>
    <t>Y</t>
  </si>
  <si>
    <t>Fator de tamanho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</si>
  <si>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</si>
  <si>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Módulo de elasticidade</t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</si>
  <si>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</si>
  <si>
    <r>
      <t>K</t>
    </r>
    <r>
      <rPr>
        <vertAlign val="subscript"/>
        <sz val="11"/>
        <color theme="1"/>
        <rFont val="Calibri"/>
        <family val="2"/>
        <scheme val="minor"/>
      </rPr>
      <t>Hmc</t>
    </r>
  </si>
  <si>
    <t>Proporção de Poisson</t>
  </si>
  <si>
    <r>
      <rPr>
        <sz val="11"/>
        <color theme="1"/>
        <rFont val="Bradley Hand ITC"/>
        <family val="4"/>
      </rPr>
      <t>v</t>
    </r>
    <r>
      <rPr>
        <vertAlign val="subscript"/>
        <sz val="11"/>
        <color theme="1"/>
        <rFont val="Calibri"/>
        <family val="2"/>
        <scheme val="minor"/>
      </rPr>
      <t>P</t>
    </r>
  </si>
  <si>
    <r>
      <t>K</t>
    </r>
    <r>
      <rPr>
        <vertAlign val="subscript"/>
        <sz val="11"/>
        <color theme="1"/>
        <rFont val="Calibri"/>
        <family val="2"/>
        <scheme val="minor"/>
      </rPr>
      <t>He</t>
    </r>
  </si>
  <si>
    <r>
      <t>E</t>
    </r>
    <r>
      <rPr>
        <vertAlign val="subscript"/>
        <sz val="11"/>
        <color theme="1"/>
        <rFont val="Calibri"/>
        <family val="2"/>
        <scheme val="minor"/>
      </rPr>
      <t>G</t>
    </r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</si>
  <si>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pm</t>
    </r>
  </si>
  <si>
    <r>
      <rPr>
        <sz val="11"/>
        <color theme="1"/>
        <rFont val="Bradley Hand ITC"/>
        <family val="4"/>
      </rPr>
      <t>v</t>
    </r>
    <r>
      <rPr>
        <vertAlign val="subscript"/>
        <sz val="11"/>
        <color theme="1"/>
        <rFont val="Calibri"/>
        <family val="2"/>
        <scheme val="minor"/>
      </rPr>
      <t>G</t>
    </r>
  </si>
  <si>
    <t>Se  25 &lt; b &lt;= 432</t>
  </si>
  <si>
    <r>
      <t>K</t>
    </r>
    <r>
      <rPr>
        <vertAlign val="subscript"/>
        <sz val="11"/>
        <color theme="1"/>
        <rFont val="Calibri"/>
        <family val="2"/>
        <scheme val="minor"/>
      </rPr>
      <t>Hpf</t>
    </r>
  </si>
  <si>
    <t>Calcular coeficiente elástico</t>
  </si>
  <si>
    <t>A</t>
  </si>
  <si>
    <r>
      <t>Z</t>
    </r>
    <r>
      <rPr>
        <vertAlign val="subscript"/>
        <sz val="11"/>
        <color theme="1"/>
        <rFont val="Calibri"/>
        <family val="2"/>
        <scheme val="minor"/>
      </rPr>
      <t>R</t>
    </r>
  </si>
  <si>
    <t>Seno de ângulo de pressão 20</t>
  </si>
  <si>
    <t>senϴ</t>
  </si>
  <si>
    <t>cosϴ</t>
  </si>
  <si>
    <t>Fator de alinhamento</t>
  </si>
  <si>
    <r>
      <t>K</t>
    </r>
    <r>
      <rPr>
        <vertAlign val="subscript"/>
        <sz val="11"/>
        <color theme="1"/>
        <rFont val="Calibri"/>
        <family val="2"/>
        <scheme val="minor"/>
      </rPr>
      <t>Hma</t>
    </r>
  </si>
  <si>
    <t>fator de curvatura na linha primitiva</t>
  </si>
  <si>
    <r>
      <t>C</t>
    </r>
    <r>
      <rPr>
        <vertAlign val="subscript"/>
        <sz val="11"/>
        <color theme="1"/>
        <rFont val="Calibri"/>
        <family val="2"/>
        <scheme val="minor"/>
      </rPr>
      <t>c</t>
    </r>
  </si>
  <si>
    <t>Fator de distribuição de carga</t>
  </si>
  <si>
    <r>
      <t>k</t>
    </r>
    <r>
      <rPr>
        <vertAlign val="subscript"/>
        <sz val="11"/>
        <color theme="1"/>
        <rFont val="Calibri"/>
        <family val="2"/>
        <scheme val="minor"/>
      </rPr>
      <t>H</t>
    </r>
  </si>
  <si>
    <t>fator para ajuste da altura específica 1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</si>
  <si>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</si>
  <si>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Insira altura do dente</t>
  </si>
  <si>
    <r>
      <t>h</t>
    </r>
    <r>
      <rPr>
        <vertAlign val="subscript"/>
        <sz val="11"/>
        <color theme="1"/>
        <rFont val="Calibri"/>
        <family val="2"/>
        <scheme val="minor"/>
      </rPr>
      <t>t</t>
    </r>
  </si>
  <si>
    <t>fator para ajuste da altura específica 2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</si>
  <si>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</si>
  <si>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Insira altura da borda</t>
  </si>
  <si>
    <r>
      <t>t</t>
    </r>
    <r>
      <rPr>
        <vertAlign val="subscript"/>
        <sz val="11"/>
        <color theme="1"/>
        <rFont val="Calibri"/>
        <family val="2"/>
        <scheme val="minor"/>
      </rPr>
      <t>R</t>
    </r>
  </si>
  <si>
    <t>fator para ajuste da altura específica 3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</si>
  <si>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</si>
  <si>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t>relação de aturas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</si>
  <si>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</si>
  <si>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fator para ajuste da altura específica 4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</si>
  <si>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</si>
  <si>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</si>
  <si>
    <t xml:space="preserve">fator para ajuste da altura específica do LPSTC </t>
  </si>
  <si>
    <r>
      <t>C</t>
    </r>
    <r>
      <rPr>
        <vertAlign val="subscript"/>
        <sz val="11"/>
        <color theme="1"/>
        <rFont val="Calibri"/>
        <family val="2"/>
        <scheme val="minor"/>
      </rPr>
      <t>x</t>
    </r>
  </si>
  <si>
    <t>Inserir Fator geométrico de flexão - Pinhão</t>
  </si>
  <si>
    <r>
      <t>Y</t>
    </r>
    <r>
      <rPr>
        <vertAlign val="subscript"/>
        <sz val="11"/>
        <color theme="1"/>
        <rFont val="Calibri"/>
        <family val="2"/>
        <scheme val="minor"/>
      </rPr>
      <t>J</t>
    </r>
  </si>
  <si>
    <t>Calcular Fator geométrico de crateramento</t>
  </si>
  <si>
    <r>
      <t>Z</t>
    </r>
    <r>
      <rPr>
        <vertAlign val="subscript"/>
        <sz val="11"/>
        <color theme="1"/>
        <rFont val="Calibri"/>
        <family val="2"/>
        <scheme val="minor"/>
      </rPr>
      <t>I</t>
    </r>
  </si>
  <si>
    <t>Tensão de Flexão AGMA</t>
  </si>
  <si>
    <r>
      <t>σ</t>
    </r>
    <r>
      <rPr>
        <vertAlign val="subscript"/>
        <sz val="11"/>
        <color theme="1"/>
        <rFont val="Calibri"/>
        <family val="2"/>
      </rPr>
      <t>F</t>
    </r>
  </si>
  <si>
    <t>Tensão de Contato AGMA</t>
  </si>
  <si>
    <r>
      <t>σ</t>
    </r>
    <r>
      <rPr>
        <vertAlign val="subscript"/>
        <sz val="11"/>
        <color theme="1"/>
        <rFont val="Calibri"/>
        <family val="2"/>
      </rPr>
      <t>H</t>
    </r>
  </si>
  <si>
    <r>
      <t>Fator de segurança AGMA S</t>
    </r>
    <r>
      <rPr>
        <b/>
        <vertAlign val="subscript"/>
        <sz val="11"/>
        <color theme="1"/>
        <rFont val="Calibri"/>
        <family val="2"/>
        <scheme val="minor"/>
      </rPr>
      <t>H</t>
    </r>
  </si>
  <si>
    <t>Insira vida em horas</t>
  </si>
  <si>
    <t>L</t>
  </si>
  <si>
    <t>h</t>
  </si>
  <si>
    <t>Insira revolução</t>
  </si>
  <si>
    <t>Insira número de contatos/revolução</t>
  </si>
  <si>
    <t>q</t>
  </si>
  <si>
    <t>Número de ciclos de tensão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</si>
  <si>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L</t>
    </r>
  </si>
  <si>
    <t>Fator de ciclagem de tensão</t>
  </si>
  <si>
    <r>
      <t>Z</t>
    </r>
    <r>
      <rPr>
        <vertAlign val="subscript"/>
        <sz val="11"/>
        <color theme="1"/>
        <rFont val="Calibri"/>
        <family val="2"/>
        <scheme val="minor"/>
      </rPr>
      <t>N</t>
    </r>
  </si>
  <si>
    <t>Fator de razão de dureza Pinhão</t>
  </si>
  <si>
    <r>
      <t>Z</t>
    </r>
    <r>
      <rPr>
        <vertAlign val="subscript"/>
        <sz val="11"/>
        <color theme="1"/>
        <rFont val="Calibri"/>
        <family val="2"/>
        <scheme val="minor"/>
      </rPr>
      <t>W</t>
    </r>
  </si>
  <si>
    <t>Inserir Fator de temperatura</t>
  </si>
  <si>
    <r>
      <t>Y</t>
    </r>
    <r>
      <rPr>
        <vertAlign val="subscript"/>
        <sz val="11"/>
        <color theme="1"/>
        <rFont val="Calibri"/>
        <family val="2"/>
      </rPr>
      <t>θ</t>
    </r>
  </si>
  <si>
    <t>Inserir Fator de confiabilidade</t>
  </si>
  <si>
    <r>
      <t>Y</t>
    </r>
    <r>
      <rPr>
        <vertAlign val="subscript"/>
        <sz val="11"/>
        <color theme="1"/>
        <rFont val="Calibri"/>
        <family val="2"/>
        <scheme val="minor"/>
      </rPr>
      <t>Z</t>
    </r>
  </si>
  <si>
    <t>Inserir Fator de segurança HIPOTESE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</si>
  <si>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</si>
  <si>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σ</t>
    </r>
    <r>
      <rPr>
        <vertAlign val="subscript"/>
        <sz val="11"/>
        <color theme="1"/>
        <rFont val="Calibri"/>
        <family val="2"/>
        <scheme val="minor"/>
      </rPr>
      <t>HP</t>
    </r>
  </si>
  <si>
    <t>HB</t>
  </si>
  <si>
    <t>Inserir HB escolhido ver Apêndice 17</t>
  </si>
  <si>
    <t>Fator de segurança RECALCULADO</t>
  </si>
  <si>
    <r>
      <t>Y</t>
    </r>
    <r>
      <rPr>
        <vertAlign val="subscript"/>
        <sz val="11"/>
        <color theme="1"/>
        <rFont val="Calibri"/>
        <family val="2"/>
        <scheme val="minor"/>
      </rPr>
      <t>N</t>
    </r>
  </si>
  <si>
    <t>Número à flexional permitido RECALCULADO</t>
  </si>
  <si>
    <r>
      <t>σ</t>
    </r>
    <r>
      <rPr>
        <vertAlign val="subscript"/>
        <sz val="11"/>
        <color theme="1"/>
        <rFont val="Calibri"/>
        <family val="2"/>
        <scheme val="minor"/>
      </rPr>
      <t>FP</t>
    </r>
  </si>
  <si>
    <r>
      <t>S</t>
    </r>
    <r>
      <rPr>
        <vertAlign val="subscript"/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</si>
  <si>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Arial"/>
        <family val="2"/>
      </rPr>
      <t>ω</t>
    </r>
    <r>
      <rPr>
        <vertAlign val="subscript"/>
        <sz val="11"/>
        <color theme="1"/>
        <rFont val="Calibri"/>
        <family val="2"/>
        <scheme val="minor"/>
      </rPr>
      <t>G</t>
    </r>
  </si>
  <si>
    <r>
      <t>D</t>
    </r>
    <r>
      <rPr>
        <vertAlign val="subscript"/>
        <sz val="11"/>
        <color theme="1"/>
        <rFont val="Calibri"/>
        <family val="2"/>
        <scheme val="minor"/>
      </rPr>
      <t>pP</t>
    </r>
  </si>
  <si>
    <r>
      <t>D</t>
    </r>
    <r>
      <rPr>
        <vertAlign val="subscript"/>
        <sz val="11"/>
        <color theme="1"/>
        <rFont val="Calibri"/>
        <family val="2"/>
        <scheme val="minor"/>
      </rPr>
      <t>pG</t>
    </r>
  </si>
  <si>
    <r>
      <t>T</t>
    </r>
    <r>
      <rPr>
        <vertAlign val="subscript"/>
        <sz val="11"/>
        <color theme="1"/>
        <rFont val="Calibri"/>
        <family val="2"/>
        <scheme val="minor"/>
      </rPr>
      <t>G</t>
    </r>
  </si>
  <si>
    <t>Intervalo recomendado:</t>
  </si>
  <si>
    <t>Equipamento: Bomba centrifuga de baixa rotação e motor elétrico</t>
  </si>
  <si>
    <t>Valor</t>
  </si>
  <si>
    <t>Und.</t>
  </si>
  <si>
    <t>Magnitude</t>
  </si>
  <si>
    <t>Simb.</t>
  </si>
  <si>
    <t>Ângulo de pressão</t>
  </si>
  <si>
    <t>ϴ</t>
  </si>
  <si>
    <t>°</t>
  </si>
  <si>
    <r>
      <rPr>
        <sz val="11"/>
        <color theme="1"/>
        <rFont val="Arial"/>
        <family val="2"/>
      </rPr>
      <t>ω</t>
    </r>
    <r>
      <rPr>
        <vertAlign val="subscript"/>
        <sz val="11"/>
        <color theme="1"/>
        <rFont val="Calibri"/>
        <family val="2"/>
        <scheme val="minor"/>
      </rPr>
      <t>P</t>
    </r>
  </si>
  <si>
    <t>Diâmetro do furo do cubo</t>
  </si>
  <si>
    <t>Ф</t>
  </si>
  <si>
    <t>Nom.</t>
  </si>
  <si>
    <t>Mín.</t>
  </si>
  <si>
    <t>Máx.</t>
  </si>
  <si>
    <t>Tensão ao contato AGMA</t>
  </si>
  <si>
    <t>Insira Fator de sobrecarga</t>
  </si>
  <si>
    <t>Constantes para calcular Fator dinâmico</t>
  </si>
  <si>
    <t>Insira formato da face do dente</t>
  </si>
  <si>
    <t>Insira ajustes de montagem</t>
  </si>
  <si>
    <t>Insira carga de flexão</t>
  </si>
  <si>
    <t>Inserir Fator de condição de superficial</t>
  </si>
  <si>
    <t>Cosseno de ângulo de pressão 20</t>
  </si>
  <si>
    <t>Constantes para fator de alinhamento.
Mancais montados na máquina</t>
  </si>
  <si>
    <t>Número ao contato permitido Preliminar</t>
  </si>
  <si>
    <t>Dureza Brinell grau 1 para Aço Preliminar</t>
  </si>
  <si>
    <t>Inserir HB escolhido ver Figura 29</t>
  </si>
  <si>
    <t>Número ao contato permitido Final</t>
  </si>
  <si>
    <t>Tensão à flexão AGMA</t>
  </si>
  <si>
    <r>
      <t>Se m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&lt; 1,2 então o fator de espessura de borda</t>
    </r>
  </si>
  <si>
    <t>Fator de segurança AGMA</t>
  </si>
  <si>
    <r>
      <t>W</t>
    </r>
    <r>
      <rPr>
        <vertAlign val="superscript"/>
        <sz val="11"/>
        <color theme="1"/>
        <rFont val="Arial"/>
        <family val="2"/>
      </rPr>
      <t>r</t>
    </r>
  </si>
  <si>
    <t>Relação de largura da face</t>
  </si>
  <si>
    <t>Diâmetro base</t>
  </si>
  <si>
    <t>Diâmetro externo</t>
  </si>
  <si>
    <t>Diâmetro primitivo</t>
  </si>
  <si>
    <t>Diâmetro raiz</t>
  </si>
  <si>
    <t>Diâmetro base - Pinhão</t>
  </si>
  <si>
    <r>
      <t>D</t>
    </r>
    <r>
      <rPr>
        <vertAlign val="subscript"/>
        <sz val="11"/>
        <color theme="1"/>
        <rFont val="Calibri"/>
        <family val="2"/>
        <scheme val="minor"/>
      </rPr>
      <t>bP</t>
    </r>
  </si>
  <si>
    <t>Tensão à flexão</t>
  </si>
  <si>
    <t>Tensão ao contato</t>
  </si>
  <si>
    <t>Velocidade linear</t>
  </si>
  <si>
    <t>Carga tangencial</t>
  </si>
  <si>
    <t>Carga resultante</t>
  </si>
  <si>
    <t>Carga radial</t>
  </si>
  <si>
    <t>Carga tangencial transmitida</t>
  </si>
  <si>
    <t>Carga resultante transmitida</t>
  </si>
  <si>
    <t>Carga radial transmitida</t>
  </si>
  <si>
    <t>Fator de segurança à flexão</t>
  </si>
  <si>
    <t>Fator de segurança ao contato</t>
  </si>
  <si>
    <t>Número de flexão permitido</t>
  </si>
  <si>
    <t>Número de contato permitido</t>
  </si>
  <si>
    <t>Involuta</t>
  </si>
  <si>
    <t>ISO</t>
  </si>
  <si>
    <t>Fator de sobrecarga</t>
  </si>
  <si>
    <t>Fator de elasticidade</t>
  </si>
  <si>
    <t>Lewis</t>
  </si>
  <si>
    <t>Estudo 1</t>
  </si>
  <si>
    <t>Estudo 2</t>
  </si>
  <si>
    <t>84 mm</t>
  </si>
  <si>
    <t>54 mm</t>
  </si>
  <si>
    <t>48 mm</t>
  </si>
  <si>
    <t>45,1 mm</t>
  </si>
  <si>
    <t>40,5 mm</t>
  </si>
  <si>
    <t>3,016 m/s</t>
  </si>
  <si>
    <t>2495,7 N</t>
  </si>
  <si>
    <t>908,4 N</t>
  </si>
  <si>
    <t>2655,9 N</t>
  </si>
  <si>
    <t>59,897 N-m</t>
  </si>
  <si>
    <t>58,898 N-m</t>
  </si>
  <si>
    <t>-</t>
  </si>
  <si>
    <t>Fator de aspereza</t>
  </si>
  <si>
    <t>342,541 MPa</t>
  </si>
  <si>
    <t>1258,94 MPa</t>
  </si>
  <si>
    <t>227,7 MPa</t>
  </si>
  <si>
    <t>170,65 MPA</t>
  </si>
  <si>
    <t>1106,36 MPa</t>
  </si>
  <si>
    <t>1329,26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</si>
</sst>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Bradley Hand ITC"/>
      <family val="4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2" fontId="0" fillId="0" borderId="2" xfId="0" applyNumberFormat="1" applyFont="1" applyBorder="1" applyAlignment="1">
      <alignment horizontal="left"/>
    </xf>
    <xf numFmtId="164" fontId="0" fillId="0" borderId="2" xfId="0" applyNumberFormat="1" applyFont="1" applyBorder="1" applyAlignment="1">
      <alignment horizontal="left"/>
    </xf>
    <xf numFmtId="165" fontId="0" fillId="0" borderId="2" xfId="0" applyNumberFormat="1" applyFont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21</xdr:col>
      <xdr:colOff>586034</xdr:colOff>
      <xdr:row>35</xdr:row>
      <xdr:rowOff>91329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3709147"/>
          <a:ext cx="8923210" cy="4002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6"/>
  <sheetViews>
    <sheetView showGridLines="0" zoomScale="85" zoomScaleNormal="85" workbookViewId="0">
      <selection activeCell="C39" sqref="C39"/>
    </sheetView>
  </sheetViews>
  <sheetFormatPr defaultRowHeight="15" x14ac:dyDescent="0.25"/>
  <cols>
    <col min="2" max="2" width="40" bestFit="1" customWidth="1"/>
    <col min="3" max="3" width="6.85546875" customWidth="1"/>
    <col min="4" max="4" width="8.85546875" style="1" customWidth="1"/>
    <col min="5" max="5" width="7.140625" style="1" customWidth="1"/>
    <col min="6" max="6" width="4.28515625" customWidth="1"/>
    <col min="7" max="7" width="42.5703125" bestFit="1" customWidth="1"/>
    <col min="8" max="8" width="5.5703125" bestFit="1" customWidth="1"/>
    <col min="9" max="9" width="10.42578125" customWidth="1"/>
    <col min="10" max="10" width="5" bestFit="1" customWidth="1"/>
    <col min="11" max="11" width="5.7109375" customWidth="1"/>
    <col min="12" max="12" width="46.140625" bestFit="1" customWidth="1"/>
    <col min="13" max="13" width="7.7109375" customWidth="1"/>
    <col min="14" max="14" width="7.5703125" customWidth="1"/>
  </cols>
  <sheetData>
    <row r="2" spans="2:15" x14ac:dyDescent="0.25">
      <c r="B2" s="31" t="s">
        <v>131</v>
      </c>
      <c r="C2" s="31"/>
      <c r="D2" s="31"/>
      <c r="E2" s="31"/>
      <c r="G2" s="31" t="s">
        <v>145</v>
      </c>
      <c r="H2" s="31"/>
      <c r="I2" s="31"/>
      <c r="J2" s="31"/>
      <c r="L2" s="31" t="s">
        <v>158</v>
      </c>
      <c r="M2" s="31"/>
      <c r="N2" s="31"/>
      <c r="O2" s="31"/>
    </row>
    <row r="3" spans="2:15" x14ac:dyDescent="0.25">
      <c r="B3" s="10" t="s">
        <v>134</v>
      </c>
      <c r="C3" s="10" t="s">
        <v>135</v>
      </c>
      <c r="D3" s="10" t="s">
        <v>132</v>
      </c>
      <c r="E3" s="9" t="s">
        <v>133</v>
      </c>
      <c r="G3" s="9" t="s">
        <v>134</v>
      </c>
      <c r="H3" s="9" t="s">
        <v>135</v>
      </c>
      <c r="I3" s="9" t="s">
        <v>132</v>
      </c>
      <c r="J3" s="9" t="s">
        <v>133</v>
      </c>
      <c r="L3" s="9" t="s">
        <v>134</v>
      </c>
      <c r="M3" s="9" t="s">
        <v>135</v>
      </c>
      <c r="N3" s="9" t="s">
        <v>132</v>
      </c>
      <c r="O3" s="9" t="s">
        <v>133</v>
      </c>
    </row>
    <row r="4" spans="2:15" ht="18" x14ac:dyDescent="0.35">
      <c r="B4" s="11" t="s">
        <v>140</v>
      </c>
      <c r="C4" s="12" t="s">
        <v>141</v>
      </c>
      <c r="D4" s="11">
        <v>20</v>
      </c>
      <c r="E4" s="13" t="s">
        <v>13</v>
      </c>
      <c r="G4" s="2" t="s">
        <v>51</v>
      </c>
      <c r="H4" s="6" t="s">
        <v>52</v>
      </c>
      <c r="I4" s="3">
        <v>206000</v>
      </c>
      <c r="J4" s="2" t="s">
        <v>44</v>
      </c>
      <c r="L4" s="6" t="s">
        <v>76</v>
      </c>
      <c r="M4" s="6" t="s">
        <v>77</v>
      </c>
      <c r="N4" s="7">
        <f>(D15-D16)/2</f>
        <v>6.75</v>
      </c>
      <c r="O4" s="3" t="s">
        <v>13</v>
      </c>
    </row>
    <row r="5" spans="2:15" ht="18" x14ac:dyDescent="0.35">
      <c r="B5" s="14" t="s">
        <v>0</v>
      </c>
      <c r="C5" s="14" t="s">
        <v>1</v>
      </c>
      <c r="D5" s="15">
        <v>7527</v>
      </c>
      <c r="E5" s="5" t="s">
        <v>2</v>
      </c>
      <c r="G5" s="4" t="s">
        <v>54</v>
      </c>
      <c r="H5" s="4" t="s">
        <v>55</v>
      </c>
      <c r="I5" s="5">
        <v>0.28999999999999998</v>
      </c>
      <c r="J5" s="4"/>
      <c r="L5" s="4" t="s">
        <v>80</v>
      </c>
      <c r="M5" s="4" t="s">
        <v>81</v>
      </c>
      <c r="N5" s="5">
        <v>7.1</v>
      </c>
      <c r="O5" s="5" t="s">
        <v>13</v>
      </c>
    </row>
    <row r="6" spans="2:15" ht="18" x14ac:dyDescent="0.35">
      <c r="B6" s="11" t="s">
        <v>3</v>
      </c>
      <c r="C6" s="12" t="s">
        <v>4</v>
      </c>
      <c r="D6" s="11">
        <v>3</v>
      </c>
      <c r="E6" s="13"/>
      <c r="G6" s="2" t="s">
        <v>51</v>
      </c>
      <c r="H6" s="6" t="s">
        <v>57</v>
      </c>
      <c r="I6" s="3">
        <v>206000</v>
      </c>
      <c r="J6" s="2" t="s">
        <v>44</v>
      </c>
      <c r="L6" s="6" t="s">
        <v>84</v>
      </c>
      <c r="M6" s="6" t="s">
        <v>85</v>
      </c>
      <c r="N6" s="7">
        <f>N5/N4</f>
        <v>1.0518518518518518</v>
      </c>
      <c r="O6" s="3"/>
    </row>
    <row r="7" spans="2:15" ht="18" x14ac:dyDescent="0.35">
      <c r="B7" s="14" t="s">
        <v>5</v>
      </c>
      <c r="C7" s="14" t="s">
        <v>139</v>
      </c>
      <c r="D7" s="15">
        <v>1200</v>
      </c>
      <c r="E7" s="5" t="s">
        <v>6</v>
      </c>
      <c r="G7" s="4" t="s">
        <v>54</v>
      </c>
      <c r="H7" s="4" t="s">
        <v>59</v>
      </c>
      <c r="I7" s="5">
        <v>0.28999999999999998</v>
      </c>
      <c r="J7" s="4"/>
      <c r="L7" s="4" t="s">
        <v>159</v>
      </c>
      <c r="M7" s="4" t="s">
        <v>88</v>
      </c>
      <c r="N7" s="5">
        <f>1.6*LN(2.242/N6)</f>
        <v>1.2109056727794192</v>
      </c>
      <c r="O7" s="5"/>
    </row>
    <row r="8" spans="2:15" ht="18" x14ac:dyDescent="0.35">
      <c r="B8" s="11" t="s">
        <v>7</v>
      </c>
      <c r="C8" s="12" t="s">
        <v>8</v>
      </c>
      <c r="D8" s="11">
        <v>16</v>
      </c>
      <c r="E8" s="13"/>
      <c r="G8" s="2" t="s">
        <v>62</v>
      </c>
      <c r="H8" s="6" t="s">
        <v>43</v>
      </c>
      <c r="I8" s="24">
        <f>SQRT((1)/(PI()*(((1-POWER(I7,2))/I6)+((1-POWER(I5,2))/I4))))</f>
        <v>189.19935281412805</v>
      </c>
      <c r="J8" s="2"/>
      <c r="L8" s="6" t="s">
        <v>91</v>
      </c>
      <c r="M8" s="6" t="s">
        <v>92</v>
      </c>
      <c r="N8" s="7">
        <v>0.27</v>
      </c>
      <c r="O8" s="3"/>
    </row>
    <row r="9" spans="2:15" ht="18" x14ac:dyDescent="0.35">
      <c r="B9" s="14" t="s">
        <v>136</v>
      </c>
      <c r="C9" s="14" t="s">
        <v>137</v>
      </c>
      <c r="D9" s="15">
        <v>20</v>
      </c>
      <c r="E9" s="5" t="s">
        <v>138</v>
      </c>
      <c r="G9" s="4" t="s">
        <v>146</v>
      </c>
      <c r="H9" s="4" t="s">
        <v>39</v>
      </c>
      <c r="I9" s="5">
        <v>1.25</v>
      </c>
      <c r="J9" s="4"/>
      <c r="L9" s="4" t="s">
        <v>95</v>
      </c>
      <c r="M9" s="4" t="s">
        <v>96</v>
      </c>
      <c r="N9" s="5">
        <f>(D23*I9*I13*I15*I24*N7)/(D28*D6*N8)</f>
        <v>227.71016588902717</v>
      </c>
      <c r="O9" s="5" t="s">
        <v>44</v>
      </c>
    </row>
    <row r="10" spans="2:15" ht="18" x14ac:dyDescent="0.35">
      <c r="B10" s="11" t="s">
        <v>9</v>
      </c>
      <c r="C10" s="12" t="s">
        <v>10</v>
      </c>
      <c r="D10" s="11">
        <v>2.5</v>
      </c>
      <c r="E10" s="13"/>
      <c r="G10" s="2" t="s">
        <v>40</v>
      </c>
      <c r="H10" s="6" t="s">
        <v>41</v>
      </c>
      <c r="I10" s="3">
        <v>10</v>
      </c>
      <c r="J10" s="2"/>
    </row>
    <row r="11" spans="2:15" x14ac:dyDescent="0.25">
      <c r="B11" s="14" t="s">
        <v>11</v>
      </c>
      <c r="C11" s="14" t="s">
        <v>12</v>
      </c>
      <c r="D11" s="15">
        <f>D6*0.35</f>
        <v>1.0499999999999998</v>
      </c>
      <c r="E11" s="5" t="s">
        <v>13</v>
      </c>
      <c r="G11" s="4" t="s">
        <v>147</v>
      </c>
      <c r="H11" s="4" t="s">
        <v>42</v>
      </c>
      <c r="I11" s="5">
        <f>0.25*(POWER((I10-5),2/3))</f>
        <v>0.7310044345532164</v>
      </c>
      <c r="J11" s="4"/>
      <c r="L11" s="31" t="s">
        <v>160</v>
      </c>
      <c r="M11" s="31"/>
      <c r="N11" s="31"/>
      <c r="O11" s="31"/>
    </row>
    <row r="12" spans="2:15" ht="18" x14ac:dyDescent="0.35">
      <c r="B12" s="11" t="s">
        <v>14</v>
      </c>
      <c r="C12" s="12" t="s">
        <v>126</v>
      </c>
      <c r="D12" s="11">
        <f>D7/D10</f>
        <v>480</v>
      </c>
      <c r="E12" s="13" t="s">
        <v>6</v>
      </c>
      <c r="G12" s="2" t="s">
        <v>147</v>
      </c>
      <c r="H12" s="6" t="s">
        <v>28</v>
      </c>
      <c r="I12" s="3">
        <f>3.5637+3.9914*(1-I11)</f>
        <v>4.6373688999242919</v>
      </c>
      <c r="J12" s="2"/>
      <c r="L12" s="9" t="s">
        <v>134</v>
      </c>
      <c r="M12" s="9" t="s">
        <v>135</v>
      </c>
      <c r="N12" s="9" t="s">
        <v>132</v>
      </c>
      <c r="O12" s="9" t="s">
        <v>133</v>
      </c>
    </row>
    <row r="13" spans="2:15" ht="18" x14ac:dyDescent="0.35">
      <c r="B13" s="14" t="s">
        <v>15</v>
      </c>
      <c r="C13" s="14" t="s">
        <v>16</v>
      </c>
      <c r="D13" s="15">
        <f>D8*D10</f>
        <v>40</v>
      </c>
      <c r="E13" s="5"/>
      <c r="G13" s="4" t="s">
        <v>45</v>
      </c>
      <c r="H13" s="4" t="s">
        <v>46</v>
      </c>
      <c r="I13" s="22">
        <f>POWER(((I12)/(I12+SQRT(D22))),-I11)</f>
        <v>1.2617773239421446</v>
      </c>
      <c r="J13" s="4"/>
      <c r="L13" s="6" t="s">
        <v>108</v>
      </c>
      <c r="M13" s="6" t="s">
        <v>122</v>
      </c>
      <c r="N13" s="7">
        <f>1.35588*(POWER(I42,-0.0178))</f>
        <v>0.92484292359719145</v>
      </c>
      <c r="O13" s="3"/>
    </row>
    <row r="14" spans="2:15" ht="18" x14ac:dyDescent="0.35">
      <c r="B14" s="11" t="s">
        <v>17</v>
      </c>
      <c r="C14" s="12" t="s">
        <v>127</v>
      </c>
      <c r="D14" s="11">
        <f>D6*D8</f>
        <v>48</v>
      </c>
      <c r="E14" s="13" t="s">
        <v>13</v>
      </c>
      <c r="G14" s="2" t="s">
        <v>47</v>
      </c>
      <c r="H14" s="6" t="s">
        <v>48</v>
      </c>
      <c r="I14" s="3">
        <v>0.29599999999999999</v>
      </c>
      <c r="J14" s="2"/>
      <c r="L14" s="4" t="s">
        <v>120</v>
      </c>
      <c r="M14" s="4" t="s">
        <v>119</v>
      </c>
      <c r="N14" s="5">
        <f>I50</f>
        <v>477</v>
      </c>
      <c r="O14" s="5"/>
    </row>
    <row r="15" spans="2:15" ht="18" x14ac:dyDescent="0.35">
      <c r="B15" s="14" t="s">
        <v>18</v>
      </c>
      <c r="C15" s="14" t="s">
        <v>19</v>
      </c>
      <c r="D15" s="15">
        <f>D6*(D8+2)</f>
        <v>54</v>
      </c>
      <c r="E15" s="5" t="s">
        <v>13</v>
      </c>
      <c r="G15" s="4" t="s">
        <v>49</v>
      </c>
      <c r="H15" s="4" t="s">
        <v>50</v>
      </c>
      <c r="I15" s="22">
        <f>0.845047195706*(POWER((D28*D6*(SQRT(I14))),0.0535))</f>
        <v>1.0508148197829215</v>
      </c>
      <c r="J15" s="4"/>
      <c r="L15" s="6" t="s">
        <v>123</v>
      </c>
      <c r="M15" s="6" t="s">
        <v>124</v>
      </c>
      <c r="N15" s="7">
        <f>(0.533*N14)+88.3</f>
        <v>342.541</v>
      </c>
      <c r="O15" s="3" t="s">
        <v>44</v>
      </c>
    </row>
    <row r="16" spans="2:15" ht="18" x14ac:dyDescent="0.35">
      <c r="B16" s="11" t="s">
        <v>20</v>
      </c>
      <c r="C16" s="12" t="s">
        <v>21</v>
      </c>
      <c r="D16" s="11">
        <f>D6*(D8-2.5)</f>
        <v>40.5</v>
      </c>
      <c r="E16" s="13" t="s">
        <v>13</v>
      </c>
      <c r="G16" s="2" t="s">
        <v>148</v>
      </c>
      <c r="H16" s="6" t="s">
        <v>53</v>
      </c>
      <c r="I16" s="3">
        <v>1</v>
      </c>
      <c r="J16" s="2"/>
      <c r="L16" s="4" t="s">
        <v>121</v>
      </c>
      <c r="M16" s="4" t="s">
        <v>125</v>
      </c>
      <c r="N16" s="17">
        <f>(N15/N9)*(N13/(I45*I46))</f>
        <v>1.3912273905517858</v>
      </c>
      <c r="O16" s="5"/>
    </row>
    <row r="17" spans="2:10" ht="18" x14ac:dyDescent="0.35">
      <c r="B17" s="14" t="s">
        <v>167</v>
      </c>
      <c r="C17" s="14" t="s">
        <v>168</v>
      </c>
      <c r="D17" s="21">
        <f>COS(RADIANS(20))*D14</f>
        <v>45.105245797723605</v>
      </c>
      <c r="E17" s="5" t="s">
        <v>13</v>
      </c>
      <c r="G17" s="4" t="s">
        <v>149</v>
      </c>
      <c r="H17" s="4" t="s">
        <v>56</v>
      </c>
      <c r="I17" s="5">
        <v>1</v>
      </c>
      <c r="J17" s="4"/>
    </row>
    <row r="18" spans="2:10" ht="18" x14ac:dyDescent="0.35">
      <c r="B18" s="11" t="s">
        <v>22</v>
      </c>
      <c r="C18" s="12" t="s">
        <v>23</v>
      </c>
      <c r="D18" s="19">
        <f>D23*((D14*0.001)/2)</f>
        <v>59.896758292773285</v>
      </c>
      <c r="E18" s="13" t="s">
        <v>24</v>
      </c>
      <c r="G18" s="2" t="s">
        <v>150</v>
      </c>
      <c r="H18" s="6" t="s">
        <v>58</v>
      </c>
      <c r="I18" s="3">
        <v>1</v>
      </c>
      <c r="J18" s="2"/>
    </row>
    <row r="19" spans="2:10" ht="18" x14ac:dyDescent="0.35">
      <c r="B19" s="14" t="s">
        <v>25</v>
      </c>
      <c r="C19" s="14" t="s">
        <v>128</v>
      </c>
      <c r="D19" s="15">
        <f>D6*D13</f>
        <v>120</v>
      </c>
      <c r="E19" s="5" t="s">
        <v>13</v>
      </c>
      <c r="G19" s="4" t="s">
        <v>60</v>
      </c>
      <c r="H19" s="4" t="s">
        <v>61</v>
      </c>
      <c r="I19" s="5">
        <f>(D28/(10*D14))-0.0375+(0.000492*D28)</f>
        <v>5.5211999999999997E-2</v>
      </c>
      <c r="J19" s="4"/>
    </row>
    <row r="20" spans="2:10" ht="15" customHeight="1" x14ac:dyDescent="0.35">
      <c r="B20" s="11" t="s">
        <v>26</v>
      </c>
      <c r="C20" s="12" t="s">
        <v>129</v>
      </c>
      <c r="D20" s="18">
        <f>D10*D18</f>
        <v>149.7418957319332</v>
      </c>
      <c r="E20" s="13" t="s">
        <v>24</v>
      </c>
      <c r="G20" s="32" t="s">
        <v>153</v>
      </c>
      <c r="H20" s="6" t="s">
        <v>63</v>
      </c>
      <c r="I20" s="3">
        <v>0.247</v>
      </c>
      <c r="J20" s="2"/>
    </row>
    <row r="21" spans="2:10" x14ac:dyDescent="0.25">
      <c r="B21" s="14" t="s">
        <v>27</v>
      </c>
      <c r="C21" s="14" t="s">
        <v>28</v>
      </c>
      <c r="D21" s="15">
        <f>(D14/2)+(D19/2)</f>
        <v>84</v>
      </c>
      <c r="E21" s="5" t="s">
        <v>13</v>
      </c>
      <c r="G21" s="33"/>
      <c r="H21" s="4" t="s">
        <v>42</v>
      </c>
      <c r="I21" s="5">
        <v>6.5700000000000003E-4</v>
      </c>
      <c r="J21" s="4"/>
    </row>
    <row r="22" spans="2:10" x14ac:dyDescent="0.25">
      <c r="B22" s="11" t="s">
        <v>29</v>
      </c>
      <c r="C22" s="12" t="s">
        <v>30</v>
      </c>
      <c r="D22" s="20">
        <f>3.141593*(D14*0.001)*(D7*0.016667)</f>
        <v>3.0159895985856</v>
      </c>
      <c r="E22" s="13" t="s">
        <v>31</v>
      </c>
      <c r="G22" s="34"/>
      <c r="H22" s="6" t="s">
        <v>28</v>
      </c>
      <c r="I22" s="3">
        <v>-1.186E-7</v>
      </c>
      <c r="J22" s="2"/>
    </row>
    <row r="23" spans="2:10" ht="18.75" x14ac:dyDescent="0.35">
      <c r="B23" s="14" t="s">
        <v>175</v>
      </c>
      <c r="C23" s="14" t="s">
        <v>32</v>
      </c>
      <c r="D23" s="21">
        <f>D5/D22</f>
        <v>2495.6982621988868</v>
      </c>
      <c r="E23" s="5" t="s">
        <v>33</v>
      </c>
      <c r="G23" s="4" t="s">
        <v>68</v>
      </c>
      <c r="H23" s="4" t="s">
        <v>69</v>
      </c>
      <c r="I23" s="22">
        <f>I20+(I21*D28)+I22*(POWER(D28,2))</f>
        <v>0.27049829440000001</v>
      </c>
      <c r="J23" s="4"/>
    </row>
    <row r="24" spans="2:10" ht="18" x14ac:dyDescent="0.35">
      <c r="B24" s="11" t="s">
        <v>176</v>
      </c>
      <c r="C24" s="12" t="s">
        <v>2</v>
      </c>
      <c r="D24" s="19">
        <f>D23/COS(RADIANS(20))</f>
        <v>2655.8666174388163</v>
      </c>
      <c r="E24" s="13" t="s">
        <v>33</v>
      </c>
      <c r="G24" s="2" t="s">
        <v>72</v>
      </c>
      <c r="H24" s="6" t="s">
        <v>73</v>
      </c>
      <c r="I24" s="23">
        <f>1+I16*(I19*I18+I23*I17)</f>
        <v>1.3257102943999999</v>
      </c>
      <c r="J24" s="2"/>
    </row>
    <row r="25" spans="2:10" ht="18.75" x14ac:dyDescent="0.35">
      <c r="B25" s="14" t="s">
        <v>177</v>
      </c>
      <c r="C25" s="14" t="s">
        <v>161</v>
      </c>
      <c r="D25" s="21">
        <f>D24*SIN(RADIANS(20))</f>
        <v>908.35988115028294</v>
      </c>
      <c r="E25" s="5" t="s">
        <v>33</v>
      </c>
      <c r="G25" s="4" t="s">
        <v>151</v>
      </c>
      <c r="H25" s="4" t="s">
        <v>64</v>
      </c>
      <c r="I25" s="5">
        <v>1</v>
      </c>
      <c r="J25" s="4"/>
    </row>
    <row r="26" spans="2:10" x14ac:dyDescent="0.25">
      <c r="C26" s="16" t="s">
        <v>143</v>
      </c>
      <c r="D26" s="16" t="s">
        <v>142</v>
      </c>
      <c r="E26" s="16" t="s">
        <v>144</v>
      </c>
      <c r="G26" s="2" t="s">
        <v>65</v>
      </c>
      <c r="H26" s="6" t="s">
        <v>66</v>
      </c>
      <c r="I26" s="3">
        <f>SIN(RADIANS(20))</f>
        <v>0.34202014332566871</v>
      </c>
      <c r="J26" s="2"/>
    </row>
    <row r="27" spans="2:10" x14ac:dyDescent="0.25">
      <c r="B27" s="4" t="s">
        <v>34</v>
      </c>
      <c r="C27" s="8">
        <f>6*D6</f>
        <v>18</v>
      </c>
      <c r="D27" s="8">
        <f>D6*12</f>
        <v>36</v>
      </c>
      <c r="E27" s="8">
        <f>16*D6</f>
        <v>48</v>
      </c>
      <c r="G27" s="4" t="s">
        <v>152</v>
      </c>
      <c r="H27" s="4" t="s">
        <v>67</v>
      </c>
      <c r="I27" s="5">
        <f>COS(RADIANS(20))</f>
        <v>0.93969262078590843</v>
      </c>
      <c r="J27" s="4"/>
    </row>
    <row r="28" spans="2:10" ht="18" x14ac:dyDescent="0.35">
      <c r="B28" s="2" t="s">
        <v>35</v>
      </c>
      <c r="C28" s="2" t="s">
        <v>36</v>
      </c>
      <c r="D28" s="3">
        <v>36</v>
      </c>
      <c r="E28" s="3" t="s">
        <v>13</v>
      </c>
      <c r="G28" s="2" t="s">
        <v>70</v>
      </c>
      <c r="H28" s="6" t="s">
        <v>71</v>
      </c>
      <c r="I28" s="3">
        <f>(((I27)*(I26))/2)*(D10/(D10+1))</f>
        <v>0.11478350172973917</v>
      </c>
      <c r="J28" s="2"/>
    </row>
    <row r="29" spans="2:10" ht="19.5" x14ac:dyDescent="0.35">
      <c r="B29" s="4" t="s">
        <v>130</v>
      </c>
      <c r="C29" s="8">
        <v>0.5</v>
      </c>
      <c r="D29" s="8" t="s">
        <v>38</v>
      </c>
      <c r="E29" s="8">
        <v>2</v>
      </c>
      <c r="G29" s="4" t="s">
        <v>74</v>
      </c>
      <c r="H29" s="4" t="s">
        <v>75</v>
      </c>
      <c r="I29" s="5">
        <f>((D8*I26)/2)</f>
        <v>2.7361611466053497</v>
      </c>
      <c r="J29" s="4"/>
    </row>
    <row r="30" spans="2:10" ht="18" x14ac:dyDescent="0.35">
      <c r="B30" s="2" t="s">
        <v>162</v>
      </c>
      <c r="C30" s="2" t="s">
        <v>37</v>
      </c>
      <c r="D30" s="3">
        <f>D28/D14</f>
        <v>0.75</v>
      </c>
      <c r="E30" s="3"/>
      <c r="G30" s="2" t="s">
        <v>78</v>
      </c>
      <c r="H30" s="6" t="s">
        <v>79</v>
      </c>
      <c r="I30" s="3">
        <f>I29*D10</f>
        <v>6.840402866513374</v>
      </c>
      <c r="J30" s="2"/>
    </row>
    <row r="31" spans="2:10" ht="18" x14ac:dyDescent="0.35">
      <c r="G31" s="4" t="s">
        <v>82</v>
      </c>
      <c r="H31" s="4" t="s">
        <v>83</v>
      </c>
      <c r="I31" s="5">
        <f>PI()*I27</f>
        <v>2.9521314340935492</v>
      </c>
      <c r="J31" s="4"/>
    </row>
    <row r="32" spans="2:10" ht="18" x14ac:dyDescent="0.35">
      <c r="G32" s="2" t="s">
        <v>86</v>
      </c>
      <c r="H32" s="6" t="s">
        <v>87</v>
      </c>
      <c r="I32" s="3">
        <f>0.5*(((SQRT((POWER(D8+2,2))-(POWER(D8*I27,2)))))-(SQRT((POWER(D8,2))-(POWER(D8*I27,2)))))</f>
        <v>2.212230291043122</v>
      </c>
      <c r="J32" s="2"/>
    </row>
    <row r="33" spans="7:10" ht="18" x14ac:dyDescent="0.35">
      <c r="G33" s="4" t="s">
        <v>89</v>
      </c>
      <c r="H33" s="4" t="s">
        <v>90</v>
      </c>
      <c r="I33" s="5">
        <f>((I29-I31+I32)*(I30+I31-I32))/(I29*I30)</f>
        <v>0.80850065664259563</v>
      </c>
      <c r="J33" s="4"/>
    </row>
    <row r="34" spans="7:10" ht="18" x14ac:dyDescent="0.35">
      <c r="G34" s="2" t="s">
        <v>93</v>
      </c>
      <c r="H34" s="6" t="s">
        <v>94</v>
      </c>
      <c r="I34" s="3">
        <f>I28*I33</f>
        <v>9.2802536520230627E-2</v>
      </c>
      <c r="J34" s="2"/>
    </row>
    <row r="35" spans="7:10" ht="18" x14ac:dyDescent="0.35">
      <c r="G35" s="4" t="s">
        <v>97</v>
      </c>
      <c r="H35" s="4" t="s">
        <v>98</v>
      </c>
      <c r="I35" s="22">
        <f>I8*(SQRT((D23*I9*I13*I15*I24*I25)/(D14*D28*I34)))</f>
        <v>1106.363060079575</v>
      </c>
      <c r="J35" s="4" t="s">
        <v>44</v>
      </c>
    </row>
    <row r="37" spans="7:10" ht="18" x14ac:dyDescent="0.35">
      <c r="G37" s="31" t="s">
        <v>99</v>
      </c>
      <c r="H37" s="31"/>
      <c r="I37" s="31"/>
      <c r="J37" s="31"/>
    </row>
    <row r="38" spans="7:10" x14ac:dyDescent="0.25">
      <c r="G38" s="9" t="s">
        <v>134</v>
      </c>
      <c r="H38" s="9" t="s">
        <v>135</v>
      </c>
      <c r="I38" s="9" t="s">
        <v>132</v>
      </c>
      <c r="J38" s="9" t="s">
        <v>133</v>
      </c>
    </row>
    <row r="39" spans="7:10" x14ac:dyDescent="0.25">
      <c r="G39" s="2" t="s">
        <v>100</v>
      </c>
      <c r="H39" s="2" t="s">
        <v>101</v>
      </c>
      <c r="I39" s="7">
        <v>30000</v>
      </c>
      <c r="J39" s="3" t="s">
        <v>102</v>
      </c>
    </row>
    <row r="40" spans="7:10" ht="18" x14ac:dyDescent="0.35">
      <c r="G40" s="4" t="s">
        <v>103</v>
      </c>
      <c r="H40" s="14" t="s">
        <v>139</v>
      </c>
      <c r="I40" s="5">
        <f>D7</f>
        <v>1200</v>
      </c>
      <c r="J40" s="5" t="s">
        <v>6</v>
      </c>
    </row>
    <row r="41" spans="7:10" x14ac:dyDescent="0.25">
      <c r="G41" s="2" t="s">
        <v>104</v>
      </c>
      <c r="H41" s="2" t="s">
        <v>105</v>
      </c>
      <c r="I41" s="7">
        <v>1</v>
      </c>
      <c r="J41" s="3"/>
    </row>
    <row r="42" spans="7:10" ht="18" x14ac:dyDescent="0.35">
      <c r="G42" s="4" t="s">
        <v>106</v>
      </c>
      <c r="H42" s="4" t="s">
        <v>107</v>
      </c>
      <c r="I42" s="5">
        <f>60*I39*I40*I41</f>
        <v>2160000000</v>
      </c>
      <c r="J42" s="5"/>
    </row>
    <row r="43" spans="7:10" ht="18" x14ac:dyDescent="0.35">
      <c r="G43" s="2" t="s">
        <v>108</v>
      </c>
      <c r="H43" s="2" t="s">
        <v>109</v>
      </c>
      <c r="I43" s="7">
        <f>1.4488*(POWER(I42,-0.023))</f>
        <v>0.88372268018330746</v>
      </c>
      <c r="J43" s="3"/>
    </row>
    <row r="44" spans="7:10" ht="18" x14ac:dyDescent="0.35">
      <c r="G44" s="4" t="s">
        <v>110</v>
      </c>
      <c r="H44" s="4" t="s">
        <v>111</v>
      </c>
      <c r="I44" s="5">
        <v>1</v>
      </c>
      <c r="J44" s="5"/>
    </row>
    <row r="45" spans="7:10" ht="18" x14ac:dyDescent="0.35">
      <c r="G45" s="2" t="s">
        <v>112</v>
      </c>
      <c r="H45" s="2" t="s">
        <v>113</v>
      </c>
      <c r="I45" s="7">
        <v>1</v>
      </c>
      <c r="J45" s="3"/>
    </row>
    <row r="46" spans="7:10" ht="18" x14ac:dyDescent="0.35">
      <c r="G46" s="4" t="s">
        <v>114</v>
      </c>
      <c r="H46" s="4" t="s">
        <v>115</v>
      </c>
      <c r="I46" s="5">
        <v>1</v>
      </c>
      <c r="J46" s="5"/>
    </row>
    <row r="47" spans="7:10" ht="18" x14ac:dyDescent="0.35">
      <c r="G47" s="2" t="s">
        <v>116</v>
      </c>
      <c r="H47" s="2" t="s">
        <v>117</v>
      </c>
      <c r="I47" s="7">
        <v>1</v>
      </c>
      <c r="J47" s="3"/>
    </row>
    <row r="48" spans="7:10" ht="18" x14ac:dyDescent="0.35">
      <c r="G48" s="4" t="s">
        <v>154</v>
      </c>
      <c r="H48" s="4" t="s">
        <v>118</v>
      </c>
      <c r="I48" s="5">
        <f>(I35*I47*I45*I46)/(I43*I44)</f>
        <v>1251.9346678418235</v>
      </c>
      <c r="J48" s="5"/>
    </row>
    <row r="49" spans="4:10" x14ac:dyDescent="0.25">
      <c r="G49" s="2" t="s">
        <v>155</v>
      </c>
      <c r="H49" s="2" t="s">
        <v>119</v>
      </c>
      <c r="I49" s="7">
        <f>(I48-200)/2.22</f>
        <v>473.84444497379434</v>
      </c>
      <c r="J49" s="3"/>
    </row>
    <row r="50" spans="4:10" x14ac:dyDescent="0.25">
      <c r="G50" s="4" t="s">
        <v>156</v>
      </c>
      <c r="H50" s="4" t="s">
        <v>119</v>
      </c>
      <c r="I50" s="5">
        <v>477</v>
      </c>
      <c r="J50" s="5"/>
    </row>
    <row r="51" spans="4:10" ht="18" x14ac:dyDescent="0.35">
      <c r="G51" s="6" t="s">
        <v>157</v>
      </c>
      <c r="H51" s="2" t="s">
        <v>118</v>
      </c>
      <c r="I51" s="7">
        <f>(2.22*I50)+200</f>
        <v>1258.94</v>
      </c>
      <c r="J51" s="3" t="s">
        <v>44</v>
      </c>
    </row>
    <row r="52" spans="4:10" ht="18" x14ac:dyDescent="0.35">
      <c r="F52" s="1"/>
      <c r="G52" s="4" t="s">
        <v>121</v>
      </c>
      <c r="H52" s="4" t="s">
        <v>117</v>
      </c>
      <c r="I52" s="17">
        <f>(I51*I43*I44)/(I35*I45*I46)</f>
        <v>1.0055956052165669</v>
      </c>
      <c r="J52" s="5"/>
    </row>
    <row r="63" spans="4:10" x14ac:dyDescent="0.25">
      <c r="D63"/>
    </row>
    <row r="70" spans="4:10" x14ac:dyDescent="0.25">
      <c r="J70" s="1"/>
    </row>
    <row r="71" spans="4:10" x14ac:dyDescent="0.25">
      <c r="D71"/>
      <c r="E71"/>
    </row>
    <row r="72" spans="4:10" x14ac:dyDescent="0.25">
      <c r="D72"/>
      <c r="E72"/>
    </row>
    <row r="73" spans="4:10" x14ac:dyDescent="0.25">
      <c r="D73"/>
      <c r="E73"/>
    </row>
    <row r="74" spans="4:10" x14ac:dyDescent="0.25">
      <c r="D74"/>
      <c r="E74"/>
    </row>
    <row r="75" spans="4:10" x14ac:dyDescent="0.25">
      <c r="D75"/>
      <c r="E75"/>
    </row>
    <row r="76" spans="4:10" x14ac:dyDescent="0.25">
      <c r="D76"/>
      <c r="E76"/>
    </row>
  </sheetData>
  <mergeCells count="6">
    <mergeCell ref="G37:J37"/>
    <mergeCell ref="B2:E2"/>
    <mergeCell ref="L2:O2"/>
    <mergeCell ref="L11:O11"/>
    <mergeCell ref="G20:G22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B32" sqref="B32:D36"/>
    </sheetView>
  </sheetViews>
  <sheetFormatPr defaultRowHeight="15" x14ac:dyDescent="0.25"/>
  <cols>
    <col min="2" max="2" width="27.85546875" bestFit="1" customWidth="1"/>
    <col min="3" max="4" width="11.85546875" bestFit="1" customWidth="1"/>
  </cols>
  <sheetData>
    <row r="2" spans="2:4" x14ac:dyDescent="0.25">
      <c r="B2" s="26" t="s">
        <v>134</v>
      </c>
      <c r="C2" s="26" t="s">
        <v>187</v>
      </c>
      <c r="D2" s="26" t="s">
        <v>188</v>
      </c>
    </row>
    <row r="3" spans="2:4" x14ac:dyDescent="0.25">
      <c r="B3" s="2" t="s">
        <v>164</v>
      </c>
      <c r="C3" s="25" t="s">
        <v>190</v>
      </c>
      <c r="D3" s="25" t="s">
        <v>190</v>
      </c>
    </row>
    <row r="4" spans="2:4" x14ac:dyDescent="0.25">
      <c r="B4" s="4" t="s">
        <v>165</v>
      </c>
      <c r="C4" s="8" t="s">
        <v>191</v>
      </c>
      <c r="D4" s="8" t="s">
        <v>191</v>
      </c>
    </row>
    <row r="5" spans="2:4" x14ac:dyDescent="0.25">
      <c r="B5" s="2" t="s">
        <v>163</v>
      </c>
      <c r="C5" s="25" t="s">
        <v>192</v>
      </c>
      <c r="D5" s="25" t="s">
        <v>192</v>
      </c>
    </row>
    <row r="6" spans="2:4" x14ac:dyDescent="0.25">
      <c r="B6" s="4" t="s">
        <v>166</v>
      </c>
      <c r="C6" s="8" t="s">
        <v>193</v>
      </c>
      <c r="D6" s="8" t="s">
        <v>193</v>
      </c>
    </row>
    <row r="7" spans="2:4" x14ac:dyDescent="0.25">
      <c r="B7" s="2" t="s">
        <v>27</v>
      </c>
      <c r="C7" s="25" t="s">
        <v>189</v>
      </c>
      <c r="D7" s="25" t="s">
        <v>189</v>
      </c>
    </row>
    <row r="8" spans="2:4" x14ac:dyDescent="0.25">
      <c r="B8" s="4" t="s">
        <v>182</v>
      </c>
      <c r="C8" s="8" t="s">
        <v>186</v>
      </c>
      <c r="D8" s="8" t="s">
        <v>183</v>
      </c>
    </row>
    <row r="9" spans="2:4" x14ac:dyDescent="0.25">
      <c r="B9" s="2" t="s">
        <v>162</v>
      </c>
      <c r="C9" s="25">
        <v>0.75</v>
      </c>
      <c r="D9" s="25">
        <v>0.75</v>
      </c>
    </row>
    <row r="10" spans="2:4" x14ac:dyDescent="0.25">
      <c r="B10" s="4" t="s">
        <v>171</v>
      </c>
      <c r="C10" s="8" t="s">
        <v>194</v>
      </c>
      <c r="D10" s="8" t="s">
        <v>194</v>
      </c>
    </row>
    <row r="11" spans="2:4" x14ac:dyDescent="0.25">
      <c r="B11" s="2" t="s">
        <v>172</v>
      </c>
      <c r="C11" s="25" t="s">
        <v>195</v>
      </c>
      <c r="D11" s="25">
        <v>2495.75</v>
      </c>
    </row>
    <row r="12" spans="2:4" x14ac:dyDescent="0.25">
      <c r="B12" s="4" t="s">
        <v>174</v>
      </c>
      <c r="C12" s="8" t="s">
        <v>196</v>
      </c>
      <c r="D12" s="8">
        <v>908.38</v>
      </c>
    </row>
    <row r="13" spans="2:4" x14ac:dyDescent="0.25">
      <c r="B13" s="2" t="s">
        <v>173</v>
      </c>
      <c r="C13" s="25" t="s">
        <v>197</v>
      </c>
      <c r="D13" s="25">
        <v>2655.9</v>
      </c>
    </row>
    <row r="14" spans="2:4" x14ac:dyDescent="0.25">
      <c r="B14" s="4" t="s">
        <v>22</v>
      </c>
      <c r="C14" s="8" t="s">
        <v>198</v>
      </c>
      <c r="D14" s="8" t="s">
        <v>199</v>
      </c>
    </row>
    <row r="19" spans="2:4" x14ac:dyDescent="0.25">
      <c r="B19" s="26" t="s">
        <v>134</v>
      </c>
      <c r="C19" s="26" t="s">
        <v>187</v>
      </c>
      <c r="D19" s="26" t="s">
        <v>188</v>
      </c>
    </row>
    <row r="20" spans="2:4" x14ac:dyDescent="0.25">
      <c r="B20" s="2" t="s">
        <v>184</v>
      </c>
      <c r="C20" s="27">
        <v>1.25</v>
      </c>
      <c r="D20" s="27">
        <v>1.25</v>
      </c>
    </row>
    <row r="21" spans="2:4" x14ac:dyDescent="0.25">
      <c r="B21" s="4" t="s">
        <v>72</v>
      </c>
      <c r="C21" s="28">
        <v>1.33</v>
      </c>
      <c r="D21" s="28">
        <v>-0.8</v>
      </c>
    </row>
    <row r="22" spans="2:4" x14ac:dyDescent="0.25">
      <c r="B22" s="2" t="s">
        <v>45</v>
      </c>
      <c r="C22" s="27">
        <v>1.26</v>
      </c>
      <c r="D22" s="27">
        <v>1.0089999999999999</v>
      </c>
    </row>
    <row r="23" spans="2:4" x14ac:dyDescent="0.25">
      <c r="B23" s="4" t="s">
        <v>201</v>
      </c>
      <c r="C23" s="28" t="s">
        <v>200</v>
      </c>
      <c r="D23" s="28">
        <v>1.1499999999999999</v>
      </c>
    </row>
    <row r="24" spans="2:4" x14ac:dyDescent="0.25">
      <c r="B24" s="2" t="s">
        <v>49</v>
      </c>
      <c r="C24" s="27">
        <v>1.05</v>
      </c>
      <c r="D24" s="27">
        <v>1</v>
      </c>
    </row>
    <row r="25" spans="2:4" x14ac:dyDescent="0.25">
      <c r="B25" s="4" t="s">
        <v>185</v>
      </c>
      <c r="C25" s="28">
        <v>189.19</v>
      </c>
      <c r="D25" s="28">
        <v>189.81</v>
      </c>
    </row>
    <row r="26" spans="2:4" x14ac:dyDescent="0.25">
      <c r="B26" s="2" t="s">
        <v>180</v>
      </c>
      <c r="C26" s="27" t="s">
        <v>202</v>
      </c>
      <c r="D26" s="27" t="s">
        <v>202</v>
      </c>
    </row>
    <row r="27" spans="2:4" x14ac:dyDescent="0.25">
      <c r="B27" s="4" t="s">
        <v>181</v>
      </c>
      <c r="C27" s="28" t="s">
        <v>203</v>
      </c>
      <c r="D27" s="28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showGridLines="0" tabSelected="1" workbookViewId="0">
      <selection activeCell="E24" sqref="E24"/>
    </sheetView>
  </sheetViews>
  <sheetFormatPr defaultRowHeight="15" x14ac:dyDescent="0.25"/>
  <cols>
    <col min="2" max="2" width="27.85546875" bestFit="1" customWidth="1"/>
    <col min="3" max="4" width="11.85546875" bestFit="1" customWidth="1"/>
  </cols>
  <sheetData>
    <row r="2" spans="2:4" x14ac:dyDescent="0.25">
      <c r="B2" s="26" t="s">
        <v>134</v>
      </c>
      <c r="C2" s="26" t="s">
        <v>187</v>
      </c>
      <c r="D2" s="26" t="s">
        <v>188</v>
      </c>
    </row>
    <row r="3" spans="2:4" x14ac:dyDescent="0.25">
      <c r="B3" s="6" t="s">
        <v>169</v>
      </c>
      <c r="C3" s="30" t="s">
        <v>204</v>
      </c>
      <c r="D3" s="30" t="s">
        <v>205</v>
      </c>
    </row>
    <row r="4" spans="2:4" x14ac:dyDescent="0.25">
      <c r="B4" s="4" t="s">
        <v>178</v>
      </c>
      <c r="C4" s="29">
        <v>1.4</v>
      </c>
      <c r="D4" s="29">
        <v>2.7</v>
      </c>
    </row>
    <row r="5" spans="2:4" x14ac:dyDescent="0.25">
      <c r="B5" s="6" t="s">
        <v>170</v>
      </c>
      <c r="C5" s="30" t="s">
        <v>206</v>
      </c>
      <c r="D5" s="30" t="s">
        <v>207</v>
      </c>
    </row>
    <row r="6" spans="2:4" x14ac:dyDescent="0.25">
      <c r="B6" s="4" t="s">
        <v>179</v>
      </c>
      <c r="C6" s="29">
        <v>1</v>
      </c>
      <c r="D6" s="29">
        <v>1.73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Estudo</vt:lpstr>
      <vt:lpstr>Comparativo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2020-06-24T10:16:41Z</dcterms:created>
  <dcterms:modified xsi:type="dcterms:W3CDTF">2020-06-26T19:25:46Z</dcterms:modified>
</cp:coreProperties>
</file>