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queryTables/queryTable1.xml" ContentType="application/vnd.openxmlformats-officedocument.spreadsheetml.queryTable+xml"/>
  <Override PartName="/xl/tables/table6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7.xml" ContentType="application/vnd.openxmlformats-officedocument.spreadsheetml.table+xml"/>
  <Override PartName="/xl/queryTables/queryTable3.xml" ContentType="application/vnd.openxmlformats-officedocument.spreadsheetml.query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tables/table8.xml" ContentType="application/vnd.openxmlformats-officedocument.spreadsheetml.table+xml"/>
  <Override PartName="/xl/queryTables/queryTable4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9.xml" ContentType="application/vnd.openxmlformats-officedocument.spreadsheetml.table+xml"/>
  <Override PartName="/xl/queryTables/queryTable5.xml" ContentType="application/vnd.openxmlformats-officedocument.spreadsheetml.queryTable+xml"/>
  <Override PartName="/xl/drawings/drawing4.xml" ContentType="application/vnd.openxmlformats-officedocument.drawing+xml"/>
  <Override PartName="/xl/tables/table10.xml" ContentType="application/vnd.openxmlformats-officedocument.spreadsheetml.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ЭтаКнига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Y:\НИР ВИЧ\2023\20 ВИЧ в ЦНС ЮУГМУ3\Статья\Материалы\"/>
    </mc:Choice>
  </mc:AlternateContent>
  <xr:revisionPtr revIDLastSave="0" documentId="13_ncr:1_{FE1B0911-33F6-4D20-9BB4-352935921BAE}" xr6:coauthVersionLast="47" xr6:coauthVersionMax="47" xr10:uidLastSave="{00000000-0000-0000-0000-000000000000}"/>
  <bookViews>
    <workbookView xWindow="-120" yWindow="-120" windowWidth="19440" windowHeight="10440" tabRatio="783" activeTab="7" xr2:uid="{C623EEB7-B9FE-4F7C-90CF-13C2BE6B8340}"/>
  </bookViews>
  <sheets>
    <sheet name="S" sheetId="1" r:id="rId1"/>
    <sheet name="Stat2" sheetId="9" r:id="rId2"/>
    <sheet name="Stat" sheetId="8" r:id="rId3"/>
    <sheet name="Stat_res" sheetId="10" r:id="rId4"/>
    <sheet name="Лист2" sheetId="15" r:id="rId5"/>
    <sheet name="Пробы_" sheetId="12" r:id="rId6"/>
    <sheet name="Diag1" sheetId="13" r:id="rId7"/>
    <sheet name="Diagr2_" sheetId="11" r:id="rId8"/>
    <sheet name="Пациенты_" sheetId="2" r:id="rId9"/>
    <sheet name="Статистика" sheetId="3" r:id="rId10"/>
    <sheet name="Хи" sheetId="7" r:id="rId11"/>
    <sheet name="Класт" sheetId="14" r:id="rId12"/>
  </sheets>
  <definedNames>
    <definedName name="ExternalData_1" localSheetId="2" hidden="1">Stat!$A$1:$E$77</definedName>
    <definedName name="ExternalData_1" localSheetId="11" hidden="1">Класт!$A$1:$D$39</definedName>
    <definedName name="ExternalData_1" localSheetId="8" hidden="1">Пациенты_!$A$1:$AC$39</definedName>
    <definedName name="ExternalData_1" localSheetId="5" hidden="1">Пробы_!$A$1:$H$77</definedName>
    <definedName name="ExternalData_2" localSheetId="7" hidden="1">Diagr2_!$A$1:$E$39</definedName>
    <definedName name="ExternalData_2" localSheetId="1" hidden="1">Stat2!$A$1:$D$63</definedName>
  </definedNames>
  <calcPr calcId="191029"/>
  <pivotCaches>
    <pivotCache cacheId="1" r:id="rId1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24" i="2" l="1"/>
  <c r="AD13" i="2"/>
  <c r="AD34" i="2"/>
  <c r="AD7" i="2"/>
  <c r="AD38" i="2"/>
  <c r="AD21" i="2"/>
  <c r="AD26" i="2"/>
  <c r="AD32" i="2"/>
  <c r="AD28" i="2"/>
  <c r="AD5" i="2"/>
  <c r="AD12" i="2"/>
  <c r="AD8" i="2"/>
  <c r="AD18" i="2"/>
  <c r="AD25" i="2"/>
  <c r="AD39" i="2"/>
  <c r="AD14" i="2"/>
  <c r="AD30" i="2"/>
  <c r="AD10" i="2"/>
  <c r="AD20" i="2"/>
  <c r="AD33" i="2"/>
  <c r="AD17" i="2"/>
  <c r="AD31" i="2"/>
  <c r="AD15" i="2"/>
  <c r="AD35" i="2"/>
  <c r="AD2" i="2"/>
  <c r="AD19" i="2"/>
  <c r="AD36" i="2"/>
  <c r="AD16" i="2"/>
  <c r="AD37" i="2"/>
  <c r="AD22" i="2"/>
  <c r="AD23" i="2"/>
  <c r="AD3" i="2"/>
  <c r="AD9" i="2"/>
  <c r="AD4" i="2"/>
  <c r="AD27" i="2"/>
  <c r="AD11" i="2"/>
  <c r="AD29" i="2"/>
  <c r="AD6" i="2"/>
  <c r="AF24" i="2"/>
  <c r="AF13" i="2"/>
  <c r="AF34" i="2"/>
  <c r="AF7" i="2"/>
  <c r="AF38" i="2"/>
  <c r="AF21" i="2"/>
  <c r="AF26" i="2"/>
  <c r="AF32" i="2"/>
  <c r="AF28" i="2"/>
  <c r="AF5" i="2"/>
  <c r="AF12" i="2"/>
  <c r="AF8" i="2"/>
  <c r="AF18" i="2"/>
  <c r="AF25" i="2"/>
  <c r="AF39" i="2"/>
  <c r="AF14" i="2"/>
  <c r="AF30" i="2"/>
  <c r="AF10" i="2"/>
  <c r="AF20" i="2"/>
  <c r="AF33" i="2"/>
  <c r="AF17" i="2"/>
  <c r="AF31" i="2"/>
  <c r="AF15" i="2"/>
  <c r="AF35" i="2"/>
  <c r="AF2" i="2"/>
  <c r="AF19" i="2"/>
  <c r="AF36" i="2"/>
  <c r="AF16" i="2"/>
  <c r="AF37" i="2"/>
  <c r="AF22" i="2"/>
  <c r="AF23" i="2"/>
  <c r="AF3" i="2"/>
  <c r="AF9" i="2"/>
  <c r="AF4" i="2"/>
  <c r="AF27" i="2"/>
  <c r="AF11" i="2"/>
  <c r="AF29" i="2"/>
  <c r="AF6" i="2"/>
  <c r="AG24" i="2"/>
  <c r="AG13" i="2"/>
  <c r="AG34" i="2"/>
  <c r="AG7" i="2"/>
  <c r="AG38" i="2"/>
  <c r="AG21" i="2"/>
  <c r="AG26" i="2"/>
  <c r="AG32" i="2"/>
  <c r="AG28" i="2"/>
  <c r="AG5" i="2"/>
  <c r="AG12" i="2"/>
  <c r="AG8" i="2"/>
  <c r="AG18" i="2"/>
  <c r="AG25" i="2"/>
  <c r="AG39" i="2"/>
  <c r="AG14" i="2"/>
  <c r="AG30" i="2"/>
  <c r="AG10" i="2"/>
  <c r="AG20" i="2"/>
  <c r="AG33" i="2"/>
  <c r="AG17" i="2"/>
  <c r="AG31" i="2"/>
  <c r="AG15" i="2"/>
  <c r="AG35" i="2"/>
  <c r="AG2" i="2"/>
  <c r="AG19" i="2"/>
  <c r="AG36" i="2"/>
  <c r="AG16" i="2"/>
  <c r="AG37" i="2"/>
  <c r="AG22" i="2"/>
  <c r="AG23" i="2"/>
  <c r="AG3" i="2"/>
  <c r="AG9" i="2"/>
  <c r="AG4" i="2"/>
  <c r="AG27" i="2"/>
  <c r="AG11" i="2"/>
  <c r="AG29" i="2"/>
  <c r="AG6" i="2"/>
  <c r="AE6" i="2"/>
  <c r="AE29" i="2"/>
  <c r="AE11" i="2"/>
  <c r="AE27" i="2"/>
  <c r="AE4" i="2"/>
  <c r="AE9" i="2"/>
  <c r="AE3" i="2"/>
  <c r="AE23" i="2"/>
  <c r="AE22" i="2"/>
  <c r="AE37" i="2"/>
  <c r="AE16" i="2"/>
  <c r="AE36" i="2"/>
  <c r="AE19" i="2"/>
  <c r="AE2" i="2"/>
  <c r="AE35" i="2"/>
  <c r="AE15" i="2"/>
  <c r="AE31" i="2"/>
  <c r="AE17" i="2"/>
  <c r="AE33" i="2"/>
  <c r="AE20" i="2"/>
  <c r="AE10" i="2"/>
  <c r="AE30" i="2"/>
  <c r="AE14" i="2"/>
  <c r="AE39" i="2"/>
  <c r="AE25" i="2"/>
  <c r="AE18" i="2"/>
  <c r="AE8" i="2"/>
  <c r="AE12" i="2"/>
  <c r="AE5" i="2"/>
  <c r="AE28" i="2"/>
  <c r="AE32" i="2"/>
  <c r="AE26" i="2"/>
  <c r="AE21" i="2"/>
  <c r="AE38" i="2"/>
  <c r="AE7" i="2"/>
  <c r="AE34" i="2"/>
  <c r="AE13" i="2"/>
  <c r="AE24" i="2"/>
  <c r="E6" i="13"/>
  <c r="E2" i="13"/>
  <c r="E5" i="13"/>
  <c r="E4" i="13"/>
  <c r="E3" i="13"/>
  <c r="J2" i="12" l="1"/>
  <c r="J3" i="12"/>
  <c r="J4" i="12"/>
  <c r="J5" i="12"/>
  <c r="J6" i="12"/>
  <c r="J7" i="12"/>
  <c r="J8" i="12"/>
  <c r="J9" i="12"/>
  <c r="J10" i="12"/>
  <c r="J11" i="12"/>
  <c r="J12" i="12"/>
  <c r="J13" i="12"/>
  <c r="J14" i="12"/>
  <c r="J15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J31" i="12"/>
  <c r="J32" i="12"/>
  <c r="J33" i="12"/>
  <c r="J34" i="12"/>
  <c r="J35" i="12"/>
  <c r="J36" i="12"/>
  <c r="J37" i="12"/>
  <c r="J38" i="12"/>
  <c r="J39" i="12"/>
  <c r="J40" i="12"/>
  <c r="J41" i="12"/>
  <c r="J42" i="12"/>
  <c r="J43" i="12"/>
  <c r="J44" i="12"/>
  <c r="J45" i="12"/>
  <c r="J46" i="12"/>
  <c r="J47" i="12"/>
  <c r="J48" i="12"/>
  <c r="J49" i="12"/>
  <c r="J50" i="12"/>
  <c r="J51" i="12"/>
  <c r="J52" i="12"/>
  <c r="J53" i="12"/>
  <c r="J54" i="12"/>
  <c r="J55" i="12"/>
  <c r="J56" i="12"/>
  <c r="J57" i="12"/>
  <c r="J58" i="12"/>
  <c r="J59" i="12"/>
  <c r="J60" i="12"/>
  <c r="J61" i="12"/>
  <c r="J62" i="12"/>
  <c r="J63" i="12"/>
  <c r="J64" i="12"/>
  <c r="J65" i="12"/>
  <c r="J66" i="12"/>
  <c r="J67" i="12"/>
  <c r="J68" i="12"/>
  <c r="J69" i="12"/>
  <c r="J70" i="12"/>
  <c r="J71" i="12"/>
  <c r="J72" i="12"/>
  <c r="J73" i="12"/>
  <c r="J74" i="12"/>
  <c r="J75" i="12"/>
  <c r="J76" i="12"/>
  <c r="J77" i="12"/>
  <c r="I2" i="12"/>
  <c r="I3" i="12"/>
  <c r="I4" i="12"/>
  <c r="I5" i="12"/>
  <c r="I6" i="12"/>
  <c r="I7" i="12"/>
  <c r="I8" i="12"/>
  <c r="I9" i="12"/>
  <c r="I10" i="12"/>
  <c r="I11" i="12"/>
  <c r="I12" i="12"/>
  <c r="I13" i="12"/>
  <c r="I14" i="12"/>
  <c r="I15" i="12"/>
  <c r="I16" i="12"/>
  <c r="I17" i="12"/>
  <c r="I18" i="12"/>
  <c r="I19" i="12"/>
  <c r="I20" i="12"/>
  <c r="I21" i="12"/>
  <c r="I22" i="12"/>
  <c r="I23" i="12"/>
  <c r="I24" i="12"/>
  <c r="I25" i="12"/>
  <c r="I26" i="12"/>
  <c r="I27" i="12"/>
  <c r="I28" i="12"/>
  <c r="I29" i="12"/>
  <c r="I30" i="12"/>
  <c r="I31" i="12"/>
  <c r="I32" i="12"/>
  <c r="I33" i="12"/>
  <c r="I34" i="12"/>
  <c r="I35" i="12"/>
  <c r="I36" i="12"/>
  <c r="I37" i="12"/>
  <c r="I38" i="12"/>
  <c r="I39" i="12"/>
  <c r="I40" i="12"/>
  <c r="I41" i="12"/>
  <c r="I42" i="12"/>
  <c r="I43" i="12"/>
  <c r="I44" i="12"/>
  <c r="I45" i="12"/>
  <c r="I46" i="12"/>
  <c r="I47" i="12"/>
  <c r="I48" i="12"/>
  <c r="I49" i="12"/>
  <c r="I50" i="12"/>
  <c r="I51" i="12"/>
  <c r="I52" i="12"/>
  <c r="I53" i="12"/>
  <c r="I54" i="12"/>
  <c r="I55" i="12"/>
  <c r="I56" i="12"/>
  <c r="I57" i="12"/>
  <c r="I58" i="12"/>
  <c r="I59" i="12"/>
  <c r="I60" i="12"/>
  <c r="I61" i="12"/>
  <c r="I62" i="12"/>
  <c r="I63" i="12"/>
  <c r="I64" i="12"/>
  <c r="I65" i="12"/>
  <c r="I66" i="12"/>
  <c r="I67" i="12"/>
  <c r="I68" i="12"/>
  <c r="I69" i="12"/>
  <c r="I70" i="12"/>
  <c r="I71" i="12"/>
  <c r="I72" i="12"/>
  <c r="I73" i="12"/>
  <c r="I74" i="12"/>
  <c r="I75" i="12"/>
  <c r="I76" i="12"/>
  <c r="I77" i="12"/>
  <c r="D2" i="11" l="1"/>
  <c r="D3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G2" i="11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F2" i="11"/>
  <c r="F3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J126" i="3"/>
  <c r="J125" i="3"/>
  <c r="J124" i="3"/>
  <c r="E125" i="3"/>
  <c r="D125" i="3"/>
  <c r="E124" i="3"/>
  <c r="D126" i="3"/>
  <c r="D124" i="3"/>
  <c r="E7" i="13" l="1"/>
  <c r="E126" i="3"/>
  <c r="F126" i="3" s="1"/>
  <c r="F125" i="3"/>
  <c r="F124" i="3"/>
  <c r="M58" i="7"/>
  <c r="M57" i="7"/>
  <c r="M49" i="7"/>
  <c r="M48" i="7"/>
  <c r="M41" i="7"/>
  <c r="M40" i="7"/>
  <c r="M33" i="7"/>
  <c r="M32" i="7"/>
  <c r="J119" i="3"/>
  <c r="J122" i="3"/>
  <c r="J121" i="3"/>
  <c r="J120" i="3"/>
  <c r="J118" i="3"/>
  <c r="E122" i="3"/>
  <c r="E119" i="3"/>
  <c r="C58" i="7"/>
  <c r="E121" i="3"/>
  <c r="C49" i="7"/>
  <c r="D122" i="3"/>
  <c r="C57" i="7"/>
  <c r="E120" i="3"/>
  <c r="E118" i="3"/>
  <c r="D118" i="3"/>
  <c r="D40" i="7"/>
  <c r="C32" i="7"/>
  <c r="C40" i="7"/>
  <c r="D58" i="7"/>
  <c r="D57" i="7"/>
  <c r="D33" i="7"/>
  <c r="D121" i="3"/>
  <c r="C41" i="7"/>
  <c r="D48" i="7"/>
  <c r="C33" i="7"/>
  <c r="D49" i="7"/>
  <c r="D119" i="3"/>
  <c r="D41" i="7"/>
  <c r="D120" i="3"/>
  <c r="C48" i="7"/>
  <c r="D32" i="7"/>
  <c r="H126" i="3" l="1"/>
  <c r="G126" i="3"/>
  <c r="H125" i="3"/>
  <c r="G125" i="3"/>
  <c r="G124" i="3"/>
  <c r="H124" i="3"/>
  <c r="G60" i="7"/>
  <c r="C59" i="7"/>
  <c r="D59" i="7"/>
  <c r="E57" i="7"/>
  <c r="E58" i="7"/>
  <c r="I58" i="7" s="1"/>
  <c r="D50" i="7"/>
  <c r="E48" i="7"/>
  <c r="I48" i="7" s="1"/>
  <c r="C50" i="7"/>
  <c r="G51" i="7"/>
  <c r="E49" i="7"/>
  <c r="I49" i="7" s="1"/>
  <c r="G43" i="7"/>
  <c r="C42" i="7"/>
  <c r="D42" i="7"/>
  <c r="E40" i="7"/>
  <c r="E41" i="7"/>
  <c r="I41" i="7" s="1"/>
  <c r="C34" i="7"/>
  <c r="G35" i="7"/>
  <c r="E32" i="7"/>
  <c r="D34" i="7"/>
  <c r="E33" i="7"/>
  <c r="I33" i="7" s="1"/>
  <c r="F122" i="3"/>
  <c r="F120" i="3"/>
  <c r="H120" i="3" s="1"/>
  <c r="F121" i="3"/>
  <c r="H121" i="3" s="1"/>
  <c r="F119" i="3"/>
  <c r="H119" i="3" s="1"/>
  <c r="F118" i="3"/>
  <c r="H118" i="3" s="1"/>
  <c r="K126" i="3" l="1"/>
  <c r="K125" i="3"/>
  <c r="K124" i="3"/>
  <c r="E59" i="7"/>
  <c r="D60" i="7" s="1"/>
  <c r="G57" i="7" s="1"/>
  <c r="K58" i="7"/>
  <c r="J58" i="7"/>
  <c r="I57" i="7"/>
  <c r="E50" i="7"/>
  <c r="D52" i="7" s="1"/>
  <c r="G49" i="7" s="1"/>
  <c r="K49" i="7"/>
  <c r="J49" i="7"/>
  <c r="K48" i="7"/>
  <c r="J48" i="7"/>
  <c r="E42" i="7"/>
  <c r="C44" i="7" s="1"/>
  <c r="F41" i="7" s="1"/>
  <c r="K41" i="7"/>
  <c r="J41" i="7"/>
  <c r="I40" i="7"/>
  <c r="E34" i="7"/>
  <c r="D35" i="7" s="1"/>
  <c r="G32" i="7" s="1"/>
  <c r="I32" i="7"/>
  <c r="K33" i="7"/>
  <c r="J33" i="7"/>
  <c r="G120" i="3"/>
  <c r="K120" i="3" s="1"/>
  <c r="G118" i="3"/>
  <c r="K118" i="3" s="1"/>
  <c r="G119" i="3"/>
  <c r="K119" i="3" s="1"/>
  <c r="G121" i="3"/>
  <c r="K121" i="3" s="1"/>
  <c r="H122" i="3"/>
  <c r="G122" i="3"/>
  <c r="M25" i="7"/>
  <c r="M24" i="7"/>
  <c r="M13" i="7"/>
  <c r="M14" i="7"/>
  <c r="J114" i="3"/>
  <c r="F114" i="3"/>
  <c r="J113" i="3"/>
  <c r="F113" i="3"/>
  <c r="G113" i="3" s="1"/>
  <c r="J110" i="3"/>
  <c r="J109" i="3"/>
  <c r="J108" i="3"/>
  <c r="M5" i="7"/>
  <c r="M4" i="7"/>
  <c r="E101" i="3"/>
  <c r="E100" i="3"/>
  <c r="E99" i="3"/>
  <c r="E98" i="3"/>
  <c r="B98" i="3"/>
  <c r="D97" i="3"/>
  <c r="E88" i="3"/>
  <c r="E87" i="3"/>
  <c r="E86" i="3"/>
  <c r="E85" i="3"/>
  <c r="B85" i="3"/>
  <c r="D84" i="3"/>
  <c r="J82" i="3"/>
  <c r="J81" i="3"/>
  <c r="J36" i="3"/>
  <c r="J35" i="3"/>
  <c r="J33" i="3"/>
  <c r="J32" i="3"/>
  <c r="J3" i="3"/>
  <c r="J2" i="3"/>
  <c r="L18" i="10"/>
  <c r="L7" i="10"/>
  <c r="D9" i="3"/>
  <c r="D69" i="3"/>
  <c r="D53" i="3"/>
  <c r="D4" i="7"/>
  <c r="D43" i="3"/>
  <c r="C25" i="7"/>
  <c r="D2" i="3"/>
  <c r="D33" i="3"/>
  <c r="D44" i="3"/>
  <c r="D18" i="3"/>
  <c r="D42" i="3"/>
  <c r="D11" i="3"/>
  <c r="D65" i="3"/>
  <c r="D12" i="3"/>
  <c r="D81" i="3"/>
  <c r="D74" i="3"/>
  <c r="D10" i="3"/>
  <c r="D68" i="3"/>
  <c r="D6" i="3"/>
  <c r="D5" i="7"/>
  <c r="D8" i="3"/>
  <c r="D13" i="7"/>
  <c r="D24" i="7"/>
  <c r="E33" i="3"/>
  <c r="D48" i="3"/>
  <c r="D61" i="3"/>
  <c r="D73" i="3"/>
  <c r="C24" i="7"/>
  <c r="D66" i="3"/>
  <c r="D49" i="3"/>
  <c r="E110" i="3"/>
  <c r="E82" i="3"/>
  <c r="E108" i="3"/>
  <c r="D109" i="3"/>
  <c r="E36" i="3"/>
  <c r="D25" i="7"/>
  <c r="D59" i="3"/>
  <c r="D67" i="3"/>
  <c r="D30" i="3"/>
  <c r="D78" i="3"/>
  <c r="D23" i="3"/>
  <c r="D108" i="3"/>
  <c r="E2" i="3"/>
  <c r="D16" i="3"/>
  <c r="E32" i="3"/>
  <c r="C13" i="7"/>
  <c r="C4" i="7"/>
  <c r="D41" i="3"/>
  <c r="D50" i="3"/>
  <c r="D29" i="3"/>
  <c r="D58" i="3"/>
  <c r="D32" i="3"/>
  <c r="D110" i="3"/>
  <c r="C5" i="7"/>
  <c r="D24" i="3"/>
  <c r="D27" i="3"/>
  <c r="D62" i="3"/>
  <c r="D15" i="3"/>
  <c r="D70" i="3"/>
  <c r="D75" i="3"/>
  <c r="D77" i="3"/>
  <c r="D21" i="3"/>
  <c r="D26" i="3"/>
  <c r="D79" i="3"/>
  <c r="D54" i="3"/>
  <c r="D20" i="3"/>
  <c r="E35" i="3"/>
  <c r="D45" i="3"/>
  <c r="D35" i="3"/>
  <c r="D76" i="3"/>
  <c r="D5" i="3"/>
  <c r="D52" i="3"/>
  <c r="D71" i="3"/>
  <c r="D46" i="3"/>
  <c r="D36" i="3"/>
  <c r="C14" i="7"/>
  <c r="E109" i="3"/>
  <c r="D14" i="3"/>
  <c r="D28" i="3"/>
  <c r="E3" i="3"/>
  <c r="D60" i="3"/>
  <c r="D56" i="3"/>
  <c r="D17" i="3"/>
  <c r="D57" i="3"/>
  <c r="D3" i="3"/>
  <c r="D82" i="3"/>
  <c r="D51" i="3"/>
  <c r="E81" i="3"/>
  <c r="D7" i="3"/>
  <c r="D19" i="3"/>
  <c r="D14" i="7"/>
  <c r="D25" i="3"/>
  <c r="D40" i="3"/>
  <c r="F40" i="3" l="1"/>
  <c r="F23" i="3"/>
  <c r="F5" i="3"/>
  <c r="F14" i="3"/>
  <c r="G74" i="3"/>
  <c r="G66" i="3"/>
  <c r="F66" i="3"/>
  <c r="F65" i="3"/>
  <c r="F73" i="3"/>
  <c r="C61" i="7"/>
  <c r="F58" i="7" s="1"/>
  <c r="C60" i="7"/>
  <c r="F57" i="7" s="1"/>
  <c r="D61" i="7"/>
  <c r="G58" i="7" s="1"/>
  <c r="N58" i="7"/>
  <c r="N49" i="7"/>
  <c r="N48" i="7"/>
  <c r="C51" i="7"/>
  <c r="F48" i="7" s="1"/>
  <c r="C52" i="7"/>
  <c r="F49" i="7" s="1"/>
  <c r="D51" i="7"/>
  <c r="G48" i="7" s="1"/>
  <c r="K57" i="7"/>
  <c r="J57" i="7"/>
  <c r="C35" i="7"/>
  <c r="F32" i="7" s="1"/>
  <c r="N41" i="7"/>
  <c r="D43" i="7"/>
  <c r="G40" i="7" s="1"/>
  <c r="C43" i="7"/>
  <c r="F40" i="7" s="1"/>
  <c r="D44" i="7"/>
  <c r="G41" i="7" s="1"/>
  <c r="J40" i="7"/>
  <c r="K40" i="7"/>
  <c r="N33" i="7"/>
  <c r="C36" i="7"/>
  <c r="F33" i="7" s="1"/>
  <c r="D36" i="7"/>
  <c r="G33" i="7" s="1"/>
  <c r="K32" i="7"/>
  <c r="J32" i="7"/>
  <c r="K122" i="3"/>
  <c r="D26" i="7"/>
  <c r="E24" i="7"/>
  <c r="G16" i="7"/>
  <c r="C15" i="7"/>
  <c r="E14" i="7"/>
  <c r="I14" i="7" s="1"/>
  <c r="E13" i="7"/>
  <c r="D15" i="7"/>
  <c r="H113" i="3"/>
  <c r="K113" i="3" s="1"/>
  <c r="H114" i="3"/>
  <c r="G114" i="3"/>
  <c r="F110" i="3"/>
  <c r="F108" i="3"/>
  <c r="F109" i="3"/>
  <c r="F36" i="3"/>
  <c r="F33" i="3"/>
  <c r="F81" i="3"/>
  <c r="F32" i="3"/>
  <c r="E5" i="7"/>
  <c r="I5" i="7" s="1"/>
  <c r="F3" i="3"/>
  <c r="C6" i="7"/>
  <c r="G7" i="7"/>
  <c r="F2" i="3"/>
  <c r="F35" i="3"/>
  <c r="F82" i="3"/>
  <c r="D6" i="7"/>
  <c r="E4" i="7"/>
  <c r="H66" i="3" l="1"/>
  <c r="K114" i="3"/>
  <c r="G61" i="7"/>
  <c r="G59" i="7"/>
  <c r="N57" i="7"/>
  <c r="G52" i="7"/>
  <c r="G50" i="7"/>
  <c r="N32" i="7"/>
  <c r="G42" i="7"/>
  <c r="G44" i="7"/>
  <c r="N40" i="7"/>
  <c r="E6" i="7"/>
  <c r="D8" i="7" s="1"/>
  <c r="G5" i="7" s="1"/>
  <c r="G34" i="7"/>
  <c r="G36" i="7"/>
  <c r="E25" i="7"/>
  <c r="I25" i="7" s="1"/>
  <c r="K25" i="7" s="1"/>
  <c r="C26" i="7"/>
  <c r="G27" i="7"/>
  <c r="I24" i="7"/>
  <c r="E15" i="7"/>
  <c r="C16" i="7" s="1"/>
  <c r="I13" i="7"/>
  <c r="K14" i="7"/>
  <c r="J14" i="7"/>
  <c r="H110" i="3"/>
  <c r="G110" i="3"/>
  <c r="G108" i="3"/>
  <c r="H108" i="3"/>
  <c r="H109" i="3"/>
  <c r="G109" i="3"/>
  <c r="K5" i="7"/>
  <c r="J5" i="7"/>
  <c r="H35" i="3"/>
  <c r="G35" i="3"/>
  <c r="I4" i="7"/>
  <c r="G81" i="3"/>
  <c r="H81" i="3"/>
  <c r="H32" i="3"/>
  <c r="G32" i="3"/>
  <c r="G33" i="3"/>
  <c r="H33" i="3"/>
  <c r="H2" i="3"/>
  <c r="G2" i="3"/>
  <c r="H82" i="3"/>
  <c r="G82" i="3"/>
  <c r="G3" i="3"/>
  <c r="H3" i="3"/>
  <c r="G36" i="3"/>
  <c r="H36" i="3"/>
  <c r="D7" i="7" l="1"/>
  <c r="G4" i="7" s="1"/>
  <c r="G55" i="7"/>
  <c r="G56" i="7"/>
  <c r="G47" i="7"/>
  <c r="G46" i="7"/>
  <c r="G39" i="7"/>
  <c r="G38" i="7"/>
  <c r="C7" i="7"/>
  <c r="F4" i="7" s="1"/>
  <c r="G31" i="7"/>
  <c r="C8" i="7"/>
  <c r="F5" i="7" s="1"/>
  <c r="G30" i="7"/>
  <c r="K110" i="3"/>
  <c r="J25" i="7"/>
  <c r="N25" i="7" s="1"/>
  <c r="E26" i="7"/>
  <c r="C28" i="7" s="1"/>
  <c r="F25" i="7" s="1"/>
  <c r="C17" i="7"/>
  <c r="F14" i="7" s="1"/>
  <c r="K109" i="3"/>
  <c r="K24" i="7"/>
  <c r="J24" i="7"/>
  <c r="N14" i="7"/>
  <c r="D17" i="7"/>
  <c r="G14" i="7" s="1"/>
  <c r="F13" i="7"/>
  <c r="D16" i="7"/>
  <c r="G13" i="7" s="1"/>
  <c r="J13" i="7"/>
  <c r="K13" i="7"/>
  <c r="N5" i="7"/>
  <c r="K108" i="3"/>
  <c r="K3" i="3"/>
  <c r="K33" i="3"/>
  <c r="K82" i="3"/>
  <c r="K81" i="3"/>
  <c r="K35" i="3"/>
  <c r="K36" i="3"/>
  <c r="K32" i="3"/>
  <c r="K2" i="3"/>
  <c r="K4" i="7"/>
  <c r="J4" i="7"/>
  <c r="G6" i="7" l="1"/>
  <c r="G8" i="7"/>
  <c r="C27" i="7"/>
  <c r="F24" i="7" s="1"/>
  <c r="D27" i="7"/>
  <c r="G24" i="7" s="1"/>
  <c r="D28" i="7"/>
  <c r="G25" i="7" s="1"/>
  <c r="N24" i="7"/>
  <c r="N13" i="7"/>
  <c r="G17" i="7"/>
  <c r="G15" i="7"/>
  <c r="N4" i="7"/>
  <c r="G3" i="7" l="1"/>
  <c r="G2" i="7"/>
  <c r="G26" i="7"/>
  <c r="G28" i="7"/>
  <c r="G11" i="7"/>
  <c r="G12" i="7"/>
  <c r="G22" i="7" l="1"/>
  <c r="G23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25298D4-8A9D-4DA2-B719-3DD8DD3F038C}" keepAlive="1" name="Запрос — Diag" description="Соединение с запросом &quot;Diag&quot; в книге." type="5" refreshedVersion="7" background="1" saveData="1">
    <dbPr connection="Provider=Microsoft.Mashup.OleDb.1;Data Source=$Workbook$;Location=Diag;Extended Properties=&quot;&quot;" command="SELECT * FROM [Diag]"/>
  </connection>
  <connection id="2" xr16:uid="{984A8E11-65E2-463F-B6C6-7F72DD5B1E12}" keepAlive="1" name="Запрос — ForStat" description="Соединение с запросом &quot;ForStat&quot; в книге." type="5" refreshedVersion="7" background="1" saveData="1">
    <dbPr connection="Provider=Microsoft.Mashup.OleDb.1;Data Source=$Workbook$;Location=ForStat;Extended Properties=&quot;&quot;" command="SELECT * FROM [ForStat]"/>
  </connection>
  <connection id="3" xr16:uid="{56C48E1B-BCC8-4E4A-9026-CC3205B1403C}" keepAlive="1" name="Запрос — ForStat2" description="Соединение с запросом &quot;ForStat2&quot; в книге." type="5" refreshedVersion="7" background="1" saveData="1">
    <dbPr connection="Provider=Microsoft.Mashup.OleDb.1;Data Source=$Workbook$;Location=ForStat2;Extended Properties=&quot;&quot;" command="SELECT * FROM [ForStat2]"/>
  </connection>
  <connection id="4" xr16:uid="{18F21A63-FAB7-40E8-87F9-FCB3BB780124}" keepAlive="1" name="Запрос — IDP_AN" description="Соединение с запросом &quot;IDP_AN&quot; в книге." type="5" refreshedVersion="0" background="1">
    <dbPr connection="Provider=Microsoft.Mashup.OleDb.1;Data Source=$Workbook$;Location=IDP_AN;Extended Properties=&quot;&quot;" command="SELECT * FROM [IDP_AN]"/>
  </connection>
  <connection id="5" xr16:uid="{5562CF85-A4CA-4817-8841-1C3BA8744A62}" keepAlive="1" name="Запрос — IDP_AN2" description="Соединение с запросом &quot;IDP_AN2&quot; в книге." type="5" refreshedVersion="0" background="1">
    <dbPr connection="Provider=Microsoft.Mashup.OleDb.1;Data Source=$Workbook$;Location=IDP_AN2;Extended Properties=&quot;&quot;" command="SELECT * FROM [IDP_AN2]"/>
  </connection>
  <connection id="6" xr16:uid="{1FB7483A-73D6-4FE0-8378-B3E63500DB4A}" keepAlive="1" name="Запрос — АРТ" description="Соединение с запросом &quot;АРТ&quot; в книге." type="5" refreshedVersion="7" background="1" saveData="1">
    <dbPr connection="Provider=Microsoft.Mashup.OleDb.1;Data Source=$Workbook$;Location=АРТ;Extended Properties=&quot;&quot;" command="SELECT * FROM [АРТ]"/>
  </connection>
  <connection id="7" xr16:uid="{704BDA14-59C8-4CF0-9DC6-C38D5F99C2CA}" keepAlive="1" name="Запрос — Кластеры" description="Соединение с запросом &quot;Кластеры&quot; в книге." type="5" refreshedVersion="0" background="1">
    <dbPr connection="Provider=Microsoft.Mashup.OleDb.1;Data Source=$Workbook$;Location=Кластеры;Extended Properties=&quot;&quot;" command="SELECT * FROM [Кластеры]"/>
  </connection>
  <connection id="8" xr16:uid="{1FBA25FE-5638-4F1E-A3F1-2279A33500B2}" keepAlive="1" name="Запрос — Кластеры2_95" description="Соединение с запросом &quot;Кластеры2_95&quot; в книге." type="5" refreshedVersion="7" background="1" saveData="1">
    <dbPr connection="Provider=Microsoft.Mashup.OleDb.1;Data Source=$Workbook$;Location=Кластеры2_95;Extended Properties=&quot;&quot;" command="SELECT * FROM [Кластеры2_95]"/>
  </connection>
  <connection id="9" xr16:uid="{DBBCF497-7630-40B6-BD3C-DD755402DEE7}" keepAlive="1" name="Запрос — Пациенты" description="Соединение с запросом &quot;Пациенты&quot; в книге." type="5" refreshedVersion="8" background="1" saveData="1">
    <dbPr connection="Provider=Microsoft.Mashup.OleDb.1;Data Source=$Workbook$;Location=Пациенты;Extended Properties=&quot;&quot;" command="SELECT * FROM [Пациенты]"/>
  </connection>
  <connection id="10" xr16:uid="{C4E5CB57-3BDF-4024-BFC7-16F5BAC4E068}" keepAlive="1" name="Запрос — Пробы" description="Соединение с запросом &quot;Пробы&quot; в книге." type="5" refreshedVersion="7" background="1" saveData="1">
    <dbPr connection="Provider=Microsoft.Mashup.OleDb.1;Data Source=$Workbook$;Location=Пробы;Extended Properties=&quot;&quot;" command="SELECT * FROM [Пробы]"/>
  </connection>
  <connection id="11" xr16:uid="{C54010AB-CD36-4140-922F-E6E98CB2A315}" keepAlive="1" name="Запрос — ПробыВН" description="Соединение с запросом &quot;ПробыВН&quot; в книге." type="5" refreshedVersion="7" background="1" saveData="1">
    <dbPr connection="Provider=Microsoft.Mashup.OleDb.1;Data Source=$Workbook$;Location=ПробыВН;Extended Properties=&quot;&quot;" command="SELECT * FROM [ПробыВН]"/>
  </connection>
  <connection id="12" xr16:uid="{11440E8F-5D3B-44A7-B81B-2EE3D56F1EAE}" keepAlive="1" name="Запрос — Субтипы" description="Соединение с запросом &quot;Субтипы&quot; в книге." type="5" refreshedVersion="0" background="1">
    <dbPr connection="Provider=Microsoft.Mashup.OleDb.1;Data Source=$Workbook$;Location=Субтипы;Extended Properties=&quot;&quot;" command="SELECT * FROM [Субтипы]"/>
  </connection>
</connections>
</file>

<file path=xl/sharedStrings.xml><?xml version="1.0" encoding="utf-8"?>
<sst xmlns="http://schemas.openxmlformats.org/spreadsheetml/2006/main" count="1290" uniqueCount="314">
  <si>
    <t>Путь</t>
  </si>
  <si>
    <t>Объект</t>
  </si>
  <si>
    <t>Тип</t>
  </si>
  <si>
    <t>Table</t>
  </si>
  <si>
    <t>База</t>
  </si>
  <si>
    <t>IDP</t>
  </si>
  <si>
    <t>Дата госп</t>
  </si>
  <si>
    <t>Стадия</t>
  </si>
  <si>
    <t>Пол2</t>
  </si>
  <si>
    <t>Код обследования</t>
  </si>
  <si>
    <t>Код инфицирования</t>
  </si>
  <si>
    <t>Предполагаемый путь инфицирования*</t>
  </si>
  <si>
    <t>ДР</t>
  </si>
  <si>
    <t>ИБ дата</t>
  </si>
  <si>
    <t>Город</t>
  </si>
  <si>
    <t>Старт сх1</t>
  </si>
  <si>
    <t>4В</t>
  </si>
  <si>
    <t>мужской</t>
  </si>
  <si>
    <t>ПИН</t>
  </si>
  <si>
    <t>Миасс</t>
  </si>
  <si>
    <t>женский</t>
  </si>
  <si>
    <t>гетеросексуальный</t>
  </si>
  <si>
    <t>Челябинск</t>
  </si>
  <si>
    <t>4Б</t>
  </si>
  <si>
    <t>Копейск</t>
  </si>
  <si>
    <t>Троицк</t>
  </si>
  <si>
    <t>Сатка</t>
  </si>
  <si>
    <t>Еманжелинск</t>
  </si>
  <si>
    <t>Нязепетровск</t>
  </si>
  <si>
    <t>Наивные</t>
  </si>
  <si>
    <t>Возраст</t>
  </si>
  <si>
    <t>ВИЧ-инфекция</t>
  </si>
  <si>
    <t>АРТ срок</t>
  </si>
  <si>
    <t>АРТ_длит</t>
  </si>
  <si>
    <t>Пациенты</t>
  </si>
  <si>
    <t>Q1</t>
  </si>
  <si>
    <t>Q3</t>
  </si>
  <si>
    <t>Q2</t>
  </si>
  <si>
    <t>p</t>
  </si>
  <si>
    <t>n</t>
  </si>
  <si>
    <t>v</t>
  </si>
  <si>
    <t>ДИ НГ</t>
  </si>
  <si>
    <t>ДИ ВГ</t>
  </si>
  <si>
    <r>
      <t>p (1-</t>
    </r>
    <r>
      <rPr>
        <sz val="11"/>
        <color theme="1"/>
        <rFont val="Calibri"/>
        <family val="2"/>
        <charset val="204"/>
      </rPr>
      <t>α</t>
    </r>
    <r>
      <rPr>
        <sz val="12.65"/>
        <color theme="1"/>
        <rFont val="Calibri"/>
        <family val="2"/>
        <charset val="204"/>
      </rPr>
      <t>)</t>
    </r>
  </si>
  <si>
    <r>
      <t>z (1-</t>
    </r>
    <r>
      <rPr>
        <sz val="11"/>
        <color theme="1"/>
        <rFont val="Calibri"/>
        <family val="2"/>
        <charset val="204"/>
      </rPr>
      <t>α</t>
    </r>
    <r>
      <rPr>
        <sz val="12.65"/>
        <color theme="1"/>
        <rFont val="Calibri"/>
        <family val="2"/>
        <charset val="204"/>
      </rPr>
      <t>)</t>
    </r>
  </si>
  <si>
    <t>средняя</t>
  </si>
  <si>
    <r>
      <t>ско (</t>
    </r>
    <r>
      <rPr>
        <sz val="11"/>
        <color theme="1"/>
        <rFont val="Calibri"/>
        <family val="2"/>
        <charset val="204"/>
      </rPr>
      <t>σ</t>
    </r>
    <r>
      <rPr>
        <sz val="11"/>
        <color theme="1"/>
        <rFont val="Calibri"/>
        <family val="2"/>
        <charset val="204"/>
        <scheme val="minor"/>
      </rPr>
      <t>)</t>
    </r>
  </si>
  <si>
    <t>IDD</t>
  </si>
  <si>
    <t>БМ</t>
  </si>
  <si>
    <t>CD4</t>
  </si>
  <si>
    <t>ликвор</t>
  </si>
  <si>
    <t>плазма</t>
  </si>
  <si>
    <t>минимум</t>
  </si>
  <si>
    <t>максимум</t>
  </si>
  <si>
    <t>All</t>
  </si>
  <si>
    <t>N</t>
  </si>
  <si>
    <t>Shapiro-Wilk W</t>
  </si>
  <si>
    <t xml:space="preserve">  p(normal)</t>
  </si>
  <si>
    <t>количество</t>
  </si>
  <si>
    <r>
      <t>χ</t>
    </r>
    <r>
      <rPr>
        <vertAlign val="superscript"/>
        <sz val="12"/>
        <color theme="1"/>
        <rFont val="Times New Roman"/>
        <family val="1"/>
        <charset val="204"/>
      </rPr>
      <t>2</t>
    </r>
    <r>
      <rPr>
        <sz val="12"/>
        <color theme="1"/>
        <rFont val="Times New Roman"/>
        <family val="1"/>
        <charset val="204"/>
      </rPr>
      <t>=</t>
    </r>
  </si>
  <si>
    <t>ожидаемые 1</t>
  </si>
  <si>
    <t>d.f.=</t>
  </si>
  <si>
    <t>ожидаемые 2</t>
  </si>
  <si>
    <t>p=</t>
  </si>
  <si>
    <t>ДЛИТ</t>
  </si>
  <si>
    <t>ВН ликвор</t>
  </si>
  <si>
    <t>ВН плазма</t>
  </si>
  <si>
    <t>ВН ликвор1</t>
  </si>
  <si>
    <t>ВН плазма1</t>
  </si>
  <si>
    <t>Tests for equal medians</t>
  </si>
  <si>
    <t>N:</t>
  </si>
  <si>
    <t>Mean rank:</t>
  </si>
  <si>
    <t>Mann-Whitn U :</t>
  </si>
  <si>
    <t>z :</t>
  </si>
  <si>
    <t>p (same med.):</t>
  </si>
  <si>
    <t>Monte Carlo permutation:</t>
  </si>
  <si>
    <t>R=</t>
  </si>
  <si>
    <t>Rs=</t>
  </si>
  <si>
    <t>Ликвор.плазма без 0</t>
  </si>
  <si>
    <t>Ликвор.плазма с 0</t>
  </si>
  <si>
    <t>ВН</t>
  </si>
  <si>
    <t>A</t>
  </si>
  <si>
    <t>B</t>
  </si>
  <si>
    <t>Min</t>
  </si>
  <si>
    <t>Max</t>
  </si>
  <si>
    <t>Sum</t>
  </si>
  <si>
    <t>Mean</t>
  </si>
  <si>
    <t>Std. error</t>
  </si>
  <si>
    <t>Variance</t>
  </si>
  <si>
    <t>Stand. dev</t>
  </si>
  <si>
    <t>Median</t>
  </si>
  <si>
    <t>25 prcntil</t>
  </si>
  <si>
    <t>75 prcntil</t>
  </si>
  <si>
    <t>C</t>
  </si>
  <si>
    <t>D</t>
  </si>
  <si>
    <t>y:\НИР ВИЧ\2023\20 ВИЧ в ЦНС ЮУГМУ3\Материалы\ВН\ВН ЮУГМУ вся.xlsx</t>
  </si>
  <si>
    <t>y:\НИР ВИЧ\2023\20 ВИЧ в ЦНС ЮУГМУ3\Анамнез\Анамнезы 230719.xlsx</t>
  </si>
  <si>
    <t>Фильтр</t>
  </si>
  <si>
    <t>Код Ф4</t>
  </si>
  <si>
    <t>Код ИНФ</t>
  </si>
  <si>
    <t>Путь ИНФ</t>
  </si>
  <si>
    <t>Новые</t>
  </si>
  <si>
    <t>y:\НИР ВИЧ\2023\20 ВИЧ в ЦНС ЮУГМУ3\Анамнез\Анамнезы АРТ 230718.xlsx</t>
  </si>
  <si>
    <t>АРТ</t>
  </si>
  <si>
    <t>НВ</t>
  </si>
  <si>
    <t>Финиш сх1</t>
  </si>
  <si>
    <t>Старт сх2</t>
  </si>
  <si>
    <t>Финиш сх2</t>
  </si>
  <si>
    <t>Старт сх3</t>
  </si>
  <si>
    <t>Финиш сх3</t>
  </si>
  <si>
    <t>Старт сх4</t>
  </si>
  <si>
    <t>Финиш сх4</t>
  </si>
  <si>
    <t>Старт сх5</t>
  </si>
  <si>
    <t>Финиш сх5</t>
  </si>
  <si>
    <t>0_</t>
  </si>
  <si>
    <t>1_</t>
  </si>
  <si>
    <t>2_</t>
  </si>
  <si>
    <t>3_</t>
  </si>
  <si>
    <t>4_</t>
  </si>
  <si>
    <t>5_</t>
  </si>
  <si>
    <t>6_</t>
  </si>
  <si>
    <t>7_</t>
  </si>
  <si>
    <t>8_</t>
  </si>
  <si>
    <t>9_</t>
  </si>
  <si>
    <t>10_</t>
  </si>
  <si>
    <t>АРТ старт</t>
  </si>
  <si>
    <t>АРТ финиш</t>
  </si>
  <si>
    <t>y:\Sequence\2022\ЮУГМУ GenBank\06 Справка ЮУГМУ GenBank.xlsx</t>
  </si>
  <si>
    <t>СправкаGB</t>
  </si>
  <si>
    <t>ВН лог</t>
  </si>
  <si>
    <t>ВН плазма лог</t>
  </si>
  <si>
    <t>ВН ликвор лог</t>
  </si>
  <si>
    <t>Aggregate Results
Descriptive Statistics (Данные о выборке ВИЧ ЦНС v2)</t>
  </si>
  <si>
    <t>Valid N</t>
  </si>
  <si>
    <t>Mode</t>
  </si>
  <si>
    <t>Frequency</t>
  </si>
  <si>
    <t>Minimum</t>
  </si>
  <si>
    <t>Maximum</t>
  </si>
  <si>
    <t>25,000th</t>
  </si>
  <si>
    <t>75,000th</t>
  </si>
  <si>
    <t>Geometric</t>
  </si>
  <si>
    <t>Harmonic</t>
  </si>
  <si>
    <t>Std.Dev.</t>
  </si>
  <si>
    <t>Average</t>
  </si>
  <si>
    <t>Range</t>
  </si>
  <si>
    <t>Quartile</t>
  </si>
  <si>
    <t>Skewness</t>
  </si>
  <si>
    <t>Kurtosis</t>
  </si>
  <si>
    <r>
      <rPr>
        <sz val="10"/>
        <color indexed="8"/>
        <rFont val="Arial"/>
        <charset val="204"/>
      </rPr>
      <t xml:space="preserve">
Variable </t>
    </r>
  </si>
  <si>
    <t>Вместе</t>
  </si>
  <si>
    <t xml:space="preserve"> variable</t>
  </si>
  <si>
    <t>Rank Sum</t>
  </si>
  <si>
    <t>U</t>
  </si>
  <si>
    <t>Z</t>
  </si>
  <si>
    <t>p-value</t>
  </si>
  <si>
    <t>2*1sided</t>
  </si>
  <si>
    <r>
      <rPr>
        <sz val="10"/>
        <color indexed="8"/>
        <rFont val="Arial"/>
        <charset val="204"/>
      </rPr>
      <t>Mann-Whitney U Test (w/ continuity correction) (Данные о выборке ВИЧ ЦНС v2)
By variable БМ
Marked tests are significant at p &lt;,05000</t>
    </r>
  </si>
  <si>
    <t>Без нулей</t>
  </si>
  <si>
    <t>no mode</t>
  </si>
  <si>
    <r>
      <rPr>
        <sz val="10"/>
        <color indexed="8"/>
        <rFont val="Arial"/>
        <family val="2"/>
        <charset val="204"/>
      </rPr>
      <t xml:space="preserve">
Variable </t>
    </r>
  </si>
  <si>
    <r>
      <rPr>
        <sz val="10"/>
        <color indexed="8"/>
        <rFont val="Arial"/>
        <family val="2"/>
        <charset val="204"/>
      </rPr>
      <t>Mann-Whitney U Test (w/ continuity correction) (Данные о выборке ВИЧ ЦНС v2)
By variable БМ
Marked tests are significant at p &lt;,05000</t>
    </r>
  </si>
  <si>
    <t>Spearman</t>
  </si>
  <si>
    <t>Pearson</t>
  </si>
  <si>
    <t>Subtype</t>
  </si>
  <si>
    <t>y:\НИР ВИЧ\2023\20 ВИЧ в ЦНС ЮУГМУ3\Материалы\Субтипы ЮУГМУ.xlsx</t>
  </si>
  <si>
    <t>A6</t>
  </si>
  <si>
    <t xml:space="preserve">B </t>
  </si>
  <si>
    <t>02_A6G</t>
  </si>
  <si>
    <t>Пробы</t>
  </si>
  <si>
    <t>рисунок 4</t>
  </si>
  <si>
    <t>без отл</t>
  </si>
  <si>
    <t>AN плазма</t>
  </si>
  <si>
    <t>AN ликвор</t>
  </si>
  <si>
    <t>Парные</t>
  </si>
  <si>
    <t>OR260486</t>
  </si>
  <si>
    <t>OR260531</t>
  </si>
  <si>
    <t>OR260532</t>
  </si>
  <si>
    <t>OR260519</t>
  </si>
  <si>
    <t>OR260536</t>
  </si>
  <si>
    <t>OR260523</t>
  </si>
  <si>
    <t>OR260482</t>
  </si>
  <si>
    <t>OR260526</t>
  </si>
  <si>
    <t>OR260518</t>
  </si>
  <si>
    <t>OR260521</t>
  </si>
  <si>
    <t>OR260480</t>
  </si>
  <si>
    <t>OR260512</t>
  </si>
  <si>
    <t>OR260533</t>
  </si>
  <si>
    <t>OR260513</t>
  </si>
  <si>
    <t>OR260534</t>
  </si>
  <si>
    <t>OR260515</t>
  </si>
  <si>
    <t>OR260527</t>
  </si>
  <si>
    <t>OR260522</t>
  </si>
  <si>
    <t>OR260481</t>
  </si>
  <si>
    <t>OR260483</t>
  </si>
  <si>
    <t>OR260520</t>
  </si>
  <si>
    <t>OR260529</t>
  </si>
  <si>
    <t>OR260484</t>
  </si>
  <si>
    <t>OR260516</t>
  </si>
  <si>
    <t>OR260535</t>
  </si>
  <si>
    <t>OR260525</t>
  </si>
  <si>
    <t>OR260489</t>
  </si>
  <si>
    <t>OR260490</t>
  </si>
  <si>
    <t>OR260491</t>
  </si>
  <si>
    <t>OR260492</t>
  </si>
  <si>
    <t>OR260514</t>
  </si>
  <si>
    <t>OR260493</t>
  </si>
  <si>
    <t>OR260494</t>
  </si>
  <si>
    <t>OR260517</t>
  </si>
  <si>
    <t>OR260528</t>
  </si>
  <si>
    <t>OR260495</t>
  </si>
  <si>
    <t>OR260485</t>
  </si>
  <si>
    <t>OR260524</t>
  </si>
  <si>
    <t>OR260530</t>
  </si>
  <si>
    <t>OR260496</t>
  </si>
  <si>
    <t>OR260487</t>
  </si>
  <si>
    <t>OR260497</t>
  </si>
  <si>
    <t>OR260488</t>
  </si>
  <si>
    <t>OR260499</t>
  </si>
  <si>
    <t>OR260503</t>
  </si>
  <si>
    <t>OR260504</t>
  </si>
  <si>
    <t>OR260505</t>
  </si>
  <si>
    <t>OR260506</t>
  </si>
  <si>
    <t>OR260507</t>
  </si>
  <si>
    <t>OR260508</t>
  </si>
  <si>
    <t>OR260498</t>
  </si>
  <si>
    <t>OR260509</t>
  </si>
  <si>
    <t>OR260510</t>
  </si>
  <si>
    <t>OR260500</t>
  </si>
  <si>
    <t>OR260511</t>
  </si>
  <si>
    <t>OR260501</t>
  </si>
  <si>
    <t>OR260502</t>
  </si>
  <si>
    <t>Гетерогенность</t>
  </si>
  <si>
    <t>DS</t>
  </si>
  <si>
    <t>ВИЧ-энцефалит</t>
  </si>
  <si>
    <t>Энцефалит токсоплазменной этиологии</t>
  </si>
  <si>
    <t>Криптококковый менингоэнцефалит</t>
  </si>
  <si>
    <t>Менингоэнцефалит туберкулезной этиологии</t>
  </si>
  <si>
    <t>ЦМВ-энцефалит</t>
  </si>
  <si>
    <t>Оппортунисты</t>
  </si>
  <si>
    <r>
      <rPr>
        <sz val="10"/>
        <color indexed="8"/>
        <rFont val="Arial"/>
        <charset val="204"/>
      </rPr>
      <t>Mann-Whitney U Test (w/ continuity correction) (Данные о выборке ВИЧ ЦНС v3)
By variable Оппортунисты
Marked tests are significant at p &lt;,05000</t>
    </r>
  </si>
  <si>
    <t>n =</t>
  </si>
  <si>
    <t>Логит регрессия: ВН плазма, ликвор VS оппортунистические инфекции</t>
  </si>
  <si>
    <t xml:space="preserve"> N=38</t>
  </si>
  <si>
    <t xml:space="preserve">Model: Logistic regression (logit) N of 0's: 16 1's: 22 (Данные о выборке ВИЧ ЦНС v3)
Dep. var: Оппортунисты Loss: Max likelihood
Final loss: 24,063923198 Chi?( 2)=3,6000 p=,16532
Modeled probability that ВН ликвор лог = 0,              </t>
  </si>
  <si>
    <t>Const.B0</t>
  </si>
  <si>
    <t>Estimate</t>
  </si>
  <si>
    <t>Odds ratio (unit ch)</t>
  </si>
  <si>
    <t>Odds ratio (range)</t>
  </si>
  <si>
    <t xml:space="preserve"> </t>
  </si>
  <si>
    <t xml:space="preserve">Model is: Logistic regression (logit) (Данные о выборке ВИЧ ЦНС v3)
Dep. Var. : Оппортунисты
Modeled probability that ВН ликвор лог = 0,              </t>
  </si>
  <si>
    <t>Observed</t>
  </si>
  <si>
    <t>Predicted</t>
  </si>
  <si>
    <t>Residuals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</si>
  <si>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</si>
  <si>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</si>
  <si>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</si>
  <si>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</si>
  <si>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</si>
  <si>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</si>
  <si>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</si>
  <si>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</si>
  <si>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</si>
  <si>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</si>
  <si>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</si>
  <si>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</si>
  <si>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</si>
  <si>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</si>
  <si>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</si>
  <si>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</si>
  <si>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</si>
  <si>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</si>
  <si>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</si>
  <si>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</si>
  <si>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</si>
  <si>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</si>
  <si>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</si>
  <si>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</si>
  <si>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</si>
  <si>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</si>
  <si>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</si>
  <si>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</si>
  <si>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</si>
  <si>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</si>
  <si>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</si>
  <si>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</si>
  <si>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</si>
  <si>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</si>
  <si>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</si>
  <si>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</si>
  <si>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</si>
  <si>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</si>
  <si>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Медиана плазма</t>
  </si>
  <si>
    <t>Медиана ликвор</t>
  </si>
  <si>
    <t>плазма+</t>
  </si>
  <si>
    <t>Родственники</t>
  </si>
  <si>
    <t>y:\НИР ВИЧ\2023\20 ВИЧ в ЦНС ЮУГМУ3\Статья\Материалы\Данные о ФГА.xlsx</t>
  </si>
  <si>
    <t>Номер клады</t>
  </si>
  <si>
    <t>IDD1</t>
  </si>
  <si>
    <t>Разные</t>
  </si>
  <si>
    <t>Кл_плазма</t>
  </si>
  <si>
    <t>Кл_ликвор</t>
  </si>
  <si>
    <t>Кл_разные</t>
  </si>
  <si>
    <t>Кл3</t>
  </si>
  <si>
    <t>Названия строк</t>
  </si>
  <si>
    <t>Общий итог</t>
  </si>
  <si>
    <t>Названия столбцов</t>
  </si>
  <si>
    <t>(пусто)</t>
  </si>
  <si>
    <t>Количество по полю Subtype</t>
  </si>
  <si>
    <t>ЦМВ-энцефалит CMV</t>
  </si>
  <si>
    <t>Столбец1</t>
  </si>
  <si>
    <t>Сумма</t>
  </si>
  <si>
    <t>Среднее</t>
  </si>
  <si>
    <t>С нарастающим итогом</t>
  </si>
  <si>
    <t>Количество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</si>
</sst>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%"/>
    <numFmt numFmtId="165" formatCode="0.000000"/>
    <numFmt numFmtId="166" formatCode="0.00000"/>
    <numFmt numFmtId="167" formatCode="0.0000"/>
    <numFmt numFmtId="168" formatCode="0.000"/>
  </numFmts>
  <fonts count="22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2.65"/>
      <color theme="1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vertAlign val="superscript"/>
      <sz val="12"/>
      <color theme="1"/>
      <name val="Times New Roman"/>
      <family val="1"/>
      <charset val="204"/>
    </font>
    <font>
      <b/>
      <sz val="1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0"/>
      <name val="Arial"/>
      <charset val="204"/>
    </font>
    <font>
      <sz val="10"/>
      <color indexed="8"/>
      <name val="Arial"/>
      <charset val="204"/>
    </font>
    <font>
      <sz val="10"/>
      <color indexed="10"/>
      <name val="Arial"/>
      <charset val="204"/>
    </font>
    <font>
      <b/>
      <sz val="10"/>
      <color indexed="8"/>
      <name val="Arial"/>
      <family val="2"/>
      <charset val="204"/>
    </font>
    <font>
      <sz val="10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10"/>
      <name val="Arial"/>
      <family val="2"/>
      <charset val="204"/>
    </font>
    <font>
      <b/>
      <sz val="11"/>
      <color rgb="FFFF0000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rgb="FFFFFF00"/>
        <bgColor theme="9"/>
      </patternFill>
    </fill>
    <fill>
      <patternFill patternType="solid">
        <fgColor rgb="FFFFFF00"/>
        <bgColor theme="9" tint="0.79998168889431442"/>
      </patternFill>
    </fill>
  </fills>
  <borders count="6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</borders>
  <cellStyleXfs count="4">
    <xf numFmtId="0" fontId="0" fillId="0" borderId="0"/>
    <xf numFmtId="9" fontId="2" fillId="0" borderId="0" applyFont="0" applyFill="0" applyBorder="0" applyAlignment="0" applyProtection="0"/>
    <xf numFmtId="0" fontId="12" fillId="0" borderId="0"/>
    <xf numFmtId="0" fontId="16" fillId="0" borderId="0"/>
  </cellStyleXfs>
  <cellXfs count="60">
    <xf numFmtId="0" fontId="0" fillId="0" borderId="0" xfId="0"/>
    <xf numFmtId="14" fontId="0" fillId="0" borderId="0" xfId="0" applyNumberFormat="1"/>
    <xf numFmtId="0" fontId="3" fillId="2" borderId="1" xfId="0" applyFont="1" applyFill="1" applyBorder="1"/>
    <xf numFmtId="0" fontId="3" fillId="2" borderId="2" xfId="0" applyFont="1" applyFill="1" applyBorder="1"/>
    <xf numFmtId="0" fontId="0" fillId="3" borderId="1" xfId="0" applyFill="1" applyBorder="1"/>
    <xf numFmtId="0" fontId="0" fillId="0" borderId="1" xfId="0" applyBorder="1"/>
    <xf numFmtId="0" fontId="4" fillId="0" borderId="0" xfId="0" applyFont="1"/>
    <xf numFmtId="0" fontId="0" fillId="0" borderId="0" xfId="0" applyAlignment="1">
      <alignment vertical="top" wrapText="1"/>
    </xf>
    <xf numFmtId="10" fontId="0" fillId="0" borderId="0" xfId="1" applyNumberFormat="1" applyFont="1"/>
    <xf numFmtId="164" fontId="0" fillId="0" borderId="0" xfId="1" applyNumberFormat="1" applyFont="1"/>
    <xf numFmtId="11" fontId="0" fillId="0" borderId="0" xfId="0" applyNumberFormat="1"/>
    <xf numFmtId="0" fontId="0" fillId="4" borderId="0" xfId="0" applyFill="1"/>
    <xf numFmtId="10" fontId="7" fillId="0" borderId="0" xfId="1" applyNumberFormat="1" applyFont="1"/>
    <xf numFmtId="0" fontId="8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0" fillId="2" borderId="1" xfId="0" applyFont="1" applyFill="1" applyBorder="1"/>
    <xf numFmtId="0" fontId="3" fillId="5" borderId="3" xfId="0" applyFont="1" applyFill="1" applyBorder="1"/>
    <xf numFmtId="0" fontId="3" fillId="5" borderId="4" xfId="0" applyFont="1" applyFill="1" applyBorder="1"/>
    <xf numFmtId="0" fontId="13" fillId="0" borderId="0" xfId="2" applyFont="1" applyAlignment="1">
      <alignment horizontal="center" vertical="top" wrapText="1"/>
    </xf>
    <xf numFmtId="0" fontId="13" fillId="0" borderId="0" xfId="2" applyFont="1" applyAlignment="1">
      <alignment horizontal="left" vertical="center"/>
    </xf>
    <xf numFmtId="0" fontId="13" fillId="0" borderId="0" xfId="2" applyFont="1" applyAlignment="1">
      <alignment horizontal="right" vertical="center"/>
    </xf>
    <xf numFmtId="165" fontId="13" fillId="0" borderId="0" xfId="2" applyNumberFormat="1" applyFont="1" applyAlignment="1">
      <alignment horizontal="right" vertical="center"/>
    </xf>
    <xf numFmtId="1" fontId="13" fillId="0" borderId="0" xfId="2" applyNumberFormat="1" applyFont="1" applyAlignment="1">
      <alignment horizontal="right" vertical="center"/>
    </xf>
    <xf numFmtId="2" fontId="13" fillId="0" borderId="0" xfId="2" applyNumberFormat="1" applyFont="1" applyAlignment="1">
      <alignment horizontal="right" vertical="center"/>
    </xf>
    <xf numFmtId="166" fontId="13" fillId="0" borderId="0" xfId="2" applyNumberFormat="1" applyFont="1" applyAlignment="1">
      <alignment horizontal="right" vertical="center"/>
    </xf>
    <xf numFmtId="167" fontId="13" fillId="0" borderId="0" xfId="2" applyNumberFormat="1" applyFont="1" applyAlignment="1">
      <alignment horizontal="right" vertical="center"/>
    </xf>
    <xf numFmtId="168" fontId="13" fillId="0" borderId="0" xfId="2" applyNumberFormat="1" applyFont="1" applyAlignment="1">
      <alignment horizontal="right" vertical="center"/>
    </xf>
    <xf numFmtId="165" fontId="14" fillId="0" borderId="0" xfId="2" applyNumberFormat="1" applyFont="1" applyAlignment="1">
      <alignment horizontal="right" vertical="center"/>
    </xf>
    <xf numFmtId="165" fontId="15" fillId="0" borderId="0" xfId="2" applyNumberFormat="1" applyFont="1" applyAlignment="1">
      <alignment horizontal="right" vertical="center"/>
    </xf>
    <xf numFmtId="0" fontId="17" fillId="0" borderId="0" xfId="3" applyFont="1" applyAlignment="1">
      <alignment horizontal="right" vertical="center"/>
    </xf>
    <xf numFmtId="1" fontId="17" fillId="0" borderId="0" xfId="3" applyNumberFormat="1" applyFont="1" applyAlignment="1">
      <alignment horizontal="right" vertical="center"/>
    </xf>
    <xf numFmtId="165" fontId="17" fillId="0" borderId="0" xfId="3" applyNumberFormat="1" applyFont="1" applyAlignment="1">
      <alignment horizontal="right" vertical="center"/>
    </xf>
    <xf numFmtId="168" fontId="17" fillId="0" borderId="0" xfId="3" applyNumberFormat="1" applyFont="1" applyAlignment="1">
      <alignment horizontal="right" vertical="center"/>
    </xf>
    <xf numFmtId="167" fontId="17" fillId="0" borderId="0" xfId="3" applyNumberFormat="1" applyFont="1" applyAlignment="1">
      <alignment horizontal="right" vertical="center"/>
    </xf>
    <xf numFmtId="165" fontId="18" fillId="0" borderId="0" xfId="3" applyNumberFormat="1" applyFont="1" applyAlignment="1">
      <alignment horizontal="right" vertical="center"/>
    </xf>
    <xf numFmtId="0" fontId="17" fillId="0" borderId="0" xfId="3" applyFont="1" applyAlignment="1">
      <alignment horizontal="center" vertical="top" wrapText="1"/>
    </xf>
    <xf numFmtId="0" fontId="17" fillId="0" borderId="0" xfId="3" applyFont="1" applyAlignment="1">
      <alignment horizontal="left" vertical="center"/>
    </xf>
    <xf numFmtId="165" fontId="15" fillId="0" borderId="0" xfId="3" applyNumberFormat="1" applyFont="1" applyAlignment="1">
      <alignment horizontal="right" vertical="center"/>
    </xf>
    <xf numFmtId="0" fontId="0" fillId="6" borderId="0" xfId="0" applyFill="1"/>
    <xf numFmtId="0" fontId="11" fillId="0" borderId="0" xfId="0" applyFont="1"/>
    <xf numFmtId="0" fontId="19" fillId="6" borderId="0" xfId="0" applyFont="1" applyFill="1"/>
    <xf numFmtId="0" fontId="0" fillId="3" borderId="2" xfId="0" applyFill="1" applyBorder="1"/>
    <xf numFmtId="0" fontId="0" fillId="0" borderId="2" xfId="0" applyBorder="1"/>
    <xf numFmtId="0" fontId="20" fillId="0" borderId="0" xfId="0" applyFont="1"/>
    <xf numFmtId="0" fontId="3" fillId="2" borderId="0" xfId="0" applyFont="1" applyFill="1"/>
    <xf numFmtId="0" fontId="0" fillId="3" borderId="0" xfId="0" applyFill="1"/>
    <xf numFmtId="0" fontId="0" fillId="3" borderId="5" xfId="0" applyFill="1" applyBorder="1"/>
    <xf numFmtId="0" fontId="0" fillId="0" borderId="5" xfId="0" applyBorder="1"/>
    <xf numFmtId="0" fontId="0" fillId="7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10" fillId="8" borderId="1" xfId="0" applyFont="1" applyFill="1" applyBorder="1"/>
    <xf numFmtId="0" fontId="21" fillId="6" borderId="1" xfId="0" applyFont="1" applyFill="1" applyBorder="1"/>
    <xf numFmtId="0" fontId="21" fillId="9" borderId="1" xfId="0" applyFont="1" applyFill="1" applyBorder="1"/>
    <xf numFmtId="0" fontId="17" fillId="0" borderId="0" xfId="3" applyFont="1" applyAlignment="1">
      <alignment horizontal="left"/>
    </xf>
    <xf numFmtId="0" fontId="16" fillId="0" borderId="0" xfId="3"/>
    <xf numFmtId="0" fontId="17" fillId="0" borderId="0" xfId="3" applyFont="1" applyAlignment="1">
      <alignment horizontal="left" vertical="top"/>
    </xf>
    <xf numFmtId="0" fontId="13" fillId="0" borderId="0" xfId="2" applyFont="1" applyAlignment="1">
      <alignment horizontal="left"/>
    </xf>
    <xf numFmtId="0" fontId="12" fillId="0" borderId="0" xfId="2"/>
    <xf numFmtId="0" fontId="13" fillId="0" borderId="0" xfId="2" applyFont="1" applyAlignment="1">
      <alignment horizontal="left" vertical="top"/>
    </xf>
  </cellXfs>
  <cellStyles count="4">
    <cellStyle name="Обычный" xfId="0" builtinId="0"/>
    <cellStyle name="Обычный_Stat_res" xfId="2" xr:uid="{07183360-0F52-408E-9D6E-2173C2749132}"/>
    <cellStyle name="Обычный_Stat_res_1" xfId="3" xr:uid="{50B1379C-BF84-4895-B5B7-7D5E1506A478}"/>
    <cellStyle name="Процентный" xfId="1" builtinId="5"/>
  </cellStyles>
  <dxfs count="19"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204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Diag1!$D$7:$E$7</c:f>
          <c:strCache>
            <c:ptCount val="2"/>
            <c:pt idx="0">
              <c:v>n =</c:v>
            </c:pt>
            <c:pt idx="1">
              <c:v>38</c:v>
            </c:pt>
          </c:strCache>
        </c:strRef>
      </c:tx>
      <c:layout>
        <c:manualLayout>
          <c:xMode val="edge"/>
          <c:yMode val="edge"/>
          <c:x val="0.47949300087489066"/>
          <c:y val="0.444444444444444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26111111111111113"/>
          <c:y val="4.6296296296296294E-2"/>
          <c:w val="0.53888888888888886"/>
          <c:h val="0.89814814814814814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F56-41CA-A23F-226E045AC22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0F56-41CA-A23F-226E045AC22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F56-41CA-A23F-226E045AC22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0F56-41CA-A23F-226E045AC22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F56-41CA-A23F-226E045AC220}"/>
              </c:ext>
            </c:extLst>
          </c:dPt>
          <c:dLbls>
            <c:dLbl>
              <c:idx val="0"/>
              <c:layout>
                <c:manualLayout>
                  <c:x val="8.3333333333333332E-3"/>
                  <c:y val="3.2407589676290441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1" i="0" u="none" strike="noStrike" kern="1200" baseline="0">
                      <a:solidFill>
                        <a:schemeClr val="bg1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ru-RU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4620844269466316"/>
                      <c:h val="0.1575696267133274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0F56-41CA-A23F-226E045AC220}"/>
                </c:ext>
              </c:extLst>
            </c:dLbl>
            <c:dLbl>
              <c:idx val="1"/>
              <c:layout>
                <c:manualLayout>
                  <c:x val="0.2027778871391076"/>
                  <c:y val="0.1435185185185185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3687510936132977"/>
                      <c:h val="0.2173148148148148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4-0F56-41CA-A23F-226E045AC220}"/>
                </c:ext>
              </c:extLst>
            </c:dLbl>
            <c:dLbl>
              <c:idx val="2"/>
              <c:layout>
                <c:manualLayout>
                  <c:x val="-0.22222200349956256"/>
                  <c:y val="0.1273148148148148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6547222222222222"/>
                      <c:h val="0.194166666666666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0F56-41CA-A23F-226E045AC220}"/>
                </c:ext>
              </c:extLst>
            </c:dLbl>
            <c:dLbl>
              <c:idx val="3"/>
              <c:layout>
                <c:manualLayout>
                  <c:x val="-0.23472222222222222"/>
                  <c:y val="6.2499999999999917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4330555555555555"/>
                      <c:h val="0.22650481189851268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6-0F56-41CA-A23F-226E045AC220}"/>
                </c:ext>
              </c:extLst>
            </c:dLbl>
            <c:dLbl>
              <c:idx val="4"/>
              <c:layout>
                <c:manualLayout>
                  <c:x val="-0.22500000000000003"/>
                  <c:y val="-0.1111111111111111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3919444444444443"/>
                      <c:h val="0.2915277777777777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0F56-41CA-A23F-226E045AC22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ru-RU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/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Diag1!$D$2:$D$6</c:f>
              <c:strCache>
                <c:ptCount val="5"/>
                <c:pt idx="0">
                  <c:v>ВИЧ-энцефалит</c:v>
                </c:pt>
                <c:pt idx="1">
                  <c:v>Энцефалит токсоплазменной этиологии</c:v>
                </c:pt>
                <c:pt idx="2">
                  <c:v>Криптококковый менингоэнцефалит</c:v>
                </c:pt>
                <c:pt idx="3">
                  <c:v>Менингоэнцефалит туберкулезной этиологии</c:v>
                </c:pt>
                <c:pt idx="4">
                  <c:v>ЦМВ-энцефалит CMV</c:v>
                </c:pt>
              </c:strCache>
            </c:strRef>
          </c:cat>
          <c:val>
            <c:numRef>
              <c:f>Diag1!$E$2:$E$6</c:f>
              <c:numCache>
                <c:formatCode>General</c:formatCode>
                <c:ptCount val="5"/>
                <c:pt idx="0">
                  <c:v>18</c:v>
                </c:pt>
                <c:pt idx="1">
                  <c:v>10</c:v>
                </c:pt>
                <c:pt idx="2">
                  <c:v>6</c:v>
                </c:pt>
                <c:pt idx="3">
                  <c:v>3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56-41CA-A23F-226E045AC22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273"/>
        <c:holeSize val="37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b="1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Diagr2_!$B$1</c:f>
              <c:strCache>
                <c:ptCount val="1"/>
                <c:pt idx="0">
                  <c:v>плазма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val>
            <c:numRef>
              <c:f>Diagr2_!$B$2:$B$39</c:f>
              <c:numCache>
                <c:formatCode>General</c:formatCode>
                <c:ptCount val="38"/>
                <c:pt idx="0">
                  <c:v>-5.4313637641589869</c:v>
                </c:pt>
                <c:pt idx="1">
                  <c:v>-4.2848591767337636</c:v>
                </c:pt>
                <c:pt idx="2">
                  <c:v>0</c:v>
                </c:pt>
                <c:pt idx="3">
                  <c:v>-3.7193312869837265</c:v>
                </c:pt>
                <c:pt idx="4">
                  <c:v>0</c:v>
                </c:pt>
                <c:pt idx="5">
                  <c:v>-5.2988530764097064</c:v>
                </c:pt>
                <c:pt idx="6">
                  <c:v>-4.4548448600085102</c:v>
                </c:pt>
                <c:pt idx="7">
                  <c:v>-4.4376713047707286</c:v>
                </c:pt>
                <c:pt idx="8">
                  <c:v>-4.8353417278283422</c:v>
                </c:pt>
                <c:pt idx="9">
                  <c:v>-4.1779114760940095</c:v>
                </c:pt>
                <c:pt idx="10">
                  <c:v>-5.9508514588885468</c:v>
                </c:pt>
                <c:pt idx="11">
                  <c:v>-4.9781805169374138</c:v>
                </c:pt>
                <c:pt idx="12">
                  <c:v>-4.5297254306108163</c:v>
                </c:pt>
                <c:pt idx="13">
                  <c:v>-5.8662873390841952</c:v>
                </c:pt>
                <c:pt idx="14">
                  <c:v>-4.3037143086537109</c:v>
                </c:pt>
                <c:pt idx="15">
                  <c:v>-5.7937903846908183</c:v>
                </c:pt>
                <c:pt idx="16">
                  <c:v>-6.5263392773898437</c:v>
                </c:pt>
                <c:pt idx="17">
                  <c:v>-5.1102832394161606</c:v>
                </c:pt>
                <c:pt idx="18">
                  <c:v>-4.0934216851622347</c:v>
                </c:pt>
                <c:pt idx="19">
                  <c:v>-4.3673559210260189</c:v>
                </c:pt>
                <c:pt idx="20">
                  <c:v>-4.7633755755484533</c:v>
                </c:pt>
                <c:pt idx="21">
                  <c:v>-4.8623758993895052</c:v>
                </c:pt>
                <c:pt idx="22">
                  <c:v>-5.5428254269591797</c:v>
                </c:pt>
                <c:pt idx="23">
                  <c:v>-2.3010299956639813</c:v>
                </c:pt>
                <c:pt idx="24">
                  <c:v>-4.2479732663618064</c:v>
                </c:pt>
                <c:pt idx="25">
                  <c:v>-3.2808059283936668</c:v>
                </c:pt>
                <c:pt idx="26">
                  <c:v>-3.6232492903979003</c:v>
                </c:pt>
                <c:pt idx="27">
                  <c:v>-4.997582952095966</c:v>
                </c:pt>
                <c:pt idx="28">
                  <c:v>-5.9278834103307068</c:v>
                </c:pt>
                <c:pt idx="29">
                  <c:v>-5.7754713641350071</c:v>
                </c:pt>
                <c:pt idx="30">
                  <c:v>-4.5118833609788744</c:v>
                </c:pt>
                <c:pt idx="31">
                  <c:v>-5.10210082486359</c:v>
                </c:pt>
                <c:pt idx="32">
                  <c:v>-5.5705429398818973</c:v>
                </c:pt>
                <c:pt idx="33">
                  <c:v>-3.6937269489236471</c:v>
                </c:pt>
                <c:pt idx="34">
                  <c:v>-3.6989700043360187</c:v>
                </c:pt>
                <c:pt idx="35">
                  <c:v>-4.5789255894587679</c:v>
                </c:pt>
                <c:pt idx="36">
                  <c:v>-6.7693773260761381</c:v>
                </c:pt>
                <c:pt idx="37">
                  <c:v>-4.7831886910752575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F7-4B76-86C4-921115CF13E7}"/>
            </c:ext>
          </c:extLst>
        </c:ser>
        <c:ser>
          <c:idx val="1"/>
          <c:order val="1"/>
          <c:tx>
            <c:strRef>
              <c:f>Diagr2_!$C$1</c:f>
              <c:strCache>
                <c:ptCount val="1"/>
                <c:pt idx="0">
                  <c:v>ликвор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invertIfNegative val="0"/>
          <c:val>
            <c:numRef>
              <c:f>Diagr2_!$C$2:$C$39</c:f>
              <c:numCache>
                <c:formatCode>General</c:formatCode>
                <c:ptCount val="38"/>
                <c:pt idx="0">
                  <c:v>3.8512583487190755</c:v>
                </c:pt>
                <c:pt idx="1">
                  <c:v>3.1972805581256192</c:v>
                </c:pt>
                <c:pt idx="2">
                  <c:v>4.4880286854829441</c:v>
                </c:pt>
                <c:pt idx="3">
                  <c:v>0</c:v>
                </c:pt>
                <c:pt idx="4">
                  <c:v>3.5177235948337358</c:v>
                </c:pt>
                <c:pt idx="5">
                  <c:v>2.7226339225338121</c:v>
                </c:pt>
                <c:pt idx="6">
                  <c:v>0</c:v>
                </c:pt>
                <c:pt idx="7">
                  <c:v>5.9408809003034158</c:v>
                </c:pt>
                <c:pt idx="8">
                  <c:v>2.8419848045901137</c:v>
                </c:pt>
                <c:pt idx="9">
                  <c:v>5.177608635879186</c:v>
                </c:pt>
                <c:pt idx="10">
                  <c:v>4.6462174200110669</c:v>
                </c:pt>
                <c:pt idx="11">
                  <c:v>4.9065720609521977</c:v>
                </c:pt>
                <c:pt idx="12">
                  <c:v>2.7715874808812555</c:v>
                </c:pt>
                <c:pt idx="13">
                  <c:v>3.3159703454569178</c:v>
                </c:pt>
                <c:pt idx="14">
                  <c:v>2.3263358609287512</c:v>
                </c:pt>
                <c:pt idx="15">
                  <c:v>4.6748611407378116</c:v>
                </c:pt>
                <c:pt idx="16">
                  <c:v>5.4653828514484184</c:v>
                </c:pt>
                <c:pt idx="17">
                  <c:v>0</c:v>
                </c:pt>
                <c:pt idx="18">
                  <c:v>2.6711728427150834</c:v>
                </c:pt>
                <c:pt idx="19">
                  <c:v>3.8964711004792774</c:v>
                </c:pt>
                <c:pt idx="20">
                  <c:v>4.4387321628109433</c:v>
                </c:pt>
                <c:pt idx="21">
                  <c:v>0</c:v>
                </c:pt>
                <c:pt idx="22">
                  <c:v>4.6599162000698504</c:v>
                </c:pt>
                <c:pt idx="23">
                  <c:v>0</c:v>
                </c:pt>
                <c:pt idx="24">
                  <c:v>4.452261904093934</c:v>
                </c:pt>
                <c:pt idx="25">
                  <c:v>3.7307015442818452</c:v>
                </c:pt>
                <c:pt idx="26">
                  <c:v>2.3010299956639813</c:v>
                </c:pt>
                <c:pt idx="27">
                  <c:v>5.6525886119890396</c:v>
                </c:pt>
                <c:pt idx="28">
                  <c:v>4.1635191625698784</c:v>
                </c:pt>
                <c:pt idx="29">
                  <c:v>3.6578204560156973</c:v>
                </c:pt>
                <c:pt idx="30">
                  <c:v>4.4785664955938431</c:v>
                </c:pt>
                <c:pt idx="31">
                  <c:v>5.0431146006008563</c:v>
                </c:pt>
                <c:pt idx="32">
                  <c:v>4.9296028232604847</c:v>
                </c:pt>
                <c:pt idx="33">
                  <c:v>2.3010299956639813</c:v>
                </c:pt>
                <c:pt idx="34">
                  <c:v>4.2552725051033065</c:v>
                </c:pt>
                <c:pt idx="35">
                  <c:v>4.5725928210962863</c:v>
                </c:pt>
                <c:pt idx="36">
                  <c:v>4.9632871560873273</c:v>
                </c:pt>
                <c:pt idx="37">
                  <c:v>3.5704261783589728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F7-4B76-86C4-921115CF13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"/>
        <c:overlap val="100"/>
        <c:axId val="1025692592"/>
        <c:axId val="1025683736"/>
      </c:barChart>
      <c:lineChart>
        <c:grouping val="standard"/>
        <c:varyColors val="0"/>
        <c:ser>
          <c:idx val="2"/>
          <c:order val="2"/>
          <c:spPr>
            <a:ln w="158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Diagr2_!$F$2:$F$39</c:f>
              <c:numCache>
                <c:formatCode>General</c:formatCode>
                <c:ptCount val="38"/>
                <c:pt idx="0">
                  <c:v>-4.6711505825036106</c:v>
                </c:pt>
                <c:pt idx="1">
                  <c:v>-4.6711505825036106</c:v>
                </c:pt>
                <c:pt idx="2">
                  <c:v>-4.6711505825036106</c:v>
                </c:pt>
                <c:pt idx="3">
                  <c:v>-4.6711505825036106</c:v>
                </c:pt>
                <c:pt idx="4">
                  <c:v>-4.6711505825036106</c:v>
                </c:pt>
                <c:pt idx="5">
                  <c:v>-4.6711505825036106</c:v>
                </c:pt>
                <c:pt idx="6">
                  <c:v>-4.6711505825036106</c:v>
                </c:pt>
                <c:pt idx="7">
                  <c:v>-4.6711505825036106</c:v>
                </c:pt>
                <c:pt idx="8">
                  <c:v>-4.6711505825036106</c:v>
                </c:pt>
                <c:pt idx="9">
                  <c:v>-4.6711505825036106</c:v>
                </c:pt>
                <c:pt idx="10">
                  <c:v>-4.6711505825036106</c:v>
                </c:pt>
                <c:pt idx="11">
                  <c:v>-4.6711505825036106</c:v>
                </c:pt>
                <c:pt idx="12">
                  <c:v>-4.6711505825036106</c:v>
                </c:pt>
                <c:pt idx="13">
                  <c:v>-4.6711505825036106</c:v>
                </c:pt>
                <c:pt idx="14">
                  <c:v>-4.6711505825036106</c:v>
                </c:pt>
                <c:pt idx="15">
                  <c:v>-4.6711505825036106</c:v>
                </c:pt>
                <c:pt idx="16">
                  <c:v>-4.6711505825036106</c:v>
                </c:pt>
                <c:pt idx="17">
                  <c:v>-4.6711505825036106</c:v>
                </c:pt>
                <c:pt idx="18">
                  <c:v>-4.6711505825036106</c:v>
                </c:pt>
                <c:pt idx="19">
                  <c:v>-4.6711505825036106</c:v>
                </c:pt>
                <c:pt idx="20">
                  <c:v>-4.6711505825036106</c:v>
                </c:pt>
                <c:pt idx="21">
                  <c:v>-4.6711505825036106</c:v>
                </c:pt>
                <c:pt idx="22">
                  <c:v>-4.6711505825036106</c:v>
                </c:pt>
                <c:pt idx="23">
                  <c:v>-4.6711505825036106</c:v>
                </c:pt>
                <c:pt idx="24">
                  <c:v>-4.6711505825036106</c:v>
                </c:pt>
                <c:pt idx="25">
                  <c:v>-4.6711505825036106</c:v>
                </c:pt>
                <c:pt idx="26">
                  <c:v>-4.6711505825036106</c:v>
                </c:pt>
                <c:pt idx="27">
                  <c:v>-4.6711505825036106</c:v>
                </c:pt>
                <c:pt idx="28">
                  <c:v>-4.6711505825036106</c:v>
                </c:pt>
                <c:pt idx="29">
                  <c:v>-4.6711505825036106</c:v>
                </c:pt>
                <c:pt idx="30">
                  <c:v>-4.6711505825036106</c:v>
                </c:pt>
                <c:pt idx="31">
                  <c:v>-4.6711505825036106</c:v>
                </c:pt>
                <c:pt idx="32">
                  <c:v>-4.6711505825036106</c:v>
                </c:pt>
                <c:pt idx="33">
                  <c:v>-4.6711505825036106</c:v>
                </c:pt>
                <c:pt idx="34">
                  <c:v>-4.6711505825036106</c:v>
                </c:pt>
                <c:pt idx="35">
                  <c:v>-4.6711505825036106</c:v>
                </c:pt>
                <c:pt idx="36">
                  <c:v>-4.6711505825036106</c:v>
                </c:pt>
                <c:pt idx="37">
                  <c:v>-4.6711505825036106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46-47FF-BA5D-F695D231B089}"/>
            </c:ext>
          </c:extLst>
        </c:ser>
        <c:ser>
          <c:idx val="3"/>
          <c:order val="3"/>
          <c:spPr>
            <a:ln w="158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Diagr2_!$G$2:$G$39</c:f>
              <c:numCache>
                <c:formatCode>General</c:formatCode>
                <c:ptCount val="38"/>
                <c:pt idx="0">
                  <c:v>3.8738647245991764</c:v>
                </c:pt>
                <c:pt idx="1">
                  <c:v>3.8738647245991764</c:v>
                </c:pt>
                <c:pt idx="2">
                  <c:v>3.8738647245991764</c:v>
                </c:pt>
                <c:pt idx="3">
                  <c:v>3.8738647245991764</c:v>
                </c:pt>
                <c:pt idx="4">
                  <c:v>3.8738647245991764</c:v>
                </c:pt>
                <c:pt idx="5">
                  <c:v>3.8738647245991764</c:v>
                </c:pt>
                <c:pt idx="6">
                  <c:v>3.8738647245991764</c:v>
                </c:pt>
                <c:pt idx="7">
                  <c:v>3.8738647245991764</c:v>
                </c:pt>
                <c:pt idx="8">
                  <c:v>3.8738647245991764</c:v>
                </c:pt>
                <c:pt idx="9">
                  <c:v>3.8738647245991764</c:v>
                </c:pt>
                <c:pt idx="10">
                  <c:v>3.8738647245991764</c:v>
                </c:pt>
                <c:pt idx="11">
                  <c:v>3.8738647245991764</c:v>
                </c:pt>
                <c:pt idx="12">
                  <c:v>3.8738647245991764</c:v>
                </c:pt>
                <c:pt idx="13">
                  <c:v>3.8738647245991764</c:v>
                </c:pt>
                <c:pt idx="14">
                  <c:v>3.8738647245991764</c:v>
                </c:pt>
                <c:pt idx="15">
                  <c:v>3.8738647245991764</c:v>
                </c:pt>
                <c:pt idx="16">
                  <c:v>3.8738647245991764</c:v>
                </c:pt>
                <c:pt idx="17">
                  <c:v>3.8738647245991764</c:v>
                </c:pt>
                <c:pt idx="18">
                  <c:v>3.8738647245991764</c:v>
                </c:pt>
                <c:pt idx="19">
                  <c:v>3.8738647245991764</c:v>
                </c:pt>
                <c:pt idx="20">
                  <c:v>3.8738647245991764</c:v>
                </c:pt>
                <c:pt idx="21">
                  <c:v>3.8738647245991764</c:v>
                </c:pt>
                <c:pt idx="22">
                  <c:v>3.8738647245991764</c:v>
                </c:pt>
                <c:pt idx="23">
                  <c:v>3.8738647245991764</c:v>
                </c:pt>
                <c:pt idx="24">
                  <c:v>3.8738647245991764</c:v>
                </c:pt>
                <c:pt idx="25">
                  <c:v>3.8738647245991764</c:v>
                </c:pt>
                <c:pt idx="26">
                  <c:v>3.8738647245991764</c:v>
                </c:pt>
                <c:pt idx="27">
                  <c:v>3.8738647245991764</c:v>
                </c:pt>
                <c:pt idx="28">
                  <c:v>3.8738647245991764</c:v>
                </c:pt>
                <c:pt idx="29">
                  <c:v>3.8738647245991764</c:v>
                </c:pt>
                <c:pt idx="30">
                  <c:v>3.8738647245991764</c:v>
                </c:pt>
                <c:pt idx="31">
                  <c:v>3.8738647245991764</c:v>
                </c:pt>
                <c:pt idx="32">
                  <c:v>3.8738647245991764</c:v>
                </c:pt>
                <c:pt idx="33">
                  <c:v>3.8738647245991764</c:v>
                </c:pt>
                <c:pt idx="34">
                  <c:v>3.8738647245991764</c:v>
                </c:pt>
                <c:pt idx="35">
                  <c:v>3.8738647245991764</c:v>
                </c:pt>
                <c:pt idx="36">
                  <c:v>3.8738647245991764</c:v>
                </c:pt>
                <c:pt idx="37">
                  <c:v>3.8738647245991764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F46-47FF-BA5D-F695D231B0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5692592"/>
        <c:axId val="1025683736"/>
      </c:lineChart>
      <c:catAx>
        <c:axId val="1025692592"/>
        <c:scaling>
          <c:orientation val="minMax"/>
        </c:scaling>
        <c:delete val="1"/>
        <c:axPos val="b"/>
        <c:majorTickMark val="none"/>
        <c:minorTickMark val="none"/>
        <c:tickLblPos val="nextTo"/>
        <c:crossAx val="1025683736"/>
        <c:crosses val="autoZero"/>
        <c:auto val="1"/>
        <c:lblAlgn val="ctr"/>
        <c:lblOffset val="100"/>
        <c:noMultiLvlLbl val="0"/>
      </c:catAx>
      <c:valAx>
        <c:axId val="1025683736"/>
        <c:scaling>
          <c:orientation val="minMax"/>
          <c:min val="-7"/>
        </c:scaling>
        <c:delete val="0"/>
        <c:axPos val="l"/>
        <c:numFmt formatCode="#.##0;#.##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025692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1276776548724286E-2"/>
          <c:y val="0.17127486366667974"/>
          <c:w val="0.89705452324814083"/>
          <c:h val="0.65745027266664047"/>
        </c:manualLayout>
      </c:layout>
      <c:areaChart>
        <c:grouping val="standard"/>
        <c:varyColors val="0"/>
        <c:ser>
          <c:idx val="1"/>
          <c:order val="1"/>
          <c:tx>
            <c:strRef>
              <c:f>Diagr2_!$E$1</c:f>
              <c:strCache>
                <c:ptCount val="1"/>
                <c:pt idx="0">
                  <c:v>CD4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val>
            <c:numRef>
              <c:f>Diagr2_!$F$2</c:f>
              <c:numCache>
                <c:formatCode>General</c:formatCode>
                <c:ptCount val="1"/>
                <c:pt idx="0">
                  <c:v>-4.6711505825036106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48A-4D23-B524-2E81E4C687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8425976"/>
        <c:axId val="1018421384"/>
      </c:areaChart>
      <c:areaChart>
        <c:grouping val="standard"/>
        <c:varyColors val="0"/>
        <c:ser>
          <c:idx val="0"/>
          <c:order val="0"/>
          <c:tx>
            <c:strRef>
              <c:f>Diagr2_!$E$1</c:f>
              <c:strCache>
                <c:ptCount val="1"/>
                <c:pt idx="0">
                  <c:v>CD4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 w="25400">
              <a:noFill/>
            </a:ln>
            <a:effectLst/>
          </c:spPr>
          <c:val>
            <c:numRef>
              <c:f>Diagr2_!$E$2:$E$39</c:f>
              <c:numCache>
                <c:formatCode>General</c:formatCode>
                <c:ptCount val="38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10</c:v>
                </c:pt>
                <c:pt idx="6">
                  <c:v>13</c:v>
                </c:pt>
                <c:pt idx="7">
                  <c:v>15</c:v>
                </c:pt>
                <c:pt idx="8">
                  <c:v>21</c:v>
                </c:pt>
                <c:pt idx="9">
                  <c:v>21</c:v>
                </c:pt>
                <c:pt idx="10">
                  <c:v>22</c:v>
                </c:pt>
                <c:pt idx="11">
                  <c:v>23</c:v>
                </c:pt>
                <c:pt idx="12">
                  <c:v>23</c:v>
                </c:pt>
                <c:pt idx="13">
                  <c:v>23</c:v>
                </c:pt>
                <c:pt idx="14">
                  <c:v>24</c:v>
                </c:pt>
                <c:pt idx="15">
                  <c:v>28</c:v>
                </c:pt>
                <c:pt idx="16">
                  <c:v>31</c:v>
                </c:pt>
                <c:pt idx="17">
                  <c:v>32</c:v>
                </c:pt>
                <c:pt idx="18">
                  <c:v>39</c:v>
                </c:pt>
                <c:pt idx="19">
                  <c:v>43</c:v>
                </c:pt>
                <c:pt idx="20">
                  <c:v>45</c:v>
                </c:pt>
                <c:pt idx="21">
                  <c:v>49</c:v>
                </c:pt>
                <c:pt idx="22">
                  <c:v>51</c:v>
                </c:pt>
                <c:pt idx="23">
                  <c:v>57</c:v>
                </c:pt>
                <c:pt idx="24">
                  <c:v>61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83</c:v>
                </c:pt>
                <c:pt idx="30">
                  <c:v>85</c:v>
                </c:pt>
                <c:pt idx="31">
                  <c:v>93</c:v>
                </c:pt>
                <c:pt idx="32">
                  <c:v>99</c:v>
                </c:pt>
                <c:pt idx="33">
                  <c:v>103</c:v>
                </c:pt>
                <c:pt idx="34">
                  <c:v>122</c:v>
                </c:pt>
                <c:pt idx="35">
                  <c:v>126</c:v>
                </c:pt>
                <c:pt idx="36">
                  <c:v>213</c:v>
                </c:pt>
                <c:pt idx="37">
                  <c:v>397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8A-4D23-B524-2E81E4C687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9229144"/>
        <c:axId val="1129226192"/>
      </c:areaChart>
      <c:catAx>
        <c:axId val="1018425976"/>
        <c:scaling>
          <c:orientation val="minMax"/>
        </c:scaling>
        <c:delete val="1"/>
        <c:axPos val="b"/>
        <c:majorTickMark val="out"/>
        <c:minorTickMark val="none"/>
        <c:tickLblPos val="nextTo"/>
        <c:crossAx val="1018421384"/>
        <c:crosses val="autoZero"/>
        <c:auto val="1"/>
        <c:lblAlgn val="ctr"/>
        <c:lblOffset val="100"/>
        <c:noMultiLvlLbl val="0"/>
      </c:catAx>
      <c:valAx>
        <c:axId val="101842138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018425976"/>
        <c:crosses val="autoZero"/>
        <c:crossBetween val="midCat"/>
        <c:majorUnit val="150"/>
      </c:valAx>
      <c:valAx>
        <c:axId val="1129226192"/>
        <c:scaling>
          <c:orientation val="minMax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129229144"/>
        <c:crosses val="max"/>
        <c:crossBetween val="midCat"/>
        <c:majorUnit val="150"/>
      </c:valAx>
      <c:catAx>
        <c:axId val="1129229144"/>
        <c:scaling>
          <c:orientation val="minMax"/>
        </c:scaling>
        <c:delete val="1"/>
        <c:axPos val="b"/>
        <c:majorTickMark val="out"/>
        <c:minorTickMark val="none"/>
        <c:tickLblPos val="nextTo"/>
        <c:crossAx val="11292261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3175" cap="sq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6" Type="http://schemas.openxmlformats.org/officeDocument/2006/relationships/image" Target="../media/image8.png"/><Relationship Id="rId5" Type="http://schemas.openxmlformats.org/officeDocument/2006/relationships/image" Target="../media/image7.png"/><Relationship Id="rId4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0</xdr:colOff>
      <xdr:row>0</xdr:row>
      <xdr:rowOff>0</xdr:rowOff>
    </xdr:from>
    <xdr:to>
      <xdr:col>27</xdr:col>
      <xdr:colOff>552000</xdr:colOff>
      <xdr:row>12</xdr:row>
      <xdr:rowOff>235783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A5777A0B-0658-4E27-AAA7-4728B8A43CD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20872" b="19761"/>
        <a:stretch/>
      </xdr:blipFill>
      <xdr:spPr bwMode="auto">
        <a:xfrm>
          <a:off x="13743709" y="0"/>
          <a:ext cx="3600000" cy="27018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554182</xdr:colOff>
      <xdr:row>13</xdr:row>
      <xdr:rowOff>13855</xdr:rowOff>
    </xdr:from>
    <xdr:to>
      <xdr:col>27</xdr:col>
      <xdr:colOff>496582</xdr:colOff>
      <xdr:row>26</xdr:row>
      <xdr:rowOff>119188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52ECBB7F-373B-4DB0-A863-C780B61FD20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r="21105" b="19050"/>
        <a:stretch/>
      </xdr:blipFill>
      <xdr:spPr bwMode="auto">
        <a:xfrm>
          <a:off x="13688291" y="2812473"/>
          <a:ext cx="3600000" cy="27327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533400</xdr:colOff>
      <xdr:row>2</xdr:row>
      <xdr:rowOff>90487</xdr:rowOff>
    </xdr:from>
    <xdr:to>
      <xdr:col>14</xdr:col>
      <xdr:colOff>228600</xdr:colOff>
      <xdr:row>16</xdr:row>
      <xdr:rowOff>166687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E750C389-0FA8-4DB9-B991-3129A85D5E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443453</xdr:colOff>
      <xdr:row>1</xdr:row>
      <xdr:rowOff>39241</xdr:rowOff>
    </xdr:from>
    <xdr:to>
      <xdr:col>17</xdr:col>
      <xdr:colOff>260398</xdr:colOff>
      <xdr:row>19</xdr:row>
      <xdr:rowOff>176639</xdr:rowOff>
    </xdr:to>
    <xdr:grpSp>
      <xdr:nvGrpSpPr>
        <xdr:cNvPr id="11" name="Группа 10">
          <a:extLst>
            <a:ext uri="{FF2B5EF4-FFF2-40B4-BE49-F238E27FC236}">
              <a16:creationId xmlns:a16="http://schemas.microsoft.com/office/drawing/2014/main" id="{F1E85D2B-4937-4D53-A7DD-A2EE933E3BA2}"/>
            </a:ext>
          </a:extLst>
        </xdr:cNvPr>
        <xdr:cNvGrpSpPr/>
      </xdr:nvGrpSpPr>
      <xdr:grpSpPr>
        <a:xfrm>
          <a:off x="6189749" y="229741"/>
          <a:ext cx="5160470" cy="3566398"/>
          <a:chOff x="5791060" y="229741"/>
          <a:chExt cx="5327838" cy="3566398"/>
        </a:xfrm>
      </xdr:grpSpPr>
      <xdr:graphicFrame macro="">
        <xdr:nvGraphicFramePr>
          <xdr:cNvPr id="2" name="Диаграмма 1">
            <a:extLst>
              <a:ext uri="{FF2B5EF4-FFF2-40B4-BE49-F238E27FC236}">
                <a16:creationId xmlns:a16="http://schemas.microsoft.com/office/drawing/2014/main" id="{C72B248D-0B34-43D6-A0EC-6651D6065721}"/>
              </a:ext>
            </a:extLst>
          </xdr:cNvPr>
          <xdr:cNvGraphicFramePr/>
        </xdr:nvGraphicFramePr>
        <xdr:xfrm>
          <a:off x="6251624" y="229741"/>
          <a:ext cx="4640600" cy="285629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3" name="TextBox 2">
            <a:extLst>
              <a:ext uri="{FF2B5EF4-FFF2-40B4-BE49-F238E27FC236}">
                <a16:creationId xmlns:a16="http://schemas.microsoft.com/office/drawing/2014/main" id="{91F95A5C-63B9-439B-9EDD-0E2F3AD0F54F}"/>
              </a:ext>
            </a:extLst>
          </xdr:cNvPr>
          <xdr:cNvSpPr txBox="1"/>
        </xdr:nvSpPr>
        <xdr:spPr>
          <a:xfrm rot="16200000">
            <a:off x="5320116" y="1427380"/>
            <a:ext cx="1548510" cy="54972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ru-RU" sz="1100" b="1">
                <a:latin typeface="Times New Roman" panose="02020603050405020304" pitchFamily="18" charset="0"/>
                <a:cs typeface="Times New Roman" panose="02020603050405020304" pitchFamily="18" charset="0"/>
              </a:rPr>
              <a:t>ВН</a:t>
            </a:r>
            <a:r>
              <a:rPr lang="ru-RU" sz="1100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ВИЧ-1,</a:t>
            </a:r>
            <a:endParaRPr lang="en-US" sz="1100" b="1" baseline="0"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 algn="ctr"/>
            <a:r>
              <a:rPr lang="en-US" sz="1100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log10 </a:t>
            </a:r>
            <a:r>
              <a:rPr lang="ru-RU" sz="1100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копий/мл</a:t>
            </a:r>
            <a:endParaRPr lang="ru-RU" sz="1100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4" name="TextBox 3">
            <a:extLst>
              <a:ext uri="{FF2B5EF4-FFF2-40B4-BE49-F238E27FC236}">
                <a16:creationId xmlns:a16="http://schemas.microsoft.com/office/drawing/2014/main" id="{F8C2CC75-2166-4994-A8F6-45318F859796}"/>
              </a:ext>
            </a:extLst>
          </xdr:cNvPr>
          <xdr:cNvSpPr txBox="1"/>
        </xdr:nvSpPr>
        <xdr:spPr>
          <a:xfrm rot="16200000">
            <a:off x="10401904" y="1121235"/>
            <a:ext cx="1086890" cy="28202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ru-RU" sz="1200" b="1">
                <a:latin typeface="Times New Roman" panose="02020603050405020304" pitchFamily="18" charset="0"/>
                <a:cs typeface="Times New Roman" panose="02020603050405020304" pitchFamily="18" charset="0"/>
              </a:rPr>
              <a:t>ликвор</a:t>
            </a:r>
          </a:p>
        </xdr:txBody>
      </xdr:sp>
      <xdr:sp macro="" textlink="">
        <xdr:nvSpPr>
          <xdr:cNvPr id="5" name="TextBox 4">
            <a:extLst>
              <a:ext uri="{FF2B5EF4-FFF2-40B4-BE49-F238E27FC236}">
                <a16:creationId xmlns:a16="http://schemas.microsoft.com/office/drawing/2014/main" id="{EA969B9D-D745-4252-8F7F-1618F7E70AD2}"/>
              </a:ext>
            </a:extLst>
          </xdr:cNvPr>
          <xdr:cNvSpPr txBox="1"/>
        </xdr:nvSpPr>
        <xdr:spPr>
          <a:xfrm rot="16200000">
            <a:off x="10429117" y="2051130"/>
            <a:ext cx="1086890" cy="28202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ru-RU" sz="1200" b="1">
                <a:latin typeface="Times New Roman" panose="02020603050405020304" pitchFamily="18" charset="0"/>
                <a:cs typeface="Times New Roman" panose="02020603050405020304" pitchFamily="18" charset="0"/>
              </a:rPr>
              <a:t>плазма</a:t>
            </a:r>
          </a:p>
        </xdr:txBody>
      </xdr:sp>
      <xdr:graphicFrame macro="">
        <xdr:nvGraphicFramePr>
          <xdr:cNvPr id="6" name="Диаграмма 5">
            <a:extLst>
              <a:ext uri="{FF2B5EF4-FFF2-40B4-BE49-F238E27FC236}">
                <a16:creationId xmlns:a16="http://schemas.microsoft.com/office/drawing/2014/main" id="{33ADDA12-D392-4E21-ACF7-6EAE469050A8}"/>
              </a:ext>
            </a:extLst>
          </xdr:cNvPr>
          <xdr:cNvGraphicFramePr>
            <a:graphicFrameLocks/>
          </xdr:cNvGraphicFramePr>
        </xdr:nvGraphicFramePr>
        <xdr:xfrm>
          <a:off x="6478298" y="2666739"/>
          <a:ext cx="4640600" cy="11294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 macro="" textlink="">
        <xdr:nvSpPr>
          <xdr:cNvPr id="7" name="TextBox 6">
            <a:extLst>
              <a:ext uri="{FF2B5EF4-FFF2-40B4-BE49-F238E27FC236}">
                <a16:creationId xmlns:a16="http://schemas.microsoft.com/office/drawing/2014/main" id="{86B46674-0C5A-45AF-9F49-22B18F886BCC}"/>
              </a:ext>
            </a:extLst>
          </xdr:cNvPr>
          <xdr:cNvSpPr txBox="1"/>
        </xdr:nvSpPr>
        <xdr:spPr>
          <a:xfrm rot="16200000">
            <a:off x="5626034" y="3036132"/>
            <a:ext cx="853797" cy="52374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100" b="1">
                <a:latin typeface="Times New Roman" panose="02020603050405020304" pitchFamily="18" charset="0"/>
                <a:cs typeface="Times New Roman" panose="02020603050405020304" pitchFamily="18" charset="0"/>
              </a:rPr>
              <a:t>CD4, </a:t>
            </a:r>
            <a:r>
              <a:rPr lang="ru-RU" sz="1100" b="1">
                <a:latin typeface="Times New Roman" panose="02020603050405020304" pitchFamily="18" charset="0"/>
                <a:cs typeface="Times New Roman" panose="02020603050405020304" pitchFamily="18" charset="0"/>
              </a:rPr>
              <a:t>клеток/мл</a:t>
            </a:r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209550</xdr:colOff>
      <xdr:row>20</xdr:row>
      <xdr:rowOff>57150</xdr:rowOff>
    </xdr:from>
    <xdr:to>
      <xdr:col>16</xdr:col>
      <xdr:colOff>199557</xdr:colOff>
      <xdr:row>31</xdr:row>
      <xdr:rowOff>86507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FF1A6BFB-6A1C-4E42-A6C3-254B47AF2A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96225" y="3514725"/>
          <a:ext cx="2428408" cy="2124857"/>
        </a:xfrm>
        <a:prstGeom prst="rect">
          <a:avLst/>
        </a:prstGeom>
      </xdr:spPr>
    </xdr:pic>
    <xdr:clientData/>
  </xdr:twoCellAnchor>
  <xdr:twoCellAnchor editAs="oneCell">
    <xdr:from>
      <xdr:col>12</xdr:col>
      <xdr:colOff>247650</xdr:colOff>
      <xdr:row>12</xdr:row>
      <xdr:rowOff>0</xdr:rowOff>
    </xdr:from>
    <xdr:to>
      <xdr:col>15</xdr:col>
      <xdr:colOff>551983</xdr:colOff>
      <xdr:row>21</xdr:row>
      <xdr:rowOff>151992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66DDE9F3-3F38-4868-B1D1-F129DC7E12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934325" y="1771650"/>
          <a:ext cx="2133133" cy="1866492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2</xdr:row>
      <xdr:rowOff>1</xdr:rowOff>
    </xdr:from>
    <xdr:to>
      <xdr:col>15</xdr:col>
      <xdr:colOff>462644</xdr:colOff>
      <xdr:row>9</xdr:row>
      <xdr:rowOff>142877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0995A564-CDAD-4B69-B683-96B151FB76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327572" y="408215"/>
          <a:ext cx="1687286" cy="1476376"/>
        </a:xfrm>
        <a:prstGeom prst="rect">
          <a:avLst/>
        </a:prstGeom>
      </xdr:spPr>
    </xdr:pic>
    <xdr:clientData/>
  </xdr:twoCellAnchor>
  <xdr:twoCellAnchor editAs="oneCell">
    <xdr:from>
      <xdr:col>10</xdr:col>
      <xdr:colOff>1</xdr:colOff>
      <xdr:row>39</xdr:row>
      <xdr:rowOff>0</xdr:rowOff>
    </xdr:from>
    <xdr:to>
      <xdr:col>12</xdr:col>
      <xdr:colOff>323024</xdr:colOff>
      <xdr:row>47</xdr:row>
      <xdr:rowOff>164617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59B3CAFF-16BF-4B10-B315-4E429A7D58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112566" y="7073348"/>
          <a:ext cx="1929848" cy="1688617"/>
        </a:xfrm>
        <a:prstGeom prst="rect">
          <a:avLst/>
        </a:prstGeom>
      </xdr:spPr>
    </xdr:pic>
    <xdr:clientData/>
  </xdr:twoCellAnchor>
  <xdr:twoCellAnchor editAs="oneCell">
    <xdr:from>
      <xdr:col>18</xdr:col>
      <xdr:colOff>150476</xdr:colOff>
      <xdr:row>82</xdr:row>
      <xdr:rowOff>167639</xdr:rowOff>
    </xdr:from>
    <xdr:to>
      <xdr:col>22</xdr:col>
      <xdr:colOff>358139</xdr:colOff>
      <xdr:row>96</xdr:row>
      <xdr:rowOff>3564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C5D6BB9A-263B-4192-B86D-A12C85EF4A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372956" y="14828519"/>
          <a:ext cx="2646064" cy="2396245"/>
        </a:xfrm>
        <a:prstGeom prst="rect">
          <a:avLst/>
        </a:prstGeom>
      </xdr:spPr>
    </xdr:pic>
    <xdr:clientData/>
  </xdr:twoCellAnchor>
  <xdr:twoCellAnchor editAs="oneCell">
    <xdr:from>
      <xdr:col>18</xdr:col>
      <xdr:colOff>281354</xdr:colOff>
      <xdr:row>96</xdr:row>
      <xdr:rowOff>0</xdr:rowOff>
    </xdr:from>
    <xdr:to>
      <xdr:col>22</xdr:col>
      <xdr:colOff>2953</xdr:colOff>
      <xdr:row>106</xdr:row>
      <xdr:rowOff>166596</xdr:rowOff>
    </xdr:to>
    <xdr:pic>
      <xdr:nvPicPr>
        <xdr:cNvPr id="8" name="Рисунок 7">
          <a:extLst>
            <a:ext uri="{FF2B5EF4-FFF2-40B4-BE49-F238E27FC236}">
              <a16:creationId xmlns:a16="http://schemas.microsoft.com/office/drawing/2014/main" id="{5794BB3F-EBF4-4E6A-B2A5-A080F02498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502662" y="17109831"/>
          <a:ext cx="2160000" cy="1983673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Питерский Михаил Валерьевич" refreshedDate="45142.682834953703" createdVersion="7" refreshedVersion="7" minRefreshableVersion="3" recordCount="76" xr:uid="{46781606-29CE-435C-92E9-6C077B30624D}">
  <cacheSource type="worksheet">
    <worksheetSource name="Пробы"/>
  </cacheSource>
  <cacheFields count="10">
    <cacheField name="IDP" numFmtId="0">
      <sharedItems containsSemiMixedTypes="0" containsString="0" containsNumber="1" containsInteger="1" minValue="8" maxValue="97"/>
    </cacheField>
    <cacheField name="БМ" numFmtId="0">
      <sharedItems/>
    </cacheField>
    <cacheField name="ВН" numFmtId="0">
      <sharedItems containsSemiMixedTypes="0" containsString="0" containsNumber="1" containsInteger="1" minValue="0" maxValue="5880000"/>
    </cacheField>
    <cacheField name="IDD" numFmtId="0">
      <sharedItems containsSemiMixedTypes="0" containsString="0" containsNumber="1" containsInteger="1" minValue="3" maxValue="192"/>
    </cacheField>
    <cacheField name="ВН лог" numFmtId="0">
      <sharedItems containsSemiMixedTypes="0" containsString="0" containsNumber="1" minValue="0" maxValue="6.7693773260761381"/>
    </cacheField>
    <cacheField name="Subtype" numFmtId="0">
      <sharedItems containsBlank="1"/>
    </cacheField>
    <cacheField name="Номер клады" numFmtId="0">
      <sharedItems containsString="0" containsBlank="1" containsNumber="1" containsInteger="1" minValue="1" maxValue="26" count="12">
        <n v="3"/>
        <m/>
        <n v="13"/>
        <n v="8"/>
        <n v="2"/>
        <n v="22"/>
        <n v="5"/>
        <n v="4"/>
        <n v="11"/>
        <n v="26"/>
        <n v="1"/>
        <n v="16"/>
      </sharedItems>
    </cacheField>
    <cacheField name="IDD1" numFmtId="0">
      <sharedItems containsString="0" containsBlank="1" containsNumber="1" containsInteger="1" minValue="3" maxValue="192"/>
    </cacheField>
    <cacheField name="Путь ИНФ" numFmtId="0">
      <sharedItems count="2">
        <s v="гетеросексуальный"/>
        <s v="ПИН"/>
      </sharedItems>
    </cacheField>
    <cacheField name="Город" numFmtId="0">
      <sharedItems count="7">
        <s v="Челябинск"/>
        <s v="Нязепетровск"/>
        <s v="Миасс"/>
        <s v="Копейск"/>
        <s v="Еманжелинск"/>
        <s v="Сатка"/>
        <s v="Троицк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6">
  <r>
    <n v="8"/>
    <s v="плазма"/>
    <n v="349000"/>
    <n v="13"/>
    <n v="5.5428254269591797"/>
    <s v="A6"/>
    <x v="0"/>
    <n v="13"/>
    <x v="0"/>
    <x v="0"/>
  </r>
  <r>
    <n v="8"/>
    <s v="ликвор"/>
    <n v="45700"/>
    <n v="73"/>
    <n v="4.6599162000698504"/>
    <s v="A6"/>
    <x v="0"/>
    <n v="73"/>
    <x v="0"/>
    <x v="0"/>
  </r>
  <r>
    <n v="10"/>
    <s v="плазма"/>
    <n v="735000"/>
    <n v="17"/>
    <n v="5.8662873390841952"/>
    <m/>
    <x v="1"/>
    <m/>
    <x v="0"/>
    <x v="0"/>
  </r>
  <r>
    <n v="10"/>
    <s v="ликвор"/>
    <n v="2070"/>
    <n v="77"/>
    <n v="3.3159703454569178"/>
    <s v="A6"/>
    <x v="0"/>
    <n v="77"/>
    <x v="0"/>
    <x v="0"/>
  </r>
  <r>
    <n v="11"/>
    <s v="ликвор"/>
    <n v="528"/>
    <n v="102"/>
    <n v="2.7226339225338121"/>
    <s v="A6"/>
    <x v="2"/>
    <n v="102"/>
    <x v="1"/>
    <x v="0"/>
  </r>
  <r>
    <n v="11"/>
    <s v="плазма"/>
    <n v="199000"/>
    <n v="42"/>
    <n v="5.2988530764097064"/>
    <s v="A6"/>
    <x v="2"/>
    <n v="42"/>
    <x v="1"/>
    <x v="0"/>
  </r>
  <r>
    <n v="12"/>
    <s v="ликвор"/>
    <n v="85036"/>
    <n v="99"/>
    <n v="4.9296028232604847"/>
    <s v="A6"/>
    <x v="2"/>
    <n v="99"/>
    <x v="1"/>
    <x v="0"/>
  </r>
  <r>
    <n v="12"/>
    <s v="плазма"/>
    <n v="372000"/>
    <n v="39"/>
    <n v="5.5705429398818973"/>
    <s v="A6"/>
    <x v="3"/>
    <n v="39"/>
    <x v="1"/>
    <x v="0"/>
  </r>
  <r>
    <n v="17"/>
    <s v="плазма"/>
    <n v="5880000"/>
    <n v="51"/>
    <n v="6.7693773260761381"/>
    <s v="A6"/>
    <x v="4"/>
    <n v="51"/>
    <x v="1"/>
    <x v="1"/>
  </r>
  <r>
    <n v="17"/>
    <s v="ликвор"/>
    <n v="91894"/>
    <n v="111"/>
    <n v="4.9632871560873273"/>
    <m/>
    <x v="1"/>
    <m/>
    <x v="1"/>
    <x v="1"/>
  </r>
  <r>
    <n v="25"/>
    <s v="плазма"/>
    <n v="23300"/>
    <n v="38"/>
    <n v="4.3673559210260189"/>
    <s v="A6"/>
    <x v="2"/>
    <n v="38"/>
    <x v="1"/>
    <x v="2"/>
  </r>
  <r>
    <n v="25"/>
    <s v="ликвор"/>
    <n v="7879"/>
    <n v="98"/>
    <n v="3.8964711004792774"/>
    <m/>
    <x v="1"/>
    <m/>
    <x v="1"/>
    <x v="2"/>
  </r>
  <r>
    <n v="26"/>
    <s v="плазма"/>
    <n v="32500"/>
    <n v="23"/>
    <n v="4.5118833609788744"/>
    <s v="A6"/>
    <x v="0"/>
    <n v="23"/>
    <x v="1"/>
    <x v="0"/>
  </r>
  <r>
    <n v="26"/>
    <s v="ликвор"/>
    <n v="30100"/>
    <n v="83"/>
    <n v="4.4785664955938431"/>
    <s v="A6"/>
    <x v="0"/>
    <n v="83"/>
    <x v="1"/>
    <x v="0"/>
  </r>
  <r>
    <n v="27"/>
    <s v="ликвор"/>
    <n v="28331"/>
    <n v="100"/>
    <n v="4.452261904093934"/>
    <s v="A6"/>
    <x v="3"/>
    <n v="100"/>
    <x v="1"/>
    <x v="2"/>
  </r>
  <r>
    <n v="27"/>
    <s v="плазма"/>
    <n v="17700"/>
    <n v="40"/>
    <n v="4.2479732663618064"/>
    <s v="A6"/>
    <x v="3"/>
    <n v="40"/>
    <x v="1"/>
    <x v="2"/>
  </r>
  <r>
    <n v="38"/>
    <s v="ликвор"/>
    <n v="0"/>
    <n v="87"/>
    <n v="0"/>
    <m/>
    <x v="1"/>
    <m/>
    <x v="0"/>
    <x v="3"/>
  </r>
  <r>
    <n v="38"/>
    <s v="плазма"/>
    <n v="5240"/>
    <n v="27"/>
    <n v="3.7193312869837265"/>
    <s v="A6"/>
    <x v="0"/>
    <n v="27"/>
    <x v="0"/>
    <x v="3"/>
  </r>
  <r>
    <n v="39"/>
    <s v="ликвор"/>
    <n v="44281"/>
    <n v="101"/>
    <n v="4.6462174200110669"/>
    <s v="A6"/>
    <x v="3"/>
    <n v="101"/>
    <x v="0"/>
    <x v="0"/>
  </r>
  <r>
    <n v="39"/>
    <s v="плазма"/>
    <n v="893000"/>
    <n v="41"/>
    <n v="5.9508514588885468"/>
    <s v="A6"/>
    <x v="0"/>
    <n v="41"/>
    <x v="0"/>
    <x v="0"/>
  </r>
  <r>
    <n v="40"/>
    <s v="плазма"/>
    <n v="3360000"/>
    <n v="4"/>
    <n v="6.5263392773898437"/>
    <s v="A6"/>
    <x v="5"/>
    <n v="4"/>
    <x v="0"/>
    <x v="2"/>
  </r>
  <r>
    <n v="40"/>
    <s v="ликвор"/>
    <n v="292000"/>
    <n v="64"/>
    <n v="5.4653828514484184"/>
    <s v="A6"/>
    <x v="5"/>
    <n v="64"/>
    <x v="0"/>
    <x v="2"/>
  </r>
  <r>
    <n v="42"/>
    <s v="плазма"/>
    <n v="200"/>
    <n v="11"/>
    <n v="2.3010299956639813"/>
    <s v="A6"/>
    <x v="0"/>
    <n v="11"/>
    <x v="1"/>
    <x v="0"/>
  </r>
  <r>
    <n v="42"/>
    <s v="ликвор"/>
    <n v="0"/>
    <n v="71"/>
    <n v="0"/>
    <m/>
    <x v="1"/>
    <m/>
    <x v="1"/>
    <x v="0"/>
  </r>
  <r>
    <n v="46"/>
    <s v="плазма"/>
    <n v="4200"/>
    <n v="24"/>
    <n v="3.6232492903979003"/>
    <s v="A6"/>
    <x v="0"/>
    <n v="24"/>
    <x v="0"/>
    <x v="0"/>
  </r>
  <r>
    <n v="46"/>
    <s v="ликвор"/>
    <n v="200"/>
    <n v="84"/>
    <n v="2.3010299956639813"/>
    <s v="A6"/>
    <x v="0"/>
    <n v="84"/>
    <x v="0"/>
    <x v="0"/>
  </r>
  <r>
    <n v="48"/>
    <s v="ликвор"/>
    <n v="80644"/>
    <n v="110"/>
    <n v="4.9065720609521977"/>
    <m/>
    <x v="1"/>
    <m/>
    <x v="0"/>
    <x v="4"/>
  </r>
  <r>
    <n v="48"/>
    <s v="плазма"/>
    <n v="95100"/>
    <n v="50"/>
    <n v="4.9781805169374138"/>
    <s v="A6"/>
    <x v="6"/>
    <n v="50"/>
    <x v="0"/>
    <x v="4"/>
  </r>
  <r>
    <n v="50"/>
    <s v="плазма"/>
    <n v="28500"/>
    <n v="52"/>
    <n v="4.4548448600085102"/>
    <s v="A6"/>
    <x v="4"/>
    <n v="52"/>
    <x v="0"/>
    <x v="0"/>
  </r>
  <r>
    <n v="50"/>
    <s v="ликвор"/>
    <n v="0"/>
    <n v="112"/>
    <n v="0"/>
    <m/>
    <x v="1"/>
    <m/>
    <x v="0"/>
    <x v="0"/>
  </r>
  <r>
    <n v="52"/>
    <s v="ликвор"/>
    <n v="3719"/>
    <n v="109"/>
    <n v="3.5704261783589728"/>
    <s v="A6"/>
    <x v="2"/>
    <n v="109"/>
    <x v="1"/>
    <x v="0"/>
  </r>
  <r>
    <n v="52"/>
    <s v="плазма"/>
    <n v="60700"/>
    <n v="49"/>
    <n v="4.7831886910752575"/>
    <m/>
    <x v="1"/>
    <m/>
    <x v="1"/>
    <x v="0"/>
  </r>
  <r>
    <n v="53"/>
    <s v="плазма"/>
    <n v="847000"/>
    <n v="28"/>
    <n v="5.9278834103307068"/>
    <s v="A6"/>
    <x v="2"/>
    <n v="28"/>
    <x v="1"/>
    <x v="0"/>
  </r>
  <r>
    <n v="53"/>
    <s v="ликвор"/>
    <n v="14572"/>
    <n v="88"/>
    <n v="4.1635191625698784"/>
    <s v="A6"/>
    <x v="2"/>
    <n v="88"/>
    <x v="1"/>
    <x v="0"/>
  </r>
  <r>
    <n v="56"/>
    <s v="плазма"/>
    <n v="12400"/>
    <n v="25"/>
    <n v="4.0934216851622347"/>
    <s v="A6"/>
    <x v="0"/>
    <n v="25"/>
    <x v="0"/>
    <x v="5"/>
  </r>
  <r>
    <n v="56"/>
    <s v="ликвор"/>
    <n v="469"/>
    <n v="85"/>
    <n v="2.6711728427150834"/>
    <m/>
    <x v="1"/>
    <m/>
    <x v="0"/>
    <x v="5"/>
  </r>
  <r>
    <n v="59"/>
    <s v="плазма"/>
    <n v="622000"/>
    <n v="3"/>
    <n v="5.7937903846908183"/>
    <s v="A6"/>
    <x v="7"/>
    <n v="3"/>
    <x v="0"/>
    <x v="2"/>
  </r>
  <r>
    <n v="59"/>
    <s v="ликвор"/>
    <n v="47300"/>
    <n v="63"/>
    <n v="4.6748611407378116"/>
    <s v="A6"/>
    <x v="7"/>
    <n v="63"/>
    <x v="0"/>
    <x v="2"/>
  </r>
  <r>
    <n v="61"/>
    <s v="ликвор"/>
    <n v="4548"/>
    <n v="121"/>
    <n v="3.6578204560156973"/>
    <s v="A6"/>
    <x v="8"/>
    <n v="121"/>
    <x v="0"/>
    <x v="0"/>
  </r>
  <r>
    <n v="61"/>
    <s v="плазма"/>
    <n v="596309"/>
    <n v="122"/>
    <n v="5.7754713641350071"/>
    <m/>
    <x v="1"/>
    <m/>
    <x v="0"/>
    <x v="0"/>
  </r>
  <r>
    <n v="64"/>
    <s v="плазма"/>
    <n v="4940"/>
    <n v="5"/>
    <n v="3.6937269489236471"/>
    <s v="A6"/>
    <x v="2"/>
    <n v="5"/>
    <x v="0"/>
    <x v="4"/>
  </r>
  <r>
    <n v="64"/>
    <s v="ликвор"/>
    <n v="200"/>
    <n v="65"/>
    <n v="2.3010299956639813"/>
    <s v="A6"/>
    <x v="2"/>
    <n v="65"/>
    <x v="0"/>
    <x v="4"/>
  </r>
  <r>
    <n v="71"/>
    <s v="ликвор"/>
    <n v="7100"/>
    <n v="141"/>
    <n v="3.8512583487190755"/>
    <s v="A6"/>
    <x v="8"/>
    <n v="141"/>
    <x v="1"/>
    <x v="0"/>
  </r>
  <r>
    <n v="71"/>
    <s v="плазма"/>
    <n v="270000"/>
    <n v="142"/>
    <n v="5.4313637641589869"/>
    <m/>
    <x v="1"/>
    <m/>
    <x v="1"/>
    <x v="0"/>
  </r>
  <r>
    <n v="73"/>
    <s v="плазма"/>
    <n v="5000"/>
    <n v="146"/>
    <n v="3.6989700043360187"/>
    <s v="A6"/>
    <x v="9"/>
    <n v="146"/>
    <x v="1"/>
    <x v="0"/>
  </r>
  <r>
    <n v="73"/>
    <s v="ликвор"/>
    <n v="18000"/>
    <n v="145"/>
    <n v="4.2552725051033065"/>
    <m/>
    <x v="1"/>
    <m/>
    <x v="1"/>
    <x v="0"/>
  </r>
  <r>
    <n v="79"/>
    <s v="плазма"/>
    <n v="68445"/>
    <n v="155"/>
    <n v="4.8353417278283422"/>
    <s v="A6"/>
    <x v="3"/>
    <n v="155"/>
    <x v="1"/>
    <x v="0"/>
  </r>
  <r>
    <n v="79"/>
    <s v="ликвор"/>
    <n v="695"/>
    <n v="156"/>
    <n v="2.8419848045901137"/>
    <s v="A6"/>
    <x v="7"/>
    <n v="156"/>
    <x v="1"/>
    <x v="0"/>
  </r>
  <r>
    <n v="80"/>
    <s v="плазма"/>
    <n v="126503"/>
    <n v="157"/>
    <n v="5.10210082486359"/>
    <s v="A6"/>
    <x v="2"/>
    <n v="157"/>
    <x v="0"/>
    <x v="0"/>
  </r>
  <r>
    <n v="80"/>
    <s v="ликвор"/>
    <n v="110437"/>
    <n v="158"/>
    <n v="5.0431146006008563"/>
    <s v="A6"/>
    <x v="2"/>
    <n v="158"/>
    <x v="0"/>
    <x v="0"/>
  </r>
  <r>
    <n v="81"/>
    <s v="ликвор"/>
    <n v="591"/>
    <n v="160"/>
    <n v="2.7715874808812555"/>
    <s v="A6"/>
    <x v="2"/>
    <n v="160"/>
    <x v="1"/>
    <x v="3"/>
  </r>
  <r>
    <n v="81"/>
    <s v="плазма"/>
    <n v="33863"/>
    <n v="159"/>
    <n v="4.5297254306108163"/>
    <s v="B "/>
    <x v="10"/>
    <n v="159"/>
    <x v="1"/>
    <x v="3"/>
  </r>
  <r>
    <n v="82"/>
    <s v="плазма"/>
    <n v="128909"/>
    <n v="161"/>
    <n v="5.1102832394161606"/>
    <s v="A6"/>
    <x v="3"/>
    <n v="161"/>
    <x v="1"/>
    <x v="0"/>
  </r>
  <r>
    <n v="82"/>
    <s v="ликвор"/>
    <n v="0"/>
    <n v="162"/>
    <n v="0"/>
    <m/>
    <x v="1"/>
    <m/>
    <x v="1"/>
    <x v="0"/>
  </r>
  <r>
    <n v="84"/>
    <s v="плазма"/>
    <n v="20124"/>
    <n v="165"/>
    <n v="4.3037143086537109"/>
    <s v="A6"/>
    <x v="3"/>
    <n v="165"/>
    <x v="0"/>
    <x v="0"/>
  </r>
  <r>
    <n v="84"/>
    <s v="ликвор"/>
    <n v="212"/>
    <n v="166"/>
    <n v="2.3263358609287512"/>
    <m/>
    <x v="1"/>
    <m/>
    <x v="0"/>
    <x v="0"/>
  </r>
  <r>
    <n v="86"/>
    <s v="плазма"/>
    <n v="37925"/>
    <n v="169"/>
    <n v="4.5789255894587679"/>
    <s v="A6"/>
    <x v="2"/>
    <n v="169"/>
    <x v="0"/>
    <x v="0"/>
  </r>
  <r>
    <n v="86"/>
    <s v="ликвор"/>
    <n v="37376"/>
    <n v="170"/>
    <n v="4.5725928210962863"/>
    <m/>
    <x v="1"/>
    <m/>
    <x v="0"/>
    <x v="0"/>
  </r>
  <r>
    <n v="87"/>
    <s v="ликвор"/>
    <n v="0"/>
    <n v="172"/>
    <n v="0"/>
    <m/>
    <x v="1"/>
    <m/>
    <x v="1"/>
    <x v="0"/>
  </r>
  <r>
    <n v="87"/>
    <s v="плазма"/>
    <n v="72841"/>
    <n v="171"/>
    <n v="4.8623758993895052"/>
    <s v="A6"/>
    <x v="2"/>
    <n v="171"/>
    <x v="1"/>
    <x v="0"/>
  </r>
  <r>
    <n v="88"/>
    <s v="ликвор"/>
    <n v="27462"/>
    <n v="174"/>
    <n v="4.4387321628109433"/>
    <m/>
    <x v="1"/>
    <m/>
    <x v="0"/>
    <x v="0"/>
  </r>
  <r>
    <n v="88"/>
    <s v="плазма"/>
    <n v="57993"/>
    <n v="173"/>
    <n v="4.7633755755484533"/>
    <s v="A6"/>
    <x v="2"/>
    <n v="173"/>
    <x v="0"/>
    <x v="0"/>
  </r>
  <r>
    <n v="89"/>
    <s v="ликвор"/>
    <n v="30763"/>
    <n v="176"/>
    <n v="4.4880286854829441"/>
    <s v="A6"/>
    <x v="11"/>
    <n v="176"/>
    <x v="1"/>
    <x v="0"/>
  </r>
  <r>
    <n v="89"/>
    <s v="плазма"/>
    <n v="0"/>
    <n v="175"/>
    <n v="0"/>
    <m/>
    <x v="1"/>
    <m/>
    <x v="1"/>
    <x v="0"/>
  </r>
  <r>
    <n v="90"/>
    <s v="плазма"/>
    <n v="15063"/>
    <n v="177"/>
    <n v="4.1779114760940095"/>
    <s v="A6"/>
    <x v="6"/>
    <n v="177"/>
    <x v="0"/>
    <x v="0"/>
  </r>
  <r>
    <n v="90"/>
    <s v="ликвор"/>
    <n v="150525"/>
    <n v="178"/>
    <n v="5.177608635879186"/>
    <s v="A6"/>
    <x v="6"/>
    <n v="178"/>
    <x v="0"/>
    <x v="0"/>
  </r>
  <r>
    <n v="92"/>
    <s v="ликвор"/>
    <n v="1575"/>
    <n v="182"/>
    <n v="3.1972805581256192"/>
    <s v="A6"/>
    <x v="7"/>
    <n v="182"/>
    <x v="1"/>
    <x v="2"/>
  </r>
  <r>
    <n v="92"/>
    <s v="плазма"/>
    <n v="19269"/>
    <n v="181"/>
    <n v="4.2848591767337636"/>
    <s v="A6"/>
    <x v="9"/>
    <n v="181"/>
    <x v="1"/>
    <x v="2"/>
  </r>
  <r>
    <n v="94"/>
    <s v="ликвор"/>
    <n v="872732"/>
    <n v="186"/>
    <n v="5.9408809003034158"/>
    <s v="02_A6G"/>
    <x v="4"/>
    <n v="186"/>
    <x v="0"/>
    <x v="0"/>
  </r>
  <r>
    <n v="94"/>
    <s v="плазма"/>
    <n v="27395"/>
    <n v="185"/>
    <n v="4.4376713047707286"/>
    <s v="02_A6G"/>
    <x v="4"/>
    <n v="185"/>
    <x v="0"/>
    <x v="0"/>
  </r>
  <r>
    <n v="95"/>
    <s v="плазма"/>
    <n v="1909"/>
    <n v="187"/>
    <n v="3.2808059283936668"/>
    <s v="A6"/>
    <x v="3"/>
    <n v="187"/>
    <x v="0"/>
    <x v="2"/>
  </r>
  <r>
    <n v="95"/>
    <s v="ликвор"/>
    <n v="5379"/>
    <n v="188"/>
    <n v="3.7307015442818452"/>
    <s v="A6"/>
    <x v="3"/>
    <n v="188"/>
    <x v="0"/>
    <x v="2"/>
  </r>
  <r>
    <n v="96"/>
    <s v="ликвор"/>
    <n v="449354"/>
    <n v="190"/>
    <n v="5.6525886119890396"/>
    <s v="A6"/>
    <x v="6"/>
    <n v="190"/>
    <x v="0"/>
    <x v="6"/>
  </r>
  <r>
    <n v="96"/>
    <s v="плазма"/>
    <n v="99445"/>
    <n v="189"/>
    <n v="4.997582952095966"/>
    <s v="A6"/>
    <x v="6"/>
    <n v="189"/>
    <x v="0"/>
    <x v="6"/>
  </r>
  <r>
    <n v="97"/>
    <s v="ликвор"/>
    <n v="3294"/>
    <n v="192"/>
    <n v="3.5177235948337358"/>
    <s v="A6"/>
    <x v="2"/>
    <n v="192"/>
    <x v="0"/>
    <x v="0"/>
  </r>
  <r>
    <n v="97"/>
    <s v="плазма"/>
    <n v="0"/>
    <n v="191"/>
    <n v="0"/>
    <m/>
    <x v="1"/>
    <m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ED061B-F5CD-4F1E-ACC5-F1A1844C939B}" name="Сводная таблица2" cacheId="1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>
  <location ref="A23:D37" firstHeaderRow="1" firstDataRow="2" firstDataCol="1"/>
  <pivotFields count="10">
    <pivotField showAll="0"/>
    <pivotField showAll="0"/>
    <pivotField showAll="0"/>
    <pivotField showAll="0"/>
    <pivotField showAll="0"/>
    <pivotField dataField="1" showAll="0"/>
    <pivotField axis="axisRow" showAll="0">
      <items count="13">
        <item x="10"/>
        <item x="4"/>
        <item x="0"/>
        <item x="7"/>
        <item x="6"/>
        <item x="3"/>
        <item x="8"/>
        <item x="2"/>
        <item x="11"/>
        <item x="5"/>
        <item x="9"/>
        <item x="1"/>
        <item t="default"/>
      </items>
    </pivotField>
    <pivotField showAll="0"/>
    <pivotField axis="axisCol" showAll="0">
      <items count="3">
        <item x="0"/>
        <item x="1"/>
        <item t="default"/>
      </items>
    </pivotField>
    <pivotField showAll="0">
      <items count="8">
        <item x="4"/>
        <item x="3"/>
        <item x="2"/>
        <item x="1"/>
        <item x="5"/>
        <item x="6"/>
        <item x="0"/>
        <item t="default"/>
      </items>
    </pivotField>
  </pivotFields>
  <rowFields count="1">
    <field x="6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8"/>
  </colFields>
  <colItems count="3">
    <i>
      <x/>
    </i>
    <i>
      <x v="1"/>
    </i>
    <i t="grand">
      <x/>
    </i>
  </colItems>
  <dataFields count="1">
    <dataField name="Количество по полю Subtype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B1021A-277B-4FAA-82AD-3D3967D1C18C}" name="Сводная таблица1" cacheId="1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>
  <location ref="A3:I17" firstHeaderRow="1" firstDataRow="2" firstDataCol="1"/>
  <pivotFields count="10">
    <pivotField showAll="0"/>
    <pivotField showAll="0"/>
    <pivotField showAll="0"/>
    <pivotField showAll="0"/>
    <pivotField showAll="0"/>
    <pivotField dataField="1" showAll="0"/>
    <pivotField axis="axisRow" showAll="0">
      <items count="13">
        <item x="10"/>
        <item x="4"/>
        <item x="0"/>
        <item x="7"/>
        <item x="6"/>
        <item x="3"/>
        <item x="8"/>
        <item x="2"/>
        <item x="11"/>
        <item x="5"/>
        <item x="9"/>
        <item x="1"/>
        <item t="default"/>
      </items>
    </pivotField>
    <pivotField showAll="0"/>
    <pivotField showAll="0"/>
    <pivotField axis="axisCol" showAll="0">
      <items count="8">
        <item x="4"/>
        <item x="3"/>
        <item x="2"/>
        <item x="1"/>
        <item x="5"/>
        <item x="6"/>
        <item x="0"/>
        <item t="default"/>
      </items>
    </pivotField>
  </pivotFields>
  <rowFields count="1">
    <field x="6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9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Количество по полю Subtype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28BFF8E4-B4B7-4D76-AE01-C8AC5E552971}" autoFormatId="16" applyNumberFormats="0" applyBorderFormats="0" applyFontFormats="0" applyPatternFormats="0" applyAlignmentFormats="0" applyWidthHeightFormats="0">
  <queryTableRefresh nextId="5">
    <queryTableFields count="4">
      <queryTableField id="1" name="IDP" tableColumnId="1"/>
      <queryTableField id="2" name="БМ" tableColumnId="2"/>
      <queryTableField id="3" name="ВН" tableColumnId="3"/>
      <queryTableField id="4" name="ВН лог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E57B54CF-492B-4B6B-85AF-FCC1D58A75EF}" autoFormatId="16" applyNumberFormats="0" applyBorderFormats="0" applyFontFormats="0" applyPatternFormats="0" applyAlignmentFormats="0" applyWidthHeightFormats="0">
  <queryTableRefresh nextId="10">
    <queryTableFields count="5">
      <queryTableField id="1" name="IDP" tableColumnId="1"/>
      <queryTableField id="6" name="БМ" tableColumnId="6"/>
      <queryTableField id="3" name="ВН" tableColumnId="3"/>
      <queryTableField id="2" name="IDD" tableColumnId="2"/>
      <queryTableField id="7" name="ВН лог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0" xr16:uid="{F4FCBDEF-B55E-457F-B1C4-461A18A25C2B}" autoFormatId="16" applyNumberFormats="0" applyBorderFormats="0" applyFontFormats="0" applyPatternFormats="0" applyAlignmentFormats="0" applyWidthHeightFormats="0">
  <queryTableRefresh nextId="13" unboundColumnsRight="2">
    <queryTableFields count="10">
      <queryTableField id="1" name="IDP" tableColumnId="1"/>
      <queryTableField id="2" name="БМ" tableColumnId="2"/>
      <queryTableField id="3" name="ВН" tableColumnId="3"/>
      <queryTableField id="4" name="IDD" tableColumnId="4"/>
      <queryTableField id="5" name="ВН лог" tableColumnId="5"/>
      <queryTableField id="6" name="Subtype" tableColumnId="6"/>
      <queryTableField id="8" name="Номер клады" tableColumnId="8"/>
      <queryTableField id="10" name="IDD1" tableColumnId="10"/>
      <queryTableField id="11" dataBound="0" tableColumnId="11"/>
      <queryTableField id="12" dataBound="0" tableColumnId="1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5826DDD7-E0F9-4E77-898B-D5042A5618E4}" autoFormatId="16" applyNumberFormats="0" applyBorderFormats="0" applyFontFormats="0" applyPatternFormats="0" applyAlignmentFormats="0" applyWidthHeightFormats="0">
  <queryTableRefresh nextId="15" unboundColumnsRight="2">
    <queryTableFields count="7">
      <queryTableField id="1" name="IDP" tableColumnId="1"/>
      <queryTableField id="7" name="плазма" tableColumnId="7"/>
      <queryTableField id="8" name="ликвор" tableColumnId="8"/>
      <queryTableField id="14" dataBound="0" tableColumnId="5"/>
      <queryTableField id="6" name="CD4" tableColumnId="6"/>
      <queryTableField id="11" dataBound="0" tableColumnId="2"/>
      <queryTableField id="12" dataBound="0" tableColumnId="3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9" xr16:uid="{D9AAE109-E19E-4097-B026-16BE39484D8B}" autoFormatId="16" applyNumberFormats="0" applyBorderFormats="0" applyFontFormats="0" applyPatternFormats="0" applyAlignmentFormats="0" applyWidthHeightFormats="0">
  <queryTableRefresh nextId="73" unboundColumnsRight="4">
    <queryTableFields count="33">
      <queryTableField id="1" name="IDP" tableColumnId="1"/>
      <queryTableField id="3" name="Дата госп" tableColumnId="3"/>
      <queryTableField id="4" name="Стадия" tableColumnId="4"/>
      <queryTableField id="23" name="CD4" tableColumnId="20"/>
      <queryTableField id="41" name="Пол2" tableColumnId="5"/>
      <queryTableField id="42" name="Код Ф4" tableColumnId="6"/>
      <queryTableField id="43" name="Код ИНФ" tableColumnId="7"/>
      <queryTableField id="44" name="Путь ИНФ" tableColumnId="8"/>
      <queryTableField id="9" name="ДР" tableColumnId="9"/>
      <queryTableField id="10" name="ИБ дата" tableColumnId="10"/>
      <queryTableField id="11" name="Город" tableColumnId="11"/>
      <queryTableField id="66" name="DS" tableColumnId="28"/>
      <queryTableField id="49" name="АРТ старт" tableColumnId="12"/>
      <queryTableField id="50" name="АРТ финиш" tableColumnId="13"/>
      <queryTableField id="51" name="Возраст" tableColumnId="14"/>
      <queryTableField id="52" name="ВИЧ-инфекция" tableColumnId="15"/>
      <queryTableField id="53" name="АРТ_длит" tableColumnId="16"/>
      <queryTableField id="54" name="АРТ срок" tableColumnId="17"/>
      <queryTableField id="55" name="Наивные" tableColumnId="18"/>
      <queryTableField id="58" name="ВН плазма лог" tableColumnId="2"/>
      <queryTableField id="59" name="ВН ликвор лог" tableColumnId="23"/>
      <queryTableField id="56" name="ВН плазма" tableColumnId="21"/>
      <queryTableField id="57" name="ВН ликвор" tableColumnId="22"/>
      <queryTableField id="62" name="AN плазма" tableColumnId="24"/>
      <queryTableField id="63" name="AN ликвор" tableColumnId="25"/>
      <queryTableField id="64" name="Парные" tableColumnId="26"/>
      <queryTableField id="69" name="Кл_плазма" tableColumnId="30"/>
      <queryTableField id="70" name="Кл_ликвор" tableColumnId="31"/>
      <queryTableField id="71" name="Кл_разные" tableColumnId="32"/>
      <queryTableField id="25" dataBound="0" tableColumnId="19"/>
      <queryTableField id="65" dataBound="0" tableColumnId="27"/>
      <queryTableField id="68" dataBound="0" tableColumnId="29"/>
      <queryTableField id="72" dataBound="0" tableColumnId="33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8" xr16:uid="{59B1C43E-142A-46E6-8C9B-C5C2B5129C92}" autoFormatId="16" applyNumberFormats="0" applyBorderFormats="0" applyFontFormats="0" applyPatternFormats="0" applyAlignmentFormats="0" applyWidthHeightFormats="0">
  <queryTableRefresh nextId="12">
    <queryTableFields count="4">
      <queryTableField id="1" name="IDP" tableColumnId="1"/>
      <queryTableField id="9" name="плазма" tableColumnId="9"/>
      <queryTableField id="10" name="ликвор" tableColumnId="10"/>
      <queryTableField id="11" name="Разные" tableColumnId="11"/>
    </queryTableFields>
  </queryTableRefresh>
</queryTable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69FABB0-2DFC-45E4-8F99-73CFC1A37A8B}" name="Путь" displayName="Путь" ref="A1:C7" totalsRowShown="0">
  <autoFilter ref="A1:C7" xr:uid="{A69FABB0-2DFC-45E4-8F99-73CFC1A37A8B}"/>
  <tableColumns count="3">
    <tableColumn id="1" xr3:uid="{674C780C-A7E2-4F4A-A938-AD803B36FFB4}" name="Путь"/>
    <tableColumn id="2" xr3:uid="{424E23AD-0197-47E0-94F9-31E843D8DB6D}" name="Объект"/>
    <tableColumn id="3" xr3:uid="{CF97973E-9007-49A6-B061-D36D5123E9E8}" name="Тип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542B05D1-AD8D-4515-9AAF-12B0B86FFEEB}" name="Кластеры2_95" displayName="Кластеры2_95" ref="A1:D39" tableType="queryTable" totalsRowShown="0">
  <autoFilter ref="A1:D39" xr:uid="{542B05D1-AD8D-4515-9AAF-12B0B86FFEEB}"/>
  <tableColumns count="4">
    <tableColumn id="1" xr3:uid="{74301D4B-D7AF-4552-907E-F56BF9F04585}" uniqueName="1" name="IDP" queryTableFieldId="1"/>
    <tableColumn id="9" xr3:uid="{A7D75A8F-8EC3-4167-A2B0-035D651A25E2}" uniqueName="9" name="плазма" queryTableFieldId="9"/>
    <tableColumn id="10" xr3:uid="{ECCC97FE-E03A-462C-B070-04AE389B06D4}" uniqueName="10" name="ликвор" queryTableFieldId="10"/>
    <tableColumn id="11" xr3:uid="{785E49A6-3947-4EB5-8BB0-5C28498C26BC}" uniqueName="11" name="Разные" queryTableFieldId="1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A0AD7B0-8B50-47B5-AD58-1F5FABE2D9F6}" name="Фильтр1" displayName="Фильтр1" ref="F1:G13" totalsRowShown="0">
  <autoFilter ref="F1:G13" xr:uid="{6A0AD7B0-8B50-47B5-AD58-1F5FABE2D9F6}"/>
  <tableColumns count="2">
    <tableColumn id="1" xr3:uid="{9EB00942-63FC-4D48-8AE8-B45DB6EDB20B}" name="Фильтр"/>
    <tableColumn id="2" xr3:uid="{48FD596E-2882-421D-BE20-2C1A7E52EA5C}" name="Новые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4CE97EE-E2A1-4431-9B46-B8E90DA191DC}" name="Фильтр2" displayName="Фильтр2" ref="I1:J13" totalsRowShown="0" headerRowDxfId="18" headerRowBorderDxfId="17" tableBorderDxfId="16">
  <autoFilter ref="I1:J13" xr:uid="{14CE97EE-E2A1-4431-9B46-B8E90DA191DC}"/>
  <tableColumns count="2">
    <tableColumn id="1" xr3:uid="{54EE21E8-1972-4F79-8367-FCCAA3DFCF2F}" name="Фильтр"/>
    <tableColumn id="2" xr3:uid="{A7E461F1-7269-4AC2-A6DA-8E044B5A7016}" name="Новые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F4B697B-F9FE-4CCE-91D4-884CF86FD4AF}" name="Гетерогенность" displayName="Гетерогенность" ref="M1:N6" totalsRowShown="0">
  <autoFilter ref="M1:N6" xr:uid="{DF4B697B-F9FE-4CCE-91D4-884CF86FD4AF}"/>
  <tableColumns count="2">
    <tableColumn id="1" xr3:uid="{E51B4A19-05FE-4570-97AE-6F9B317C653F}" name="IDP"/>
    <tableColumn id="2" xr3:uid="{B3F8E96D-74E4-4479-B2D3-26A6F522B7E9}" name="Гетерогенность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F3BEDE8-04E1-4912-A2B0-02DE583D7B29}" name="ForStat2" displayName="ForStat2" ref="A1:D63" tableType="queryTable" totalsRowShown="0">
  <autoFilter ref="A1:D63" xr:uid="{EF3BEDE8-04E1-4912-A2B0-02DE583D7B29}"/>
  <tableColumns count="4">
    <tableColumn id="1" xr3:uid="{3206DED8-FFD0-46A0-800E-A58442DE5786}" uniqueName="1" name="IDP" queryTableFieldId="1"/>
    <tableColumn id="2" xr3:uid="{49641D77-5076-4E03-BC80-E9E00497D15A}" uniqueName="2" name="БМ" queryTableFieldId="2" dataDxfId="15"/>
    <tableColumn id="3" xr3:uid="{9237DF89-0A92-411F-B84D-8C1BA29501AB}" uniqueName="3" name="ВН" queryTableFieldId="3"/>
    <tableColumn id="4" xr3:uid="{3D386B28-E3D5-44A4-978A-6458D3C0DCF9}" uniqueName="4" name="ВН лог" queryTableFieldId="4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9AC42BA-9EB7-4DE4-BA93-CF324988EACE}" name="ForStat" displayName="ForStat" ref="A1:E77" tableType="queryTable" totalsRowShown="0">
  <autoFilter ref="A1:E77" xr:uid="{89AC42BA-9EB7-4DE4-BA93-CF324988EACE}"/>
  <tableColumns count="5">
    <tableColumn id="1" xr3:uid="{7B5154FE-5A3B-496D-93E3-7C2B2154CC4D}" uniqueName="1" name="IDP" queryTableFieldId="1"/>
    <tableColumn id="6" xr3:uid="{F17CC4AE-8CCF-499C-A772-461D558B454F}" uniqueName="6" name="БМ" queryTableFieldId="6"/>
    <tableColumn id="3" xr3:uid="{0C1B5870-49F3-4012-8213-705937AD975F}" uniqueName="3" name="ВН" queryTableFieldId="3" dataDxfId="14"/>
    <tableColumn id="2" xr3:uid="{5F8A3EAB-E98E-499A-A098-CA0EBE911B8E}" uniqueName="2" name="IDD" queryTableFieldId="2"/>
    <tableColumn id="4" xr3:uid="{79A8344F-12E5-4A27-ACDC-F0038BF88BB2}" uniqueName="4" name="ВН лог" queryTableFieldId="7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CA8AB95-FEAA-4DC9-B1D9-BF4770773598}" name="Пробы" displayName="Пробы" ref="A1:J77" tableType="queryTable" totalsRowShown="0">
  <autoFilter ref="A1:J77" xr:uid="{0CA8AB95-FEAA-4DC9-B1D9-BF4770773598}"/>
  <sortState xmlns:xlrd2="http://schemas.microsoft.com/office/spreadsheetml/2017/richdata2" ref="A2:H77">
    <sortCondition ref="A1:A77"/>
  </sortState>
  <tableColumns count="10">
    <tableColumn id="1" xr3:uid="{3EC5870A-B47A-469B-884E-F4A4A19837C9}" uniqueName="1" name="IDP" queryTableFieldId="1"/>
    <tableColumn id="2" xr3:uid="{9E7CD665-04AF-42C2-83BD-4A40EF45D0B4}" uniqueName="2" name="БМ" queryTableFieldId="2"/>
    <tableColumn id="3" xr3:uid="{039F3DE9-25F2-4753-8DBF-F15B2D704353}" uniqueName="3" name="ВН" queryTableFieldId="3"/>
    <tableColumn id="4" xr3:uid="{9405EE45-BF6A-4716-998C-1830F16A63E2}" uniqueName="4" name="IDD" queryTableFieldId="4"/>
    <tableColumn id="5" xr3:uid="{C9B7F141-0B12-425C-A84E-4F102F95B5F9}" uniqueName="5" name="ВН лог" queryTableFieldId="5"/>
    <tableColumn id="6" xr3:uid="{30C41D70-45C7-4DC5-ADD6-8CD9EFEDDA28}" uniqueName="6" name="Subtype" queryTableFieldId="6" dataDxfId="13"/>
    <tableColumn id="8" xr3:uid="{9A481DFD-E537-408A-B8E9-05685C4C453A}" uniqueName="8" name="Номер клады" queryTableFieldId="8"/>
    <tableColumn id="10" xr3:uid="{BA97815B-C6E8-4C69-AF9F-B7B6E4FE87D1}" uniqueName="10" name="IDD1" queryTableFieldId="10"/>
    <tableColumn id="11" xr3:uid="{7CEEC77F-09DB-4B35-A6C2-07A587EE627C}" uniqueName="11" name="Путь ИНФ" queryTableFieldId="11" dataDxfId="12">
      <calculatedColumnFormula>VLOOKUP(Пробы[[#This Row],[IDP]],Пациенты[],8,0)</calculatedColumnFormula>
    </tableColumn>
    <tableColumn id="12" xr3:uid="{1D4F20B3-8899-490B-956F-0E9ACE272289}" uniqueName="12" name="Город" queryTableFieldId="12" dataDxfId="11">
      <calculatedColumnFormula>VLOOKUP(Пробы[[#This Row],[IDP]],Пациенты[],11,0)</calculatedColumnFormula>
    </tableColumn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9CE7F95-0EEB-41C0-94CA-698996563008}" name="Diag" displayName="Diag" ref="A1:G39" tableType="queryTable" totalsRowShown="0">
  <autoFilter ref="A1:G39" xr:uid="{C9CE7F95-0EEB-41C0-94CA-698996563008}"/>
  <sortState xmlns:xlrd2="http://schemas.microsoft.com/office/spreadsheetml/2017/richdata2" ref="A2:E39">
    <sortCondition ref="E1:E39"/>
  </sortState>
  <tableColumns count="7">
    <tableColumn id="1" xr3:uid="{99B9B6F7-79A1-474F-9D8A-617AEF5B2FF8}" uniqueName="1" name="IDP" queryTableFieldId="1"/>
    <tableColumn id="7" xr3:uid="{A0F43EF5-2F04-4F6B-ABC1-3DA6959E8CBA}" uniqueName="7" name="плазма" queryTableFieldId="7"/>
    <tableColumn id="8" xr3:uid="{A1FFDC96-DEB9-4E6E-ABBE-6078F0E92B56}" uniqueName="8" name="ликвор" queryTableFieldId="8"/>
    <tableColumn id="5" xr3:uid="{28625E18-C851-46C7-8D93-20F347690A2A}" uniqueName="5" name="плазма+" queryTableFieldId="14" dataDxfId="10">
      <calculatedColumnFormula>Diag[[#This Row],[плазма]]*-1</calculatedColumnFormula>
    </tableColumn>
    <tableColumn id="6" xr3:uid="{1492D543-4120-4106-8B88-204186BEEE84}" uniqueName="6" name="CD4" queryTableFieldId="6"/>
    <tableColumn id="2" xr3:uid="{074AC0F3-B07A-45CD-BF1F-400EEBC24173}" uniqueName="2" name="Медиана плазма" queryTableFieldId="11" dataDxfId="9">
      <calculatedColumnFormula>MEDIAN(Diag[плазма])</calculatedColumnFormula>
    </tableColumn>
    <tableColumn id="3" xr3:uid="{33FE7549-A9E0-4946-87EA-C066347D10ED}" uniqueName="3" name="Медиана ликвор" queryTableFieldId="12" dataDxfId="8">
      <calculatedColumnFormula>MEDIAN(Diag[ликвор])</calculatedColumnFormula>
    </tableColumn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F94661E-40AB-4556-8DF9-AE1D9A0B8B4E}" name="Пациенты" displayName="Пациенты" ref="A1:AG39" tableType="queryTable" totalsRowShown="0">
  <autoFilter ref="A1:AG39" xr:uid="{CF94661E-40AB-4556-8DF9-AE1D9A0B8B4E}">
    <filterColumn colId="30">
      <filters>
        <filter val="1"/>
      </filters>
    </filterColumn>
  </autoFilter>
  <sortState xmlns:xlrd2="http://schemas.microsoft.com/office/spreadsheetml/2017/richdata2" ref="A2:AG39">
    <sortCondition ref="D1:D39"/>
  </sortState>
  <tableColumns count="33">
    <tableColumn id="1" xr3:uid="{F78D6DA9-84D3-4B25-B516-1174F6B118AC}" uniqueName="1" name="IDP" queryTableFieldId="1"/>
    <tableColumn id="3" xr3:uid="{26017062-3EDA-4C39-B948-4A1D2672421E}" uniqueName="3" name="Дата госп" queryTableFieldId="3" dataDxfId="7"/>
    <tableColumn id="4" xr3:uid="{B6C49B3F-F9D2-44E8-8417-3C3CB6C58D3B}" uniqueName="4" name="Стадия" queryTableFieldId="4"/>
    <tableColumn id="20" xr3:uid="{42621104-2860-44FB-81C9-13A0E04D1669}" uniqueName="20" name="CD4" queryTableFieldId="23"/>
    <tableColumn id="5" xr3:uid="{28FE0262-3B86-49FE-97F8-8691B6A427A1}" uniqueName="5" name="Пол2" queryTableFieldId="41"/>
    <tableColumn id="6" xr3:uid="{F6664387-1972-4B3A-8C97-CD0B8B1F54E7}" uniqueName="6" name="Код Ф4" queryTableFieldId="42"/>
    <tableColumn id="7" xr3:uid="{A610B8B2-CE3D-482B-830E-5A32F266C4C4}" uniqueName="7" name="Код ИНФ" queryTableFieldId="43"/>
    <tableColumn id="8" xr3:uid="{CD2B0134-D68F-4E34-ADE4-553EA6DA160C}" uniqueName="8" name="Путь ИНФ" queryTableFieldId="44"/>
    <tableColumn id="9" xr3:uid="{F3EB9B04-06BF-4AEF-8847-5BD5FBB914DC}" uniqueName="9" name="ДР" queryTableFieldId="9" dataDxfId="6"/>
    <tableColumn id="10" xr3:uid="{44B21FFD-D0BE-496A-AB55-1C6B890DC0D5}" uniqueName="10" name="ИБ дата" queryTableFieldId="10" dataDxfId="5"/>
    <tableColumn id="11" xr3:uid="{752CABB9-A24B-4B24-BCA7-5D2A2D34C2A6}" uniqueName="11" name="Город" queryTableFieldId="11"/>
    <tableColumn id="28" xr3:uid="{B00BC6A3-3AE1-44DD-A6E2-62CA2348175B}" uniqueName="28" name="DS" queryTableFieldId="66"/>
    <tableColumn id="12" xr3:uid="{71016056-0F6C-41D1-BBED-90B4335B9CAB}" uniqueName="12" name="АРТ старт" queryTableFieldId="49" dataDxfId="4"/>
    <tableColumn id="13" xr3:uid="{5E41CEEF-5C38-48B8-99B4-BF7FEA85465C}" uniqueName="13" name="АРТ финиш" queryTableFieldId="50" dataDxfId="3"/>
    <tableColumn id="14" xr3:uid="{5426853E-F0C4-443D-94AE-EAD957D053A4}" uniqueName="14" name="Возраст" queryTableFieldId="51"/>
    <tableColumn id="15" xr3:uid="{2A308C5D-4EE4-4DAF-B3FC-33E1E556CA37}" uniqueName="15" name="ВИЧ-инфекция" queryTableFieldId="52"/>
    <tableColumn id="16" xr3:uid="{EA610484-E2BC-4D12-AE9A-C3E9F086861E}" uniqueName="16" name="АРТ_длит" queryTableFieldId="53"/>
    <tableColumn id="17" xr3:uid="{B75A545C-0D37-4FB1-8C01-7CEC8A34F9B9}" uniqueName="17" name="АРТ срок" queryTableFieldId="54"/>
    <tableColumn id="18" xr3:uid="{D65F56AD-2328-472F-87C2-E590A6891D4E}" uniqueName="18" name="Наивные" queryTableFieldId="55"/>
    <tableColumn id="2" xr3:uid="{BE75F79C-401A-4013-9749-8E6F9E9E5FDF}" uniqueName="2" name="ВН плазма лог" queryTableFieldId="58"/>
    <tableColumn id="23" xr3:uid="{FA765EEC-6981-4683-96D9-11F7D7DAE371}" uniqueName="23" name="ВН ликвор лог" queryTableFieldId="59"/>
    <tableColumn id="21" xr3:uid="{D31EBD8B-97D0-4660-B80B-1CF0500EC07B}" uniqueName="21" name="ВН плазма" queryTableFieldId="56"/>
    <tableColumn id="22" xr3:uid="{2C4FA4DA-37C5-48A5-BC26-6E8268F3462D}" uniqueName="22" name="ВН ликвор" queryTableFieldId="57"/>
    <tableColumn id="24" xr3:uid="{9DFFE612-21D1-4CE6-A8E5-B057AB9EDF69}" uniqueName="24" name="AN плазма" queryTableFieldId="62"/>
    <tableColumn id="25" xr3:uid="{54328B7F-9527-495A-B508-8FB24CA936B0}" uniqueName="25" name="AN ликвор" queryTableFieldId="63"/>
    <tableColumn id="26" xr3:uid="{AF586180-CD08-4DB0-BBB2-C0FC3034AFD1}" uniqueName="26" name="Парные" queryTableFieldId="64"/>
    <tableColumn id="30" xr3:uid="{94F959B7-BEF9-4D6A-8640-F8B30B0FD304}" uniqueName="30" name="Кл_плазма" queryTableFieldId="69"/>
    <tableColumn id="31" xr3:uid="{D88F7864-51E3-4F08-8306-F75CF6FE5464}" uniqueName="31" name="Кл_ликвор" queryTableFieldId="70"/>
    <tableColumn id="32" xr3:uid="{92794F62-1DBF-4044-A1AE-5EC2C0666072}" uniqueName="32" name="Кл_разные" queryTableFieldId="71"/>
    <tableColumn id="19" xr3:uid="{98F86A3A-B21C-4C3F-9297-1B1091210F97}" uniqueName="19" name="ДЛИТ" queryTableFieldId="25" dataDxfId="2">
      <calculatedColumnFormula>IF(Пациенты[[#This Row],[ВИЧ-инфекция]]&lt;$AI$1,1,2)</calculatedColumnFormula>
    </tableColumn>
    <tableColumn id="27" xr3:uid="{93D51381-8CBF-4816-97F3-3FD15B9A9F01}" uniqueName="27" name="Гетерогенность" queryTableFieldId="65"/>
    <tableColumn id="29" xr3:uid="{F16B8A38-D280-44B4-A3F0-FF53A7E1133E}" uniqueName="29" name="Оппортунисты" queryTableFieldId="68" dataDxfId="1">
      <calculatedColumnFormula>IF(Пациенты[[#This Row],[DS]]="ВИЧ-энцефалит",0,IF(Пациенты[[#This Row],[DS]]&lt;&gt;"Другие поражения ГМ",1,""))</calculatedColumnFormula>
    </tableColumn>
    <tableColumn id="33" xr3:uid="{FCAE848B-F0EC-49E8-982C-22F4BD08F113}" uniqueName="33" name="Кл3" queryTableFieldId="72" dataDxfId="0">
      <calculatedColumnFormula>IF(OR(Пациенты[[#This Row],[Кл_плазма]]=$AJ$1,Пациенты[[#This Row],[Кл_ликвор]]=$AJ$1),1,0)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78B39-F552-4527-854C-A9E2F6699F7E}">
  <sheetPr codeName="Лист1"/>
  <dimension ref="A1:N13"/>
  <sheetViews>
    <sheetView topLeftCell="B1" workbookViewId="0">
      <selection activeCell="M1" sqref="M1:N6"/>
    </sheetView>
  </sheetViews>
  <sheetFormatPr defaultRowHeight="15" x14ac:dyDescent="0.25"/>
  <cols>
    <col min="1" max="1" width="84.7109375" customWidth="1"/>
    <col min="2" max="2" width="10.28515625" bestFit="1" customWidth="1"/>
    <col min="6" max="6" width="9.28515625" customWidth="1"/>
    <col min="9" max="9" width="10.42578125" bestFit="1" customWidth="1"/>
    <col min="14" max="14" width="16.42578125" customWidth="1"/>
  </cols>
  <sheetData>
    <row r="1" spans="1:14" x14ac:dyDescent="0.25">
      <c r="A1" t="s">
        <v>0</v>
      </c>
      <c r="B1" t="s">
        <v>1</v>
      </c>
      <c r="C1" t="s">
        <v>2</v>
      </c>
      <c r="F1" t="s">
        <v>97</v>
      </c>
      <c r="G1" t="s">
        <v>101</v>
      </c>
      <c r="I1" s="16" t="s">
        <v>97</v>
      </c>
      <c r="J1" s="17" t="s">
        <v>101</v>
      </c>
      <c r="M1" t="s">
        <v>5</v>
      </c>
      <c r="N1" s="3" t="s">
        <v>231</v>
      </c>
    </row>
    <row r="2" spans="1:14" x14ac:dyDescent="0.25">
      <c r="A2" t="s">
        <v>96</v>
      </c>
      <c r="B2" t="s">
        <v>4</v>
      </c>
      <c r="C2" t="s">
        <v>3</v>
      </c>
      <c r="F2" t="s">
        <v>5</v>
      </c>
      <c r="G2" t="s">
        <v>5</v>
      </c>
      <c r="I2" t="s">
        <v>5</v>
      </c>
      <c r="J2" t="s">
        <v>5</v>
      </c>
      <c r="M2" s="46">
        <v>79</v>
      </c>
      <c r="N2">
        <v>1</v>
      </c>
    </row>
    <row r="3" spans="1:14" x14ac:dyDescent="0.25">
      <c r="A3" t="s">
        <v>102</v>
      </c>
      <c r="B3" t="s">
        <v>103</v>
      </c>
      <c r="C3" t="s">
        <v>3</v>
      </c>
      <c r="F3" t="s">
        <v>6</v>
      </c>
      <c r="G3" t="s">
        <v>6</v>
      </c>
      <c r="I3" t="s">
        <v>104</v>
      </c>
      <c r="J3" t="s">
        <v>114</v>
      </c>
      <c r="M3" s="47">
        <v>81</v>
      </c>
      <c r="N3">
        <v>1</v>
      </c>
    </row>
    <row r="4" spans="1:14" x14ac:dyDescent="0.25">
      <c r="A4" t="s">
        <v>95</v>
      </c>
      <c r="B4" t="s">
        <v>80</v>
      </c>
      <c r="C4" t="s">
        <v>3</v>
      </c>
      <c r="F4" t="s">
        <v>7</v>
      </c>
      <c r="G4" t="s">
        <v>7</v>
      </c>
      <c r="I4" t="s">
        <v>15</v>
      </c>
      <c r="J4" t="s">
        <v>115</v>
      </c>
      <c r="M4" s="46">
        <v>92</v>
      </c>
      <c r="N4">
        <v>1</v>
      </c>
    </row>
    <row r="5" spans="1:14" x14ac:dyDescent="0.25">
      <c r="A5" t="s">
        <v>127</v>
      </c>
      <c r="B5" t="s">
        <v>128</v>
      </c>
      <c r="C5" t="s">
        <v>3</v>
      </c>
      <c r="F5" t="s">
        <v>49</v>
      </c>
      <c r="G5" t="s">
        <v>49</v>
      </c>
      <c r="I5" t="s">
        <v>105</v>
      </c>
      <c r="J5" t="s">
        <v>116</v>
      </c>
      <c r="M5">
        <v>12</v>
      </c>
      <c r="N5">
        <v>1</v>
      </c>
    </row>
    <row r="6" spans="1:14" x14ac:dyDescent="0.25">
      <c r="A6" t="s">
        <v>164</v>
      </c>
      <c r="B6" t="s">
        <v>163</v>
      </c>
      <c r="C6" t="s">
        <v>3</v>
      </c>
      <c r="F6" t="s">
        <v>8</v>
      </c>
      <c r="G6" t="s">
        <v>8</v>
      </c>
      <c r="I6" t="s">
        <v>106</v>
      </c>
      <c r="J6" t="s">
        <v>117</v>
      </c>
      <c r="M6">
        <v>39</v>
      </c>
      <c r="N6">
        <v>1</v>
      </c>
    </row>
    <row r="7" spans="1:14" x14ac:dyDescent="0.25">
      <c r="A7" t="s">
        <v>295</v>
      </c>
      <c r="B7" t="s">
        <v>294</v>
      </c>
      <c r="C7" t="s">
        <v>3</v>
      </c>
      <c r="F7" t="s">
        <v>9</v>
      </c>
      <c r="G7" t="s">
        <v>98</v>
      </c>
      <c r="I7" t="s">
        <v>107</v>
      </c>
      <c r="J7" t="s">
        <v>118</v>
      </c>
    </row>
    <row r="8" spans="1:14" x14ac:dyDescent="0.25">
      <c r="F8" t="s">
        <v>10</v>
      </c>
      <c r="G8" t="s">
        <v>99</v>
      </c>
      <c r="I8" t="s">
        <v>108</v>
      </c>
      <c r="J8" t="s">
        <v>119</v>
      </c>
    </row>
    <row r="9" spans="1:14" x14ac:dyDescent="0.25">
      <c r="F9" t="s">
        <v>11</v>
      </c>
      <c r="G9" t="s">
        <v>100</v>
      </c>
      <c r="I9" t="s">
        <v>109</v>
      </c>
      <c r="J9" t="s">
        <v>120</v>
      </c>
    </row>
    <row r="10" spans="1:14" x14ac:dyDescent="0.25">
      <c r="F10" t="s">
        <v>12</v>
      </c>
      <c r="G10" t="s">
        <v>12</v>
      </c>
      <c r="I10" t="s">
        <v>110</v>
      </c>
      <c r="J10" t="s">
        <v>121</v>
      </c>
    </row>
    <row r="11" spans="1:14" x14ac:dyDescent="0.25">
      <c r="F11" t="s">
        <v>13</v>
      </c>
      <c r="G11" t="s">
        <v>13</v>
      </c>
      <c r="I11" t="s">
        <v>111</v>
      </c>
      <c r="J11" t="s">
        <v>122</v>
      </c>
    </row>
    <row r="12" spans="1:14" x14ac:dyDescent="0.25">
      <c r="F12" t="s">
        <v>14</v>
      </c>
      <c r="G12" t="s">
        <v>14</v>
      </c>
      <c r="I12" t="s">
        <v>112</v>
      </c>
      <c r="J12" t="s">
        <v>123</v>
      </c>
    </row>
    <row r="13" spans="1:14" x14ac:dyDescent="0.25">
      <c r="F13" t="s">
        <v>232</v>
      </c>
      <c r="G13" t="s">
        <v>232</v>
      </c>
      <c r="I13" t="s">
        <v>113</v>
      </c>
      <c r="J13" t="s">
        <v>124</v>
      </c>
    </row>
  </sheetData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A4509-3A0E-4794-812D-8755CC56E863}">
  <sheetPr codeName="Лист9"/>
  <dimension ref="A1:R126"/>
  <sheetViews>
    <sheetView zoomScale="85" zoomScaleNormal="85" workbookViewId="0">
      <pane xSplit="3" ySplit="1" topLeftCell="D108" activePane="bottomRight" state="frozen"/>
      <selection pane="topRight" activeCell="D1" sqref="D1"/>
      <selection pane="bottomLeft" activeCell="A2" sqref="A2"/>
      <selection pane="bottomRight" activeCell="R126" sqref="R126"/>
    </sheetView>
  </sheetViews>
  <sheetFormatPr defaultRowHeight="15" x14ac:dyDescent="0.25"/>
  <cols>
    <col min="2" max="2" width="14.7109375" customWidth="1"/>
    <col min="3" max="3" width="9" bestFit="1" customWidth="1"/>
    <col min="4" max="4" width="15.85546875" customWidth="1"/>
    <col min="5" max="5" width="11.85546875" bestFit="1" customWidth="1"/>
    <col min="11" max="11" width="14.85546875" bestFit="1" customWidth="1"/>
  </cols>
  <sheetData>
    <row r="1" spans="1:12" ht="17.25" x14ac:dyDescent="0.3">
      <c r="D1" t="s">
        <v>38</v>
      </c>
      <c r="E1" t="s">
        <v>39</v>
      </c>
      <c r="F1" s="6" t="s">
        <v>40</v>
      </c>
      <c r="G1" t="s">
        <v>41</v>
      </c>
      <c r="H1" t="s">
        <v>42</v>
      </c>
      <c r="I1" s="7" t="s">
        <v>43</v>
      </c>
      <c r="J1" t="s">
        <v>44</v>
      </c>
    </row>
    <row r="2" spans="1:12" x14ac:dyDescent="0.25">
      <c r="A2" t="s">
        <v>34</v>
      </c>
      <c r="B2" s="3" t="s">
        <v>29</v>
      </c>
      <c r="C2">
        <v>0</v>
      </c>
      <c r="D2">
        <f ca="1">SUMPRODUCT((INDIRECT($A2&amp;"["&amp;$B2&amp;"]")=$C2)*1)</f>
        <v>8</v>
      </c>
      <c r="E2">
        <f ca="1">SUMPRODUCT((INDIRECT($A2&amp;"["&amp;$B2&amp;"]")&lt;&gt;"")*1)</f>
        <v>38</v>
      </c>
      <c r="F2" s="8">
        <f ca="1">ROUND(D2/E2,4)</f>
        <v>0.21049999999999999</v>
      </c>
      <c r="G2" s="9">
        <f ca="1">(F2+(J2^2)/(2*E2)-J2*((F2*(1-F2)/E2)+((J2^2)/(4*(E2^2))))^(1/2))/(1+(J2^2)/E2)</f>
        <v>0.11072904590853476</v>
      </c>
      <c r="H2" s="9">
        <f ca="1">(F2+(J2^2)/(2*E2)+J2*((F2*(1-F2)/E2)+((J2^2)/(4*(E2^2))))^(1/2))/(1+(J2^2)/E2)</f>
        <v>0.36342886779407829</v>
      </c>
      <c r="I2" s="7">
        <v>0.95</v>
      </c>
      <c r="J2">
        <f>_xlfn.NORM.S.INV((1+I2)/2)</f>
        <v>1.9599639845400536</v>
      </c>
      <c r="K2" t="str">
        <f ca="1">"("&amp;TEXT(ROUND(F2,3),"0,0%") &amp;", 95 % ДИ ["&amp;ROUND(G2,3)*100&amp;" – "&amp;ROUND(H2,3)*100&amp; "])"</f>
        <v>(21,1%, 95 % ДИ [11,1 – 36,3])</v>
      </c>
    </row>
    <row r="3" spans="1:12" x14ac:dyDescent="0.25">
      <c r="A3" t="s">
        <v>34</v>
      </c>
      <c r="B3" s="3" t="s">
        <v>29</v>
      </c>
      <c r="C3">
        <v>1</v>
      </c>
      <c r="D3">
        <f ca="1">SUMPRODUCT((INDIRECT($A3&amp;"["&amp;$B3&amp;"]")=$C3)*1)</f>
        <v>30</v>
      </c>
      <c r="E3">
        <f ca="1">SUMPRODUCT((INDIRECT($A3&amp;"["&amp;$B3&amp;"]")&lt;&gt;"")*1)</f>
        <v>38</v>
      </c>
      <c r="F3" s="8">
        <f ca="1">ROUND(D3/E3,4)</f>
        <v>0.78949999999999998</v>
      </c>
      <c r="G3" s="9">
        <f ca="1">(F3+(J3^2)/(2*E3)-J3*((F3*(1-F3)/E3)+((J3^2)/(4*(E3^2))))^(1/2))/(1+(J3^2)/E3)</f>
        <v>0.63657113220592165</v>
      </c>
      <c r="H3" s="9">
        <f ca="1">(F3+(J3^2)/(2*E3)+J3*((F3*(1-F3)/E3)+((J3^2)/(4*(E3^2))))^(1/2))/(1+(J3^2)/E3)</f>
        <v>0.88927095409146517</v>
      </c>
      <c r="I3" s="7">
        <v>0.95</v>
      </c>
      <c r="J3">
        <f>_xlfn.NORM.S.INV((1+I3)/2)</f>
        <v>1.9599639845400536</v>
      </c>
      <c r="K3" t="str">
        <f ca="1">"("&amp;TEXT(ROUND(F3,3),"0,0%") &amp;", 95 % ДИ ["&amp;ROUND(G3,3)*100&amp;" – "&amp;ROUND(H3,3)*100&amp; "])"</f>
        <v>(79,0%, 95 % ДИ [63,7 – 88,9])</v>
      </c>
    </row>
    <row r="5" spans="1:12" x14ac:dyDescent="0.25">
      <c r="A5" t="s">
        <v>34</v>
      </c>
      <c r="B5" s="2" t="s">
        <v>32</v>
      </c>
      <c r="C5">
        <v>1</v>
      </c>
      <c r="D5">
        <f ca="1">_xlfn.QUARTILE.INC(INDIRECT($A5&amp;"["&amp;$B5&amp;"]"),$C5)</f>
        <v>9.3083333333333336</v>
      </c>
      <c r="E5" t="s">
        <v>35</v>
      </c>
      <c r="F5" t="str">
        <f ca="1">"по медиане "&amp;TEXT(ROUND(D6,2),"0,00")&amp;" (МКИ: "&amp;TEXT(ROUND(D5,2),"0,00")&amp;" - "&amp;TEXT(ROUND(D7,2),"0,00")&amp;") месяцев"</f>
        <v>по медиане 28,77 (МКИ: 9,31 - 34,91) месяцев</v>
      </c>
      <c r="L5" t="s">
        <v>54</v>
      </c>
    </row>
    <row r="6" spans="1:12" x14ac:dyDescent="0.25">
      <c r="A6" t="s">
        <v>34</v>
      </c>
      <c r="B6" s="2" t="s">
        <v>32</v>
      </c>
      <c r="C6">
        <v>2</v>
      </c>
      <c r="D6">
        <f ca="1">_xlfn.QUARTILE.INC(INDIRECT($A6&amp;"["&amp;$B6&amp;"]"),$C6)</f>
        <v>28.766666666666666</v>
      </c>
      <c r="E6" t="s">
        <v>37</v>
      </c>
      <c r="K6" t="s">
        <v>55</v>
      </c>
      <c r="L6">
        <v>8</v>
      </c>
    </row>
    <row r="7" spans="1:12" x14ac:dyDescent="0.25">
      <c r="A7" t="s">
        <v>34</v>
      </c>
      <c r="B7" s="2" t="s">
        <v>32</v>
      </c>
      <c r="C7">
        <v>3</v>
      </c>
      <c r="D7">
        <f ca="1">_xlfn.QUARTILE.INC(INDIRECT($A7&amp;"["&amp;$B7&amp;"]"),$C7)</f>
        <v>34.908333333333331</v>
      </c>
      <c r="E7" t="s">
        <v>36</v>
      </c>
      <c r="K7" t="s">
        <v>56</v>
      </c>
      <c r="L7">
        <v>0.86809999999999998</v>
      </c>
    </row>
    <row r="8" spans="1:12" x14ac:dyDescent="0.25">
      <c r="A8" t="s">
        <v>34</v>
      </c>
      <c r="B8" s="2" t="s">
        <v>32</v>
      </c>
      <c r="D8">
        <f ca="1">AVERAGE(INDIRECT($A8&amp;"["&amp;$B8&amp;"]"))</f>
        <v>23.387499999999996</v>
      </c>
      <c r="E8" t="s">
        <v>45</v>
      </c>
      <c r="K8" t="s">
        <v>57</v>
      </c>
      <c r="L8">
        <v>0.14430000000000001</v>
      </c>
    </row>
    <row r="9" spans="1:12" x14ac:dyDescent="0.25">
      <c r="A9" t="s">
        <v>34</v>
      </c>
      <c r="B9" s="2" t="s">
        <v>32</v>
      </c>
      <c r="D9">
        <f ca="1">_xlfn.STDEV.S(INDIRECT($A9&amp;"["&amp;$B9&amp;"]"))</f>
        <v>14.344789856660363</v>
      </c>
      <c r="E9" t="s">
        <v>46</v>
      </c>
    </row>
    <row r="10" spans="1:12" x14ac:dyDescent="0.25">
      <c r="A10" t="s">
        <v>34</v>
      </c>
      <c r="B10" s="2" t="s">
        <v>32</v>
      </c>
      <c r="D10">
        <f ca="1">MIN(INDIRECT($A10&amp;"["&amp;$B10&amp;"]"))</f>
        <v>3.5666666666666664</v>
      </c>
      <c r="E10" t="s">
        <v>52</v>
      </c>
    </row>
    <row r="11" spans="1:12" x14ac:dyDescent="0.25">
      <c r="A11" t="s">
        <v>34</v>
      </c>
      <c r="B11" s="2" t="s">
        <v>32</v>
      </c>
      <c r="D11">
        <f ca="1">MAX(INDIRECT($A11&amp;"["&amp;$B11&amp;"]"))</f>
        <v>39.199999999999996</v>
      </c>
      <c r="E11" t="s">
        <v>53</v>
      </c>
    </row>
    <row r="12" spans="1:12" x14ac:dyDescent="0.25">
      <c r="A12" t="s">
        <v>34</v>
      </c>
      <c r="B12" s="2" t="s">
        <v>32</v>
      </c>
      <c r="D12">
        <f ca="1">SUMPRODUCT((INDIRECT($A12&amp;"["&amp;$B12&amp;"]")&lt;&gt;"")*1)</f>
        <v>8</v>
      </c>
      <c r="E12" t="s">
        <v>58</v>
      </c>
    </row>
    <row r="14" spans="1:12" x14ac:dyDescent="0.25">
      <c r="A14" t="s">
        <v>34</v>
      </c>
      <c r="B14" s="2" t="s">
        <v>30</v>
      </c>
      <c r="C14">
        <v>1</v>
      </c>
      <c r="D14">
        <f ca="1">_xlfn.QUARTILE.INC(INDIRECT($A14&amp;"["&amp;$B14&amp;"]"),$C14)</f>
        <v>33.594520547945024</v>
      </c>
      <c r="E14" t="s">
        <v>35</v>
      </c>
      <c r="F14" t="str">
        <f ca="1">"по медиане "&amp;TEXT(ROUND(D15,2),"0,00")&amp;" (МКИ: "&amp;TEXT(ROUND(D14,2),"0,00")&amp;" - "&amp;TEXT(ROUND(D16,2),"0,00")&amp;") лет"</f>
        <v>по медиане 38,79 (МКИ: 33,59 - 41,93) лет</v>
      </c>
      <c r="L14" t="s">
        <v>54</v>
      </c>
    </row>
    <row r="15" spans="1:12" x14ac:dyDescent="0.25">
      <c r="A15" t="s">
        <v>34</v>
      </c>
      <c r="B15" s="2" t="s">
        <v>30</v>
      </c>
      <c r="C15">
        <v>2</v>
      </c>
      <c r="D15">
        <f ca="1">_xlfn.QUARTILE.INC(INDIRECT($A15&amp;"["&amp;$B15&amp;"]"),$C15)</f>
        <v>38.789041095889459</v>
      </c>
      <c r="E15" t="s">
        <v>37</v>
      </c>
      <c r="K15" t="s">
        <v>55</v>
      </c>
      <c r="L15">
        <v>38</v>
      </c>
    </row>
    <row r="16" spans="1:12" x14ac:dyDescent="0.25">
      <c r="A16" t="s">
        <v>34</v>
      </c>
      <c r="B16" s="2" t="s">
        <v>30</v>
      </c>
      <c r="C16">
        <v>3</v>
      </c>
      <c r="D16">
        <f ca="1">_xlfn.QUARTILE.INC(INDIRECT($A16&amp;"["&amp;$B16&amp;"]"),$C16)</f>
        <v>41.93493150684867</v>
      </c>
      <c r="E16" t="s">
        <v>36</v>
      </c>
      <c r="K16" t="s">
        <v>56</v>
      </c>
      <c r="L16">
        <v>0.91659999999999997</v>
      </c>
    </row>
    <row r="17" spans="1:12" x14ac:dyDescent="0.25">
      <c r="A17" t="s">
        <v>34</v>
      </c>
      <c r="B17" s="2" t="s">
        <v>30</v>
      </c>
      <c r="D17">
        <f ca="1">AVERAGE(INDIRECT($A17&amp;"["&amp;$B17&amp;"]"))</f>
        <v>38.909805335255385</v>
      </c>
      <c r="E17" t="s">
        <v>45</v>
      </c>
      <c r="K17" t="s">
        <v>57</v>
      </c>
      <c r="L17">
        <v>7.7660000000000003E-3</v>
      </c>
    </row>
    <row r="18" spans="1:12" x14ac:dyDescent="0.25">
      <c r="A18" t="s">
        <v>34</v>
      </c>
      <c r="B18" s="2" t="s">
        <v>30</v>
      </c>
      <c r="D18">
        <f ca="1">_xlfn.STDEV.S(INDIRECT($A18&amp;"["&amp;$B18&amp;"]"))</f>
        <v>7.2750211415551469</v>
      </c>
      <c r="E18" t="s">
        <v>46</v>
      </c>
      <c r="L18" s="10"/>
    </row>
    <row r="19" spans="1:12" x14ac:dyDescent="0.25">
      <c r="A19" t="s">
        <v>34</v>
      </c>
      <c r="B19" s="2" t="s">
        <v>30</v>
      </c>
      <c r="D19">
        <f ca="1">MIN(INDIRECT($A19&amp;"["&amp;$B19&amp;"]"))</f>
        <v>25.972602739725694</v>
      </c>
      <c r="E19" t="s">
        <v>52</v>
      </c>
    </row>
    <row r="20" spans="1:12" x14ac:dyDescent="0.25">
      <c r="A20" t="s">
        <v>34</v>
      </c>
      <c r="B20" s="2" t="s">
        <v>30</v>
      </c>
      <c r="D20">
        <f ca="1">MAX(INDIRECT($A20&amp;"["&amp;$B20&amp;"]"))</f>
        <v>66.194520547944435</v>
      </c>
      <c r="E20" t="s">
        <v>53</v>
      </c>
    </row>
    <row r="21" spans="1:12" x14ac:dyDescent="0.25">
      <c r="A21" t="s">
        <v>34</v>
      </c>
      <c r="B21" s="2" t="s">
        <v>30</v>
      </c>
      <c r="D21">
        <f ca="1">SUMPRODUCT((INDIRECT($A21&amp;"["&amp;$B21&amp;"]")&lt;&gt;"")*1)</f>
        <v>38</v>
      </c>
      <c r="E21" t="s">
        <v>58</v>
      </c>
    </row>
    <row r="23" spans="1:12" x14ac:dyDescent="0.25">
      <c r="A23" t="s">
        <v>34</v>
      </c>
      <c r="B23" s="2" t="s">
        <v>31</v>
      </c>
      <c r="C23">
        <v>1</v>
      </c>
      <c r="D23">
        <f ca="1">_xlfn.QUARTILE.INC(INDIRECT($A23&amp;"["&amp;$B23&amp;"]"),$C23)</f>
        <v>32.133333333333333</v>
      </c>
      <c r="E23" t="s">
        <v>35</v>
      </c>
      <c r="F23" t="str">
        <f ca="1">"по медиане "&amp;TEXT(ROUND(D24,2),"0,00")&amp;" (МКИ: "&amp;TEXT(ROUND(D23,2),"0,00")&amp;" - "&amp;TEXT(ROUND(D25,2),"0,00")&amp;") месяцев"</f>
        <v>по медиане 61,95 (МКИ: 32,13 - 106,33) месяцев</v>
      </c>
      <c r="L23" t="s">
        <v>54</v>
      </c>
    </row>
    <row r="24" spans="1:12" x14ac:dyDescent="0.25">
      <c r="A24" t="s">
        <v>34</v>
      </c>
      <c r="B24" s="2" t="s">
        <v>31</v>
      </c>
      <c r="C24">
        <v>2</v>
      </c>
      <c r="D24">
        <f ca="1">_xlfn.QUARTILE.INC(INDIRECT($A24&amp;"["&amp;$B24&amp;"]"),$C24)</f>
        <v>61.949999999999996</v>
      </c>
      <c r="E24" t="s">
        <v>37</v>
      </c>
      <c r="F24" t="s">
        <v>50</v>
      </c>
      <c r="K24" t="s">
        <v>55</v>
      </c>
      <c r="L24">
        <v>38</v>
      </c>
    </row>
    <row r="25" spans="1:12" x14ac:dyDescent="0.25">
      <c r="A25" t="s">
        <v>34</v>
      </c>
      <c r="B25" s="2" t="s">
        <v>31</v>
      </c>
      <c r="C25">
        <v>3</v>
      </c>
      <c r="D25">
        <f ca="1">_xlfn.QUARTILE.INC(INDIRECT($A25&amp;"["&amp;$B25&amp;"]"),$C25)</f>
        <v>106.325</v>
      </c>
      <c r="E25" t="s">
        <v>36</v>
      </c>
      <c r="F25" t="s">
        <v>50</v>
      </c>
      <c r="K25" t="s">
        <v>56</v>
      </c>
      <c r="L25">
        <v>0.9214</v>
      </c>
    </row>
    <row r="26" spans="1:12" x14ac:dyDescent="0.25">
      <c r="A26" t="s">
        <v>34</v>
      </c>
      <c r="B26" s="2" t="s">
        <v>31</v>
      </c>
      <c r="D26">
        <f ca="1">AVERAGE(INDIRECT($A26&amp;"["&amp;$B26&amp;"]"))</f>
        <v>81.012280701754364</v>
      </c>
      <c r="E26" t="s">
        <v>45</v>
      </c>
      <c r="F26" t="s">
        <v>50</v>
      </c>
      <c r="K26" t="s">
        <v>57</v>
      </c>
      <c r="L26">
        <v>1.0840000000000001E-2</v>
      </c>
    </row>
    <row r="27" spans="1:12" x14ac:dyDescent="0.25">
      <c r="A27" t="s">
        <v>34</v>
      </c>
      <c r="B27" s="2" t="s">
        <v>31</v>
      </c>
      <c r="D27">
        <f ca="1">_xlfn.STDEV.S(INDIRECT($A27&amp;"["&amp;$B27&amp;"]"))</f>
        <v>64.272143528101324</v>
      </c>
      <c r="E27" t="s">
        <v>46</v>
      </c>
      <c r="F27" t="s">
        <v>50</v>
      </c>
    </row>
    <row r="28" spans="1:12" x14ac:dyDescent="0.25">
      <c r="A28" t="s">
        <v>34</v>
      </c>
      <c r="B28" s="2" t="s">
        <v>31</v>
      </c>
      <c r="D28">
        <f ca="1">MIN(INDIRECT($A28&amp;"["&amp;$B28&amp;"]"))</f>
        <v>0.26666666666666666</v>
      </c>
      <c r="E28" t="s">
        <v>52</v>
      </c>
    </row>
    <row r="29" spans="1:12" x14ac:dyDescent="0.25">
      <c r="A29" t="s">
        <v>34</v>
      </c>
      <c r="B29" s="2" t="s">
        <v>31</v>
      </c>
      <c r="D29">
        <f ca="1">MAX(INDIRECT($A29&amp;"["&amp;$B29&amp;"]"))</f>
        <v>223.43333333333334</v>
      </c>
      <c r="E29" t="s">
        <v>53</v>
      </c>
    </row>
    <row r="30" spans="1:12" x14ac:dyDescent="0.25">
      <c r="A30" t="s">
        <v>34</v>
      </c>
      <c r="B30" s="2" t="s">
        <v>31</v>
      </c>
      <c r="D30">
        <f ca="1">SUMPRODUCT((INDIRECT($A30&amp;"["&amp;$B30&amp;"]")&lt;&gt;"")*1)</f>
        <v>38</v>
      </c>
      <c r="E30" t="s">
        <v>58</v>
      </c>
    </row>
    <row r="32" spans="1:12" x14ac:dyDescent="0.25">
      <c r="A32" t="s">
        <v>34</v>
      </c>
      <c r="B32" s="2" t="s">
        <v>8</v>
      </c>
      <c r="C32" s="5" t="s">
        <v>17</v>
      </c>
      <c r="D32">
        <f ca="1">SUMPRODUCT((INDIRECT($A32&amp;"["&amp;$B32&amp;"]")=$C32)*1)</f>
        <v>20</v>
      </c>
      <c r="E32">
        <f ca="1">SUMPRODUCT((INDIRECT($A32&amp;"["&amp;$B32&amp;"]")&lt;&gt;"")*1)</f>
        <v>38</v>
      </c>
      <c r="F32" s="8">
        <f ca="1">ROUND(D32/E32,4)</f>
        <v>0.52629999999999999</v>
      </c>
      <c r="G32" s="9">
        <f ca="1">(F32+(J32^2)/(2*E32)-J32*((F32*(1-F32)/E32)+((J32^2)/(4*(E32^2))))^(1/2))/(1+(J32^2)/E32)</f>
        <v>0.37257514509758505</v>
      </c>
      <c r="H32" s="9">
        <f ca="1">(F32+(J32^2)/(2*E32)+J32*((F32*(1-F32)/E32)+((J32^2)/(4*(E32^2))))^(1/2))/(1+(J32^2)/E32)</f>
        <v>0.67519565583374919</v>
      </c>
      <c r="I32" s="7">
        <v>0.95</v>
      </c>
      <c r="J32">
        <f>_xlfn.NORM.S.INV((1+I32)/2)</f>
        <v>1.9599639845400536</v>
      </c>
      <c r="K32" t="str">
        <f ca="1">"("&amp;TEXT(ROUND(F32,3),"0,0%") &amp;", 95 % ДИ ["&amp;ROUND(G32,3)*100&amp;" – "&amp;ROUND(H32,3)*100&amp; "])"</f>
        <v>(52,6%, 95 % ДИ [37,3 – 67,5])</v>
      </c>
    </row>
    <row r="33" spans="1:11" x14ac:dyDescent="0.25">
      <c r="A33" t="s">
        <v>34</v>
      </c>
      <c r="B33" s="2" t="s">
        <v>8</v>
      </c>
      <c r="C33" s="4" t="s">
        <v>20</v>
      </c>
      <c r="D33">
        <f ca="1">SUMPRODUCT((INDIRECT($A33&amp;"["&amp;$B33&amp;"]")=$C33)*1)</f>
        <v>18</v>
      </c>
      <c r="E33">
        <f ca="1">SUMPRODUCT((INDIRECT($A33&amp;"["&amp;$B33&amp;"]")&lt;&gt;"")*1)</f>
        <v>38</v>
      </c>
      <c r="F33" s="8">
        <f ca="1">ROUND(D33/E33,4)</f>
        <v>0.47370000000000001</v>
      </c>
      <c r="G33" s="9">
        <f ca="1">(F33+(J33^2)/(2*E33)-J33*((F33*(1-F33)/E33)+((J33^2)/(4*(E33^2))))^(1/2))/(1+(J33^2)/E33)</f>
        <v>0.32480434416625076</v>
      </c>
      <c r="H33" s="9">
        <f ca="1">(F33+(J33^2)/(2*E33)+J33*((F33*(1-F33)/E33)+((J33^2)/(4*(E33^2))))^(1/2))/(1+(J33^2)/E33)</f>
        <v>0.62742485490241495</v>
      </c>
      <c r="I33" s="7">
        <v>0.95</v>
      </c>
      <c r="J33">
        <f>_xlfn.NORM.S.INV((1+I33)/2)</f>
        <v>1.9599639845400536</v>
      </c>
      <c r="K33" t="str">
        <f ca="1">"("&amp;TEXT(ROUND(F33,3),"0,0%") &amp;", 95 % ДИ ["&amp;ROUND(G33,3)*100&amp;" – "&amp;ROUND(H33,3)*100&amp; "])"</f>
        <v>(47,4%, 95 % ДИ [32,5 – 62,7])</v>
      </c>
    </row>
    <row r="35" spans="1:11" x14ac:dyDescent="0.25">
      <c r="A35" t="s">
        <v>34</v>
      </c>
      <c r="B35" s="2" t="s">
        <v>100</v>
      </c>
      <c r="C35" s="5" t="s">
        <v>18</v>
      </c>
      <c r="D35">
        <f ca="1">SUMPRODUCT((INDIRECT($A35&amp;"["&amp;$B35&amp;"]")=$C35)*1)</f>
        <v>17</v>
      </c>
      <c r="E35">
        <f ca="1">SUMPRODUCT((INDIRECT($A35&amp;"["&amp;$B35&amp;"]")&lt;&gt;"")*1)</f>
        <v>38</v>
      </c>
      <c r="F35" s="8">
        <f ca="1">ROUND(D35/E35,4)</f>
        <v>0.44740000000000002</v>
      </c>
      <c r="G35" s="9">
        <f ca="1">(F35+(J35^2)/(2*E35)-J35*((F35*(1-F35)/E35)+((J35^2)/(4*(E35^2))))^(1/2))/(1+(J35^2)/E35)</f>
        <v>0.30149177057451582</v>
      </c>
      <c r="H35" s="9">
        <f ca="1">(F35+(J35^2)/(2*E35)+J35*((F35*(1-F35)/E35)+((J35^2)/(4*(E35^2))))^(1/2))/(1+(J35^2)/E35)</f>
        <v>0.6029666275628156</v>
      </c>
      <c r="I35" s="7">
        <v>0.95</v>
      </c>
      <c r="J35">
        <f>_xlfn.NORM.S.INV((1+I35)/2)</f>
        <v>1.9599639845400536</v>
      </c>
      <c r="K35" t="str">
        <f ca="1">"("&amp;TEXT(ROUND(F35,3),"0,0%") &amp;", 95 % ДИ ["&amp;ROUND(G35,3)*100&amp;" – "&amp;ROUND(H35,3)*100&amp; "])"</f>
        <v>(44,7%, 95 % ДИ [30,1 – 60,3])</v>
      </c>
    </row>
    <row r="36" spans="1:11" x14ac:dyDescent="0.25">
      <c r="A36" t="s">
        <v>34</v>
      </c>
      <c r="B36" s="2" t="s">
        <v>100</v>
      </c>
      <c r="C36" s="4" t="s">
        <v>21</v>
      </c>
      <c r="D36">
        <f ca="1">SUMPRODUCT((INDIRECT($A36&amp;"["&amp;$B36&amp;"]")=$C36)*1)</f>
        <v>21</v>
      </c>
      <c r="E36">
        <f ca="1">SUMPRODUCT((INDIRECT($A36&amp;"["&amp;$B36&amp;"]")&lt;&gt;"")*1)</f>
        <v>38</v>
      </c>
      <c r="F36" s="8">
        <f ca="1">ROUND(D36/E36,4)</f>
        <v>0.55259999999999998</v>
      </c>
      <c r="G36" s="9">
        <f ca="1">(F36+(J36^2)/(2*E36)-J36*((F36*(1-F36)/E36)+((J36^2)/(4*(E36^2))))^(1/2))/(1+(J36^2)/E36)</f>
        <v>0.39703337243718434</v>
      </c>
      <c r="H36" s="9">
        <f ca="1">(F36+(J36^2)/(2*E36)+J36*((F36*(1-F36)/E36)+((J36^2)/(4*(E36^2))))^(1/2))/(1+(J36^2)/E36)</f>
        <v>0.69850822942548418</v>
      </c>
      <c r="I36" s="7">
        <v>0.95</v>
      </c>
      <c r="J36">
        <f>_xlfn.NORM.S.INV((1+I36)/2)</f>
        <v>1.9599639845400536</v>
      </c>
      <c r="K36" t="str">
        <f ca="1">"("&amp;TEXT(ROUND(F36,3),"0,0%") &amp;", 95 % ДИ ["&amp;ROUND(G36,3)*100&amp;" – "&amp;ROUND(H36,3)*100&amp; "])"</f>
        <v>(55,3%, 95 % ДИ [39,7 – 69,9])</v>
      </c>
    </row>
    <row r="37" spans="1:11" x14ac:dyDescent="0.25">
      <c r="A37" t="s">
        <v>34</v>
      </c>
      <c r="B37" s="2" t="s">
        <v>173</v>
      </c>
      <c r="C37" s="45">
        <v>2</v>
      </c>
      <c r="F37" s="8"/>
      <c r="G37" s="9"/>
      <c r="H37" s="9"/>
      <c r="I37" s="7"/>
    </row>
    <row r="38" spans="1:11" x14ac:dyDescent="0.25">
      <c r="B38" s="44"/>
      <c r="C38" s="45"/>
      <c r="F38" s="8"/>
      <c r="G38" s="9"/>
      <c r="H38" s="9"/>
      <c r="I38" s="7"/>
    </row>
    <row r="40" spans="1:11" x14ac:dyDescent="0.25">
      <c r="A40" t="s">
        <v>34</v>
      </c>
      <c r="B40" s="2" t="s">
        <v>49</v>
      </c>
      <c r="C40">
        <v>1</v>
      </c>
      <c r="D40">
        <f ca="1">_xlfn.QUARTILE.INC(INDIRECT($A40&amp;"["&amp;$B40&amp;"]"),$C40)</f>
        <v>21.25</v>
      </c>
      <c r="E40" t="s">
        <v>35</v>
      </c>
      <c r="F40" t="str">
        <f ca="1">"по медиане "&amp;TEXT(ROUND(D41,1),"0,0")&amp;" (МКИ: "&amp;TEXT(ROUND(D40,1),"0,0")&amp;" - "&amp;TEXT(ROUND(D42,1),"0,0")&amp;") клеток/мл"</f>
        <v>по медиане 41,0 (МКИ: 21,3 - 66,5) клеток/мл</v>
      </c>
      <c r="H40" t="s">
        <v>54</v>
      </c>
    </row>
    <row r="41" spans="1:11" x14ac:dyDescent="0.25">
      <c r="A41" t="s">
        <v>34</v>
      </c>
      <c r="B41" s="2" t="s">
        <v>49</v>
      </c>
      <c r="C41">
        <v>2</v>
      </c>
      <c r="D41">
        <f ca="1">_xlfn.QUARTILE.INC(INDIRECT($A41&amp;"["&amp;$B41&amp;"]"),$C41)</f>
        <v>41</v>
      </c>
      <c r="E41" t="s">
        <v>37</v>
      </c>
      <c r="G41" t="s">
        <v>55</v>
      </c>
      <c r="H41">
        <v>38</v>
      </c>
    </row>
    <row r="42" spans="1:11" x14ac:dyDescent="0.25">
      <c r="A42" t="s">
        <v>34</v>
      </c>
      <c r="B42" s="2" t="s">
        <v>49</v>
      </c>
      <c r="C42">
        <v>3</v>
      </c>
      <c r="D42">
        <f ca="1">_xlfn.QUARTILE.INC(INDIRECT($A42&amp;"["&amp;$B42&amp;"]"),$C42)</f>
        <v>66.5</v>
      </c>
      <c r="E42" t="s">
        <v>36</v>
      </c>
      <c r="G42" t="s">
        <v>56</v>
      </c>
      <c r="H42">
        <v>0.66269999999999996</v>
      </c>
    </row>
    <row r="43" spans="1:11" x14ac:dyDescent="0.25">
      <c r="A43" t="s">
        <v>34</v>
      </c>
      <c r="B43" s="2" t="s">
        <v>49</v>
      </c>
      <c r="D43">
        <f ca="1">AVERAGE(INDIRECT($A43&amp;"["&amp;$B43&amp;"]"))</f>
        <v>58.421052631578945</v>
      </c>
      <c r="E43" t="s">
        <v>45</v>
      </c>
      <c r="G43" t="s">
        <v>57</v>
      </c>
      <c r="H43" s="10">
        <v>4.3560000000000001E-8</v>
      </c>
    </row>
    <row r="44" spans="1:11" x14ac:dyDescent="0.25">
      <c r="A44" t="s">
        <v>34</v>
      </c>
      <c r="B44" s="2" t="s">
        <v>49</v>
      </c>
      <c r="D44">
        <f ca="1">_xlfn.STDEV.S(INDIRECT($A44&amp;"["&amp;$B44&amp;"]"))</f>
        <v>71.246292109853414</v>
      </c>
      <c r="E44" t="s">
        <v>46</v>
      </c>
    </row>
    <row r="45" spans="1:11" x14ac:dyDescent="0.25">
      <c r="A45" t="s">
        <v>34</v>
      </c>
      <c r="B45" s="2" t="s">
        <v>49</v>
      </c>
      <c r="D45">
        <f ca="1">MIN(INDIRECT($A45&amp;"["&amp;$B45&amp;"]"))</f>
        <v>1</v>
      </c>
      <c r="E45" t="s">
        <v>52</v>
      </c>
    </row>
    <row r="46" spans="1:11" x14ac:dyDescent="0.25">
      <c r="A46" t="s">
        <v>34</v>
      </c>
      <c r="B46" s="2" t="s">
        <v>49</v>
      </c>
      <c r="D46">
        <f ca="1">MAX(INDIRECT($A46&amp;"["&amp;$B46&amp;"]"))</f>
        <v>397</v>
      </c>
      <c r="E46" t="s">
        <v>53</v>
      </c>
    </row>
    <row r="48" spans="1:11" x14ac:dyDescent="0.25">
      <c r="A48" t="s">
        <v>34</v>
      </c>
      <c r="B48" s="2" t="s">
        <v>66</v>
      </c>
      <c r="C48">
        <v>1</v>
      </c>
      <c r="D48">
        <f ca="1">_xlfn.QUARTILE.INC(INDIRECT($A48&amp;"["&amp;$B48&amp;"]"),$C48)</f>
        <v>15722.25</v>
      </c>
      <c r="E48" t="s">
        <v>35</v>
      </c>
      <c r="F48" t="s">
        <v>51</v>
      </c>
    </row>
    <row r="49" spans="1:6" x14ac:dyDescent="0.25">
      <c r="A49" t="s">
        <v>34</v>
      </c>
      <c r="B49" s="2" t="s">
        <v>66</v>
      </c>
      <c r="C49">
        <v>2</v>
      </c>
      <c r="D49">
        <f ca="1">_xlfn.QUARTILE.INC(INDIRECT($A49&amp;"["&amp;$B49&amp;"]"),$C49)</f>
        <v>47959</v>
      </c>
      <c r="E49" t="s">
        <v>37</v>
      </c>
      <c r="F49" t="s">
        <v>51</v>
      </c>
    </row>
    <row r="50" spans="1:6" x14ac:dyDescent="0.25">
      <c r="A50" t="s">
        <v>34</v>
      </c>
      <c r="B50" s="2" t="s">
        <v>66</v>
      </c>
      <c r="C50">
        <v>3</v>
      </c>
      <c r="D50">
        <f ca="1">_xlfn.QUARTILE.INC(INDIRECT($A50&amp;"["&amp;$B50&amp;"]"),$C50)</f>
        <v>252250</v>
      </c>
      <c r="E50" t="s">
        <v>36</v>
      </c>
      <c r="F50" t="s">
        <v>51</v>
      </c>
    </row>
    <row r="51" spans="1:6" x14ac:dyDescent="0.25">
      <c r="A51" t="s">
        <v>34</v>
      </c>
      <c r="B51" s="2" t="s">
        <v>66</v>
      </c>
      <c r="D51">
        <f ca="1">AVERAGE(INDIRECT($A51&amp;"["&amp;$B51&amp;"]"))</f>
        <v>397967.71052631579</v>
      </c>
      <c r="E51" t="s">
        <v>45</v>
      </c>
      <c r="F51" t="s">
        <v>51</v>
      </c>
    </row>
    <row r="52" spans="1:6" x14ac:dyDescent="0.25">
      <c r="A52" t="s">
        <v>34</v>
      </c>
      <c r="B52" s="2" t="s">
        <v>66</v>
      </c>
      <c r="D52">
        <f ca="1">_xlfn.STDEV.S(INDIRECT($A52&amp;"["&amp;$B52&amp;"]"))</f>
        <v>1079185.997346421</v>
      </c>
      <c r="E52" t="s">
        <v>46</v>
      </c>
      <c r="F52" t="s">
        <v>51</v>
      </c>
    </row>
    <row r="53" spans="1:6" x14ac:dyDescent="0.25">
      <c r="A53" t="s">
        <v>34</v>
      </c>
      <c r="B53" s="2" t="s">
        <v>66</v>
      </c>
      <c r="D53">
        <f ca="1">MIN(INDIRECT($A53&amp;"["&amp;$B53&amp;"]"))</f>
        <v>0</v>
      </c>
      <c r="E53" t="s">
        <v>52</v>
      </c>
    </row>
    <row r="54" spans="1:6" x14ac:dyDescent="0.25">
      <c r="A54" t="s">
        <v>34</v>
      </c>
      <c r="B54" s="2" t="s">
        <v>66</v>
      </c>
      <c r="D54">
        <f ca="1">MAX(INDIRECT($A54&amp;"["&amp;$B54&amp;"]"))</f>
        <v>5880000</v>
      </c>
      <c r="E54" t="s">
        <v>53</v>
      </c>
    </row>
    <row r="56" spans="1:6" x14ac:dyDescent="0.25">
      <c r="A56" t="s">
        <v>34</v>
      </c>
      <c r="B56" s="2" t="s">
        <v>65</v>
      </c>
      <c r="C56">
        <v>1</v>
      </c>
      <c r="D56">
        <f ca="1">_xlfn.QUARTILE.INC(INDIRECT($A56&amp;"["&amp;$B56&amp;"]"),$C56)</f>
        <v>543.75</v>
      </c>
      <c r="E56" t="s">
        <v>35</v>
      </c>
      <c r="F56" t="s">
        <v>50</v>
      </c>
    </row>
    <row r="57" spans="1:6" x14ac:dyDescent="0.25">
      <c r="A57" t="s">
        <v>34</v>
      </c>
      <c r="B57" s="2" t="s">
        <v>65</v>
      </c>
      <c r="C57">
        <v>2</v>
      </c>
      <c r="D57">
        <f ca="1">_xlfn.QUARTILE.INC(INDIRECT($A57&amp;"["&amp;$B57&amp;"]"),$C57)</f>
        <v>7489.5</v>
      </c>
      <c r="E57" t="s">
        <v>37</v>
      </c>
      <c r="F57" t="s">
        <v>50</v>
      </c>
    </row>
    <row r="58" spans="1:6" x14ac:dyDescent="0.25">
      <c r="A58" t="s">
        <v>34</v>
      </c>
      <c r="B58" s="2" t="s">
        <v>65</v>
      </c>
      <c r="C58">
        <v>3</v>
      </c>
      <c r="D58">
        <f ca="1">_xlfn.QUARTILE.INC(INDIRECT($A58&amp;"["&amp;$B58&amp;"]"),$C58)</f>
        <v>45345.25</v>
      </c>
      <c r="E58" t="s">
        <v>36</v>
      </c>
      <c r="F58" t="s">
        <v>50</v>
      </c>
    </row>
    <row r="59" spans="1:6" x14ac:dyDescent="0.25">
      <c r="A59" t="s">
        <v>34</v>
      </c>
      <c r="B59" s="2" t="s">
        <v>65</v>
      </c>
      <c r="D59">
        <f ca="1">AVERAGE(INDIRECT($A59&amp;"["&amp;$B59&amp;"]"))</f>
        <v>65657</v>
      </c>
      <c r="E59" t="s">
        <v>45</v>
      </c>
      <c r="F59" t="s">
        <v>50</v>
      </c>
    </row>
    <row r="60" spans="1:6" x14ac:dyDescent="0.25">
      <c r="A60" t="s">
        <v>34</v>
      </c>
      <c r="B60" s="2" t="s">
        <v>65</v>
      </c>
      <c r="D60">
        <f ca="1">_xlfn.STDEV.S(INDIRECT($A60&amp;"["&amp;$B60&amp;"]"))</f>
        <v>160563.99351828708</v>
      </c>
      <c r="E60" t="s">
        <v>46</v>
      </c>
      <c r="F60" t="s">
        <v>50</v>
      </c>
    </row>
    <row r="61" spans="1:6" x14ac:dyDescent="0.25">
      <c r="A61" t="s">
        <v>34</v>
      </c>
      <c r="B61" s="2" t="s">
        <v>65</v>
      </c>
      <c r="D61">
        <f ca="1">MIN(INDIRECT($A61&amp;"["&amp;$B61&amp;"]"))</f>
        <v>0</v>
      </c>
      <c r="E61" t="s">
        <v>52</v>
      </c>
    </row>
    <row r="62" spans="1:6" x14ac:dyDescent="0.25">
      <c r="A62" t="s">
        <v>34</v>
      </c>
      <c r="B62" s="2" t="s">
        <v>65</v>
      </c>
      <c r="D62">
        <f ca="1">MAX(INDIRECT($A62&amp;"["&amp;$B62&amp;"]"))</f>
        <v>872732</v>
      </c>
      <c r="E62" t="s">
        <v>53</v>
      </c>
    </row>
    <row r="65" spans="1:8" x14ac:dyDescent="0.25">
      <c r="A65" t="s">
        <v>34</v>
      </c>
      <c r="B65" s="2" t="s">
        <v>131</v>
      </c>
      <c r="C65">
        <v>1</v>
      </c>
      <c r="D65">
        <f ca="1">_xlfn.QUARTILE.INC(INDIRECT($A65&amp;"["&amp;$B65&amp;"]"),$C65)</f>
        <v>2.7348723121206731</v>
      </c>
      <c r="E65" t="s">
        <v>35</v>
      </c>
      <c r="F65" t="str">
        <f ca="1">"по медиане "&amp;TEXT(ROUND(D66,2),"0,00")&amp;" (МКИ: "&amp;TEXT(ROUND(D65,2),"0,00")&amp;" - "&amp;TEXT(ROUND(D67,2),"0,00")&amp;") log10 копий/мл"</f>
        <v>по медиане 3,87 (МКИ: 2,73 - 4,66) log10 копий/мл</v>
      </c>
    </row>
    <row r="66" spans="1:8" x14ac:dyDescent="0.25">
      <c r="A66" t="s">
        <v>34</v>
      </c>
      <c r="B66" s="2" t="s">
        <v>131</v>
      </c>
      <c r="C66">
        <v>2</v>
      </c>
      <c r="D66">
        <f ca="1">_xlfn.QUARTILE.INC(INDIRECT($A66&amp;"["&amp;$B66&amp;"]"),$C66)</f>
        <v>3.8738647245991764</v>
      </c>
      <c r="E66" t="s">
        <v>37</v>
      </c>
      <c r="F66">
        <f ca="1">D74-D66</f>
        <v>0.79728585790443418</v>
      </c>
      <c r="G66">
        <f ca="1">10^D66</f>
        <v>7479.3649463039346</v>
      </c>
      <c r="H66">
        <f ca="1">G74/G66</f>
        <v>6.2702644529898066</v>
      </c>
    </row>
    <row r="67" spans="1:8" x14ac:dyDescent="0.25">
      <c r="A67" t="s">
        <v>34</v>
      </c>
      <c r="B67" s="2" t="s">
        <v>131</v>
      </c>
      <c r="C67">
        <v>3</v>
      </c>
      <c r="D67">
        <f ca="1">_xlfn.QUARTILE.INC(INDIRECT($A67&amp;"["&amp;$B67&amp;"]"),$C67)</f>
        <v>4.6564915050551541</v>
      </c>
      <c r="E67" t="s">
        <v>36</v>
      </c>
    </row>
    <row r="68" spans="1:8" x14ac:dyDescent="0.25">
      <c r="A68" t="s">
        <v>34</v>
      </c>
      <c r="B68" s="2" t="s">
        <v>131</v>
      </c>
      <c r="D68">
        <f ca="1">AVERAGE(INDIRECT($A68&amp;"["&amp;$B68&amp;"]"))</f>
        <v>3.5153271886141817</v>
      </c>
      <c r="E68" t="s">
        <v>45</v>
      </c>
    </row>
    <row r="69" spans="1:8" x14ac:dyDescent="0.25">
      <c r="A69" t="s">
        <v>34</v>
      </c>
      <c r="B69" s="2" t="s">
        <v>131</v>
      </c>
      <c r="D69">
        <f ca="1">_xlfn.STDEV.S(INDIRECT($A69&amp;"["&amp;$B69&amp;"]"))</f>
        <v>1.676334991699854</v>
      </c>
      <c r="E69" t="s">
        <v>46</v>
      </c>
    </row>
    <row r="70" spans="1:8" x14ac:dyDescent="0.25">
      <c r="A70" t="s">
        <v>34</v>
      </c>
      <c r="B70" s="2" t="s">
        <v>131</v>
      </c>
      <c r="D70">
        <f ca="1">MIN(INDIRECT($A70&amp;"["&amp;$B70&amp;"]"))</f>
        <v>0</v>
      </c>
      <c r="E70" t="s">
        <v>52</v>
      </c>
    </row>
    <row r="71" spans="1:8" x14ac:dyDescent="0.25">
      <c r="A71" t="s">
        <v>34</v>
      </c>
      <c r="B71" s="2" t="s">
        <v>131</v>
      </c>
      <c r="D71">
        <f ca="1">MAX(INDIRECT($A71&amp;"["&amp;$B71&amp;"]"))</f>
        <v>5.9408809003034158</v>
      </c>
      <c r="E71" t="s">
        <v>53</v>
      </c>
    </row>
    <row r="73" spans="1:8" x14ac:dyDescent="0.25">
      <c r="A73" t="s">
        <v>34</v>
      </c>
      <c r="B73" s="2" t="s">
        <v>130</v>
      </c>
      <c r="C73">
        <v>1</v>
      </c>
      <c r="D73">
        <f ca="1">_xlfn.QUARTILE.INC(INDIRECT($A73&amp;"["&amp;$B73&amp;"]"),$C73)</f>
        <v>4.1954269236609587</v>
      </c>
      <c r="E73" t="s">
        <v>35</v>
      </c>
      <c r="F73" t="str">
        <f ca="1">"по медиане "&amp;TEXT(ROUND(D74,2),"0,00")&amp;" (МКИ: "&amp;TEXT(ROUND(D73,2),"0,00")&amp;" - "&amp;TEXT(ROUND(D75,2),"0,00")&amp;") log10 копий/мл"</f>
        <v>по медиане 4,67 (МКИ: 4,20 - 5,40) log10 копий/мл</v>
      </c>
    </row>
    <row r="74" spans="1:8" x14ac:dyDescent="0.25">
      <c r="A74" t="s">
        <v>34</v>
      </c>
      <c r="B74" s="2" t="s">
        <v>130</v>
      </c>
      <c r="C74">
        <v>2</v>
      </c>
      <c r="D74">
        <f ca="1">_xlfn.QUARTILE.INC(INDIRECT($A74&amp;"["&amp;$B74&amp;"]"),$C74)</f>
        <v>4.6711505825036106</v>
      </c>
      <c r="E74" t="s">
        <v>37</v>
      </c>
      <c r="G74">
        <f ca="1">10^D74</f>
        <v>46897.596153747574</v>
      </c>
    </row>
    <row r="75" spans="1:8" x14ac:dyDescent="0.25">
      <c r="A75" t="s">
        <v>34</v>
      </c>
      <c r="B75" s="2" t="s">
        <v>130</v>
      </c>
      <c r="C75">
        <v>3</v>
      </c>
      <c r="D75">
        <f ca="1">_xlfn.QUARTILE.INC(INDIRECT($A75&amp;"["&amp;$B75&amp;"]"),$C75)</f>
        <v>5.3982360922216666</v>
      </c>
      <c r="E75" t="s">
        <v>36</v>
      </c>
    </row>
    <row r="76" spans="1:8" x14ac:dyDescent="0.25">
      <c r="A76" t="s">
        <v>34</v>
      </c>
      <c r="B76" s="2" t="s">
        <v>130</v>
      </c>
      <c r="D76">
        <f ca="1">AVERAGE(INDIRECT($A76&amp;"["&amp;$B76&amp;"]"))</f>
        <v>4.5313530270978388</v>
      </c>
      <c r="E76" t="s">
        <v>45</v>
      </c>
    </row>
    <row r="77" spans="1:8" x14ac:dyDescent="0.25">
      <c r="A77" t="s">
        <v>34</v>
      </c>
      <c r="B77" s="2" t="s">
        <v>130</v>
      </c>
      <c r="D77">
        <f ca="1">_xlfn.STDEV.S(INDIRECT($A77&amp;"["&amp;$B77&amp;"]"))</f>
        <v>1.4124319472575391</v>
      </c>
      <c r="E77" t="s">
        <v>46</v>
      </c>
    </row>
    <row r="78" spans="1:8" x14ac:dyDescent="0.25">
      <c r="A78" t="s">
        <v>34</v>
      </c>
      <c r="B78" s="2" t="s">
        <v>130</v>
      </c>
      <c r="D78">
        <f ca="1">MIN(INDIRECT($A78&amp;"["&amp;$B78&amp;"]"))</f>
        <v>0</v>
      </c>
      <c r="E78" t="s">
        <v>52</v>
      </c>
    </row>
    <row r="79" spans="1:8" x14ac:dyDescent="0.25">
      <c r="A79" t="s">
        <v>34</v>
      </c>
      <c r="B79" s="2" t="s">
        <v>130</v>
      </c>
      <c r="D79">
        <f ca="1">MAX(INDIRECT($A79&amp;"["&amp;$B79&amp;"]"))</f>
        <v>6.7693773260761381</v>
      </c>
      <c r="E79" t="s">
        <v>53</v>
      </c>
    </row>
    <row r="81" spans="1:18" x14ac:dyDescent="0.25">
      <c r="A81" t="s">
        <v>34</v>
      </c>
      <c r="B81" s="2" t="s">
        <v>66</v>
      </c>
      <c r="C81">
        <v>0</v>
      </c>
      <c r="D81">
        <f ca="1">SUMPRODUCT((INDIRECT($A81&amp;"["&amp;$B81&amp;"]")=$C81)*1)</f>
        <v>2</v>
      </c>
      <c r="E81">
        <f ca="1">SUMPRODUCT((INDIRECT($A81&amp;"["&amp;$B81&amp;"]")&lt;&gt;"")*1)</f>
        <v>38</v>
      </c>
      <c r="F81" s="8">
        <f ca="1">ROUND(D81/E81,4)</f>
        <v>5.2600000000000001E-2</v>
      </c>
      <c r="G81" s="9">
        <f ca="1">(F81+(J81^2)/(2*E81)-J81*((F81*(1-F81)/E81)+((J81^2)/(4*(E81^2))))^(1/2))/(1+(J81^2)/E81)</f>
        <v>1.4540412923917766E-2</v>
      </c>
      <c r="H81" s="9">
        <f ca="1">(F81+(J81^2)/(2*E81)+J81*((F81*(1-F81)/E81)+((J81^2)/(4*(E81^2))))^(1/2))/(1+(J81^2)/E81)</f>
        <v>0.17281105716433473</v>
      </c>
      <c r="I81" s="7">
        <v>0.95</v>
      </c>
      <c r="J81">
        <f>_xlfn.NORM.S.INV((1+I81)/2)</f>
        <v>1.9599639845400536</v>
      </c>
      <c r="K81" t="str">
        <f ca="1">"("&amp;TEXT(ROUND(F81,3),"0,0%") &amp;", 95 % ДИ ["&amp;ROUND(G81,3)*100&amp;" – "&amp;ROUND(H81,3)*100&amp; "])"</f>
        <v>(5,3%, 95 % ДИ [1,5 – 17,3])</v>
      </c>
    </row>
    <row r="82" spans="1:18" x14ac:dyDescent="0.25">
      <c r="A82" t="s">
        <v>34</v>
      </c>
      <c r="B82" s="2" t="s">
        <v>65</v>
      </c>
      <c r="C82">
        <v>0</v>
      </c>
      <c r="D82">
        <f ca="1">SUMPRODUCT((INDIRECT($A82&amp;"["&amp;$B82&amp;"]")=$C82)*1)</f>
        <v>5</v>
      </c>
      <c r="E82">
        <f ca="1">SUMPRODUCT((INDIRECT($A82&amp;"["&amp;$B82&amp;"]")&lt;&gt;"")*1)</f>
        <v>38</v>
      </c>
      <c r="F82" s="8">
        <f ca="1">ROUND(D82/E82,4)</f>
        <v>0.13159999999999999</v>
      </c>
      <c r="G82" s="9">
        <f ca="1">(F82+(J82^2)/(2*E82)-J82*((F82*(1-F82)/E82)+((J82^2)/(4*(E82^2))))^(1/2))/(1+(J82^2)/E82)</f>
        <v>5.755180137698316E-2</v>
      </c>
      <c r="H82" s="9">
        <f ca="1">(F82+(J82^2)/(2*E82)+J82*((F82*(1-F82)/E82)+((J82^2)/(4*(E82^2))))^(1/2))/(1+(J82^2)/E82)</f>
        <v>0.27329370953162702</v>
      </c>
      <c r="I82" s="7">
        <v>0.95</v>
      </c>
      <c r="J82">
        <f>_xlfn.NORM.S.INV((1+I82)/2)</f>
        <v>1.9599639845400536</v>
      </c>
      <c r="K82" t="str">
        <f ca="1">"("&amp;TEXT(ROUND(F82,3),"0,0%") &amp;", 95 % ДИ ["&amp;ROUND(G82,3)*100&amp;" – "&amp;ROUND(H82,3)*100&amp; "])"</f>
        <v>(13,2%, 95 % ДИ [5,8 – 27,3])</v>
      </c>
    </row>
    <row r="84" spans="1:18" x14ac:dyDescent="0.25">
      <c r="B84" s="15" t="s">
        <v>79</v>
      </c>
      <c r="D84" t="str">
        <f>"(U="&amp;ROUND(G90,3)&amp;", z="&amp;ROUND(G91,3)&amp;", p="&amp;ROUND(I91,3)&amp;")"</f>
        <v>(U=442, z=2,905, p=0,004)</v>
      </c>
      <c r="F84" t="s">
        <v>69</v>
      </c>
      <c r="K84" t="s">
        <v>81</v>
      </c>
      <c r="L84" t="s">
        <v>82</v>
      </c>
      <c r="N84" t="s">
        <v>81</v>
      </c>
      <c r="O84" t="s">
        <v>82</v>
      </c>
      <c r="Q84" s="2" t="s">
        <v>67</v>
      </c>
      <c r="R84" s="2" t="s">
        <v>68</v>
      </c>
    </row>
    <row r="85" spans="1:18" x14ac:dyDescent="0.25">
      <c r="B85" s="2" t="str">
        <f>"n="&amp;G87</f>
        <v>n=38</v>
      </c>
      <c r="D85" t="s">
        <v>76</v>
      </c>
      <c r="E85">
        <f>K86</f>
        <v>0.22877</v>
      </c>
      <c r="J85" t="s">
        <v>81</v>
      </c>
      <c r="L85">
        <v>0.16713</v>
      </c>
      <c r="M85" t="s">
        <v>81</v>
      </c>
      <c r="O85">
        <v>1.9191E-2</v>
      </c>
      <c r="P85" t="s">
        <v>55</v>
      </c>
      <c r="Q85">
        <v>38</v>
      </c>
      <c r="R85">
        <v>38</v>
      </c>
    </row>
    <row r="86" spans="1:18" x14ac:dyDescent="0.25">
      <c r="D86" t="s">
        <v>63</v>
      </c>
      <c r="E86">
        <f>L85</f>
        <v>0.16713</v>
      </c>
      <c r="F86" t="s">
        <v>81</v>
      </c>
      <c r="G86" t="s">
        <v>82</v>
      </c>
      <c r="J86" t="s">
        <v>82</v>
      </c>
      <c r="K86">
        <v>0.22877</v>
      </c>
      <c r="M86" t="s">
        <v>82</v>
      </c>
      <c r="N86">
        <v>0.37829000000000002</v>
      </c>
      <c r="P86" t="s">
        <v>83</v>
      </c>
      <c r="Q86">
        <v>0</v>
      </c>
      <c r="R86">
        <v>0</v>
      </c>
    </row>
    <row r="87" spans="1:18" x14ac:dyDescent="0.25">
      <c r="D87" t="s">
        <v>77</v>
      </c>
      <c r="E87">
        <f>N86</f>
        <v>0.37829000000000002</v>
      </c>
      <c r="F87" t="s">
        <v>70</v>
      </c>
      <c r="G87">
        <v>38</v>
      </c>
      <c r="H87" t="s">
        <v>70</v>
      </c>
      <c r="I87">
        <v>38</v>
      </c>
      <c r="K87" t="s">
        <v>162</v>
      </c>
      <c r="N87" t="s">
        <v>161</v>
      </c>
      <c r="P87" t="s">
        <v>84</v>
      </c>
      <c r="Q87">
        <v>6.7693770000000004</v>
      </c>
      <c r="R87">
        <v>5.9408810000000001</v>
      </c>
    </row>
    <row r="88" spans="1:18" x14ac:dyDescent="0.25">
      <c r="D88" t="s">
        <v>63</v>
      </c>
      <c r="E88">
        <f>O85</f>
        <v>1.9191E-2</v>
      </c>
      <c r="F88" t="s">
        <v>71</v>
      </c>
      <c r="G88">
        <v>22.934000000000001</v>
      </c>
      <c r="H88" t="s">
        <v>71</v>
      </c>
      <c r="I88">
        <v>15.566000000000001</v>
      </c>
      <c r="P88" t="s">
        <v>85</v>
      </c>
      <c r="Q88">
        <v>172.19139999999999</v>
      </c>
      <c r="R88">
        <v>133.58240000000001</v>
      </c>
    </row>
    <row r="89" spans="1:18" x14ac:dyDescent="0.25">
      <c r="P89" t="s">
        <v>86</v>
      </c>
      <c r="Q89">
        <v>4.5313530000000002</v>
      </c>
      <c r="R89">
        <v>3.5153270000000001</v>
      </c>
    </row>
    <row r="90" spans="1:18" x14ac:dyDescent="0.25">
      <c r="F90" t="s">
        <v>72</v>
      </c>
      <c r="G90">
        <v>442</v>
      </c>
      <c r="P90" t="s">
        <v>87</v>
      </c>
      <c r="Q90">
        <v>0.22912669999999999</v>
      </c>
      <c r="R90">
        <v>0.2719374</v>
      </c>
    </row>
    <row r="91" spans="1:18" x14ac:dyDescent="0.25">
      <c r="F91" t="s">
        <v>73</v>
      </c>
      <c r="G91">
        <v>2.9047999999999998</v>
      </c>
      <c r="H91" t="s">
        <v>74</v>
      </c>
      <c r="I91">
        <v>3.6744999999999998E-3</v>
      </c>
      <c r="P91" t="s">
        <v>88</v>
      </c>
      <c r="Q91">
        <v>1.994964</v>
      </c>
      <c r="R91">
        <v>2.8100990000000001</v>
      </c>
    </row>
    <row r="92" spans="1:18" x14ac:dyDescent="0.25">
      <c r="F92" t="s">
        <v>75</v>
      </c>
      <c r="G92" t="s">
        <v>74</v>
      </c>
      <c r="H92">
        <v>3.7000000000000002E-3</v>
      </c>
      <c r="P92" t="s">
        <v>89</v>
      </c>
      <c r="Q92">
        <v>1.4124319999999999</v>
      </c>
      <c r="R92">
        <v>1.6763349999999999</v>
      </c>
    </row>
    <row r="93" spans="1:18" x14ac:dyDescent="0.25">
      <c r="P93" t="s">
        <v>90</v>
      </c>
      <c r="Q93">
        <v>4.6711510000000001</v>
      </c>
      <c r="R93">
        <v>3.8738649999999999</v>
      </c>
    </row>
    <row r="94" spans="1:18" x14ac:dyDescent="0.25">
      <c r="P94" t="s">
        <v>91</v>
      </c>
      <c r="Q94">
        <v>4.1567889999999998</v>
      </c>
      <c r="R94">
        <v>2.7097690000000001</v>
      </c>
    </row>
    <row r="95" spans="1:18" x14ac:dyDescent="0.25">
      <c r="P95" t="s">
        <v>92</v>
      </c>
      <c r="Q95">
        <v>5.4592289999999997</v>
      </c>
      <c r="R95">
        <v>4.6636519999999999</v>
      </c>
    </row>
    <row r="97" spans="1:18" x14ac:dyDescent="0.25">
      <c r="B97" s="15" t="s">
        <v>78</v>
      </c>
      <c r="D97" t="str">
        <f>"(U="&amp;ROUND(G103,3)&amp;", z="&amp;ROUND(G104,3)&amp;", p="&amp;ROUND(I104,3)&amp;")"</f>
        <v>(U=280, z=2,816, p=0,005)</v>
      </c>
      <c r="F97" t="s">
        <v>69</v>
      </c>
      <c r="K97" t="s">
        <v>93</v>
      </c>
      <c r="L97" t="s">
        <v>94</v>
      </c>
      <c r="N97" t="s">
        <v>93</v>
      </c>
      <c r="O97" t="s">
        <v>94</v>
      </c>
      <c r="Q97" s="2" t="s">
        <v>67</v>
      </c>
      <c r="R97" s="2" t="s">
        <v>68</v>
      </c>
    </row>
    <row r="98" spans="1:18" x14ac:dyDescent="0.25">
      <c r="B98" s="2" t="str">
        <f>"n="&amp;G100</f>
        <v>n=31</v>
      </c>
      <c r="D98" t="s">
        <v>76</v>
      </c>
      <c r="E98">
        <f>K99</f>
        <v>0.39449000000000001</v>
      </c>
      <c r="J98" t="s">
        <v>93</v>
      </c>
      <c r="L98">
        <v>2.8083E-2</v>
      </c>
      <c r="M98" t="s">
        <v>93</v>
      </c>
      <c r="O98">
        <v>2.2440999999999999E-2</v>
      </c>
      <c r="P98" t="s">
        <v>55</v>
      </c>
      <c r="Q98">
        <v>31</v>
      </c>
      <c r="R98">
        <v>31</v>
      </c>
    </row>
    <row r="99" spans="1:18" x14ac:dyDescent="0.25">
      <c r="D99" t="s">
        <v>63</v>
      </c>
      <c r="E99">
        <f>L98</f>
        <v>2.8083E-2</v>
      </c>
      <c r="F99" t="s">
        <v>93</v>
      </c>
      <c r="G99" t="s">
        <v>94</v>
      </c>
      <c r="J99" t="s">
        <v>94</v>
      </c>
      <c r="K99">
        <v>0.39449000000000001</v>
      </c>
      <c r="M99" t="s">
        <v>94</v>
      </c>
      <c r="N99">
        <v>0.40871000000000002</v>
      </c>
      <c r="P99" t="s">
        <v>83</v>
      </c>
      <c r="Q99">
        <v>3.2808060000000001</v>
      </c>
      <c r="R99">
        <v>2.3010299999999999</v>
      </c>
    </row>
    <row r="100" spans="1:18" x14ac:dyDescent="0.25">
      <c r="D100" t="s">
        <v>77</v>
      </c>
      <c r="E100">
        <f>N99</f>
        <v>0.40871000000000002</v>
      </c>
      <c r="F100" t="s">
        <v>70</v>
      </c>
      <c r="G100">
        <v>31</v>
      </c>
      <c r="H100" t="s">
        <v>70</v>
      </c>
      <c r="I100">
        <v>31</v>
      </c>
      <c r="K100" t="s">
        <v>162</v>
      </c>
      <c r="N100" t="s">
        <v>161</v>
      </c>
      <c r="P100" t="s">
        <v>84</v>
      </c>
      <c r="Q100">
        <v>6.7693770000000004</v>
      </c>
      <c r="R100">
        <v>5.9408810000000001</v>
      </c>
    </row>
    <row r="101" spans="1:18" x14ac:dyDescent="0.25">
      <c r="D101" t="s">
        <v>63</v>
      </c>
      <c r="E101">
        <f>O98</f>
        <v>2.2440999999999999E-2</v>
      </c>
      <c r="F101" t="s">
        <v>71</v>
      </c>
      <c r="G101">
        <v>18.984000000000002</v>
      </c>
      <c r="H101" t="s">
        <v>71</v>
      </c>
      <c r="I101">
        <v>12.516</v>
      </c>
      <c r="P101" t="s">
        <v>85</v>
      </c>
      <c r="Q101">
        <v>151.74350000000001</v>
      </c>
      <c r="R101">
        <v>125.5767</v>
      </c>
    </row>
    <row r="102" spans="1:18" x14ac:dyDescent="0.25">
      <c r="P102" t="s">
        <v>86</v>
      </c>
      <c r="Q102">
        <v>4.8949530000000001</v>
      </c>
      <c r="R102">
        <v>4.0508610000000003</v>
      </c>
    </row>
    <row r="103" spans="1:18" x14ac:dyDescent="0.25">
      <c r="F103" t="s">
        <v>72</v>
      </c>
      <c r="G103">
        <v>280</v>
      </c>
      <c r="P103" t="s">
        <v>87</v>
      </c>
      <c r="Q103">
        <v>0.15576619999999999</v>
      </c>
      <c r="R103">
        <v>0.1865049</v>
      </c>
    </row>
    <row r="104" spans="1:18" x14ac:dyDescent="0.25">
      <c r="F104" t="s">
        <v>73</v>
      </c>
      <c r="G104">
        <v>2.8157999999999999</v>
      </c>
      <c r="H104" t="s">
        <v>74</v>
      </c>
      <c r="I104">
        <v>4.8662999999999996E-3</v>
      </c>
      <c r="P104" t="s">
        <v>88</v>
      </c>
      <c r="Q104">
        <v>0.75215600000000005</v>
      </c>
      <c r="R104">
        <v>1.0783069999999999</v>
      </c>
    </row>
    <row r="105" spans="1:18" x14ac:dyDescent="0.25">
      <c r="F105" t="s">
        <v>75</v>
      </c>
      <c r="G105" t="s">
        <v>74</v>
      </c>
      <c r="H105">
        <v>3.3999999999999998E-3</v>
      </c>
      <c r="P105" t="s">
        <v>89</v>
      </c>
      <c r="Q105">
        <v>0.86726930000000002</v>
      </c>
      <c r="R105">
        <v>1.038416</v>
      </c>
    </row>
    <row r="106" spans="1:18" x14ac:dyDescent="0.25">
      <c r="P106" t="s">
        <v>90</v>
      </c>
      <c r="Q106">
        <v>4.7831890000000001</v>
      </c>
      <c r="R106">
        <v>4.2552729999999999</v>
      </c>
    </row>
    <row r="107" spans="1:18" x14ac:dyDescent="0.25">
      <c r="P107" t="s">
        <v>91</v>
      </c>
      <c r="Q107">
        <v>4.284859</v>
      </c>
      <c r="R107">
        <v>3.1972809999999998</v>
      </c>
    </row>
    <row r="108" spans="1:18" x14ac:dyDescent="0.25">
      <c r="A108" t="s">
        <v>168</v>
      </c>
      <c r="B108" s="3" t="s">
        <v>163</v>
      </c>
      <c r="C108" s="41" t="s">
        <v>165</v>
      </c>
      <c r="D108">
        <f ca="1">SUMPRODUCT((INDIRECT($A108&amp;"["&amp;$B108&amp;"]")=$C108)*1)</f>
        <v>54</v>
      </c>
      <c r="E108">
        <f ca="1">SUMPRODUCT((INDIRECT($A108&amp;"["&amp;$B108&amp;"]")&lt;&gt;"")*1)</f>
        <v>57</v>
      </c>
      <c r="F108" s="8">
        <f ca="1">ROUND(D108/E108,4)</f>
        <v>0.94740000000000002</v>
      </c>
      <c r="G108" s="9">
        <f ca="1">(F108+(J108^2)/(2*E108)-J108*((F108*(1-F108)/E108)+((J108^2)/(4*(E108^2))))^(1/2))/(1+(J108^2)/E108)</f>
        <v>0.85634738611318462</v>
      </c>
      <c r="H108" s="9">
        <f ca="1">(F108+(J108^2)/(2*E108)+J108*((F108*(1-F108)/E108)+((J108^2)/(4*(E108^2))))^(1/2))/(1+(J108^2)/E108)</f>
        <v>0.98195598446037013</v>
      </c>
      <c r="I108" s="7">
        <v>0.95</v>
      </c>
      <c r="J108">
        <f>_xlfn.NORM.S.INV((1+I108)/2)</f>
        <v>1.9599639845400536</v>
      </c>
      <c r="K108" t="str">
        <f ca="1">"("&amp;TEXT(ROUND(F108,3),"0,0%") &amp;", 95 % ДИ ["&amp;ROUND(G108,3)*100&amp;" – "&amp;ROUND(H108,3)*100&amp; "])"</f>
        <v>(94,7%, 95 % ДИ [85,6 – 98,2])</v>
      </c>
      <c r="P108" t="s">
        <v>92</v>
      </c>
      <c r="Q108">
        <v>5.5705429999999998</v>
      </c>
      <c r="R108">
        <v>4.9065719999999997</v>
      </c>
    </row>
    <row r="109" spans="1:18" x14ac:dyDescent="0.25">
      <c r="A109" t="s">
        <v>168</v>
      </c>
      <c r="B109" s="3" t="s">
        <v>163</v>
      </c>
      <c r="C109" s="42" t="s">
        <v>166</v>
      </c>
      <c r="D109">
        <f ca="1">SUMPRODUCT((INDIRECT($A109&amp;"["&amp;$B109&amp;"]")=$C109)*1)</f>
        <v>1</v>
      </c>
      <c r="E109">
        <f ca="1">SUMPRODUCT((INDIRECT($A109&amp;"["&amp;$B109&amp;"]")&lt;&gt;"")*1)</f>
        <v>57</v>
      </c>
      <c r="F109" s="8">
        <f ca="1">ROUND(D109/E109,4)</f>
        <v>1.7500000000000002E-2</v>
      </c>
      <c r="G109" s="9">
        <f ca="1">(F109+(J109^2)/(2*E109)-J109*((F109*(1-F109)/E109)+((J109^2)/(4*(E109^2))))^(1/2))/(1+(J109^2)/E109)</f>
        <v>3.0904601426518818E-3</v>
      </c>
      <c r="H109" s="9">
        <f ca="1">(F109+(J109^2)/(2*E109)+J109*((F109*(1-F109)/E109)+((J109^2)/(4*(E109^2))))^(1/2))/(1+(J109^2)/E109)</f>
        <v>9.2838515490472784E-2</v>
      </c>
      <c r="I109" s="7">
        <v>0.95</v>
      </c>
      <c r="J109">
        <f>_xlfn.NORM.S.INV((1+I109)/2)</f>
        <v>1.9599639845400536</v>
      </c>
      <c r="K109" t="str">
        <f ca="1">"("&amp;TEXT(ROUND(F109,3),"0,0%") &amp;", 95 % ДИ ["&amp;ROUND(G109,3)*100&amp;" – "&amp;ROUND(H109,3)*100&amp; "])"</f>
        <v>(1,8%, 95 % ДИ [0,3 – 9,3])</v>
      </c>
    </row>
    <row r="110" spans="1:18" x14ac:dyDescent="0.25">
      <c r="A110" t="s">
        <v>168</v>
      </c>
      <c r="B110" s="3" t="s">
        <v>163</v>
      </c>
      <c r="C110" s="41" t="s">
        <v>167</v>
      </c>
      <c r="D110">
        <f ca="1">SUMPRODUCT((INDIRECT($A110&amp;"["&amp;$B110&amp;"]")=$C110)*1)</f>
        <v>2</v>
      </c>
      <c r="E110">
        <f ca="1">SUMPRODUCT((INDIRECT($A110&amp;"["&amp;$B110&amp;"]")&lt;&gt;"")*1)</f>
        <v>57</v>
      </c>
      <c r="F110" s="8">
        <f ca="1">ROUND(D110/E110,4)</f>
        <v>3.5099999999999999E-2</v>
      </c>
      <c r="G110" s="9">
        <f ca="1">(F110+(J110^2)/(2*E110)-J110*((F110*(1-F110)/E110)+((J110^2)/(4*(E110^2))))^(1/2))/(1+(J110^2)/E110)</f>
        <v>9.6810033638202054E-3</v>
      </c>
      <c r="H110" s="9">
        <f ca="1">(F110+(J110^2)/(2*E110)+J110*((F110*(1-F110)/E110)+((J110^2)/(4*(E110^2))))^(1/2))/(1+(J110^2)/E110)</f>
        <v>0.11922548528247957</v>
      </c>
      <c r="I110" s="7">
        <v>0.95</v>
      </c>
      <c r="J110">
        <f>_xlfn.NORM.S.INV((1+I110)/2)</f>
        <v>1.9599639845400536</v>
      </c>
      <c r="K110" t="str">
        <f ca="1">"("&amp;TEXT(ROUND(F110,3),"0,0%") &amp;", 95 % ДИ ["&amp;ROUND(G110,3)*100&amp;" – "&amp;ROUND(H110,3)*100&amp; "])"</f>
        <v>(3,5%, 95 % ДИ [1 – 11,9])</v>
      </c>
    </row>
    <row r="113" spans="1:11" ht="18.75" x14ac:dyDescent="0.3">
      <c r="C113" s="43" t="s">
        <v>169</v>
      </c>
      <c r="D113">
        <v>7</v>
      </c>
      <c r="E113">
        <v>19</v>
      </c>
      <c r="F113" s="8">
        <f>ROUND(D113/E113,4)</f>
        <v>0.36840000000000001</v>
      </c>
      <c r="G113" s="9">
        <f>(F113+(J113^2)/(2*E113)-J113*((F113*(1-F113)/E113)+((J113^2)/(4*(E113^2))))^(1/2))/(1+(J113^2)/E113)</f>
        <v>0.1914795624046656</v>
      </c>
      <c r="H113" s="9">
        <f>(F113+(J113^2)/(2*E113)+J113*((F113*(1-F113)/E113)+((J113^2)/(4*(E113^2))))^(1/2))/(1+(J113^2)/E113)</f>
        <v>0.58958520936598291</v>
      </c>
      <c r="I113" s="7">
        <v>0.95</v>
      </c>
      <c r="J113">
        <f>_xlfn.NORM.S.INV((1+I113)/2)</f>
        <v>1.9599639845400536</v>
      </c>
      <c r="K113" t="str">
        <f>"("&amp;TEXT(ROUND(F113,3),"0,0%") &amp;", 95 % ДИ ["&amp;ROUND(G113,3)*100&amp;" – "&amp;ROUND(H113,3)*100&amp; "])"</f>
        <v>(36,8%, 95 % ДИ [19,1 – 59])</v>
      </c>
    </row>
    <row r="114" spans="1:11" x14ac:dyDescent="0.25">
      <c r="C114" t="s">
        <v>170</v>
      </c>
      <c r="D114">
        <v>4</v>
      </c>
      <c r="E114">
        <v>19</v>
      </c>
      <c r="F114" s="8">
        <f>ROUND(D114/E114,4)</f>
        <v>0.21049999999999999</v>
      </c>
      <c r="G114" s="9">
        <f>(F114+(J114^2)/(2*E114)-J114*((F114*(1-F114)/E114)+((J114^2)/(4*(E114^2))))^(1/2))/(1+(J114^2)/E114)</f>
        <v>8.5060996625043697E-2</v>
      </c>
      <c r="H114" s="9">
        <f>(F114+(J114^2)/(2*E114)+J114*((F114*(1-F114)/E114)+((J114^2)/(4*(E114^2))))^(1/2))/(1+(J114^2)/E114)</f>
        <v>0.433314774101421</v>
      </c>
      <c r="I114" s="7">
        <v>0.95</v>
      </c>
      <c r="J114">
        <f>_xlfn.NORM.S.INV((1+I114)/2)</f>
        <v>1.9599639845400536</v>
      </c>
      <c r="K114" t="str">
        <f>"("&amp;TEXT(ROUND(F114,3),"0,0%") &amp;", 95 % ДИ ["&amp;ROUND(G114,3)*100&amp;" – "&amp;ROUND(H114,3)*100&amp; "])"</f>
        <v>(21,1%, 95 % ДИ [8,5 – 43,3])</v>
      </c>
    </row>
    <row r="118" spans="1:11" x14ac:dyDescent="0.25">
      <c r="A118" t="s">
        <v>34</v>
      </c>
      <c r="B118" s="2" t="s">
        <v>232</v>
      </c>
      <c r="C118" s="5" t="s">
        <v>233</v>
      </c>
      <c r="D118">
        <f t="shared" ref="D118:D126" ca="1" si="0">SUMPRODUCT((INDIRECT($A118&amp;"["&amp;$B118&amp;"]")=$C118)*1)</f>
        <v>18</v>
      </c>
      <c r="E118">
        <f t="shared" ref="E118:E125" ca="1" si="1">SUMPRODUCT((INDIRECT($A118&amp;"["&amp;$B118&amp;"]")&lt;&gt;"")*1)</f>
        <v>38</v>
      </c>
      <c r="F118" s="8">
        <f t="shared" ref="F118:F122" ca="1" si="2">ROUND(D118/E118,4)</f>
        <v>0.47370000000000001</v>
      </c>
      <c r="G118" s="9">
        <f t="shared" ref="G118:G122" ca="1" si="3">(F118+(J118^2)/(2*E118)-J118*((F118*(1-F118)/E118)+((J118^2)/(4*(E118^2))))^(1/2))/(1+(J118^2)/E118)</f>
        <v>0.32480434416625076</v>
      </c>
      <c r="H118" s="9">
        <f t="shared" ref="H118:H122" ca="1" si="4">(F118+(J118^2)/(2*E118)+J118*((F118*(1-F118)/E118)+((J118^2)/(4*(E118^2))))^(1/2))/(1+(J118^2)/E118)</f>
        <v>0.62742485490241495</v>
      </c>
      <c r="I118" s="7">
        <v>0.95</v>
      </c>
      <c r="J118">
        <f t="shared" ref="J118:J126" si="5">_xlfn.NORM.S.INV((1+I118)/2)</f>
        <v>1.9599639845400536</v>
      </c>
      <c r="K118" t="str">
        <f t="shared" ref="K118:K122" ca="1" si="6">"("&amp;TEXT(ROUND(F118,3),"0,0%") &amp;", 95 % ДИ ["&amp;ROUND(G118,3)*100&amp;" – "&amp;ROUND(H118,3)*100&amp; "])"</f>
        <v>(47,4%, 95 % ДИ [32,5 – 62,7])</v>
      </c>
    </row>
    <row r="119" spans="1:11" x14ac:dyDescent="0.25">
      <c r="A119" t="s">
        <v>34</v>
      </c>
      <c r="B119" s="2" t="s">
        <v>232</v>
      </c>
      <c r="C119" s="4" t="s">
        <v>234</v>
      </c>
      <c r="D119">
        <f t="shared" ca="1" si="0"/>
        <v>10</v>
      </c>
      <c r="E119">
        <f t="shared" ca="1" si="1"/>
        <v>38</v>
      </c>
      <c r="F119" s="8">
        <f t="shared" ca="1" si="2"/>
        <v>0.26319999999999999</v>
      </c>
      <c r="G119" s="9">
        <f t="shared" ca="1" si="3"/>
        <v>0.149748302051434</v>
      </c>
      <c r="H119" s="9">
        <f t="shared" ca="1" si="4"/>
        <v>0.42013285154020252</v>
      </c>
      <c r="I119" s="7">
        <v>0.95</v>
      </c>
      <c r="J119">
        <f t="shared" si="5"/>
        <v>1.9599639845400536</v>
      </c>
      <c r="K119" t="str">
        <f t="shared" ca="1" si="6"/>
        <v>(26,3%, 95 % ДИ [15 – 42])</v>
      </c>
    </row>
    <row r="120" spans="1:11" x14ac:dyDescent="0.25">
      <c r="A120" t="s">
        <v>34</v>
      </c>
      <c r="B120" s="2" t="s">
        <v>232</v>
      </c>
      <c r="C120" s="5" t="s">
        <v>235</v>
      </c>
      <c r="D120">
        <f t="shared" ca="1" si="0"/>
        <v>6</v>
      </c>
      <c r="E120">
        <f t="shared" ca="1" si="1"/>
        <v>38</v>
      </c>
      <c r="F120" s="8">
        <f t="shared" ca="1" si="2"/>
        <v>0.15790000000000001</v>
      </c>
      <c r="G120" s="9">
        <f t="shared" ca="1" si="3"/>
        <v>7.4442107087139345E-2</v>
      </c>
      <c r="H120" s="9">
        <f t="shared" ca="1" si="4"/>
        <v>0.30417420475280521</v>
      </c>
      <c r="I120" s="7">
        <v>0.95</v>
      </c>
      <c r="J120">
        <f t="shared" si="5"/>
        <v>1.9599639845400536</v>
      </c>
      <c r="K120" t="str">
        <f t="shared" ca="1" si="6"/>
        <v>(15,8%, 95 % ДИ [7,4 – 30,4])</v>
      </c>
    </row>
    <row r="121" spans="1:11" x14ac:dyDescent="0.25">
      <c r="A121" t="s">
        <v>34</v>
      </c>
      <c r="B121" s="2" t="s">
        <v>232</v>
      </c>
      <c r="C121" s="4" t="s">
        <v>236</v>
      </c>
      <c r="D121">
        <f t="shared" ca="1" si="0"/>
        <v>3</v>
      </c>
      <c r="E121">
        <f t="shared" ca="1" si="1"/>
        <v>38</v>
      </c>
      <c r="F121" s="8">
        <f t="shared" ca="1" si="2"/>
        <v>7.8899999999999998E-2</v>
      </c>
      <c r="G121" s="9">
        <f t="shared" ca="1" si="3"/>
        <v>2.7189976990448332E-2</v>
      </c>
      <c r="H121" s="9">
        <f t="shared" ca="1" si="4"/>
        <v>0.20793229402913843</v>
      </c>
      <c r="I121" s="7">
        <v>0.95</v>
      </c>
      <c r="J121">
        <f t="shared" si="5"/>
        <v>1.9599639845400536</v>
      </c>
      <c r="K121" t="str">
        <f t="shared" ca="1" si="6"/>
        <v>(7,9%, 95 % ДИ [2,7 – 20,8])</v>
      </c>
    </row>
    <row r="122" spans="1:11" x14ac:dyDescent="0.25">
      <c r="A122" t="s">
        <v>34</v>
      </c>
      <c r="B122" s="2" t="s">
        <v>232</v>
      </c>
      <c r="C122" s="5" t="s">
        <v>237</v>
      </c>
      <c r="D122">
        <f t="shared" ca="1" si="0"/>
        <v>1</v>
      </c>
      <c r="E122">
        <f t="shared" ca="1" si="1"/>
        <v>38</v>
      </c>
      <c r="F122" s="8">
        <f t="shared" ca="1" si="2"/>
        <v>2.63E-2</v>
      </c>
      <c r="G122" s="9">
        <f t="shared" ca="1" si="3"/>
        <v>4.6558216968368288E-3</v>
      </c>
      <c r="H122" s="9">
        <f t="shared" ca="1" si="4"/>
        <v>0.1349248474600814</v>
      </c>
      <c r="I122" s="7">
        <v>0.95</v>
      </c>
      <c r="J122">
        <f t="shared" si="5"/>
        <v>1.9599639845400536</v>
      </c>
      <c r="K122" t="str">
        <f t="shared" ca="1" si="6"/>
        <v>(2,6%, 95 % ДИ [0,5 – 13,5])</v>
      </c>
    </row>
    <row r="124" spans="1:11" x14ac:dyDescent="0.25">
      <c r="A124" t="s">
        <v>34</v>
      </c>
      <c r="B124" s="3" t="s">
        <v>238</v>
      </c>
      <c r="C124">
        <v>0</v>
      </c>
      <c r="D124">
        <f t="shared" ca="1" si="0"/>
        <v>18</v>
      </c>
      <c r="E124">
        <f t="shared" ca="1" si="1"/>
        <v>38</v>
      </c>
      <c r="F124" s="8">
        <f t="shared" ref="F124:F126" ca="1" si="7">ROUND(D124/E124,4)</f>
        <v>0.47370000000000001</v>
      </c>
      <c r="G124" s="9">
        <f t="shared" ref="G124:G126" ca="1" si="8">(F124+(J124^2)/(2*E124)-J124*((F124*(1-F124)/E124)+((J124^2)/(4*(E124^2))))^(1/2))/(1+(J124^2)/E124)</f>
        <v>0.32480434416625076</v>
      </c>
      <c r="H124" s="9">
        <f t="shared" ref="H124:H126" ca="1" si="9">(F124+(J124^2)/(2*E124)+J124*((F124*(1-F124)/E124)+((J124^2)/(4*(E124^2))))^(1/2))/(1+(J124^2)/E124)</f>
        <v>0.62742485490241495</v>
      </c>
      <c r="I124" s="7">
        <v>0.95</v>
      </c>
      <c r="J124">
        <f t="shared" si="5"/>
        <v>1.9599639845400536</v>
      </c>
      <c r="K124" t="str">
        <f t="shared" ref="K124:K126" ca="1" si="10">"("&amp;TEXT(ROUND(F124,3),"0,0%") &amp;", 95 % ДИ ["&amp;ROUND(G124,3)*100&amp;" – "&amp;ROUND(H124,3)*100&amp; "])"</f>
        <v>(47,4%, 95 % ДИ [32,5 – 62,7])</v>
      </c>
    </row>
    <row r="125" spans="1:11" x14ac:dyDescent="0.25">
      <c r="A125" t="s">
        <v>34</v>
      </c>
      <c r="B125" s="3" t="s">
        <v>238</v>
      </c>
      <c r="C125">
        <v>1</v>
      </c>
      <c r="D125">
        <f t="shared" ca="1" si="0"/>
        <v>20</v>
      </c>
      <c r="E125">
        <f t="shared" ca="1" si="1"/>
        <v>38</v>
      </c>
      <c r="F125" s="8">
        <f t="shared" ca="1" si="7"/>
        <v>0.52629999999999999</v>
      </c>
      <c r="G125" s="9">
        <f t="shared" ca="1" si="8"/>
        <v>0.37257514509758505</v>
      </c>
      <c r="H125" s="9">
        <f t="shared" ca="1" si="9"/>
        <v>0.67519565583374919</v>
      </c>
      <c r="I125" s="7">
        <v>0.95</v>
      </c>
      <c r="J125">
        <f t="shared" si="5"/>
        <v>1.9599639845400536</v>
      </c>
      <c r="K125" t="str">
        <f t="shared" ca="1" si="10"/>
        <v>(52,6%, 95 % ДИ [37,3 – 67,5])</v>
      </c>
    </row>
    <row r="126" spans="1:11" x14ac:dyDescent="0.25">
      <c r="A126" t="s">
        <v>34</v>
      </c>
      <c r="B126" s="2" t="s">
        <v>232</v>
      </c>
      <c r="C126" s="4" t="s">
        <v>234</v>
      </c>
      <c r="D126">
        <f t="shared" ca="1" si="0"/>
        <v>10</v>
      </c>
      <c r="E126">
        <f ca="1">D125</f>
        <v>20</v>
      </c>
      <c r="F126" s="8">
        <f t="shared" ca="1" si="7"/>
        <v>0.5</v>
      </c>
      <c r="G126" s="9">
        <f t="shared" ca="1" si="8"/>
        <v>0.2992980081982124</v>
      </c>
      <c r="H126" s="9">
        <f t="shared" ca="1" si="9"/>
        <v>0.70070199180178772</v>
      </c>
      <c r="I126" s="7">
        <v>0.95</v>
      </c>
      <c r="J126">
        <f t="shared" si="5"/>
        <v>1.9599639845400536</v>
      </c>
      <c r="K126" t="str">
        <f t="shared" ca="1" si="10"/>
        <v>(50,0%, 95 % ДИ [29,9 – 70,1])</v>
      </c>
    </row>
  </sheetData>
  <sortState xmlns:xlrd2="http://schemas.microsoft.com/office/spreadsheetml/2017/richdata2" ref="A118:K122">
    <sortCondition descending="1" ref="D118:D122"/>
  </sortState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4DEFC0-5F21-4BA7-A605-2EC3AA54E95A}">
  <sheetPr codeName="Лист10"/>
  <dimension ref="A1:N61"/>
  <sheetViews>
    <sheetView topLeftCell="A38" workbookViewId="0">
      <selection activeCell="A63" sqref="A63"/>
    </sheetView>
  </sheetViews>
  <sheetFormatPr defaultRowHeight="15" x14ac:dyDescent="0.25"/>
  <cols>
    <col min="1" max="1" width="23.85546875" customWidth="1"/>
    <col min="2" max="2" width="9.42578125" customWidth="1"/>
    <col min="3" max="4" width="12" bestFit="1" customWidth="1"/>
    <col min="5" max="5" width="3" bestFit="1" customWidth="1"/>
  </cols>
  <sheetData>
    <row r="1" spans="1:14" x14ac:dyDescent="0.25">
      <c r="A1" t="s">
        <v>34</v>
      </c>
    </row>
    <row r="2" spans="1:14" x14ac:dyDescent="0.25">
      <c r="C2" s="3" t="s">
        <v>64</v>
      </c>
      <c r="D2" s="3" t="s">
        <v>64</v>
      </c>
      <c r="G2" t="str">
        <f ca="1">ROUND(G6,2)&amp;"; "&amp;ROUND(G8,3)</f>
        <v>0,7; 0,402</v>
      </c>
    </row>
    <row r="3" spans="1:14" x14ac:dyDescent="0.25">
      <c r="C3">
        <v>1</v>
      </c>
      <c r="D3">
        <v>2</v>
      </c>
      <c r="G3" t="str">
        <f ca="1">"(χ2 = "&amp;ROUND(G6,2)&amp;", d.f. = 1, "&amp;IF(G8&lt;0.001,"p &lt; 0,001","p = "&amp;ROUND(G8,3))&amp;")"</f>
        <v>(χ2 = 0,7, d.f. = 1, p = 0,402)</v>
      </c>
    </row>
    <row r="4" spans="1:14" x14ac:dyDescent="0.25">
      <c r="A4" s="3" t="s">
        <v>29</v>
      </c>
      <c r="B4">
        <v>0</v>
      </c>
      <c r="C4">
        <f ca="1">SUMPRODUCT((INDIRECT($A$1&amp;"["&amp;$A4&amp;"]")=$B4)*(INDIRECT($A$1&amp;"["&amp;C2&amp;"]")=C3)*(INDIRECT($A$1&amp;"["&amp;C2&amp;"]")&lt;&gt;"")*(INDIRECT($A$1&amp;"["&amp;$A4&amp;"]")&lt;&gt;""))</f>
        <v>7</v>
      </c>
      <c r="D4">
        <f ca="1">SUMPRODUCT((INDIRECT($A$1&amp;"["&amp;$A4&amp;"]")=$B4)*(INDIRECT($A$1&amp;"["&amp;D2&amp;"]")=D3)*(INDIRECT($A$1&amp;"["&amp;D2&amp;"]")&lt;&gt;"")*(INDIRECT($A$1&amp;"["&amp;$A4&amp;"]")&lt;&gt;""))</f>
        <v>1</v>
      </c>
      <c r="E4" s="11">
        <f ca="1">D4+C4</f>
        <v>8</v>
      </c>
      <c r="F4">
        <f ca="1">(C4-C7)^2/C7</f>
        <v>0.13112522686025399</v>
      </c>
      <c r="G4">
        <f ca="1">(D4-D7)^2/D7</f>
        <v>0.42251461988304084</v>
      </c>
      <c r="I4" s="12">
        <f ca="1">ROUND(C4/E4,4)</f>
        <v>0.875</v>
      </c>
      <c r="J4" s="9">
        <f ca="1">(I4+(M4^2)/(2*E4)-M4*((I4*(1-I4)/E4)+((M4^2)/(4*(E4^2))))^(1/2))/(1+(M4^2)/E4)</f>
        <v>0.52911181778714644</v>
      </c>
      <c r="K4" s="9">
        <f ca="1">(I4+(M4^2)/(2*E4)+M4*((I4*(1-I4)/E4)+((M4^2)/(4*(E4^2))))^(1/2))/(1+(M4^2)/E4)</f>
        <v>0.97758250854994333</v>
      </c>
      <c r="L4" s="7">
        <v>0.95</v>
      </c>
      <c r="M4">
        <f>_xlfn.NORM.S.INV((1+L4)/2)</f>
        <v>1.9599639845400536</v>
      </c>
      <c r="N4" t="str">
        <f ca="1">"("&amp;TEXT(ROUND(I4,3),"0,0%") &amp;", 95 % ДИ ["&amp;ROUND(J4,3)*100&amp;" – "&amp;ROUND(K4,3)*100&amp; "])"</f>
        <v>(87,5%, 95 % ДИ [52,9 – 97,8])</v>
      </c>
    </row>
    <row r="5" spans="1:14" x14ac:dyDescent="0.25">
      <c r="A5" s="3" t="s">
        <v>29</v>
      </c>
      <c r="B5">
        <v>1</v>
      </c>
      <c r="C5">
        <f ca="1">SUMPRODUCT((INDIRECT($A$1&amp;"["&amp;$A5&amp;"]")=$B5)*(INDIRECT($A$1&amp;"["&amp;C2&amp;"]")=C3)*(INDIRECT($A$1&amp;"["&amp;C2&amp;"]")&lt;&gt;"")*(INDIRECT($A$1&amp;"["&amp;$A4&amp;"]")&lt;&gt;""))</f>
        <v>22</v>
      </c>
      <c r="D5">
        <f ca="1">SUMPRODUCT((INDIRECT($A$1&amp;"["&amp;$A5&amp;"]")=$B5)*(INDIRECT($A$1&amp;"["&amp;D2&amp;"]")=D3)*(INDIRECT($A$1&amp;"["&amp;D2&amp;"]")&lt;&gt;"")*(INDIRECT($A$1&amp;"["&amp;$A4&amp;"]")&lt;&gt;""))</f>
        <v>8</v>
      </c>
      <c r="E5" s="11">
        <f ca="1">D5+C5</f>
        <v>30</v>
      </c>
      <c r="F5">
        <f ca="1">(C5-C8)^2/C8</f>
        <v>3.4966727162734468E-2</v>
      </c>
      <c r="G5">
        <f ca="1">(D5-D8)^2/D8</f>
        <v>0.11267056530214417</v>
      </c>
      <c r="I5" s="12">
        <f ca="1">ROUND(C5/E5,4)</f>
        <v>0.73329999999999995</v>
      </c>
      <c r="J5" s="9">
        <f ca="1">(I5+(M5^2)/(2*E5)-M5*((I5*(1-I5)/E5)+((M5^2)/(4*(E5^2))))^(1/2))/(1+(M5^2)/E5)</f>
        <v>0.55548566193645332</v>
      </c>
      <c r="K5" s="9">
        <f ca="1">(I5+(M5^2)/(2*E5)+M5*((I5*(1-I5)/E5)+((M5^2)/(4*(E5^2))))^(1/2))/(1+(M5^2)/E5)</f>
        <v>0.85814898880857271</v>
      </c>
      <c r="L5" s="7">
        <v>0.95</v>
      </c>
      <c r="M5">
        <f>_xlfn.NORM.S.INV((1+L5)/2)</f>
        <v>1.9599639845400536</v>
      </c>
      <c r="N5" t="str">
        <f ca="1">"("&amp;TEXT(ROUND(I5,3),"0,0%") &amp;", 95 % ДИ ["&amp;ROUND(J5,3)*100&amp;" – "&amp;ROUND(K5,3)*100&amp; "])"</f>
        <v>(73,3%, 95 % ДИ [55,5 – 85,8])</v>
      </c>
    </row>
    <row r="6" spans="1:14" ht="18.75" x14ac:dyDescent="0.25">
      <c r="C6" s="11">
        <f ca="1">C4+C5</f>
        <v>29</v>
      </c>
      <c r="D6" s="11">
        <f ca="1">D4+D5</f>
        <v>9</v>
      </c>
      <c r="E6" s="11">
        <f ca="1">SUM(E4:E5)</f>
        <v>38</v>
      </c>
      <c r="F6" s="13" t="s">
        <v>59</v>
      </c>
      <c r="G6">
        <f ca="1">SUM(F4:G5)</f>
        <v>0.70127713920817347</v>
      </c>
    </row>
    <row r="7" spans="1:14" x14ac:dyDescent="0.25">
      <c r="A7" t="s">
        <v>60</v>
      </c>
      <c r="C7">
        <f ca="1">C6*E4/E6</f>
        <v>6.1052631578947372</v>
      </c>
      <c r="D7">
        <f ca="1">D6*E4/E6</f>
        <v>1.8947368421052631</v>
      </c>
      <c r="F7" s="14" t="s">
        <v>61</v>
      </c>
      <c r="G7">
        <f ca="1">COUNT(C4:C5)-1</f>
        <v>1</v>
      </c>
    </row>
    <row r="8" spans="1:14" x14ac:dyDescent="0.25">
      <c r="A8" t="s">
        <v>62</v>
      </c>
      <c r="C8">
        <f ca="1">C6*E5/E6</f>
        <v>22.894736842105264</v>
      </c>
      <c r="D8">
        <f ca="1">D6*E5/E6</f>
        <v>7.1052631578947372</v>
      </c>
      <c r="F8" t="s">
        <v>63</v>
      </c>
      <c r="G8">
        <f ca="1">_xlfn.CHISQ.TEST(C4:D5,C7:D8)</f>
        <v>0.4023548894600642</v>
      </c>
    </row>
    <row r="11" spans="1:14" x14ac:dyDescent="0.25">
      <c r="C11" s="2" t="s">
        <v>173</v>
      </c>
      <c r="D11" s="2" t="s">
        <v>173</v>
      </c>
      <c r="G11" t="str">
        <f ca="1">ROUND(G15,2)&amp;"; "&amp;ROUND(G17,3)</f>
        <v>0,11; 0,744</v>
      </c>
    </row>
    <row r="12" spans="1:14" x14ac:dyDescent="0.25">
      <c r="C12">
        <v>1</v>
      </c>
      <c r="D12">
        <v>2</v>
      </c>
      <c r="G12" t="str">
        <f ca="1">"(χ2 = "&amp;ROUND(G15,2)&amp;", d.f. = 1, "&amp;IF(G17&lt;0.001,"p &lt; 0,001","p = "&amp;ROUND(G17,3))&amp;")"</f>
        <v>(χ2 = 0,11, d.f. = 1, p = 0,744)</v>
      </c>
    </row>
    <row r="13" spans="1:14" x14ac:dyDescent="0.25">
      <c r="A13" s="2" t="s">
        <v>100</v>
      </c>
      <c r="B13" s="5" t="s">
        <v>21</v>
      </c>
      <c r="C13">
        <f ca="1">SUMPRODUCT((INDIRECT($A$1&amp;"["&amp;$A13&amp;"]")=$B13)*(INDIRECT($A$1&amp;"["&amp;C11&amp;"]")=C12)*(INDIRECT($A$1&amp;"["&amp;C11&amp;"]")&lt;&gt;"")*(INDIRECT($A$1&amp;"["&amp;$A13&amp;"]")&lt;&gt;""))</f>
        <v>10</v>
      </c>
      <c r="D13">
        <f ca="1">SUMPRODUCT((INDIRECT($A$1&amp;"["&amp;$A13&amp;"]")=$B13)*(INDIRECT($A$1&amp;"["&amp;D11&amp;"]")=D12)*(INDIRECT($A$1&amp;"["&amp;D11&amp;"]")&lt;&gt;"")*(INDIRECT($A$1&amp;"["&amp;$A13&amp;"]")&lt;&gt;""))</f>
        <v>11</v>
      </c>
      <c r="E13" s="11">
        <f ca="1">D13+C13</f>
        <v>21</v>
      </c>
      <c r="F13">
        <f ca="1">(C13-C16)^2/C16</f>
        <v>2.3809523809523808E-2</v>
      </c>
      <c r="G13">
        <f ca="1">(D13-D16)^2/D16</f>
        <v>2.3809523809523808E-2</v>
      </c>
      <c r="I13" s="12">
        <f ca="1">ROUND(C13/E13,4)</f>
        <v>0.47620000000000001</v>
      </c>
      <c r="J13" s="9">
        <f ca="1">(I13+(M13^2)/(2*E13)-M13*((I13*(1-I13)/E13)+((M13^2)/(4*(E13^2))))^(1/2))/(1+(M13^2)/E13)</f>
        <v>0.28344796119539967</v>
      </c>
      <c r="K13" s="9">
        <f ca="1">(I13+(M13^2)/(2*E13)+M13*((I13*(1-I13)/E13)+((M13^2)/(4*(E13^2))))^(1/2))/(1+(M13^2)/E13)</f>
        <v>0.67631285610542313</v>
      </c>
      <c r="L13" s="7">
        <v>0.95</v>
      </c>
      <c r="M13">
        <f>_xlfn.NORM.S.INV((1+L13)/2)</f>
        <v>1.9599639845400536</v>
      </c>
      <c r="N13" t="str">
        <f ca="1">"("&amp;TEXT(ROUND(I13,3),"0,0%") &amp;", 95 % ДИ ["&amp;ROUND(J13,3)*100&amp;" – "&amp;ROUND(K13,3)*100&amp; "])"</f>
        <v>(47,6%, 95 % ДИ [28,3 – 67,6])</v>
      </c>
    </row>
    <row r="14" spans="1:14" x14ac:dyDescent="0.25">
      <c r="A14" s="2" t="s">
        <v>100</v>
      </c>
      <c r="B14" s="4" t="s">
        <v>18</v>
      </c>
      <c r="C14">
        <f ca="1">SUMPRODUCT((INDIRECT($A$1&amp;"["&amp;$A14&amp;"]")=$B14)*(INDIRECT($A$1&amp;"["&amp;C11&amp;"]")=C12)*(INDIRECT($A$1&amp;"["&amp;C11&amp;"]")&lt;&gt;"")*(INDIRECT($A$1&amp;"["&amp;$A13&amp;"]")&lt;&gt;""))</f>
        <v>9</v>
      </c>
      <c r="D14">
        <f ca="1">SUMPRODUCT((INDIRECT($A$1&amp;"["&amp;$A14&amp;"]")=$B14)*(INDIRECT($A$1&amp;"["&amp;D11&amp;"]")=D12)*(INDIRECT($A$1&amp;"["&amp;D11&amp;"]")&lt;&gt;"")*(INDIRECT($A$1&amp;"["&amp;$A13&amp;"]")&lt;&gt;""))</f>
        <v>8</v>
      </c>
      <c r="E14" s="11">
        <f ca="1">D14+C14</f>
        <v>17</v>
      </c>
      <c r="F14">
        <f ca="1">(C14-C17)^2/C17</f>
        <v>2.9411764705882353E-2</v>
      </c>
      <c r="G14">
        <f ca="1">(D14-D17)^2/D17</f>
        <v>2.9411764705882353E-2</v>
      </c>
      <c r="I14" s="12">
        <f ca="1">ROUND(C14/E14,4)</f>
        <v>0.52939999999999998</v>
      </c>
      <c r="J14" s="9">
        <f ca="1">(I14+(M14^2)/(2*E14)-M14*((I14*(1-I14)/E14)+((M14^2)/(4*(E14^2))))^(1/2))/(1+(M14^2)/E14)</f>
        <v>0.30962251170212091</v>
      </c>
      <c r="K14" s="9">
        <f ca="1">(I14+(M14^2)/(2*E14)+M14*((I14*(1-I14)/E14)+((M14^2)/(4*(E14^2))))^(1/2))/(1+(M14^2)/E14)</f>
        <v>0.73833958195935856</v>
      </c>
      <c r="L14" s="7">
        <v>0.95</v>
      </c>
      <c r="M14">
        <f>_xlfn.NORM.S.INV((1+L14)/2)</f>
        <v>1.9599639845400536</v>
      </c>
      <c r="N14" t="str">
        <f ca="1">"("&amp;TEXT(ROUND(I14,3),"0,0%") &amp;", 95 % ДИ ["&amp;ROUND(J14,3)*100&amp;" – "&amp;ROUND(K14,3)*100&amp; "])"</f>
        <v>(52,9%, 95 % ДИ [31 – 73,8])</v>
      </c>
    </row>
    <row r="15" spans="1:14" ht="18.75" x14ac:dyDescent="0.25">
      <c r="C15" s="11">
        <f ca="1">C13+C14</f>
        <v>19</v>
      </c>
      <c r="D15" s="11">
        <f ca="1">D13+D14</f>
        <v>19</v>
      </c>
      <c r="E15" s="11">
        <f ca="1">SUM(E13:E14)</f>
        <v>38</v>
      </c>
      <c r="F15" s="13" t="s">
        <v>59</v>
      </c>
      <c r="G15">
        <f ca="1">SUM(F13:G14)</f>
        <v>0.10644257703081234</v>
      </c>
    </row>
    <row r="16" spans="1:14" x14ac:dyDescent="0.25">
      <c r="A16" t="s">
        <v>60</v>
      </c>
      <c r="C16">
        <f ca="1">C15*E13/E15</f>
        <v>10.5</v>
      </c>
      <c r="D16">
        <f ca="1">D15*E13/E15</f>
        <v>10.5</v>
      </c>
      <c r="F16" s="14" t="s">
        <v>61</v>
      </c>
      <c r="G16">
        <f ca="1">COUNT(C13:C14)-1</f>
        <v>1</v>
      </c>
    </row>
    <row r="17" spans="1:14" x14ac:dyDescent="0.25">
      <c r="A17" t="s">
        <v>62</v>
      </c>
      <c r="C17">
        <f ca="1">C15*E14/E15</f>
        <v>8.5</v>
      </c>
      <c r="D17">
        <f ca="1">D15*E14/E15</f>
        <v>8.5</v>
      </c>
      <c r="F17" t="s">
        <v>63</v>
      </c>
      <c r="G17">
        <f ca="1">_xlfn.CHISQ.TEST(C13:D14,C16:D17)</f>
        <v>0.74423113966558851</v>
      </c>
    </row>
    <row r="20" spans="1:14" x14ac:dyDescent="0.25">
      <c r="A20" s="2"/>
      <c r="C20" s="2" t="s">
        <v>173</v>
      </c>
      <c r="D20" s="2" t="s">
        <v>173</v>
      </c>
    </row>
    <row r="21" spans="1:14" x14ac:dyDescent="0.25">
      <c r="C21">
        <v>2</v>
      </c>
      <c r="D21">
        <v>2</v>
      </c>
    </row>
    <row r="22" spans="1:14" x14ac:dyDescent="0.25">
      <c r="C22" s="2" t="s">
        <v>100</v>
      </c>
      <c r="D22" s="2" t="s">
        <v>100</v>
      </c>
      <c r="G22" t="str">
        <f ca="1">ROUND(G26,2)&amp;"; "&amp;ROUND(G28,3)</f>
        <v>4; 0,046</v>
      </c>
    </row>
    <row r="23" spans="1:14" x14ac:dyDescent="0.25">
      <c r="C23" s="4" t="s">
        <v>18</v>
      </c>
      <c r="D23" s="5" t="s">
        <v>21</v>
      </c>
      <c r="G23" t="str">
        <f ca="1">"(χ2 = "&amp;ROUND(G26,2)&amp;", d.f. = 1, "&amp;IF(G28&lt;0.001,"p &lt; 0,001","p = "&amp;ROUND(G28,3))&amp;")"</f>
        <v>(χ2 = 4, d.f. = 1, p = 0,046)</v>
      </c>
    </row>
    <row r="24" spans="1:14" x14ac:dyDescent="0.25">
      <c r="A24" s="3" t="s">
        <v>231</v>
      </c>
      <c r="B24" s="5">
        <v>1</v>
      </c>
      <c r="C24">
        <f ca="1">SUMPRODUCT((INDIRECT($A$1&amp;"["&amp;$A24&amp;"]")=$B24)*(INDIRECT($A$1&amp;"["&amp;C22&amp;"]")=C23)*(INDIRECT($A$1&amp;"["&amp;C20&amp;"]")=C21)*(INDIRECT($A$1&amp;"["&amp;C22&amp;"]")&lt;&gt;"")*(INDIRECT($A$1&amp;"["&amp;$A24&amp;"]")&lt;&gt;""))</f>
        <v>4</v>
      </c>
      <c r="D24">
        <f ca="1">SUMPRODUCT((INDIRECT($A$1&amp;"["&amp;$A24&amp;"]")=$B24)*(INDIRECT($A$1&amp;"["&amp;D22&amp;"]")=D23)*(INDIRECT($A$1&amp;"["&amp;D20&amp;"]")=D21)*(INDIRECT($A$1&amp;"["&amp;D22&amp;"]")&lt;&gt;"")*(INDIRECT($A$1&amp;"["&amp;$A24&amp;"]")&lt;&gt;""))</f>
        <v>1</v>
      </c>
      <c r="E24" s="11">
        <f ca="1">D24+C24</f>
        <v>5</v>
      </c>
      <c r="F24">
        <f ca="1">(C24-C27)^2/C27</f>
        <v>1.705263157894737</v>
      </c>
      <c r="G24">
        <f ca="1">(D24-D27)^2/D27</f>
        <v>1.2401913875598087</v>
      </c>
      <c r="I24" s="12">
        <f ca="1">ROUND(C24/E24,4)</f>
        <v>0.8</v>
      </c>
      <c r="J24" s="9">
        <f ca="1">(I24+(M24^2)/(2*E24)-M24*((I24*(1-I24)/E24)+((M24^2)/(4*(E24^2))))^(1/2))/(1+(M24^2)/E24)</f>
        <v>0.37553462976252544</v>
      </c>
      <c r="K24" s="9">
        <f ca="1">(I24+(M24^2)/(2*E24)+M24*((I24*(1-I24)/E24)+((M24^2)/(4*(E24^2))))^(1/2))/(1+(M24^2)/E24)</f>
        <v>0.9637758913675698</v>
      </c>
      <c r="L24" s="7">
        <v>0.95</v>
      </c>
      <c r="M24">
        <f>_xlfn.NORM.S.INV((1+L24)/2)</f>
        <v>1.9599639845400536</v>
      </c>
      <c r="N24" t="str">
        <f ca="1">"("&amp;TEXT(ROUND(I24,3),"0,0%") &amp;", 95 % ДИ ["&amp;ROUND(J24,3)*100&amp;" – "&amp;ROUND(K24,3)*100&amp; "])"</f>
        <v>(80,0%, 95 % ДИ [37,6 – 96,4])</v>
      </c>
    </row>
    <row r="25" spans="1:14" x14ac:dyDescent="0.25">
      <c r="A25" s="3" t="s">
        <v>231</v>
      </c>
      <c r="B25" s="4">
        <v>0</v>
      </c>
      <c r="C25">
        <f ca="1">SUMPRODUCT((INDIRECT($A$1&amp;"["&amp;$A25&amp;"]")=$B25)*(INDIRECT($A$1&amp;"["&amp;C22&amp;"]")=C23)*(INDIRECT($A$1&amp;"["&amp;C20&amp;"]")=C21)*(INDIRECT($A$1&amp;"["&amp;C22&amp;"]")&lt;&gt;"")*(INDIRECT($A$1&amp;"["&amp;$A24&amp;"]")&lt;&gt;""))</f>
        <v>4</v>
      </c>
      <c r="D25">
        <f ca="1">SUMPRODUCT((INDIRECT($A$1&amp;"["&amp;$A25&amp;"]")=$B25)*(INDIRECT($A$1&amp;"["&amp;D22&amp;"]")=D23)*(INDIRECT($A$1&amp;"["&amp;D20&amp;"]")=D21)*(INDIRECT($A$1&amp;"["&amp;D22&amp;"]")&lt;&gt;"")*(INDIRECT($A$1&amp;"["&amp;$A24&amp;"]")&lt;&gt;""))</f>
        <v>10</v>
      </c>
      <c r="E25" s="11">
        <f ca="1">D25+C25</f>
        <v>14</v>
      </c>
      <c r="F25">
        <f ca="1">(C25-C28)^2/C28</f>
        <v>0.60902255639097724</v>
      </c>
      <c r="G25">
        <f ca="1">(D25-D28)^2/D28</f>
        <v>0.44292549555707478</v>
      </c>
      <c r="I25" s="12">
        <f ca="1">ROUND(C25/E25,4)</f>
        <v>0.28570000000000001</v>
      </c>
      <c r="J25" s="9">
        <f ca="1">(I25+(M25^2)/(2*E25)-M25*((I25*(1-I25)/E25)+((M25^2)/(4*(E25^2))))^(1/2))/(1+(M25^2)/E25)</f>
        <v>0.11720498632743338</v>
      </c>
      <c r="K25" s="9">
        <f ca="1">(I25+(M25^2)/(2*E25)+M25*((I25*(1-I25)/E25)+((M25^2)/(4*(E25^2))))^(1/2))/(1+(M25^2)/E25)</f>
        <v>0.54647722372591734</v>
      </c>
      <c r="L25" s="7">
        <v>0.95</v>
      </c>
      <c r="M25">
        <f>_xlfn.NORM.S.INV((1+L25)/2)</f>
        <v>1.9599639845400536</v>
      </c>
      <c r="N25" t="str">
        <f ca="1">"("&amp;TEXT(ROUND(I25,3),"0,0%") &amp;", 95 % ДИ ["&amp;ROUND(J25,3)*100&amp;" – "&amp;ROUND(K25,3)*100&amp; "])"</f>
        <v>(28,6%, 95 % ДИ [11,7 – 54,6])</v>
      </c>
    </row>
    <row r="26" spans="1:14" ht="18.75" x14ac:dyDescent="0.25">
      <c r="C26" s="11">
        <f ca="1">C24+C25</f>
        <v>8</v>
      </c>
      <c r="D26" s="11">
        <f ca="1">D24+D25</f>
        <v>11</v>
      </c>
      <c r="E26" s="11">
        <f ca="1">SUM(E24:E25)</f>
        <v>19</v>
      </c>
      <c r="F26" s="13" t="s">
        <v>59</v>
      </c>
      <c r="G26">
        <f ca="1">SUM(F24:G25)</f>
        <v>3.9974025974025977</v>
      </c>
    </row>
    <row r="27" spans="1:14" x14ac:dyDescent="0.25">
      <c r="A27" t="s">
        <v>60</v>
      </c>
      <c r="C27">
        <f ca="1">C26*E24/E26</f>
        <v>2.1052631578947367</v>
      </c>
      <c r="D27">
        <f ca="1">D26*E24/E26</f>
        <v>2.8947368421052633</v>
      </c>
      <c r="F27" s="14" t="s">
        <v>61</v>
      </c>
      <c r="G27">
        <f ca="1">COUNT(C24:C25)-1</f>
        <v>1</v>
      </c>
    </row>
    <row r="28" spans="1:14" x14ac:dyDescent="0.25">
      <c r="A28" t="s">
        <v>62</v>
      </c>
      <c r="C28">
        <f ca="1">C26*E25/E26</f>
        <v>5.8947368421052628</v>
      </c>
      <c r="D28">
        <f ca="1">D26*E25/E26</f>
        <v>8.1052631578947363</v>
      </c>
      <c r="F28" t="s">
        <v>63</v>
      </c>
      <c r="G28">
        <f ca="1">_xlfn.CHISQ.TEST(C24:D25,C27:D28)</f>
        <v>4.5570438982038317E-2</v>
      </c>
    </row>
    <row r="30" spans="1:14" x14ac:dyDescent="0.25">
      <c r="C30" s="2" t="s">
        <v>29</v>
      </c>
      <c r="D30" s="2" t="s">
        <v>29</v>
      </c>
      <c r="G30" t="str">
        <f ca="1">ROUND(G34,2)&amp;"; "&amp;ROUND(G36,3)</f>
        <v>3,5; 0,061</v>
      </c>
    </row>
    <row r="31" spans="1:14" x14ac:dyDescent="0.25">
      <c r="C31">
        <v>0</v>
      </c>
      <c r="D31">
        <v>1</v>
      </c>
      <c r="G31" t="str">
        <f ca="1">"(χ2 = "&amp;ROUND(G34,2)&amp;", d.f. = 1, "&amp;IF(G36&lt;0.001,"p &lt; 0,001","p = "&amp;ROUND(G36,3))&amp;")"</f>
        <v>(χ2 = 3,5, d.f. = 1, p = 0,061)</v>
      </c>
    </row>
    <row r="32" spans="1:14" x14ac:dyDescent="0.25">
      <c r="A32" s="2" t="s">
        <v>232</v>
      </c>
      <c r="B32" s="5" t="s">
        <v>233</v>
      </c>
      <c r="C32">
        <f ca="1">SUMPRODUCT((INDIRECT($A$1&amp;"["&amp;$A32&amp;"]")=$B32)*(INDIRECT($A$1&amp;"["&amp;C30&amp;"]")=C31)*(INDIRECT($A$1&amp;"["&amp;C30&amp;"]")&lt;&gt;"")*(INDIRECT($A$1&amp;"["&amp;$A32&amp;"]")&lt;&gt;""))</f>
        <v>3</v>
      </c>
      <c r="D32">
        <f ca="1">SUMPRODUCT((INDIRECT($A$1&amp;"["&amp;$A32&amp;"]")=$B32)*(INDIRECT($A$1&amp;"["&amp;D30&amp;"]")=D31)*(INDIRECT($A$1&amp;"["&amp;D30&amp;"]")&lt;&gt;"")*(INDIRECT($A$1&amp;"["&amp;$A32&amp;"]")&lt;&gt;""))</f>
        <v>15</v>
      </c>
      <c r="E32" s="11">
        <f ca="1">D32+C32</f>
        <v>18</v>
      </c>
      <c r="F32">
        <f ca="1">(C32-C35)^2/C35</f>
        <v>0.89285714285714302</v>
      </c>
      <c r="G32">
        <f ca="1">(D32-D35)^2/D35</f>
        <v>0.35714285714285693</v>
      </c>
      <c r="I32" s="12">
        <f ca="1">ROUND(C32/E32,4)</f>
        <v>0.16669999999999999</v>
      </c>
      <c r="J32" s="9">
        <f ca="1">(I32+(M32^2)/(2*E32)-M32*((I32*(1-I32)/E32)+((M32^2)/(4*(E32^2))))^(1/2))/(1+(M32^2)/E32)</f>
        <v>5.8383591552027297E-2</v>
      </c>
      <c r="K32" s="9">
        <f ca="1">(I32+(M32^2)/(2*E32)+M32*((I32*(1-I32)/E32)+((M32^2)/(4*(E32^2))))^(1/2))/(1+(M32^2)/E32)</f>
        <v>0.39225749893083467</v>
      </c>
      <c r="L32" s="7">
        <v>0.95</v>
      </c>
      <c r="M32">
        <f>_xlfn.NORM.S.INV((1+L32)/2)</f>
        <v>1.9599639845400536</v>
      </c>
      <c r="N32" t="str">
        <f ca="1">"("&amp;TEXT(ROUND(I32,3),"0,0%") &amp;", 95 % ДИ ["&amp;ROUND(J32,3)*100&amp;" – "&amp;ROUND(K32,3)*100&amp; "])"</f>
        <v>(16,7%, 95 % ДИ [5,8 – 39,2])</v>
      </c>
    </row>
    <row r="33" spans="1:14" x14ac:dyDescent="0.25">
      <c r="A33" s="2" t="s">
        <v>232</v>
      </c>
      <c r="B33" s="4" t="s">
        <v>234</v>
      </c>
      <c r="C33">
        <f ca="1">SUMPRODUCT((INDIRECT($A$1&amp;"["&amp;$A33&amp;"]")=$B33)*(INDIRECT($A$1&amp;"["&amp;C30&amp;"]")=C31)*(INDIRECT($A$1&amp;"["&amp;C30&amp;"]")&lt;&gt;"")*(INDIRECT($A$1&amp;"["&amp;$A32&amp;"]")&lt;&gt;""))</f>
        <v>5</v>
      </c>
      <c r="D33">
        <f ca="1">SUMPRODUCT((INDIRECT($A$1&amp;"["&amp;$A33&amp;"]")=$B33)*(INDIRECT($A$1&amp;"["&amp;D30&amp;"]")=D31)*(INDIRECT($A$1&amp;"["&amp;D30&amp;"]")&lt;&gt;"")*(INDIRECT($A$1&amp;"["&amp;$A32&amp;"]")&lt;&gt;""))</f>
        <v>5</v>
      </c>
      <c r="E33" s="11">
        <f ca="1">D33+C33</f>
        <v>10</v>
      </c>
      <c r="F33">
        <f ca="1">(C33-C36)^2/C36</f>
        <v>1.607142857142857</v>
      </c>
      <c r="G33">
        <f ca="1">(D33-D36)^2/D36</f>
        <v>0.64285714285714302</v>
      </c>
      <c r="I33" s="12">
        <f ca="1">ROUND(C33/E33,4)</f>
        <v>0.5</v>
      </c>
      <c r="J33" s="9">
        <f ca="1">(I33+(M33^2)/(2*E33)-M33*((I33*(1-I33)/E33)+((M33^2)/(4*(E33^2))))^(1/2))/(1+(M33^2)/E33)</f>
        <v>0.23659309051256402</v>
      </c>
      <c r="K33" s="9">
        <f ca="1">(I33+(M33^2)/(2*E33)+M33*((I33*(1-I33)/E33)+((M33^2)/(4*(E33^2))))^(1/2))/(1+(M33^2)/E33)</f>
        <v>0.76340690948743595</v>
      </c>
      <c r="L33" s="7">
        <v>0.95</v>
      </c>
      <c r="M33">
        <f>_xlfn.NORM.S.INV((1+L33)/2)</f>
        <v>1.9599639845400536</v>
      </c>
      <c r="N33" t="str">
        <f ca="1">"("&amp;TEXT(ROUND(I33,3),"0,0%") &amp;", 95 % ДИ ["&amp;ROUND(J33,3)*100&amp;" – "&amp;ROUND(K33,3)*100&amp; "])"</f>
        <v>(50,0%, 95 % ДИ [23,7 – 76,3])</v>
      </c>
    </row>
    <row r="34" spans="1:14" ht="18.75" x14ac:dyDescent="0.25">
      <c r="C34" s="11">
        <f ca="1">C32+C33</f>
        <v>8</v>
      </c>
      <c r="D34" s="11">
        <f ca="1">D32+D33</f>
        <v>20</v>
      </c>
      <c r="E34" s="11">
        <f ca="1">SUM(E32:E33)</f>
        <v>28</v>
      </c>
      <c r="F34" s="13" t="s">
        <v>59</v>
      </c>
      <c r="G34">
        <f ca="1">SUM(F32:G33)</f>
        <v>3.5</v>
      </c>
    </row>
    <row r="35" spans="1:14" x14ac:dyDescent="0.25">
      <c r="A35" t="s">
        <v>60</v>
      </c>
      <c r="C35">
        <f ca="1">C34*E32/E34</f>
        <v>5.1428571428571432</v>
      </c>
      <c r="D35">
        <f ca="1">D34*E32/E34</f>
        <v>12.857142857142858</v>
      </c>
      <c r="F35" s="14" t="s">
        <v>61</v>
      </c>
      <c r="G35">
        <f ca="1">COUNT(C32:C33)-1</f>
        <v>1</v>
      </c>
    </row>
    <row r="36" spans="1:14" x14ac:dyDescent="0.25">
      <c r="A36" t="s">
        <v>62</v>
      </c>
      <c r="C36">
        <f ca="1">C34*E33/E34</f>
        <v>2.8571428571428572</v>
      </c>
      <c r="D36">
        <f ca="1">D34*E33/E34</f>
        <v>7.1428571428571432</v>
      </c>
      <c r="F36" t="s">
        <v>63</v>
      </c>
      <c r="G36">
        <f ca="1">_xlfn.CHISQ.TEST(C32:D33,C35:D36)</f>
        <v>6.1368829139402156E-2</v>
      </c>
    </row>
    <row r="38" spans="1:14" x14ac:dyDescent="0.25">
      <c r="C38" s="2" t="s">
        <v>29</v>
      </c>
      <c r="D38" s="2" t="s">
        <v>29</v>
      </c>
      <c r="G38" t="str">
        <f ca="1">ROUND(G42,2)&amp;"; "&amp;ROUND(G44,3)</f>
        <v>0,4; 0,529</v>
      </c>
    </row>
    <row r="39" spans="1:14" x14ac:dyDescent="0.25">
      <c r="C39">
        <v>0</v>
      </c>
      <c r="D39">
        <v>1</v>
      </c>
      <c r="G39" t="str">
        <f ca="1">"(χ2 = "&amp;ROUND(G42,2)&amp;", d.f. = 1, "&amp;IF(G44&lt;0.001,"p &lt; 0,001","p = "&amp;ROUND(G44,3))&amp;")"</f>
        <v>(χ2 = 0,4, d.f. = 1, p = 0,529)</v>
      </c>
    </row>
    <row r="40" spans="1:14" x14ac:dyDescent="0.25">
      <c r="A40" s="3" t="s">
        <v>238</v>
      </c>
      <c r="B40" s="5">
        <v>0</v>
      </c>
      <c r="C40">
        <f ca="1">SUMPRODUCT((INDIRECT($A$1&amp;"["&amp;$A40&amp;"]")=$B40)*(INDIRECT($A$1&amp;"["&amp;C38&amp;"]")=C39)*(INDIRECT($A$1&amp;"["&amp;C38&amp;"]")&lt;&gt;"")*(INDIRECT($A$1&amp;"["&amp;$A40&amp;"]")&lt;&gt;""))</f>
        <v>3</v>
      </c>
      <c r="D40">
        <f ca="1">SUMPRODUCT((INDIRECT($A$1&amp;"["&amp;$A40&amp;"]")=$B40)*(INDIRECT($A$1&amp;"["&amp;D38&amp;"]")=D39)*(INDIRECT($A$1&amp;"["&amp;D38&amp;"]")&lt;&gt;"")*(INDIRECT($A$1&amp;"["&amp;$A40&amp;"]")&lt;&gt;""))</f>
        <v>15</v>
      </c>
      <c r="E40" s="11">
        <f ca="1">D40+C40</f>
        <v>18</v>
      </c>
      <c r="F40">
        <f ca="1">(C40-C43)^2/C43</f>
        <v>0.16447368421052624</v>
      </c>
      <c r="G40">
        <f ca="1">(D40-D43)^2/D43</f>
        <v>4.3859649122806939E-2</v>
      </c>
      <c r="I40" s="12">
        <f ca="1">ROUND(C40/E40,4)</f>
        <v>0.16669999999999999</v>
      </c>
      <c r="J40" s="9">
        <f ca="1">(I40+(M40^2)/(2*E40)-M40*((I40*(1-I40)/E40)+((M40^2)/(4*(E40^2))))^(1/2))/(1+(M40^2)/E40)</f>
        <v>5.8383591552027297E-2</v>
      </c>
      <c r="K40" s="9">
        <f ca="1">(I40+(M40^2)/(2*E40)+M40*((I40*(1-I40)/E40)+((M40^2)/(4*(E40^2))))^(1/2))/(1+(M40^2)/E40)</f>
        <v>0.39225749893083467</v>
      </c>
      <c r="L40" s="7">
        <v>0.95</v>
      </c>
      <c r="M40">
        <f>_xlfn.NORM.S.INV((1+L40)/2)</f>
        <v>1.9599639845400536</v>
      </c>
      <c r="N40" t="str">
        <f ca="1">"("&amp;TEXT(ROUND(I40,3),"0,0%") &amp;", 95 % ДИ ["&amp;ROUND(J40,3)*100&amp;" – "&amp;ROUND(K40,3)*100&amp; "])"</f>
        <v>(16,7%, 95 % ДИ [5,8 – 39,2])</v>
      </c>
    </row>
    <row r="41" spans="1:14" x14ac:dyDescent="0.25">
      <c r="A41" s="3" t="s">
        <v>238</v>
      </c>
      <c r="B41" s="4">
        <v>1</v>
      </c>
      <c r="C41">
        <f ca="1">SUMPRODUCT((INDIRECT($A$1&amp;"["&amp;$A41&amp;"]")=$B41)*(INDIRECT($A$1&amp;"["&amp;C38&amp;"]")=C39)*(INDIRECT($A$1&amp;"["&amp;C38&amp;"]")&lt;&gt;"")*(INDIRECT($A$1&amp;"["&amp;$A40&amp;"]")&lt;&gt;""))</f>
        <v>5</v>
      </c>
      <c r="D41">
        <f ca="1">SUMPRODUCT((INDIRECT($A$1&amp;"["&amp;$A41&amp;"]")=$B41)*(INDIRECT($A$1&amp;"["&amp;D38&amp;"]")=D39)*(INDIRECT($A$1&amp;"["&amp;D38&amp;"]")&lt;&gt;"")*(INDIRECT($A$1&amp;"["&amp;$A40&amp;"]")&lt;&gt;""))</f>
        <v>15</v>
      </c>
      <c r="E41" s="11">
        <f ca="1">D41+C41</f>
        <v>20</v>
      </c>
      <c r="F41">
        <f ca="1">(C41-C44)^2/C44</f>
        <v>0.14802631578947378</v>
      </c>
      <c r="G41">
        <f ca="1">(D41-D44)^2/D44</f>
        <v>3.9473684210526251E-2</v>
      </c>
      <c r="I41" s="12">
        <f ca="1">ROUND(C41/E41,4)</f>
        <v>0.25</v>
      </c>
      <c r="J41" s="9">
        <f ca="1">(I41+(M41^2)/(2*E41)-M41*((I41*(1-I41)/E41)+((M41^2)/(4*(E41^2))))^(1/2))/(1+(M41^2)/E41)</f>
        <v>0.11186170140766569</v>
      </c>
      <c r="K41" s="9">
        <f ca="1">(I41+(M41^2)/(2*E41)+M41*((I41*(1-I41)/E41)+((M41^2)/(4*(E41^2))))^(1/2))/(1+(M41^2)/E41)</f>
        <v>0.46870087761874396</v>
      </c>
      <c r="L41" s="7">
        <v>0.95</v>
      </c>
      <c r="M41">
        <f>_xlfn.NORM.S.INV((1+L41)/2)</f>
        <v>1.9599639845400536</v>
      </c>
      <c r="N41" t="str">
        <f ca="1">"("&amp;TEXT(ROUND(I41,3),"0,0%") &amp;", 95 % ДИ ["&amp;ROUND(J41,3)*100&amp;" – "&amp;ROUND(K41,3)*100&amp; "])"</f>
        <v>(25,0%, 95 % ДИ [11,2 – 46,9])</v>
      </c>
    </row>
    <row r="42" spans="1:14" ht="18.75" x14ac:dyDescent="0.25">
      <c r="C42" s="11">
        <f ca="1">C40+C41</f>
        <v>8</v>
      </c>
      <c r="D42" s="11">
        <f ca="1">D40+D41</f>
        <v>30</v>
      </c>
      <c r="E42" s="11">
        <f ca="1">SUM(E40:E41)</f>
        <v>38</v>
      </c>
      <c r="F42" s="13" t="s">
        <v>59</v>
      </c>
      <c r="G42">
        <f ca="1">SUM(F40:G41)</f>
        <v>0.3958333333333332</v>
      </c>
    </row>
    <row r="43" spans="1:14" x14ac:dyDescent="0.25">
      <c r="A43" t="s">
        <v>60</v>
      </c>
      <c r="C43">
        <f ca="1">C42*E40/E42</f>
        <v>3.7894736842105261</v>
      </c>
      <c r="D43">
        <f ca="1">D42*E40/E42</f>
        <v>14.210526315789474</v>
      </c>
      <c r="F43" s="14" t="s">
        <v>61</v>
      </c>
      <c r="G43">
        <f ca="1">COUNT(C40:C41)-1</f>
        <v>1</v>
      </c>
    </row>
    <row r="44" spans="1:14" x14ac:dyDescent="0.25">
      <c r="A44" t="s">
        <v>62</v>
      </c>
      <c r="C44">
        <f ca="1">C42*E41/E42</f>
        <v>4.2105263157894735</v>
      </c>
      <c r="D44">
        <f ca="1">D42*E41/E42</f>
        <v>15.789473684210526</v>
      </c>
      <c r="F44" t="s">
        <v>63</v>
      </c>
      <c r="G44">
        <f ca="1">_xlfn.CHISQ.TEST(C40:D41,C43:D44)</f>
        <v>0.52924898066589754</v>
      </c>
    </row>
    <row r="46" spans="1:14" x14ac:dyDescent="0.25">
      <c r="C46" s="2" t="s">
        <v>8</v>
      </c>
      <c r="D46" s="2" t="s">
        <v>8</v>
      </c>
      <c r="G46" t="str">
        <f ca="1">ROUND(G50,2)&amp;"; "&amp;ROUND(G52,3)</f>
        <v>0,09; 0,758</v>
      </c>
    </row>
    <row r="47" spans="1:14" x14ac:dyDescent="0.25">
      <c r="C47" t="s">
        <v>17</v>
      </c>
      <c r="D47" t="s">
        <v>20</v>
      </c>
      <c r="G47" t="str">
        <f ca="1">"(χ2 = "&amp;ROUND(G50,2)&amp;", d.f. = 1, "&amp;IF(G52&lt;0.001,"p &lt; 0,001","p = "&amp;ROUND(G52,3))&amp;")"</f>
        <v>(χ2 = 0,09, d.f. = 1, p = 0,758)</v>
      </c>
    </row>
    <row r="48" spans="1:14" x14ac:dyDescent="0.25">
      <c r="A48" s="3" t="s">
        <v>238</v>
      </c>
      <c r="B48" s="5">
        <v>0</v>
      </c>
      <c r="C48">
        <f ca="1">SUMPRODUCT((INDIRECT($A$1&amp;"["&amp;$A48&amp;"]")=$B48)*(INDIRECT($A$1&amp;"["&amp;C46&amp;"]")=C47)*(INDIRECT($A$1&amp;"["&amp;C46&amp;"]")&lt;&gt;"")*(INDIRECT($A$1&amp;"["&amp;$A48&amp;"]")&lt;&gt;""))</f>
        <v>9</v>
      </c>
      <c r="D48">
        <f ca="1">SUMPRODUCT((INDIRECT($A$1&amp;"["&amp;$A48&amp;"]")=$B48)*(INDIRECT($A$1&amp;"["&amp;D46&amp;"]")=D47)*(INDIRECT($A$1&amp;"["&amp;D46&amp;"]")&lt;&gt;"")*(INDIRECT($A$1&amp;"["&amp;$A48&amp;"]")&lt;&gt;""))</f>
        <v>9</v>
      </c>
      <c r="E48" s="11">
        <f ca="1">D48+C48</f>
        <v>18</v>
      </c>
      <c r="F48">
        <f ca="1">(C48-C51)^2/C51</f>
        <v>2.3684210526315717E-2</v>
      </c>
      <c r="G48">
        <f ca="1">(D48-D51)^2/D51</f>
        <v>2.6315789473684126E-2</v>
      </c>
      <c r="I48" s="12">
        <f ca="1">ROUND(C48/E48,4)</f>
        <v>0.5</v>
      </c>
      <c r="J48" s="9">
        <f ca="1">(I48+(M48^2)/(2*E48)-M48*((I48*(1-I48)/E48)+((M48^2)/(4*(E48^2))))^(1/2))/(1+(M48^2)/E48)</f>
        <v>0.29031021505169979</v>
      </c>
      <c r="K48" s="9">
        <f ca="1">(I48+(M48^2)/(2*E48)+M48*((I48*(1-I48)/E48)+((M48^2)/(4*(E48^2))))^(1/2))/(1+(M48^2)/E48)</f>
        <v>0.70968978494830015</v>
      </c>
      <c r="L48" s="7">
        <v>0.95</v>
      </c>
      <c r="M48">
        <f>_xlfn.NORM.S.INV((1+L48)/2)</f>
        <v>1.9599639845400536</v>
      </c>
      <c r="N48" t="str">
        <f ca="1">"("&amp;TEXT(ROUND(I48,3),"0,0%") &amp;", 95 % ДИ ["&amp;ROUND(J48,3)*100&amp;" – "&amp;ROUND(K48,3)*100&amp; "])"</f>
        <v>(50,0%, 95 % ДИ [29 – 71])</v>
      </c>
    </row>
    <row r="49" spans="1:14" x14ac:dyDescent="0.25">
      <c r="A49" s="3" t="s">
        <v>238</v>
      </c>
      <c r="B49" s="4">
        <v>1</v>
      </c>
      <c r="C49">
        <f ca="1">SUMPRODUCT((INDIRECT($A$1&amp;"["&amp;$A49&amp;"]")=$B49)*(INDIRECT($A$1&amp;"["&amp;C46&amp;"]")=C47)*(INDIRECT($A$1&amp;"["&amp;C46&amp;"]")&lt;&gt;"")*(INDIRECT($A$1&amp;"["&amp;$A48&amp;"]")&lt;&gt;""))</f>
        <v>11</v>
      </c>
      <c r="D49">
        <f ca="1">SUMPRODUCT((INDIRECT($A$1&amp;"["&amp;$A49&amp;"]")=$B49)*(INDIRECT($A$1&amp;"["&amp;D46&amp;"]")=D47)*(INDIRECT($A$1&amp;"["&amp;D46&amp;"]")&lt;&gt;"")*(INDIRECT($A$1&amp;"["&amp;$A48&amp;"]")&lt;&gt;""))</f>
        <v>9</v>
      </c>
      <c r="E49" s="11">
        <f ca="1">D49+C49</f>
        <v>20</v>
      </c>
      <c r="F49">
        <f ca="1">(C49-C52)^2/C52</f>
        <v>2.1315789473684142E-2</v>
      </c>
      <c r="G49">
        <f ca="1">(D49-D52)^2/D52</f>
        <v>2.3684210526315717E-2</v>
      </c>
      <c r="I49" s="12">
        <f ca="1">ROUND(C49/E49,4)</f>
        <v>0.55000000000000004</v>
      </c>
      <c r="J49" s="9">
        <f ca="1">(I49+(M49^2)/(2*E49)-M49*((I49*(1-I49)/E49)+((M49^2)/(4*(E49^2))))^(1/2))/(1+(M49^2)/E49)</f>
        <v>0.34208534245034239</v>
      </c>
      <c r="K49" s="9">
        <f ca="1">(I49+(M49^2)/(2*E49)+M49*((I49*(1-I49)/E49)+((M49^2)/(4*(E49^2))))^(1/2))/(1+(M49^2)/E49)</f>
        <v>0.74180214174437575</v>
      </c>
      <c r="L49" s="7">
        <v>0.95</v>
      </c>
      <c r="M49">
        <f>_xlfn.NORM.S.INV((1+L49)/2)</f>
        <v>1.9599639845400536</v>
      </c>
      <c r="N49" t="str">
        <f ca="1">"("&amp;TEXT(ROUND(I49,3),"0,0%") &amp;", 95 % ДИ ["&amp;ROUND(J49,3)*100&amp;" – "&amp;ROUND(K49,3)*100&amp; "])"</f>
        <v>(55,0%, 95 % ДИ [34,2 – 74,2])</v>
      </c>
    </row>
    <row r="50" spans="1:14" ht="18.75" x14ac:dyDescent="0.25">
      <c r="C50" s="11">
        <f ca="1">C48+C49</f>
        <v>20</v>
      </c>
      <c r="D50" s="11">
        <f ca="1">D48+D49</f>
        <v>18</v>
      </c>
      <c r="E50" s="11">
        <f ca="1">SUM(E48:E49)</f>
        <v>38</v>
      </c>
      <c r="F50" s="13" t="s">
        <v>59</v>
      </c>
      <c r="G50">
        <f ca="1">SUM(F48:G49)</f>
        <v>9.4999999999999696E-2</v>
      </c>
    </row>
    <row r="51" spans="1:14" x14ac:dyDescent="0.25">
      <c r="A51" t="s">
        <v>60</v>
      </c>
      <c r="C51">
        <f ca="1">C50*E48/E50</f>
        <v>9.473684210526315</v>
      </c>
      <c r="D51">
        <f ca="1">D50*E48/E50</f>
        <v>8.526315789473685</v>
      </c>
      <c r="F51" s="14" t="s">
        <v>61</v>
      </c>
      <c r="G51">
        <f ca="1">COUNT(C48:C49)-1</f>
        <v>1</v>
      </c>
    </row>
    <row r="52" spans="1:14" x14ac:dyDescent="0.25">
      <c r="A52" t="s">
        <v>62</v>
      </c>
      <c r="C52">
        <f ca="1">C50*E49/E50</f>
        <v>10.526315789473685</v>
      </c>
      <c r="D52">
        <f ca="1">D50*E49/E50</f>
        <v>9.473684210526315</v>
      </c>
      <c r="F52" t="s">
        <v>63</v>
      </c>
      <c r="G52">
        <f ca="1">_xlfn.CHISQ.TEST(C48:D49,C51:D52)</f>
        <v>0.75791440226957518</v>
      </c>
    </row>
    <row r="55" spans="1:14" x14ac:dyDescent="0.25">
      <c r="C55" s="2" t="s">
        <v>100</v>
      </c>
      <c r="D55" s="2" t="s">
        <v>100</v>
      </c>
      <c r="G55" t="str">
        <f ca="1">ROUND(G59,2)&amp;"; "&amp;ROUND(G61,3)</f>
        <v>0; 0,973</v>
      </c>
    </row>
    <row r="56" spans="1:14" x14ac:dyDescent="0.25">
      <c r="C56" t="s">
        <v>21</v>
      </c>
      <c r="D56" t="s">
        <v>18</v>
      </c>
      <c r="G56" t="str">
        <f ca="1">"(χ2 = "&amp;ROUND(G59,2)&amp;", d.f. = 1, "&amp;IF(G61&lt;0.001,"p &lt; 0,001","p = "&amp;ROUND(G61,3))&amp;")"</f>
        <v>(χ2 = 0, d.f. = 1, p = 0,973)</v>
      </c>
    </row>
    <row r="57" spans="1:14" x14ac:dyDescent="0.25">
      <c r="A57" s="3" t="s">
        <v>238</v>
      </c>
      <c r="B57" s="5">
        <v>0</v>
      </c>
      <c r="C57">
        <f ca="1">SUMPRODUCT((INDIRECT($A$1&amp;"["&amp;$A57&amp;"]")=$B57)*(INDIRECT($A$1&amp;"["&amp;C55&amp;"]")=C56)*(INDIRECT($A$1&amp;"["&amp;C55&amp;"]")&lt;&gt;"")*(INDIRECT($A$1&amp;"["&amp;$A57&amp;"]")&lt;&gt;""))</f>
        <v>10</v>
      </c>
      <c r="D57">
        <f ca="1">SUMPRODUCT((INDIRECT($A$1&amp;"["&amp;$A57&amp;"]")=$B57)*(INDIRECT($A$1&amp;"["&amp;D55&amp;"]")=D56)*(INDIRECT($A$1&amp;"["&amp;D55&amp;"]")&lt;&gt;"")*(INDIRECT($A$1&amp;"["&amp;$A57&amp;"]")&lt;&gt;""))</f>
        <v>8</v>
      </c>
      <c r="E57" s="11">
        <f ca="1">D57+C57</f>
        <v>18</v>
      </c>
      <c r="F57">
        <f ca="1">(C57-C60)^2/C60</f>
        <v>2.78473962684486E-4</v>
      </c>
      <c r="G57">
        <f ca="1">(D57-D60)^2/D60</f>
        <v>3.4399724802201218E-4</v>
      </c>
      <c r="I57" s="12">
        <f ca="1">ROUND(C57/E57,4)</f>
        <v>0.55559999999999998</v>
      </c>
      <c r="J57" s="9">
        <f ca="1">(I57+(M57^2)/(2*E57)-M57*((I57*(1-I57)/E57)+((M57^2)/(4*(E57^2))))^(1/2))/(1+(M57^2)/E57)</f>
        <v>0.33720250021570813</v>
      </c>
      <c r="K57" s="9">
        <f ca="1">(I57+(M57^2)/(2*E57)+M57*((I57*(1-I57)/E57)+((M57^2)/(4*(E57^2))))^(1/2))/(1+(M57^2)/E57)</f>
        <v>0.75443973011478327</v>
      </c>
      <c r="L57" s="7">
        <v>0.95</v>
      </c>
      <c r="M57">
        <f>_xlfn.NORM.S.INV((1+L57)/2)</f>
        <v>1.9599639845400536</v>
      </c>
      <c r="N57" t="str">
        <f ca="1">"("&amp;TEXT(ROUND(I57,3),"0,0%") &amp;", 95 % ДИ ["&amp;ROUND(J57,3)*100&amp;" – "&amp;ROUND(K57,3)*100&amp; "])"</f>
        <v>(55,6%, 95 % ДИ [33,7 – 75,4])</v>
      </c>
    </row>
    <row r="58" spans="1:14" x14ac:dyDescent="0.25">
      <c r="A58" s="3" t="s">
        <v>238</v>
      </c>
      <c r="B58" s="4">
        <v>1</v>
      </c>
      <c r="C58">
        <f ca="1">SUMPRODUCT((INDIRECT($A$1&amp;"["&amp;$A58&amp;"]")=$B58)*(INDIRECT($A$1&amp;"["&amp;C55&amp;"]")=C56)*(INDIRECT($A$1&amp;"["&amp;C55&amp;"]")&lt;&gt;"")*(INDIRECT($A$1&amp;"["&amp;$A57&amp;"]")&lt;&gt;""))</f>
        <v>11</v>
      </c>
      <c r="D58">
        <f ca="1">SUMPRODUCT((INDIRECT($A$1&amp;"["&amp;$A58&amp;"]")=$B58)*(INDIRECT($A$1&amp;"["&amp;D55&amp;"]")=D56)*(INDIRECT($A$1&amp;"["&amp;D55&amp;"]")&lt;&gt;"")*(INDIRECT($A$1&amp;"["&amp;$A57&amp;"]")&lt;&gt;""))</f>
        <v>9</v>
      </c>
      <c r="E58" s="11">
        <f ca="1">D58+C58</f>
        <v>20</v>
      </c>
      <c r="F58">
        <f ca="1">(C58-C61)^2/C61</f>
        <v>2.5062656641603744E-4</v>
      </c>
      <c r="G58">
        <f ca="1">(D58-D61)^2/D61</f>
        <v>3.0959752321981095E-4</v>
      </c>
      <c r="I58" s="12">
        <f ca="1">ROUND(C58/E58,4)</f>
        <v>0.55000000000000004</v>
      </c>
      <c r="J58" s="9">
        <f ca="1">(I58+(M58^2)/(2*E58)-M58*((I58*(1-I58)/E58)+((M58^2)/(4*(E58^2))))^(1/2))/(1+(M58^2)/E58)</f>
        <v>0.34208534245034239</v>
      </c>
      <c r="K58" s="9">
        <f ca="1">(I58+(M58^2)/(2*E58)+M58*((I58*(1-I58)/E58)+((M58^2)/(4*(E58^2))))^(1/2))/(1+(M58^2)/E58)</f>
        <v>0.74180214174437575</v>
      </c>
      <c r="L58" s="7">
        <v>0.95</v>
      </c>
      <c r="M58">
        <f>_xlfn.NORM.S.INV((1+L58)/2)</f>
        <v>1.9599639845400536</v>
      </c>
      <c r="N58" t="str">
        <f ca="1">"("&amp;TEXT(ROUND(I58,3),"0,0%") &amp;", 95 % ДИ ["&amp;ROUND(J58,3)*100&amp;" – "&amp;ROUND(K58,3)*100&amp; "])"</f>
        <v>(55,0%, 95 % ДИ [34,2 – 74,2])</v>
      </c>
    </row>
    <row r="59" spans="1:14" ht="18.75" x14ac:dyDescent="0.25">
      <c r="C59" s="11">
        <f ca="1">C57+C58</f>
        <v>21</v>
      </c>
      <c r="D59" s="11">
        <f ca="1">D57+D58</f>
        <v>17</v>
      </c>
      <c r="E59" s="11">
        <f ca="1">SUM(E57:E58)</f>
        <v>38</v>
      </c>
      <c r="F59" s="13" t="s">
        <v>59</v>
      </c>
      <c r="G59">
        <f ca="1">SUM(F57:G58)</f>
        <v>1.1826953003423466E-3</v>
      </c>
    </row>
    <row r="60" spans="1:14" x14ac:dyDescent="0.25">
      <c r="A60" t="s">
        <v>60</v>
      </c>
      <c r="C60">
        <f ca="1">C59*E57/E59</f>
        <v>9.9473684210526319</v>
      </c>
      <c r="D60">
        <f ca="1">D59*E57/E59</f>
        <v>8.0526315789473681</v>
      </c>
      <c r="F60" s="14" t="s">
        <v>61</v>
      </c>
      <c r="G60">
        <f ca="1">COUNT(C57:C58)-1</f>
        <v>1</v>
      </c>
    </row>
    <row r="61" spans="1:14" x14ac:dyDescent="0.25">
      <c r="A61" t="s">
        <v>62</v>
      </c>
      <c r="C61">
        <f ca="1">C59*E58/E59</f>
        <v>11.052631578947368</v>
      </c>
      <c r="D61">
        <f ca="1">D59*E58/E59</f>
        <v>8.9473684210526319</v>
      </c>
      <c r="F61" t="s">
        <v>63</v>
      </c>
      <c r="G61">
        <f ca="1">_xlfn.CHISQ.TEST(C57:D58,C60:D61)</f>
        <v>0.97256588862466586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95EA63-0072-4C6D-BBA6-7EB22AA568D4}">
  <dimension ref="A1:D39"/>
  <sheetViews>
    <sheetView workbookViewId="0"/>
  </sheetViews>
  <sheetFormatPr defaultRowHeight="15" x14ac:dyDescent="0.25"/>
  <cols>
    <col min="1" max="1" width="6.28515625" bestFit="1" customWidth="1"/>
    <col min="2" max="2" width="10" bestFit="1" customWidth="1"/>
    <col min="3" max="3" width="9.85546875" bestFit="1" customWidth="1"/>
    <col min="4" max="4" width="10.140625" bestFit="1" customWidth="1"/>
    <col min="5" max="5" width="7.5703125" bestFit="1" customWidth="1"/>
    <col min="6" max="6" width="8" bestFit="1" customWidth="1"/>
    <col min="7" max="7" width="6.42578125" bestFit="1" customWidth="1"/>
    <col min="8" max="8" width="12" bestFit="1" customWidth="1"/>
    <col min="9" max="9" width="10.5703125" bestFit="1" customWidth="1"/>
    <col min="10" max="10" width="16.140625" bestFit="1" customWidth="1"/>
    <col min="11" max="11" width="7.42578125" bestFit="1" customWidth="1"/>
  </cols>
  <sheetData>
    <row r="1" spans="1:4" x14ac:dyDescent="0.25">
      <c r="A1" t="s">
        <v>5</v>
      </c>
      <c r="B1" t="s">
        <v>51</v>
      </c>
      <c r="C1" t="s">
        <v>50</v>
      </c>
      <c r="D1" t="s">
        <v>298</v>
      </c>
    </row>
    <row r="2" spans="1:4" x14ac:dyDescent="0.25">
      <c r="A2">
        <v>8</v>
      </c>
      <c r="B2">
        <v>3</v>
      </c>
      <c r="C2">
        <v>3</v>
      </c>
      <c r="D2">
        <v>0</v>
      </c>
    </row>
    <row r="3" spans="1:4" x14ac:dyDescent="0.25">
      <c r="A3">
        <v>10</v>
      </c>
      <c r="C3">
        <v>3</v>
      </c>
    </row>
    <row r="4" spans="1:4" x14ac:dyDescent="0.25">
      <c r="A4">
        <v>11</v>
      </c>
      <c r="B4">
        <v>13</v>
      </c>
      <c r="C4">
        <v>13</v>
      </c>
      <c r="D4">
        <v>0</v>
      </c>
    </row>
    <row r="5" spans="1:4" x14ac:dyDescent="0.25">
      <c r="A5">
        <v>12</v>
      </c>
      <c r="B5">
        <v>8</v>
      </c>
      <c r="C5">
        <v>13</v>
      </c>
      <c r="D5">
        <v>1</v>
      </c>
    </row>
    <row r="6" spans="1:4" x14ac:dyDescent="0.25">
      <c r="A6">
        <v>17</v>
      </c>
      <c r="B6">
        <v>2</v>
      </c>
    </row>
    <row r="7" spans="1:4" x14ac:dyDescent="0.25">
      <c r="A7">
        <v>25</v>
      </c>
      <c r="B7">
        <v>13</v>
      </c>
    </row>
    <row r="8" spans="1:4" x14ac:dyDescent="0.25">
      <c r="A8">
        <v>26</v>
      </c>
      <c r="B8">
        <v>3</v>
      </c>
      <c r="C8">
        <v>3</v>
      </c>
      <c r="D8">
        <v>0</v>
      </c>
    </row>
    <row r="9" spans="1:4" x14ac:dyDescent="0.25">
      <c r="A9">
        <v>27</v>
      </c>
      <c r="B9">
        <v>8</v>
      </c>
      <c r="C9">
        <v>8</v>
      </c>
      <c r="D9">
        <v>0</v>
      </c>
    </row>
    <row r="10" spans="1:4" x14ac:dyDescent="0.25">
      <c r="A10">
        <v>38</v>
      </c>
      <c r="B10">
        <v>3</v>
      </c>
    </row>
    <row r="11" spans="1:4" x14ac:dyDescent="0.25">
      <c r="A11">
        <v>39</v>
      </c>
      <c r="B11">
        <v>3</v>
      </c>
      <c r="C11">
        <v>8</v>
      </c>
      <c r="D11">
        <v>1</v>
      </c>
    </row>
    <row r="12" spans="1:4" x14ac:dyDescent="0.25">
      <c r="A12">
        <v>40</v>
      </c>
      <c r="B12">
        <v>22</v>
      </c>
      <c r="C12">
        <v>22</v>
      </c>
      <c r="D12">
        <v>0</v>
      </c>
    </row>
    <row r="13" spans="1:4" x14ac:dyDescent="0.25">
      <c r="A13">
        <v>42</v>
      </c>
      <c r="B13">
        <v>3</v>
      </c>
    </row>
    <row r="14" spans="1:4" x14ac:dyDescent="0.25">
      <c r="A14">
        <v>46</v>
      </c>
      <c r="B14">
        <v>3</v>
      </c>
      <c r="C14">
        <v>3</v>
      </c>
      <c r="D14">
        <v>0</v>
      </c>
    </row>
    <row r="15" spans="1:4" x14ac:dyDescent="0.25">
      <c r="A15">
        <v>48</v>
      </c>
      <c r="B15">
        <v>5</v>
      </c>
    </row>
    <row r="16" spans="1:4" x14ac:dyDescent="0.25">
      <c r="A16">
        <v>50</v>
      </c>
      <c r="B16">
        <v>2</v>
      </c>
    </row>
    <row r="17" spans="1:4" x14ac:dyDescent="0.25">
      <c r="A17">
        <v>52</v>
      </c>
      <c r="C17">
        <v>13</v>
      </c>
    </row>
    <row r="18" spans="1:4" x14ac:dyDescent="0.25">
      <c r="A18">
        <v>53</v>
      </c>
      <c r="B18">
        <v>13</v>
      </c>
      <c r="C18">
        <v>13</v>
      </c>
      <c r="D18">
        <v>0</v>
      </c>
    </row>
    <row r="19" spans="1:4" x14ac:dyDescent="0.25">
      <c r="A19">
        <v>56</v>
      </c>
      <c r="B19">
        <v>3</v>
      </c>
    </row>
    <row r="20" spans="1:4" x14ac:dyDescent="0.25">
      <c r="A20">
        <v>59</v>
      </c>
      <c r="B20">
        <v>4</v>
      </c>
      <c r="C20">
        <v>4</v>
      </c>
      <c r="D20">
        <v>0</v>
      </c>
    </row>
    <row r="21" spans="1:4" x14ac:dyDescent="0.25">
      <c r="A21">
        <v>61</v>
      </c>
      <c r="C21">
        <v>11</v>
      </c>
    </row>
    <row r="22" spans="1:4" x14ac:dyDescent="0.25">
      <c r="A22">
        <v>64</v>
      </c>
      <c r="B22">
        <v>13</v>
      </c>
      <c r="C22">
        <v>13</v>
      </c>
      <c r="D22">
        <v>0</v>
      </c>
    </row>
    <row r="23" spans="1:4" x14ac:dyDescent="0.25">
      <c r="A23">
        <v>71</v>
      </c>
      <c r="C23">
        <v>11</v>
      </c>
    </row>
    <row r="24" spans="1:4" x14ac:dyDescent="0.25">
      <c r="A24">
        <v>73</v>
      </c>
      <c r="B24">
        <v>26</v>
      </c>
    </row>
    <row r="25" spans="1:4" x14ac:dyDescent="0.25">
      <c r="A25">
        <v>79</v>
      </c>
      <c r="B25">
        <v>8</v>
      </c>
      <c r="C25">
        <v>4</v>
      </c>
      <c r="D25">
        <v>1</v>
      </c>
    </row>
    <row r="26" spans="1:4" x14ac:dyDescent="0.25">
      <c r="A26">
        <v>80</v>
      </c>
      <c r="B26">
        <v>13</v>
      </c>
      <c r="C26">
        <v>13</v>
      </c>
      <c r="D26">
        <v>0</v>
      </c>
    </row>
    <row r="27" spans="1:4" x14ac:dyDescent="0.25">
      <c r="A27">
        <v>81</v>
      </c>
      <c r="B27">
        <v>1</v>
      </c>
      <c r="C27">
        <v>13</v>
      </c>
      <c r="D27">
        <v>1</v>
      </c>
    </row>
    <row r="28" spans="1:4" x14ac:dyDescent="0.25">
      <c r="A28">
        <v>82</v>
      </c>
      <c r="B28">
        <v>8</v>
      </c>
    </row>
    <row r="29" spans="1:4" x14ac:dyDescent="0.25">
      <c r="A29">
        <v>84</v>
      </c>
      <c r="B29">
        <v>8</v>
      </c>
    </row>
    <row r="30" spans="1:4" x14ac:dyDescent="0.25">
      <c r="A30">
        <v>86</v>
      </c>
      <c r="B30">
        <v>13</v>
      </c>
    </row>
    <row r="31" spans="1:4" x14ac:dyDescent="0.25">
      <c r="A31">
        <v>87</v>
      </c>
      <c r="B31">
        <v>13</v>
      </c>
    </row>
    <row r="32" spans="1:4" x14ac:dyDescent="0.25">
      <c r="A32">
        <v>88</v>
      </c>
      <c r="B32">
        <v>13</v>
      </c>
    </row>
    <row r="33" spans="1:4" x14ac:dyDescent="0.25">
      <c r="A33">
        <v>89</v>
      </c>
      <c r="C33">
        <v>16</v>
      </c>
    </row>
    <row r="34" spans="1:4" x14ac:dyDescent="0.25">
      <c r="A34">
        <v>90</v>
      </c>
      <c r="B34">
        <v>5</v>
      </c>
      <c r="C34">
        <v>5</v>
      </c>
      <c r="D34">
        <v>0</v>
      </c>
    </row>
    <row r="35" spans="1:4" x14ac:dyDescent="0.25">
      <c r="A35">
        <v>92</v>
      </c>
      <c r="B35">
        <v>26</v>
      </c>
      <c r="C35">
        <v>4</v>
      </c>
      <c r="D35">
        <v>1</v>
      </c>
    </row>
    <row r="36" spans="1:4" x14ac:dyDescent="0.25">
      <c r="A36">
        <v>94</v>
      </c>
      <c r="B36">
        <v>2</v>
      </c>
      <c r="C36">
        <v>2</v>
      </c>
      <c r="D36">
        <v>0</v>
      </c>
    </row>
    <row r="37" spans="1:4" x14ac:dyDescent="0.25">
      <c r="A37">
        <v>95</v>
      </c>
      <c r="B37">
        <v>8</v>
      </c>
      <c r="C37">
        <v>8</v>
      </c>
      <c r="D37">
        <v>0</v>
      </c>
    </row>
    <row r="38" spans="1:4" x14ac:dyDescent="0.25">
      <c r="A38">
        <v>96</v>
      </c>
      <c r="B38">
        <v>5</v>
      </c>
      <c r="C38">
        <v>5</v>
      </c>
      <c r="D38">
        <v>0</v>
      </c>
    </row>
    <row r="39" spans="1:4" x14ac:dyDescent="0.25">
      <c r="A39">
        <v>97</v>
      </c>
      <c r="C39">
        <v>13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083DF-A05B-4CE7-A557-16E84F7056B6}">
  <sheetPr codeName="Лист2"/>
  <dimension ref="A1:D63"/>
  <sheetViews>
    <sheetView workbookViewId="0"/>
  </sheetViews>
  <sheetFormatPr defaultRowHeight="15" x14ac:dyDescent="0.25"/>
  <cols>
    <col min="1" max="1" width="6.28515625" bestFit="1" customWidth="1"/>
    <col min="2" max="2" width="7.5703125" bestFit="1" customWidth="1"/>
    <col min="3" max="3" width="8" bestFit="1" customWidth="1"/>
    <col min="4" max="4" width="12" bestFit="1" customWidth="1"/>
  </cols>
  <sheetData>
    <row r="1" spans="1:4" x14ac:dyDescent="0.25">
      <c r="A1" t="s">
        <v>5</v>
      </c>
      <c r="B1" t="s">
        <v>48</v>
      </c>
      <c r="C1" t="s">
        <v>80</v>
      </c>
      <c r="D1" t="s">
        <v>129</v>
      </c>
    </row>
    <row r="2" spans="1:4" x14ac:dyDescent="0.25">
      <c r="A2">
        <v>8</v>
      </c>
      <c r="B2" t="s">
        <v>51</v>
      </c>
      <c r="C2">
        <v>349000</v>
      </c>
      <c r="D2">
        <v>5.5428254269591797</v>
      </c>
    </row>
    <row r="3" spans="1:4" x14ac:dyDescent="0.25">
      <c r="A3">
        <v>8</v>
      </c>
      <c r="B3" t="s">
        <v>50</v>
      </c>
      <c r="C3">
        <v>45700</v>
      </c>
      <c r="D3">
        <v>4.6599162000698504</v>
      </c>
    </row>
    <row r="4" spans="1:4" x14ac:dyDescent="0.25">
      <c r="A4">
        <v>10</v>
      </c>
      <c r="B4" t="s">
        <v>51</v>
      </c>
      <c r="C4">
        <v>735000</v>
      </c>
      <c r="D4">
        <v>5.8662873390841952</v>
      </c>
    </row>
    <row r="5" spans="1:4" x14ac:dyDescent="0.25">
      <c r="A5">
        <v>10</v>
      </c>
      <c r="B5" t="s">
        <v>50</v>
      </c>
      <c r="C5">
        <v>2070</v>
      </c>
      <c r="D5">
        <v>3.3159703454569178</v>
      </c>
    </row>
    <row r="6" spans="1:4" x14ac:dyDescent="0.25">
      <c r="A6">
        <v>11</v>
      </c>
      <c r="B6" t="s">
        <v>51</v>
      </c>
      <c r="C6">
        <v>199000</v>
      </c>
      <c r="D6">
        <v>5.2988530764097064</v>
      </c>
    </row>
    <row r="7" spans="1:4" x14ac:dyDescent="0.25">
      <c r="A7">
        <v>11</v>
      </c>
      <c r="B7" t="s">
        <v>50</v>
      </c>
      <c r="C7">
        <v>528</v>
      </c>
      <c r="D7">
        <v>2.7226339225338121</v>
      </c>
    </row>
    <row r="8" spans="1:4" x14ac:dyDescent="0.25">
      <c r="A8">
        <v>12</v>
      </c>
      <c r="B8" t="s">
        <v>51</v>
      </c>
      <c r="C8">
        <v>372000</v>
      </c>
      <c r="D8">
        <v>5.5705429398818973</v>
      </c>
    </row>
    <row r="9" spans="1:4" x14ac:dyDescent="0.25">
      <c r="A9">
        <v>12</v>
      </c>
      <c r="B9" t="s">
        <v>50</v>
      </c>
      <c r="C9">
        <v>85036</v>
      </c>
      <c r="D9">
        <v>4.9296028232604847</v>
      </c>
    </row>
    <row r="10" spans="1:4" x14ac:dyDescent="0.25">
      <c r="A10">
        <v>17</v>
      </c>
      <c r="B10" t="s">
        <v>51</v>
      </c>
      <c r="C10">
        <v>5880000</v>
      </c>
      <c r="D10">
        <v>6.7693773260761381</v>
      </c>
    </row>
    <row r="11" spans="1:4" x14ac:dyDescent="0.25">
      <c r="A11">
        <v>17</v>
      </c>
      <c r="B11" t="s">
        <v>50</v>
      </c>
      <c r="C11">
        <v>91894</v>
      </c>
      <c r="D11">
        <v>4.9632871560873273</v>
      </c>
    </row>
    <row r="12" spans="1:4" x14ac:dyDescent="0.25">
      <c r="A12">
        <v>25</v>
      </c>
      <c r="B12" t="s">
        <v>51</v>
      </c>
      <c r="C12">
        <v>23300</v>
      </c>
      <c r="D12">
        <v>4.3673559210260189</v>
      </c>
    </row>
    <row r="13" spans="1:4" x14ac:dyDescent="0.25">
      <c r="A13">
        <v>25</v>
      </c>
      <c r="B13" t="s">
        <v>50</v>
      </c>
      <c r="C13">
        <v>7879</v>
      </c>
      <c r="D13">
        <v>3.8964711004792774</v>
      </c>
    </row>
    <row r="14" spans="1:4" x14ac:dyDescent="0.25">
      <c r="A14">
        <v>26</v>
      </c>
      <c r="B14" t="s">
        <v>51</v>
      </c>
      <c r="C14">
        <v>32500</v>
      </c>
      <c r="D14">
        <v>4.5118833609788744</v>
      </c>
    </row>
    <row r="15" spans="1:4" x14ac:dyDescent="0.25">
      <c r="A15">
        <v>26</v>
      </c>
      <c r="B15" t="s">
        <v>50</v>
      </c>
      <c r="C15">
        <v>30100</v>
      </c>
      <c r="D15">
        <v>4.4785664955938431</v>
      </c>
    </row>
    <row r="16" spans="1:4" x14ac:dyDescent="0.25">
      <c r="A16">
        <v>27</v>
      </c>
      <c r="B16" t="s">
        <v>51</v>
      </c>
      <c r="C16">
        <v>17700</v>
      </c>
      <c r="D16">
        <v>4.2479732663618064</v>
      </c>
    </row>
    <row r="17" spans="1:4" x14ac:dyDescent="0.25">
      <c r="A17">
        <v>27</v>
      </c>
      <c r="B17" t="s">
        <v>50</v>
      </c>
      <c r="C17">
        <v>28331</v>
      </c>
      <c r="D17">
        <v>4.452261904093934</v>
      </c>
    </row>
    <row r="18" spans="1:4" x14ac:dyDescent="0.25">
      <c r="A18">
        <v>39</v>
      </c>
      <c r="B18" t="s">
        <v>51</v>
      </c>
      <c r="C18">
        <v>893000</v>
      </c>
      <c r="D18">
        <v>5.9508514588885468</v>
      </c>
    </row>
    <row r="19" spans="1:4" x14ac:dyDescent="0.25">
      <c r="A19">
        <v>39</v>
      </c>
      <c r="B19" t="s">
        <v>50</v>
      </c>
      <c r="C19">
        <v>44281</v>
      </c>
      <c r="D19">
        <v>4.6462174200110669</v>
      </c>
    </row>
    <row r="20" spans="1:4" x14ac:dyDescent="0.25">
      <c r="A20">
        <v>40</v>
      </c>
      <c r="B20" t="s">
        <v>51</v>
      </c>
      <c r="C20">
        <v>3360000</v>
      </c>
      <c r="D20">
        <v>6.5263392773898437</v>
      </c>
    </row>
    <row r="21" spans="1:4" x14ac:dyDescent="0.25">
      <c r="A21">
        <v>40</v>
      </c>
      <c r="B21" t="s">
        <v>50</v>
      </c>
      <c r="C21">
        <v>292000</v>
      </c>
      <c r="D21">
        <v>5.4653828514484184</v>
      </c>
    </row>
    <row r="22" spans="1:4" x14ac:dyDescent="0.25">
      <c r="A22">
        <v>46</v>
      </c>
      <c r="B22" t="s">
        <v>51</v>
      </c>
      <c r="C22">
        <v>4200</v>
      </c>
      <c r="D22">
        <v>3.6232492903979003</v>
      </c>
    </row>
    <row r="23" spans="1:4" x14ac:dyDescent="0.25">
      <c r="A23">
        <v>46</v>
      </c>
      <c r="B23" t="s">
        <v>50</v>
      </c>
      <c r="C23">
        <v>200</v>
      </c>
      <c r="D23">
        <v>2.3010299956639813</v>
      </c>
    </row>
    <row r="24" spans="1:4" x14ac:dyDescent="0.25">
      <c r="A24">
        <v>48</v>
      </c>
      <c r="B24" t="s">
        <v>51</v>
      </c>
      <c r="C24">
        <v>95100</v>
      </c>
      <c r="D24">
        <v>4.9781805169374138</v>
      </c>
    </row>
    <row r="25" spans="1:4" x14ac:dyDescent="0.25">
      <c r="A25">
        <v>48</v>
      </c>
      <c r="B25" t="s">
        <v>50</v>
      </c>
      <c r="C25">
        <v>80644</v>
      </c>
      <c r="D25">
        <v>4.9065720609521977</v>
      </c>
    </row>
    <row r="26" spans="1:4" x14ac:dyDescent="0.25">
      <c r="A26">
        <v>52</v>
      </c>
      <c r="B26" t="s">
        <v>51</v>
      </c>
      <c r="C26">
        <v>60700</v>
      </c>
      <c r="D26">
        <v>4.7831886910752575</v>
      </c>
    </row>
    <row r="27" spans="1:4" x14ac:dyDescent="0.25">
      <c r="A27">
        <v>52</v>
      </c>
      <c r="B27" t="s">
        <v>50</v>
      </c>
      <c r="C27">
        <v>3719</v>
      </c>
      <c r="D27">
        <v>3.5704261783589728</v>
      </c>
    </row>
    <row r="28" spans="1:4" x14ac:dyDescent="0.25">
      <c r="A28">
        <v>53</v>
      </c>
      <c r="B28" t="s">
        <v>51</v>
      </c>
      <c r="C28">
        <v>847000</v>
      </c>
      <c r="D28">
        <v>5.9278834103307068</v>
      </c>
    </row>
    <row r="29" spans="1:4" x14ac:dyDescent="0.25">
      <c r="A29">
        <v>53</v>
      </c>
      <c r="B29" t="s">
        <v>50</v>
      </c>
      <c r="C29">
        <v>14572</v>
      </c>
      <c r="D29">
        <v>4.1635191625698784</v>
      </c>
    </row>
    <row r="30" spans="1:4" x14ac:dyDescent="0.25">
      <c r="A30">
        <v>56</v>
      </c>
      <c r="B30" t="s">
        <v>51</v>
      </c>
      <c r="C30">
        <v>12400</v>
      </c>
      <c r="D30">
        <v>4.0934216851622347</v>
      </c>
    </row>
    <row r="31" spans="1:4" x14ac:dyDescent="0.25">
      <c r="A31">
        <v>56</v>
      </c>
      <c r="B31" t="s">
        <v>50</v>
      </c>
      <c r="C31">
        <v>469</v>
      </c>
      <c r="D31">
        <v>2.6711728427150834</v>
      </c>
    </row>
    <row r="32" spans="1:4" x14ac:dyDescent="0.25">
      <c r="A32">
        <v>59</v>
      </c>
      <c r="B32" t="s">
        <v>51</v>
      </c>
      <c r="C32">
        <v>622000</v>
      </c>
      <c r="D32">
        <v>5.7937903846908183</v>
      </c>
    </row>
    <row r="33" spans="1:4" x14ac:dyDescent="0.25">
      <c r="A33">
        <v>59</v>
      </c>
      <c r="B33" t="s">
        <v>50</v>
      </c>
      <c r="C33">
        <v>47300</v>
      </c>
      <c r="D33">
        <v>4.6748611407378116</v>
      </c>
    </row>
    <row r="34" spans="1:4" x14ac:dyDescent="0.25">
      <c r="A34">
        <v>61</v>
      </c>
      <c r="B34" t="s">
        <v>51</v>
      </c>
      <c r="C34">
        <v>596309</v>
      </c>
      <c r="D34">
        <v>5.7754713641350071</v>
      </c>
    </row>
    <row r="35" spans="1:4" x14ac:dyDescent="0.25">
      <c r="A35">
        <v>61</v>
      </c>
      <c r="B35" t="s">
        <v>50</v>
      </c>
      <c r="C35">
        <v>4548</v>
      </c>
      <c r="D35">
        <v>3.6578204560156973</v>
      </c>
    </row>
    <row r="36" spans="1:4" x14ac:dyDescent="0.25">
      <c r="A36">
        <v>64</v>
      </c>
      <c r="B36" t="s">
        <v>51</v>
      </c>
      <c r="C36">
        <v>4940</v>
      </c>
      <c r="D36">
        <v>3.6937269489236471</v>
      </c>
    </row>
    <row r="37" spans="1:4" x14ac:dyDescent="0.25">
      <c r="A37">
        <v>64</v>
      </c>
      <c r="B37" t="s">
        <v>50</v>
      </c>
      <c r="C37">
        <v>200</v>
      </c>
      <c r="D37">
        <v>2.3010299956639813</v>
      </c>
    </row>
    <row r="38" spans="1:4" x14ac:dyDescent="0.25">
      <c r="A38">
        <v>71</v>
      </c>
      <c r="B38" t="s">
        <v>51</v>
      </c>
      <c r="C38">
        <v>270000</v>
      </c>
      <c r="D38">
        <v>5.4313637641589869</v>
      </c>
    </row>
    <row r="39" spans="1:4" x14ac:dyDescent="0.25">
      <c r="A39">
        <v>71</v>
      </c>
      <c r="B39" t="s">
        <v>50</v>
      </c>
      <c r="C39">
        <v>7100</v>
      </c>
      <c r="D39">
        <v>3.8512583487190755</v>
      </c>
    </row>
    <row r="40" spans="1:4" x14ac:dyDescent="0.25">
      <c r="A40">
        <v>73</v>
      </c>
      <c r="B40" t="s">
        <v>51</v>
      </c>
      <c r="C40">
        <v>5000</v>
      </c>
      <c r="D40">
        <v>3.6989700043360187</v>
      </c>
    </row>
    <row r="41" spans="1:4" x14ac:dyDescent="0.25">
      <c r="A41">
        <v>73</v>
      </c>
      <c r="B41" t="s">
        <v>50</v>
      </c>
      <c r="C41">
        <v>18000</v>
      </c>
      <c r="D41">
        <v>4.2552725051033065</v>
      </c>
    </row>
    <row r="42" spans="1:4" x14ac:dyDescent="0.25">
      <c r="A42">
        <v>79</v>
      </c>
      <c r="B42" t="s">
        <v>51</v>
      </c>
      <c r="C42">
        <v>68445</v>
      </c>
      <c r="D42">
        <v>4.8353417278283422</v>
      </c>
    </row>
    <row r="43" spans="1:4" x14ac:dyDescent="0.25">
      <c r="A43">
        <v>79</v>
      </c>
      <c r="B43" t="s">
        <v>50</v>
      </c>
      <c r="C43">
        <v>695</v>
      </c>
      <c r="D43">
        <v>2.8419848045901137</v>
      </c>
    </row>
    <row r="44" spans="1:4" x14ac:dyDescent="0.25">
      <c r="A44">
        <v>80</v>
      </c>
      <c r="B44" t="s">
        <v>51</v>
      </c>
      <c r="C44">
        <v>126503</v>
      </c>
      <c r="D44">
        <v>5.10210082486359</v>
      </c>
    </row>
    <row r="45" spans="1:4" x14ac:dyDescent="0.25">
      <c r="A45">
        <v>80</v>
      </c>
      <c r="B45" t="s">
        <v>50</v>
      </c>
      <c r="C45">
        <v>110437</v>
      </c>
      <c r="D45">
        <v>5.0431146006008563</v>
      </c>
    </row>
    <row r="46" spans="1:4" x14ac:dyDescent="0.25">
      <c r="A46">
        <v>81</v>
      </c>
      <c r="B46" t="s">
        <v>51</v>
      </c>
      <c r="C46">
        <v>33863</v>
      </c>
      <c r="D46">
        <v>4.5297254306108163</v>
      </c>
    </row>
    <row r="47" spans="1:4" x14ac:dyDescent="0.25">
      <c r="A47">
        <v>81</v>
      </c>
      <c r="B47" t="s">
        <v>50</v>
      </c>
      <c r="C47">
        <v>591</v>
      </c>
      <c r="D47">
        <v>2.7715874808812555</v>
      </c>
    </row>
    <row r="48" spans="1:4" x14ac:dyDescent="0.25">
      <c r="A48">
        <v>84</v>
      </c>
      <c r="B48" t="s">
        <v>51</v>
      </c>
      <c r="C48">
        <v>20124</v>
      </c>
      <c r="D48">
        <v>4.3037143086537109</v>
      </c>
    </row>
    <row r="49" spans="1:4" x14ac:dyDescent="0.25">
      <c r="A49">
        <v>84</v>
      </c>
      <c r="B49" t="s">
        <v>50</v>
      </c>
      <c r="C49">
        <v>212</v>
      </c>
      <c r="D49">
        <v>2.3263358609287512</v>
      </c>
    </row>
    <row r="50" spans="1:4" x14ac:dyDescent="0.25">
      <c r="A50">
        <v>86</v>
      </c>
      <c r="B50" t="s">
        <v>51</v>
      </c>
      <c r="C50">
        <v>37925</v>
      </c>
      <c r="D50">
        <v>4.5789255894587679</v>
      </c>
    </row>
    <row r="51" spans="1:4" x14ac:dyDescent="0.25">
      <c r="A51">
        <v>86</v>
      </c>
      <c r="B51" t="s">
        <v>50</v>
      </c>
      <c r="C51">
        <v>37376</v>
      </c>
      <c r="D51">
        <v>4.5725928210962863</v>
      </c>
    </row>
    <row r="52" spans="1:4" x14ac:dyDescent="0.25">
      <c r="A52">
        <v>88</v>
      </c>
      <c r="B52" t="s">
        <v>51</v>
      </c>
      <c r="C52">
        <v>57993</v>
      </c>
      <c r="D52">
        <v>4.7633755755484533</v>
      </c>
    </row>
    <row r="53" spans="1:4" x14ac:dyDescent="0.25">
      <c r="A53">
        <v>88</v>
      </c>
      <c r="B53" t="s">
        <v>50</v>
      </c>
      <c r="C53">
        <v>27462</v>
      </c>
      <c r="D53">
        <v>4.4387321628109433</v>
      </c>
    </row>
    <row r="54" spans="1:4" x14ac:dyDescent="0.25">
      <c r="A54">
        <v>90</v>
      </c>
      <c r="B54" t="s">
        <v>51</v>
      </c>
      <c r="C54">
        <v>15063</v>
      </c>
      <c r="D54">
        <v>4.1779114760940095</v>
      </c>
    </row>
    <row r="55" spans="1:4" x14ac:dyDescent="0.25">
      <c r="A55">
        <v>90</v>
      </c>
      <c r="B55" t="s">
        <v>50</v>
      </c>
      <c r="C55">
        <v>150525</v>
      </c>
      <c r="D55">
        <v>5.177608635879186</v>
      </c>
    </row>
    <row r="56" spans="1:4" x14ac:dyDescent="0.25">
      <c r="A56">
        <v>92</v>
      </c>
      <c r="B56" t="s">
        <v>51</v>
      </c>
      <c r="C56">
        <v>19269</v>
      </c>
      <c r="D56">
        <v>4.2848591767337636</v>
      </c>
    </row>
    <row r="57" spans="1:4" x14ac:dyDescent="0.25">
      <c r="A57">
        <v>92</v>
      </c>
      <c r="B57" t="s">
        <v>50</v>
      </c>
      <c r="C57">
        <v>1575</v>
      </c>
      <c r="D57">
        <v>3.1972805581256192</v>
      </c>
    </row>
    <row r="58" spans="1:4" x14ac:dyDescent="0.25">
      <c r="A58">
        <v>94</v>
      </c>
      <c r="B58" t="s">
        <v>51</v>
      </c>
      <c r="C58">
        <v>27395</v>
      </c>
      <c r="D58">
        <v>4.4376713047707286</v>
      </c>
    </row>
    <row r="59" spans="1:4" x14ac:dyDescent="0.25">
      <c r="A59">
        <v>94</v>
      </c>
      <c r="B59" t="s">
        <v>50</v>
      </c>
      <c r="C59">
        <v>872732</v>
      </c>
      <c r="D59">
        <v>5.9408809003034158</v>
      </c>
    </row>
    <row r="60" spans="1:4" x14ac:dyDescent="0.25">
      <c r="A60">
        <v>95</v>
      </c>
      <c r="B60" t="s">
        <v>51</v>
      </c>
      <c r="C60">
        <v>1909</v>
      </c>
      <c r="D60">
        <v>3.2808059283936668</v>
      </c>
    </row>
    <row r="61" spans="1:4" x14ac:dyDescent="0.25">
      <c r="A61">
        <v>95</v>
      </c>
      <c r="B61" t="s">
        <v>50</v>
      </c>
      <c r="C61">
        <v>5379</v>
      </c>
      <c r="D61">
        <v>3.7307015442818452</v>
      </c>
    </row>
    <row r="62" spans="1:4" x14ac:dyDescent="0.25">
      <c r="A62">
        <v>96</v>
      </c>
      <c r="B62" t="s">
        <v>51</v>
      </c>
      <c r="C62">
        <v>99445</v>
      </c>
      <c r="D62">
        <v>4.997582952095966</v>
      </c>
    </row>
    <row r="63" spans="1:4" x14ac:dyDescent="0.25">
      <c r="A63">
        <v>96</v>
      </c>
      <c r="B63" t="s">
        <v>50</v>
      </c>
      <c r="C63">
        <v>449354</v>
      </c>
      <c r="D63">
        <v>5.6525886119890396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8DE34-3B93-48D0-849C-896F2E47E2A5}">
  <sheetPr codeName="Лист3"/>
  <dimension ref="A1:E77"/>
  <sheetViews>
    <sheetView workbookViewId="0">
      <selection sqref="A1:E77"/>
    </sheetView>
  </sheetViews>
  <sheetFormatPr defaultRowHeight="15" x14ac:dyDescent="0.25"/>
  <cols>
    <col min="1" max="1" width="6.28515625" bestFit="1" customWidth="1"/>
    <col min="2" max="2" width="7.5703125" bestFit="1" customWidth="1"/>
    <col min="3" max="3" width="8" bestFit="1" customWidth="1"/>
    <col min="4" max="4" width="6.42578125" bestFit="1" customWidth="1"/>
    <col min="5" max="5" width="12" customWidth="1"/>
    <col min="6" max="6" width="8" bestFit="1" customWidth="1"/>
    <col min="7" max="7" width="7.28515625" bestFit="1" customWidth="1"/>
  </cols>
  <sheetData>
    <row r="1" spans="1:5" x14ac:dyDescent="0.25">
      <c r="A1" t="s">
        <v>5</v>
      </c>
      <c r="B1" t="s">
        <v>48</v>
      </c>
      <c r="C1" t="s">
        <v>80</v>
      </c>
      <c r="D1" t="s">
        <v>47</v>
      </c>
      <c r="E1" t="s">
        <v>129</v>
      </c>
    </row>
    <row r="2" spans="1:5" x14ac:dyDescent="0.25">
      <c r="A2">
        <v>8</v>
      </c>
      <c r="B2" t="s">
        <v>51</v>
      </c>
      <c r="C2">
        <v>349000</v>
      </c>
      <c r="D2">
        <v>13</v>
      </c>
      <c r="E2">
        <v>5.5428254269591797</v>
      </c>
    </row>
    <row r="3" spans="1:5" x14ac:dyDescent="0.25">
      <c r="A3">
        <v>8</v>
      </c>
      <c r="B3" t="s">
        <v>50</v>
      </c>
      <c r="C3">
        <v>45700</v>
      </c>
      <c r="D3">
        <v>73</v>
      </c>
      <c r="E3">
        <v>4.6599162000698504</v>
      </c>
    </row>
    <row r="4" spans="1:5" x14ac:dyDescent="0.25">
      <c r="A4">
        <v>10</v>
      </c>
      <c r="B4" t="s">
        <v>51</v>
      </c>
      <c r="C4">
        <v>735000</v>
      </c>
      <c r="D4">
        <v>17</v>
      </c>
      <c r="E4">
        <v>5.8662873390841952</v>
      </c>
    </row>
    <row r="5" spans="1:5" x14ac:dyDescent="0.25">
      <c r="A5">
        <v>10</v>
      </c>
      <c r="B5" t="s">
        <v>50</v>
      </c>
      <c r="C5">
        <v>2070</v>
      </c>
      <c r="D5">
        <v>77</v>
      </c>
      <c r="E5">
        <v>3.3159703454569178</v>
      </c>
    </row>
    <row r="6" spans="1:5" x14ac:dyDescent="0.25">
      <c r="A6">
        <v>11</v>
      </c>
      <c r="B6" t="s">
        <v>51</v>
      </c>
      <c r="C6">
        <v>199000</v>
      </c>
      <c r="D6">
        <v>42</v>
      </c>
      <c r="E6">
        <v>5.2988530764097064</v>
      </c>
    </row>
    <row r="7" spans="1:5" x14ac:dyDescent="0.25">
      <c r="A7">
        <v>11</v>
      </c>
      <c r="B7" t="s">
        <v>50</v>
      </c>
      <c r="C7">
        <v>528</v>
      </c>
      <c r="D7">
        <v>102</v>
      </c>
      <c r="E7">
        <v>2.7226339225338121</v>
      </c>
    </row>
    <row r="8" spans="1:5" x14ac:dyDescent="0.25">
      <c r="A8">
        <v>12</v>
      </c>
      <c r="B8" t="s">
        <v>50</v>
      </c>
      <c r="C8">
        <v>85036</v>
      </c>
      <c r="D8">
        <v>99</v>
      </c>
      <c r="E8">
        <v>4.9296028232604847</v>
      </c>
    </row>
    <row r="9" spans="1:5" x14ac:dyDescent="0.25">
      <c r="A9">
        <v>12</v>
      </c>
      <c r="B9" t="s">
        <v>51</v>
      </c>
      <c r="C9">
        <v>372000</v>
      </c>
      <c r="D9">
        <v>39</v>
      </c>
      <c r="E9">
        <v>5.5705429398818973</v>
      </c>
    </row>
    <row r="10" spans="1:5" x14ac:dyDescent="0.25">
      <c r="A10">
        <v>17</v>
      </c>
      <c r="B10" t="s">
        <v>51</v>
      </c>
      <c r="C10">
        <v>5880000</v>
      </c>
      <c r="D10">
        <v>51</v>
      </c>
      <c r="E10">
        <v>6.7693773260761381</v>
      </c>
    </row>
    <row r="11" spans="1:5" x14ac:dyDescent="0.25">
      <c r="A11">
        <v>17</v>
      </c>
      <c r="B11" t="s">
        <v>50</v>
      </c>
      <c r="C11">
        <v>91894</v>
      </c>
      <c r="D11">
        <v>111</v>
      </c>
      <c r="E11">
        <v>4.9632871560873273</v>
      </c>
    </row>
    <row r="12" spans="1:5" x14ac:dyDescent="0.25">
      <c r="A12">
        <v>25</v>
      </c>
      <c r="B12" t="s">
        <v>51</v>
      </c>
      <c r="C12">
        <v>23300</v>
      </c>
      <c r="D12">
        <v>38</v>
      </c>
      <c r="E12">
        <v>4.3673559210260189</v>
      </c>
    </row>
    <row r="13" spans="1:5" x14ac:dyDescent="0.25">
      <c r="A13">
        <v>25</v>
      </c>
      <c r="B13" t="s">
        <v>50</v>
      </c>
      <c r="C13">
        <v>7879</v>
      </c>
      <c r="D13">
        <v>98</v>
      </c>
      <c r="E13">
        <v>3.8964711004792774</v>
      </c>
    </row>
    <row r="14" spans="1:5" x14ac:dyDescent="0.25">
      <c r="A14">
        <v>26</v>
      </c>
      <c r="B14" t="s">
        <v>51</v>
      </c>
      <c r="C14">
        <v>32500</v>
      </c>
      <c r="D14">
        <v>23</v>
      </c>
      <c r="E14">
        <v>4.5118833609788744</v>
      </c>
    </row>
    <row r="15" spans="1:5" x14ac:dyDescent="0.25">
      <c r="A15">
        <v>26</v>
      </c>
      <c r="B15" t="s">
        <v>50</v>
      </c>
      <c r="C15">
        <v>30100</v>
      </c>
      <c r="D15">
        <v>83</v>
      </c>
      <c r="E15">
        <v>4.4785664955938431</v>
      </c>
    </row>
    <row r="16" spans="1:5" x14ac:dyDescent="0.25">
      <c r="A16">
        <v>27</v>
      </c>
      <c r="B16" t="s">
        <v>51</v>
      </c>
      <c r="C16">
        <v>17700</v>
      </c>
      <c r="D16">
        <v>40</v>
      </c>
      <c r="E16">
        <v>4.2479732663618064</v>
      </c>
    </row>
    <row r="17" spans="1:5" x14ac:dyDescent="0.25">
      <c r="A17">
        <v>27</v>
      </c>
      <c r="B17" t="s">
        <v>50</v>
      </c>
      <c r="C17">
        <v>28331</v>
      </c>
      <c r="D17">
        <v>100</v>
      </c>
      <c r="E17">
        <v>4.452261904093934</v>
      </c>
    </row>
    <row r="18" spans="1:5" x14ac:dyDescent="0.25">
      <c r="A18">
        <v>38</v>
      </c>
      <c r="B18" t="s">
        <v>50</v>
      </c>
      <c r="C18">
        <v>0</v>
      </c>
      <c r="D18">
        <v>87</v>
      </c>
      <c r="E18">
        <v>0</v>
      </c>
    </row>
    <row r="19" spans="1:5" x14ac:dyDescent="0.25">
      <c r="A19">
        <v>38</v>
      </c>
      <c r="B19" t="s">
        <v>51</v>
      </c>
      <c r="C19">
        <v>5240</v>
      </c>
      <c r="D19">
        <v>27</v>
      </c>
      <c r="E19">
        <v>3.7193312869837265</v>
      </c>
    </row>
    <row r="20" spans="1:5" x14ac:dyDescent="0.25">
      <c r="A20">
        <v>39</v>
      </c>
      <c r="B20" t="s">
        <v>50</v>
      </c>
      <c r="C20">
        <v>44281</v>
      </c>
      <c r="D20">
        <v>101</v>
      </c>
      <c r="E20">
        <v>4.6462174200110669</v>
      </c>
    </row>
    <row r="21" spans="1:5" x14ac:dyDescent="0.25">
      <c r="A21">
        <v>39</v>
      </c>
      <c r="B21" t="s">
        <v>51</v>
      </c>
      <c r="C21">
        <v>893000</v>
      </c>
      <c r="D21">
        <v>41</v>
      </c>
      <c r="E21">
        <v>5.9508514588885468</v>
      </c>
    </row>
    <row r="22" spans="1:5" x14ac:dyDescent="0.25">
      <c r="A22">
        <v>40</v>
      </c>
      <c r="B22" t="s">
        <v>51</v>
      </c>
      <c r="C22">
        <v>3360000</v>
      </c>
      <c r="D22">
        <v>4</v>
      </c>
      <c r="E22">
        <v>6.5263392773898437</v>
      </c>
    </row>
    <row r="23" spans="1:5" x14ac:dyDescent="0.25">
      <c r="A23">
        <v>40</v>
      </c>
      <c r="B23" t="s">
        <v>50</v>
      </c>
      <c r="C23">
        <v>292000</v>
      </c>
      <c r="D23">
        <v>64</v>
      </c>
      <c r="E23">
        <v>5.4653828514484184</v>
      </c>
    </row>
    <row r="24" spans="1:5" x14ac:dyDescent="0.25">
      <c r="A24">
        <v>42</v>
      </c>
      <c r="B24" t="s">
        <v>51</v>
      </c>
      <c r="C24">
        <v>200</v>
      </c>
      <c r="D24">
        <v>11</v>
      </c>
      <c r="E24">
        <v>2.3010299956639813</v>
      </c>
    </row>
    <row r="25" spans="1:5" x14ac:dyDescent="0.25">
      <c r="A25">
        <v>42</v>
      </c>
      <c r="B25" t="s">
        <v>50</v>
      </c>
      <c r="C25">
        <v>0</v>
      </c>
      <c r="D25">
        <v>71</v>
      </c>
      <c r="E25">
        <v>0</v>
      </c>
    </row>
    <row r="26" spans="1:5" x14ac:dyDescent="0.25">
      <c r="A26">
        <v>46</v>
      </c>
      <c r="B26" t="s">
        <v>50</v>
      </c>
      <c r="C26">
        <v>200</v>
      </c>
      <c r="D26">
        <v>84</v>
      </c>
      <c r="E26">
        <v>2.3010299956639813</v>
      </c>
    </row>
    <row r="27" spans="1:5" x14ac:dyDescent="0.25">
      <c r="A27">
        <v>46</v>
      </c>
      <c r="B27" t="s">
        <v>51</v>
      </c>
      <c r="C27">
        <v>4200</v>
      </c>
      <c r="D27">
        <v>24</v>
      </c>
      <c r="E27">
        <v>3.6232492903979003</v>
      </c>
    </row>
    <row r="28" spans="1:5" x14ac:dyDescent="0.25">
      <c r="A28">
        <v>48</v>
      </c>
      <c r="B28" t="s">
        <v>50</v>
      </c>
      <c r="C28">
        <v>80644</v>
      </c>
      <c r="D28">
        <v>110</v>
      </c>
      <c r="E28">
        <v>4.9065720609521977</v>
      </c>
    </row>
    <row r="29" spans="1:5" x14ac:dyDescent="0.25">
      <c r="A29">
        <v>48</v>
      </c>
      <c r="B29" t="s">
        <v>51</v>
      </c>
      <c r="C29">
        <v>95100</v>
      </c>
      <c r="D29">
        <v>50</v>
      </c>
      <c r="E29">
        <v>4.9781805169374138</v>
      </c>
    </row>
    <row r="30" spans="1:5" x14ac:dyDescent="0.25">
      <c r="A30">
        <v>50</v>
      </c>
      <c r="B30" t="s">
        <v>51</v>
      </c>
      <c r="C30">
        <v>28500</v>
      </c>
      <c r="D30">
        <v>52</v>
      </c>
      <c r="E30">
        <v>4.4548448600085102</v>
      </c>
    </row>
    <row r="31" spans="1:5" x14ac:dyDescent="0.25">
      <c r="A31">
        <v>50</v>
      </c>
      <c r="B31" t="s">
        <v>50</v>
      </c>
      <c r="C31">
        <v>0</v>
      </c>
      <c r="D31">
        <v>112</v>
      </c>
      <c r="E31">
        <v>0</v>
      </c>
    </row>
    <row r="32" spans="1:5" x14ac:dyDescent="0.25">
      <c r="A32">
        <v>52</v>
      </c>
      <c r="B32" t="s">
        <v>51</v>
      </c>
      <c r="C32">
        <v>60700</v>
      </c>
      <c r="D32">
        <v>49</v>
      </c>
      <c r="E32">
        <v>4.7831886910752575</v>
      </c>
    </row>
    <row r="33" spans="1:5" x14ac:dyDescent="0.25">
      <c r="A33">
        <v>52</v>
      </c>
      <c r="B33" t="s">
        <v>50</v>
      </c>
      <c r="C33">
        <v>3719</v>
      </c>
      <c r="D33">
        <v>109</v>
      </c>
      <c r="E33">
        <v>3.5704261783589728</v>
      </c>
    </row>
    <row r="34" spans="1:5" x14ac:dyDescent="0.25">
      <c r="A34">
        <v>53</v>
      </c>
      <c r="B34" t="s">
        <v>50</v>
      </c>
      <c r="C34">
        <v>14572</v>
      </c>
      <c r="D34">
        <v>88</v>
      </c>
      <c r="E34">
        <v>4.1635191625698784</v>
      </c>
    </row>
    <row r="35" spans="1:5" x14ac:dyDescent="0.25">
      <c r="A35">
        <v>53</v>
      </c>
      <c r="B35" t="s">
        <v>51</v>
      </c>
      <c r="C35">
        <v>847000</v>
      </c>
      <c r="D35">
        <v>28</v>
      </c>
      <c r="E35">
        <v>5.9278834103307068</v>
      </c>
    </row>
    <row r="36" spans="1:5" x14ac:dyDescent="0.25">
      <c r="A36">
        <v>56</v>
      </c>
      <c r="B36" t="s">
        <v>50</v>
      </c>
      <c r="C36">
        <v>469</v>
      </c>
      <c r="D36">
        <v>85</v>
      </c>
      <c r="E36">
        <v>2.6711728427150834</v>
      </c>
    </row>
    <row r="37" spans="1:5" x14ac:dyDescent="0.25">
      <c r="A37">
        <v>56</v>
      </c>
      <c r="B37" t="s">
        <v>51</v>
      </c>
      <c r="C37">
        <v>12400</v>
      </c>
      <c r="D37">
        <v>25</v>
      </c>
      <c r="E37">
        <v>4.0934216851622347</v>
      </c>
    </row>
    <row r="38" spans="1:5" x14ac:dyDescent="0.25">
      <c r="A38">
        <v>59</v>
      </c>
      <c r="B38" t="s">
        <v>51</v>
      </c>
      <c r="C38">
        <v>622000</v>
      </c>
      <c r="D38">
        <v>3</v>
      </c>
      <c r="E38">
        <v>5.7937903846908183</v>
      </c>
    </row>
    <row r="39" spans="1:5" x14ac:dyDescent="0.25">
      <c r="A39">
        <v>59</v>
      </c>
      <c r="B39" t="s">
        <v>50</v>
      </c>
      <c r="C39">
        <v>47300</v>
      </c>
      <c r="D39">
        <v>63</v>
      </c>
      <c r="E39">
        <v>4.6748611407378116</v>
      </c>
    </row>
    <row r="40" spans="1:5" x14ac:dyDescent="0.25">
      <c r="A40">
        <v>61</v>
      </c>
      <c r="B40" t="s">
        <v>51</v>
      </c>
      <c r="C40">
        <v>596309</v>
      </c>
      <c r="D40">
        <v>122</v>
      </c>
      <c r="E40">
        <v>5.7754713641350071</v>
      </c>
    </row>
    <row r="41" spans="1:5" x14ac:dyDescent="0.25">
      <c r="A41">
        <v>61</v>
      </c>
      <c r="B41" t="s">
        <v>50</v>
      </c>
      <c r="C41">
        <v>4548</v>
      </c>
      <c r="D41">
        <v>121</v>
      </c>
      <c r="E41">
        <v>3.6578204560156973</v>
      </c>
    </row>
    <row r="42" spans="1:5" x14ac:dyDescent="0.25">
      <c r="A42">
        <v>64</v>
      </c>
      <c r="B42" t="s">
        <v>50</v>
      </c>
      <c r="C42">
        <v>200</v>
      </c>
      <c r="D42">
        <v>65</v>
      </c>
      <c r="E42">
        <v>2.3010299956639813</v>
      </c>
    </row>
    <row r="43" spans="1:5" x14ac:dyDescent="0.25">
      <c r="A43">
        <v>64</v>
      </c>
      <c r="B43" t="s">
        <v>51</v>
      </c>
      <c r="C43">
        <v>4940</v>
      </c>
      <c r="D43">
        <v>5</v>
      </c>
      <c r="E43">
        <v>3.6937269489236471</v>
      </c>
    </row>
    <row r="44" spans="1:5" x14ac:dyDescent="0.25">
      <c r="A44">
        <v>71</v>
      </c>
      <c r="B44" t="s">
        <v>50</v>
      </c>
      <c r="C44">
        <v>7100</v>
      </c>
      <c r="D44">
        <v>141</v>
      </c>
      <c r="E44">
        <v>3.8512583487190755</v>
      </c>
    </row>
    <row r="45" spans="1:5" x14ac:dyDescent="0.25">
      <c r="A45">
        <v>71</v>
      </c>
      <c r="B45" t="s">
        <v>51</v>
      </c>
      <c r="C45">
        <v>270000</v>
      </c>
      <c r="D45">
        <v>142</v>
      </c>
      <c r="E45">
        <v>5.4313637641589869</v>
      </c>
    </row>
    <row r="46" spans="1:5" x14ac:dyDescent="0.25">
      <c r="A46">
        <v>73</v>
      </c>
      <c r="B46" t="s">
        <v>51</v>
      </c>
      <c r="C46">
        <v>5000</v>
      </c>
      <c r="D46">
        <v>146</v>
      </c>
      <c r="E46">
        <v>3.6989700043360187</v>
      </c>
    </row>
    <row r="47" spans="1:5" x14ac:dyDescent="0.25">
      <c r="A47">
        <v>73</v>
      </c>
      <c r="B47" t="s">
        <v>50</v>
      </c>
      <c r="C47">
        <v>18000</v>
      </c>
      <c r="D47">
        <v>145</v>
      </c>
      <c r="E47">
        <v>4.2552725051033065</v>
      </c>
    </row>
    <row r="48" spans="1:5" x14ac:dyDescent="0.25">
      <c r="A48">
        <v>79</v>
      </c>
      <c r="B48" t="s">
        <v>50</v>
      </c>
      <c r="C48">
        <v>695</v>
      </c>
      <c r="D48">
        <v>156</v>
      </c>
      <c r="E48">
        <v>2.8419848045901137</v>
      </c>
    </row>
    <row r="49" spans="1:5" x14ac:dyDescent="0.25">
      <c r="A49">
        <v>79</v>
      </c>
      <c r="B49" t="s">
        <v>51</v>
      </c>
      <c r="C49">
        <v>68445</v>
      </c>
      <c r="D49">
        <v>155</v>
      </c>
      <c r="E49">
        <v>4.8353417278283422</v>
      </c>
    </row>
    <row r="50" spans="1:5" x14ac:dyDescent="0.25">
      <c r="A50">
        <v>80</v>
      </c>
      <c r="B50" t="s">
        <v>50</v>
      </c>
      <c r="C50">
        <v>110437</v>
      </c>
      <c r="D50">
        <v>158</v>
      </c>
      <c r="E50">
        <v>5.0431146006008563</v>
      </c>
    </row>
    <row r="51" spans="1:5" x14ac:dyDescent="0.25">
      <c r="A51">
        <v>80</v>
      </c>
      <c r="B51" t="s">
        <v>51</v>
      </c>
      <c r="C51">
        <v>126503</v>
      </c>
      <c r="D51">
        <v>157</v>
      </c>
      <c r="E51">
        <v>5.10210082486359</v>
      </c>
    </row>
    <row r="52" spans="1:5" x14ac:dyDescent="0.25">
      <c r="A52">
        <v>81</v>
      </c>
      <c r="B52" t="s">
        <v>51</v>
      </c>
      <c r="C52">
        <v>33863</v>
      </c>
      <c r="D52">
        <v>159</v>
      </c>
      <c r="E52">
        <v>4.5297254306108163</v>
      </c>
    </row>
    <row r="53" spans="1:5" x14ac:dyDescent="0.25">
      <c r="A53">
        <v>81</v>
      </c>
      <c r="B53" t="s">
        <v>50</v>
      </c>
      <c r="C53">
        <v>591</v>
      </c>
      <c r="D53">
        <v>160</v>
      </c>
      <c r="E53">
        <v>2.7715874808812555</v>
      </c>
    </row>
    <row r="54" spans="1:5" x14ac:dyDescent="0.25">
      <c r="A54">
        <v>82</v>
      </c>
      <c r="B54" t="s">
        <v>50</v>
      </c>
      <c r="C54">
        <v>0</v>
      </c>
      <c r="D54">
        <v>162</v>
      </c>
      <c r="E54">
        <v>0</v>
      </c>
    </row>
    <row r="55" spans="1:5" x14ac:dyDescent="0.25">
      <c r="A55">
        <v>82</v>
      </c>
      <c r="B55" t="s">
        <v>51</v>
      </c>
      <c r="C55">
        <v>128909</v>
      </c>
      <c r="D55">
        <v>161</v>
      </c>
      <c r="E55">
        <v>5.1102832394161606</v>
      </c>
    </row>
    <row r="56" spans="1:5" x14ac:dyDescent="0.25">
      <c r="A56">
        <v>84</v>
      </c>
      <c r="B56" t="s">
        <v>51</v>
      </c>
      <c r="C56">
        <v>20124</v>
      </c>
      <c r="D56">
        <v>165</v>
      </c>
      <c r="E56">
        <v>4.3037143086537109</v>
      </c>
    </row>
    <row r="57" spans="1:5" x14ac:dyDescent="0.25">
      <c r="A57">
        <v>84</v>
      </c>
      <c r="B57" t="s">
        <v>50</v>
      </c>
      <c r="C57">
        <v>212</v>
      </c>
      <c r="D57">
        <v>166</v>
      </c>
      <c r="E57">
        <v>2.3263358609287512</v>
      </c>
    </row>
    <row r="58" spans="1:5" x14ac:dyDescent="0.25">
      <c r="A58">
        <v>86</v>
      </c>
      <c r="B58" t="s">
        <v>50</v>
      </c>
      <c r="C58">
        <v>37376</v>
      </c>
      <c r="D58">
        <v>170</v>
      </c>
      <c r="E58">
        <v>4.5725928210962863</v>
      </c>
    </row>
    <row r="59" spans="1:5" x14ac:dyDescent="0.25">
      <c r="A59">
        <v>86</v>
      </c>
      <c r="B59" t="s">
        <v>51</v>
      </c>
      <c r="C59">
        <v>37925</v>
      </c>
      <c r="D59">
        <v>169</v>
      </c>
      <c r="E59">
        <v>4.5789255894587679</v>
      </c>
    </row>
    <row r="60" spans="1:5" x14ac:dyDescent="0.25">
      <c r="A60">
        <v>87</v>
      </c>
      <c r="B60" t="s">
        <v>50</v>
      </c>
      <c r="C60">
        <v>0</v>
      </c>
      <c r="D60">
        <v>172</v>
      </c>
      <c r="E60">
        <v>0</v>
      </c>
    </row>
    <row r="61" spans="1:5" x14ac:dyDescent="0.25">
      <c r="A61">
        <v>87</v>
      </c>
      <c r="B61" t="s">
        <v>51</v>
      </c>
      <c r="C61">
        <v>72841</v>
      </c>
      <c r="D61">
        <v>171</v>
      </c>
      <c r="E61">
        <v>4.8623758993895052</v>
      </c>
    </row>
    <row r="62" spans="1:5" x14ac:dyDescent="0.25">
      <c r="A62">
        <v>88</v>
      </c>
      <c r="B62" t="s">
        <v>50</v>
      </c>
      <c r="C62">
        <v>27462</v>
      </c>
      <c r="D62">
        <v>174</v>
      </c>
      <c r="E62">
        <v>4.4387321628109433</v>
      </c>
    </row>
    <row r="63" spans="1:5" x14ac:dyDescent="0.25">
      <c r="A63">
        <v>88</v>
      </c>
      <c r="B63" t="s">
        <v>51</v>
      </c>
      <c r="C63">
        <v>57993</v>
      </c>
      <c r="D63">
        <v>173</v>
      </c>
      <c r="E63">
        <v>4.7633755755484533</v>
      </c>
    </row>
    <row r="64" spans="1:5" x14ac:dyDescent="0.25">
      <c r="A64">
        <v>89</v>
      </c>
      <c r="B64" t="s">
        <v>50</v>
      </c>
      <c r="C64">
        <v>30763</v>
      </c>
      <c r="D64">
        <v>176</v>
      </c>
      <c r="E64">
        <v>4.4880286854829441</v>
      </c>
    </row>
    <row r="65" spans="1:5" x14ac:dyDescent="0.25">
      <c r="A65">
        <v>89</v>
      </c>
      <c r="B65" t="s">
        <v>51</v>
      </c>
      <c r="C65">
        <v>0</v>
      </c>
      <c r="D65">
        <v>175</v>
      </c>
      <c r="E65">
        <v>0</v>
      </c>
    </row>
    <row r="66" spans="1:5" x14ac:dyDescent="0.25">
      <c r="A66">
        <v>90</v>
      </c>
      <c r="B66" t="s">
        <v>51</v>
      </c>
      <c r="C66">
        <v>15063</v>
      </c>
      <c r="D66">
        <v>177</v>
      </c>
      <c r="E66">
        <v>4.1779114760940095</v>
      </c>
    </row>
    <row r="67" spans="1:5" x14ac:dyDescent="0.25">
      <c r="A67">
        <v>90</v>
      </c>
      <c r="B67" t="s">
        <v>50</v>
      </c>
      <c r="C67">
        <v>150525</v>
      </c>
      <c r="D67">
        <v>178</v>
      </c>
      <c r="E67">
        <v>5.177608635879186</v>
      </c>
    </row>
    <row r="68" spans="1:5" x14ac:dyDescent="0.25">
      <c r="A68">
        <v>92</v>
      </c>
      <c r="B68" t="s">
        <v>50</v>
      </c>
      <c r="C68">
        <v>1575</v>
      </c>
      <c r="D68">
        <v>182</v>
      </c>
      <c r="E68">
        <v>3.1972805581256192</v>
      </c>
    </row>
    <row r="69" spans="1:5" x14ac:dyDescent="0.25">
      <c r="A69">
        <v>92</v>
      </c>
      <c r="B69" t="s">
        <v>51</v>
      </c>
      <c r="C69">
        <v>19269</v>
      </c>
      <c r="D69">
        <v>181</v>
      </c>
      <c r="E69">
        <v>4.2848591767337636</v>
      </c>
    </row>
    <row r="70" spans="1:5" x14ac:dyDescent="0.25">
      <c r="A70">
        <v>94</v>
      </c>
      <c r="B70" t="s">
        <v>50</v>
      </c>
      <c r="C70">
        <v>872732</v>
      </c>
      <c r="D70">
        <v>186</v>
      </c>
      <c r="E70">
        <v>5.9408809003034158</v>
      </c>
    </row>
    <row r="71" spans="1:5" x14ac:dyDescent="0.25">
      <c r="A71">
        <v>94</v>
      </c>
      <c r="B71" t="s">
        <v>51</v>
      </c>
      <c r="C71">
        <v>27395</v>
      </c>
      <c r="D71">
        <v>185</v>
      </c>
      <c r="E71">
        <v>4.4376713047707286</v>
      </c>
    </row>
    <row r="72" spans="1:5" x14ac:dyDescent="0.25">
      <c r="A72">
        <v>95</v>
      </c>
      <c r="B72" t="s">
        <v>51</v>
      </c>
      <c r="C72">
        <v>1909</v>
      </c>
      <c r="D72">
        <v>187</v>
      </c>
      <c r="E72">
        <v>3.2808059283936668</v>
      </c>
    </row>
    <row r="73" spans="1:5" x14ac:dyDescent="0.25">
      <c r="A73">
        <v>95</v>
      </c>
      <c r="B73" t="s">
        <v>50</v>
      </c>
      <c r="C73">
        <v>5379</v>
      </c>
      <c r="D73">
        <v>188</v>
      </c>
      <c r="E73">
        <v>3.7307015442818452</v>
      </c>
    </row>
    <row r="74" spans="1:5" x14ac:dyDescent="0.25">
      <c r="A74">
        <v>96</v>
      </c>
      <c r="B74" t="s">
        <v>50</v>
      </c>
      <c r="C74">
        <v>449354</v>
      </c>
      <c r="D74">
        <v>190</v>
      </c>
      <c r="E74">
        <v>5.6525886119890396</v>
      </c>
    </row>
    <row r="75" spans="1:5" x14ac:dyDescent="0.25">
      <c r="A75">
        <v>96</v>
      </c>
      <c r="B75" t="s">
        <v>51</v>
      </c>
      <c r="C75">
        <v>99445</v>
      </c>
      <c r="D75">
        <v>189</v>
      </c>
      <c r="E75">
        <v>4.997582952095966</v>
      </c>
    </row>
    <row r="76" spans="1:5" x14ac:dyDescent="0.25">
      <c r="A76">
        <v>97</v>
      </c>
      <c r="B76" t="s">
        <v>50</v>
      </c>
      <c r="C76">
        <v>3294</v>
      </c>
      <c r="D76">
        <v>192</v>
      </c>
      <c r="E76">
        <v>3.5177235948337358</v>
      </c>
    </row>
    <row r="77" spans="1:5" x14ac:dyDescent="0.25">
      <c r="A77">
        <v>97</v>
      </c>
      <c r="B77" t="s">
        <v>51</v>
      </c>
      <c r="C77">
        <v>0</v>
      </c>
      <c r="D77">
        <v>191</v>
      </c>
      <c r="E77">
        <v>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5D91FA-24D8-4026-A6E7-75B80F3F6A97}">
  <sheetPr codeName="Лист4"/>
  <dimension ref="A1:U75"/>
  <sheetViews>
    <sheetView topLeftCell="A40" zoomScale="115" zoomScaleNormal="115" workbookViewId="0">
      <selection activeCell="L7" sqref="L7"/>
    </sheetView>
  </sheetViews>
  <sheetFormatPr defaultRowHeight="15" x14ac:dyDescent="0.25"/>
  <cols>
    <col min="9" max="9" width="10.140625" customWidth="1"/>
    <col min="15" max="15" width="12.85546875" bestFit="1" customWidth="1"/>
    <col min="19" max="20" width="9.28515625" bestFit="1" customWidth="1"/>
  </cols>
  <sheetData>
    <row r="1" spans="1:21" x14ac:dyDescent="0.25">
      <c r="A1" s="57" t="s">
        <v>148</v>
      </c>
      <c r="B1" s="59" t="s">
        <v>132</v>
      </c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</row>
    <row r="2" spans="1:21" ht="25.5" x14ac:dyDescent="0.25">
      <c r="A2" s="58"/>
      <c r="B2" s="18" t="s">
        <v>48</v>
      </c>
      <c r="C2" s="18" t="s">
        <v>86</v>
      </c>
      <c r="D2" s="18" t="s">
        <v>133</v>
      </c>
      <c r="E2" s="18" t="s">
        <v>90</v>
      </c>
      <c r="F2" s="18" t="s">
        <v>134</v>
      </c>
      <c r="G2" s="18" t="s">
        <v>135</v>
      </c>
      <c r="H2" s="18" t="s">
        <v>136</v>
      </c>
      <c r="I2" s="18" t="s">
        <v>137</v>
      </c>
      <c r="J2" s="18" t="s">
        <v>138</v>
      </c>
      <c r="K2" s="18" t="s">
        <v>139</v>
      </c>
      <c r="L2" s="18" t="s">
        <v>140</v>
      </c>
      <c r="M2" s="18" t="s">
        <v>141</v>
      </c>
      <c r="N2" s="18" t="s">
        <v>142</v>
      </c>
      <c r="O2" s="18" t="s">
        <v>88</v>
      </c>
      <c r="P2" s="18" t="s">
        <v>143</v>
      </c>
      <c r="Q2" s="18" t="s">
        <v>144</v>
      </c>
      <c r="R2" s="18" t="s">
        <v>145</v>
      </c>
      <c r="S2" s="18" t="s">
        <v>146</v>
      </c>
      <c r="T2" s="18" t="s">
        <v>147</v>
      </c>
      <c r="U2" s="18" t="s">
        <v>85</v>
      </c>
    </row>
    <row r="3" spans="1:21" x14ac:dyDescent="0.25">
      <c r="A3" s="19" t="s">
        <v>129</v>
      </c>
      <c r="B3" s="20" t="s">
        <v>51</v>
      </c>
      <c r="C3" s="21">
        <v>4.53135303</v>
      </c>
      <c r="D3" s="22">
        <v>38</v>
      </c>
      <c r="E3" s="28">
        <v>4.6711505799999999</v>
      </c>
      <c r="F3" s="22">
        <v>0</v>
      </c>
      <c r="G3" s="22">
        <v>2</v>
      </c>
      <c r="H3" s="23">
        <v>0</v>
      </c>
      <c r="I3" s="21">
        <v>6.7693773300000002</v>
      </c>
      <c r="J3" s="21">
        <v>4.1779114799999997</v>
      </c>
      <c r="K3" s="21">
        <v>5.43136376</v>
      </c>
      <c r="L3" s="23"/>
      <c r="M3" s="23"/>
      <c r="N3" s="21">
        <v>1.41243195</v>
      </c>
      <c r="O3" s="21">
        <v>1.9949640099999999</v>
      </c>
      <c r="P3" s="21">
        <v>0.93883580200000005</v>
      </c>
      <c r="Q3" s="21">
        <v>6.7693773300000002</v>
      </c>
      <c r="R3" s="21">
        <v>1.25345229</v>
      </c>
      <c r="S3" s="24">
        <v>-1.68793174</v>
      </c>
      <c r="T3" s="21">
        <v>4.1928578600000002</v>
      </c>
      <c r="U3" s="25">
        <v>172.19141500000001</v>
      </c>
    </row>
    <row r="4" spans="1:21" x14ac:dyDescent="0.25">
      <c r="A4" s="19" t="s">
        <v>129</v>
      </c>
      <c r="B4" s="20" t="s">
        <v>50</v>
      </c>
      <c r="C4" s="21">
        <v>3.5153271899999998</v>
      </c>
      <c r="D4" s="22">
        <v>38</v>
      </c>
      <c r="E4" s="28">
        <v>3.8738647199999998</v>
      </c>
      <c r="F4" s="22">
        <v>0</v>
      </c>
      <c r="G4" s="22">
        <v>5</v>
      </c>
      <c r="H4" s="23">
        <v>0</v>
      </c>
      <c r="I4" s="21">
        <v>5.9408808999999998</v>
      </c>
      <c r="J4" s="21">
        <v>2.7226339199999998</v>
      </c>
      <c r="K4" s="21">
        <v>4.6599161999999996</v>
      </c>
      <c r="L4" s="23"/>
      <c r="M4" s="23"/>
      <c r="N4" s="21">
        <v>1.67633499</v>
      </c>
      <c r="O4" s="21">
        <v>2.8100990000000001</v>
      </c>
      <c r="P4" s="21">
        <v>1.30345025</v>
      </c>
      <c r="Q4" s="21">
        <v>5.9408808999999998</v>
      </c>
      <c r="R4" s="21">
        <v>1.93728228</v>
      </c>
      <c r="S4" s="21">
        <v>-1.0069110699999999</v>
      </c>
      <c r="T4" s="21">
        <v>0.269561155</v>
      </c>
      <c r="U4" s="25">
        <v>133.58243300000001</v>
      </c>
    </row>
    <row r="5" spans="1:21" x14ac:dyDescent="0.25">
      <c r="A5" t="s">
        <v>129</v>
      </c>
      <c r="B5" t="s">
        <v>149</v>
      </c>
      <c r="C5" s="21">
        <v>4.0233401100000004</v>
      </c>
      <c r="D5" s="22">
        <v>76</v>
      </c>
      <c r="E5" s="21">
        <v>4.4454970300000003</v>
      </c>
      <c r="F5" s="22">
        <v>0</v>
      </c>
      <c r="G5" s="22">
        <v>7</v>
      </c>
      <c r="H5" s="23">
        <v>0</v>
      </c>
      <c r="I5" s="21">
        <v>6.7693773300000002</v>
      </c>
      <c r="J5" s="21">
        <v>3.5440748900000001</v>
      </c>
      <c r="K5" s="21">
        <v>4.9878817299999998</v>
      </c>
      <c r="L5" s="23"/>
      <c r="M5" s="23"/>
      <c r="N5" s="21">
        <v>1.62234889</v>
      </c>
      <c r="O5" s="21">
        <v>2.6320159099999998</v>
      </c>
      <c r="P5" s="21">
        <v>1.20165744</v>
      </c>
      <c r="Q5" s="21">
        <v>6.7693773300000002</v>
      </c>
      <c r="R5" s="21">
        <v>1.4438068500000001</v>
      </c>
      <c r="S5" s="24">
        <v>-1.2152415599999999</v>
      </c>
      <c r="T5" s="21">
        <v>1.2320044299999999</v>
      </c>
      <c r="U5" s="25">
        <v>305.77384799999999</v>
      </c>
    </row>
    <row r="6" spans="1:21" x14ac:dyDescent="0.25">
      <c r="C6" s="21"/>
      <c r="D6" s="22"/>
      <c r="E6" s="21"/>
      <c r="F6" s="22"/>
      <c r="G6" s="22"/>
      <c r="H6" s="23"/>
      <c r="I6" s="21"/>
      <c r="J6" s="21"/>
      <c r="K6" s="21"/>
      <c r="L6" s="23"/>
      <c r="M6" s="23"/>
      <c r="N6" s="21"/>
      <c r="O6" s="21"/>
      <c r="P6" s="21"/>
      <c r="Q6" s="21"/>
      <c r="R6" s="21"/>
      <c r="S6" s="24"/>
      <c r="T6" s="21"/>
      <c r="U6" s="25"/>
    </row>
    <row r="7" spans="1:21" x14ac:dyDescent="0.25">
      <c r="A7" s="57" t="s">
        <v>150</v>
      </c>
      <c r="B7" s="59" t="s">
        <v>156</v>
      </c>
      <c r="C7" s="58"/>
      <c r="D7" s="58"/>
      <c r="E7" s="58"/>
      <c r="F7" s="58"/>
      <c r="G7" s="58"/>
      <c r="H7" s="58"/>
      <c r="I7" s="58"/>
      <c r="J7" s="58"/>
      <c r="K7" s="58"/>
      <c r="L7" s="38" t="str">
        <f>"(U="&amp;ROUND(D9,3)&amp;", z="&amp;ROUND(E9,3)&amp;", p="&amp;ROUND(F9,3)&amp;")"</f>
        <v>(U=442, z=2,904, p=0,004)</v>
      </c>
    </row>
    <row r="8" spans="1:21" ht="25.5" x14ac:dyDescent="0.25">
      <c r="A8" s="58"/>
      <c r="B8" s="18" t="s">
        <v>151</v>
      </c>
      <c r="C8" s="18" t="s">
        <v>151</v>
      </c>
      <c r="D8" s="18" t="s">
        <v>152</v>
      </c>
      <c r="E8" s="18" t="s">
        <v>153</v>
      </c>
      <c r="F8" s="18" t="s">
        <v>154</v>
      </c>
      <c r="G8" s="18" t="s">
        <v>153</v>
      </c>
      <c r="H8" s="18" t="s">
        <v>154</v>
      </c>
      <c r="I8" s="18" t="s">
        <v>133</v>
      </c>
      <c r="J8" s="18" t="s">
        <v>133</v>
      </c>
      <c r="K8" s="18" t="s">
        <v>155</v>
      </c>
    </row>
    <row r="9" spans="1:21" x14ac:dyDescent="0.25">
      <c r="A9" s="19" t="s">
        <v>129</v>
      </c>
      <c r="B9" s="26">
        <v>1743</v>
      </c>
      <c r="C9" s="26">
        <v>1183</v>
      </c>
      <c r="D9" s="25">
        <v>442</v>
      </c>
      <c r="E9" s="27">
        <v>2.9036447169671913</v>
      </c>
      <c r="F9" s="27">
        <v>3.6887163436116559E-3</v>
      </c>
      <c r="G9" s="27">
        <v>2.9048362817736422</v>
      </c>
      <c r="H9" s="27">
        <v>3.6747036059350522E-3</v>
      </c>
      <c r="I9" s="22">
        <v>38</v>
      </c>
      <c r="J9" s="22">
        <v>38</v>
      </c>
      <c r="K9" s="27">
        <v>3.3131777351017018E-3</v>
      </c>
    </row>
    <row r="11" spans="1:21" x14ac:dyDescent="0.25">
      <c r="A11" s="40" t="s">
        <v>157</v>
      </c>
    </row>
    <row r="12" spans="1:21" x14ac:dyDescent="0.25">
      <c r="A12" s="54" t="s">
        <v>159</v>
      </c>
      <c r="B12" s="56" t="s">
        <v>132</v>
      </c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5"/>
      <c r="T12" s="55"/>
      <c r="U12" s="55"/>
    </row>
    <row r="13" spans="1:21" ht="25.5" x14ac:dyDescent="0.25">
      <c r="A13" s="55"/>
      <c r="B13" s="35" t="s">
        <v>48</v>
      </c>
      <c r="C13" s="35" t="s">
        <v>86</v>
      </c>
      <c r="D13" s="35" t="s">
        <v>133</v>
      </c>
      <c r="E13" s="35" t="s">
        <v>90</v>
      </c>
      <c r="F13" s="35" t="s">
        <v>134</v>
      </c>
      <c r="G13" s="35" t="s">
        <v>135</v>
      </c>
      <c r="H13" s="35" t="s">
        <v>136</v>
      </c>
      <c r="I13" s="35" t="s">
        <v>137</v>
      </c>
      <c r="J13" s="35" t="s">
        <v>138</v>
      </c>
      <c r="K13" s="35" t="s">
        <v>139</v>
      </c>
      <c r="L13" s="35" t="s">
        <v>140</v>
      </c>
      <c r="M13" s="35" t="s">
        <v>141</v>
      </c>
      <c r="N13" s="35" t="s">
        <v>142</v>
      </c>
      <c r="O13" s="35" t="s">
        <v>88</v>
      </c>
      <c r="P13" s="35" t="s">
        <v>143</v>
      </c>
      <c r="Q13" s="35" t="s">
        <v>144</v>
      </c>
      <c r="R13" s="35" t="s">
        <v>145</v>
      </c>
      <c r="S13" s="35" t="s">
        <v>146</v>
      </c>
      <c r="T13" s="35" t="s">
        <v>147</v>
      </c>
      <c r="U13" s="35" t="s">
        <v>85</v>
      </c>
    </row>
    <row r="14" spans="1:21" x14ac:dyDescent="0.25">
      <c r="A14" s="36" t="s">
        <v>129</v>
      </c>
      <c r="B14" s="29" t="s">
        <v>51</v>
      </c>
      <c r="C14" s="31">
        <v>4.8949532199999997</v>
      </c>
      <c r="D14" s="30">
        <v>31</v>
      </c>
      <c r="E14" s="37">
        <v>4.7831886900000002</v>
      </c>
      <c r="F14" s="30" t="s">
        <v>158</v>
      </c>
      <c r="G14" s="30"/>
      <c r="H14" s="31">
        <v>3.2808059300000001</v>
      </c>
      <c r="I14" s="31">
        <v>6.7693773300000002</v>
      </c>
      <c r="J14" s="31">
        <v>4.2848591799999998</v>
      </c>
      <c r="K14" s="31">
        <v>5.5705429400000002</v>
      </c>
      <c r="L14" s="31">
        <v>4.8206122699999998</v>
      </c>
      <c r="M14" s="31">
        <v>4.7464351499999999</v>
      </c>
      <c r="N14" s="31">
        <v>0.86726927099999995</v>
      </c>
      <c r="O14" s="31">
        <v>0.75215598900000002</v>
      </c>
      <c r="P14" s="31">
        <v>0.70981322700000005</v>
      </c>
      <c r="Q14" s="31">
        <v>3.4885714000000001</v>
      </c>
      <c r="R14" s="31">
        <v>1.28568376</v>
      </c>
      <c r="S14" s="31">
        <v>0.25486892799999999</v>
      </c>
      <c r="T14" s="31">
        <v>-0.498789806</v>
      </c>
      <c r="U14" s="33">
        <v>151.74355</v>
      </c>
    </row>
    <row r="15" spans="1:21" x14ac:dyDescent="0.25">
      <c r="A15" s="36" t="s">
        <v>129</v>
      </c>
      <c r="B15" s="29" t="s">
        <v>50</v>
      </c>
      <c r="C15" s="31">
        <v>4.0508606699999996</v>
      </c>
      <c r="D15" s="30">
        <v>31</v>
      </c>
      <c r="E15" s="37">
        <v>4.2552725100000002</v>
      </c>
      <c r="F15" s="30">
        <v>2.3010299999999999</v>
      </c>
      <c r="G15" s="30">
        <v>2</v>
      </c>
      <c r="H15" s="31">
        <v>2.3010299999999999</v>
      </c>
      <c r="I15" s="31">
        <v>5.9408808999999998</v>
      </c>
      <c r="J15" s="31">
        <v>3.1972805599999998</v>
      </c>
      <c r="K15" s="31">
        <v>4.9065720600000002</v>
      </c>
      <c r="L15" s="31">
        <v>3.91033673</v>
      </c>
      <c r="M15" s="31">
        <v>3.7602721300000002</v>
      </c>
      <c r="N15" s="31">
        <v>1.03841552</v>
      </c>
      <c r="O15" s="31">
        <v>1.0783067799999999</v>
      </c>
      <c r="P15" s="31">
        <v>0.87460296800000004</v>
      </c>
      <c r="Q15" s="31">
        <v>3.6398508999999999</v>
      </c>
      <c r="R15" s="31">
        <v>1.7092915</v>
      </c>
      <c r="S15" s="31">
        <v>-0.21360745</v>
      </c>
      <c r="T15" s="31">
        <v>-0.93017610500000003</v>
      </c>
      <c r="U15" s="33">
        <v>125.57668099999999</v>
      </c>
    </row>
    <row r="16" spans="1:21" x14ac:dyDescent="0.25">
      <c r="A16" s="36" t="s">
        <v>129</v>
      </c>
      <c r="B16" t="s">
        <v>149</v>
      </c>
      <c r="C16" s="31">
        <v>4.4729069499999996</v>
      </c>
      <c r="D16" s="30">
        <v>62</v>
      </c>
      <c r="E16" s="31">
        <v>4.5208044000000003</v>
      </c>
      <c r="F16" s="30">
        <v>2.3010299999999999</v>
      </c>
      <c r="G16" s="30">
        <v>2</v>
      </c>
      <c r="H16" s="31">
        <v>2.3010299999999999</v>
      </c>
      <c r="I16" s="31">
        <v>6.7693773300000002</v>
      </c>
      <c r="J16" s="31">
        <v>3.7307015400000001</v>
      </c>
      <c r="K16" s="31">
        <v>5.1021008200000004</v>
      </c>
      <c r="L16" s="31">
        <v>4.34168369</v>
      </c>
      <c r="M16" s="31">
        <v>4.1961918300000001</v>
      </c>
      <c r="N16" s="31">
        <v>1.0398416699999999</v>
      </c>
      <c r="O16" s="31">
        <v>1.0812706999999999</v>
      </c>
      <c r="P16" s="31">
        <v>0.80771461099999997</v>
      </c>
      <c r="Q16" s="31">
        <v>4.4683473300000003</v>
      </c>
      <c r="R16" s="31">
        <v>1.3713992800000001</v>
      </c>
      <c r="S16" s="31">
        <v>-0.217486295</v>
      </c>
      <c r="T16" s="31">
        <v>-0.25230817900000002</v>
      </c>
      <c r="U16" s="33">
        <v>277.32023099999998</v>
      </c>
    </row>
    <row r="18" spans="1:12" x14ac:dyDescent="0.25">
      <c r="A18" s="54" t="s">
        <v>150</v>
      </c>
      <c r="B18" s="56" t="s">
        <v>160</v>
      </c>
      <c r="C18" s="55"/>
      <c r="D18" s="55"/>
      <c r="E18" s="55"/>
      <c r="F18" s="55"/>
      <c r="G18" s="55"/>
      <c r="H18" s="55"/>
      <c r="I18" s="55"/>
      <c r="J18" s="55"/>
      <c r="K18" s="55"/>
      <c r="L18" s="38" t="str">
        <f>"(U="&amp;ROUND(D20,3)&amp;", z="&amp;ROUND(E20,3)&amp;", p="&amp;ROUND(F20,3)&amp;")"</f>
        <v>(U=280, z=2,816, p=0,005)</v>
      </c>
    </row>
    <row r="19" spans="1:12" ht="25.5" x14ac:dyDescent="0.25">
      <c r="A19" s="55"/>
      <c r="B19" s="35" t="s">
        <v>151</v>
      </c>
      <c r="C19" s="35" t="s">
        <v>151</v>
      </c>
      <c r="D19" s="35" t="s">
        <v>152</v>
      </c>
      <c r="E19" s="35" t="s">
        <v>153</v>
      </c>
      <c r="F19" s="35" t="s">
        <v>154</v>
      </c>
      <c r="G19" s="35" t="s">
        <v>153</v>
      </c>
      <c r="H19" s="35" t="s">
        <v>154</v>
      </c>
      <c r="I19" s="35" t="s">
        <v>133</v>
      </c>
      <c r="J19" s="35" t="s">
        <v>133</v>
      </c>
      <c r="K19" s="35" t="s">
        <v>155</v>
      </c>
    </row>
    <row r="20" spans="1:12" x14ac:dyDescent="0.25">
      <c r="A20" s="36" t="s">
        <v>129</v>
      </c>
      <c r="B20" s="32">
        <v>1177</v>
      </c>
      <c r="C20" s="33">
        <v>776</v>
      </c>
      <c r="D20" s="33">
        <v>280</v>
      </c>
      <c r="E20" s="34">
        <v>2.81571471</v>
      </c>
      <c r="F20" s="34">
        <v>4.8671837000000004E-3</v>
      </c>
      <c r="G20" s="34">
        <v>2.8157501699999998</v>
      </c>
      <c r="H20" s="34">
        <v>4.8666466699999996E-3</v>
      </c>
      <c r="I20" s="30">
        <v>31</v>
      </c>
      <c r="J20" s="30">
        <v>31</v>
      </c>
      <c r="K20" s="34">
        <v>4.3414900699999997E-3</v>
      </c>
    </row>
    <row r="22" spans="1:12" x14ac:dyDescent="0.25">
      <c r="A22" s="57" t="s">
        <v>150</v>
      </c>
      <c r="B22" s="59" t="s">
        <v>239</v>
      </c>
      <c r="C22" s="58"/>
      <c r="D22" s="58"/>
      <c r="E22" s="58"/>
      <c r="F22" s="58"/>
      <c r="G22" s="58"/>
      <c r="H22" s="58"/>
      <c r="I22" s="58"/>
      <c r="J22" s="58"/>
      <c r="K22" s="58"/>
    </row>
    <row r="23" spans="1:12" ht="25.5" x14ac:dyDescent="0.25">
      <c r="A23" s="58"/>
      <c r="B23" s="18" t="s">
        <v>151</v>
      </c>
      <c r="C23" s="18" t="s">
        <v>151</v>
      </c>
      <c r="D23" s="18" t="s">
        <v>152</v>
      </c>
      <c r="E23" s="18" t="s">
        <v>153</v>
      </c>
      <c r="F23" s="18" t="s">
        <v>154</v>
      </c>
      <c r="G23" s="18" t="s">
        <v>153</v>
      </c>
      <c r="H23" s="18" t="s">
        <v>154</v>
      </c>
      <c r="I23" s="18" t="s">
        <v>233</v>
      </c>
      <c r="J23" s="18" t="s">
        <v>238</v>
      </c>
      <c r="K23" s="18" t="s">
        <v>155</v>
      </c>
    </row>
    <row r="24" spans="1:12" x14ac:dyDescent="0.25">
      <c r="A24" s="19" t="s">
        <v>49</v>
      </c>
      <c r="B24" s="25">
        <v>331</v>
      </c>
      <c r="C24" s="25">
        <v>410</v>
      </c>
      <c r="D24" s="25">
        <v>157</v>
      </c>
      <c r="E24" s="21">
        <v>0.5469639662899014</v>
      </c>
      <c r="F24" s="21">
        <v>0.58440386951507528</v>
      </c>
      <c r="G24" s="21">
        <v>0.54717355971563308</v>
      </c>
      <c r="H24" s="21">
        <v>0.58425988081191282</v>
      </c>
      <c r="I24" s="22">
        <v>16</v>
      </c>
      <c r="J24" s="22">
        <v>22</v>
      </c>
      <c r="K24" s="21">
        <v>0.58861980993743435</v>
      </c>
    </row>
    <row r="26" spans="1:12" x14ac:dyDescent="0.25">
      <c r="A26" s="57" t="s">
        <v>150</v>
      </c>
      <c r="B26" s="59" t="s">
        <v>239</v>
      </c>
      <c r="C26" s="58"/>
      <c r="D26" s="58"/>
      <c r="E26" s="58"/>
      <c r="F26" s="58"/>
      <c r="G26" s="58"/>
      <c r="H26" s="58"/>
      <c r="I26" s="58"/>
      <c r="J26" s="58"/>
      <c r="K26" s="58"/>
    </row>
    <row r="27" spans="1:12" ht="25.5" x14ac:dyDescent="0.25">
      <c r="A27" s="58"/>
      <c r="B27" s="18" t="s">
        <v>151</v>
      </c>
      <c r="C27" s="18" t="s">
        <v>151</v>
      </c>
      <c r="D27" s="18" t="s">
        <v>152</v>
      </c>
      <c r="E27" s="18" t="s">
        <v>153</v>
      </c>
      <c r="F27" s="18" t="s">
        <v>154</v>
      </c>
      <c r="G27" s="18" t="s">
        <v>153</v>
      </c>
      <c r="H27" s="18" t="s">
        <v>154</v>
      </c>
      <c r="I27" s="18" t="s">
        <v>233</v>
      </c>
      <c r="J27" s="18" t="s">
        <v>238</v>
      </c>
      <c r="K27" s="18" t="s">
        <v>155</v>
      </c>
    </row>
    <row r="28" spans="1:12" x14ac:dyDescent="0.25">
      <c r="A28" s="19" t="s">
        <v>30</v>
      </c>
      <c r="B28" s="25">
        <v>346</v>
      </c>
      <c r="C28" s="25">
        <v>395</v>
      </c>
      <c r="D28" s="25">
        <v>142</v>
      </c>
      <c r="E28" s="21">
        <v>0.99044826328171343</v>
      </c>
      <c r="F28" s="21">
        <v>0.3219558140172134</v>
      </c>
      <c r="G28" s="21">
        <v>0.99044826328171343</v>
      </c>
      <c r="H28" s="21">
        <v>0.3219558140172134</v>
      </c>
      <c r="I28" s="22">
        <v>16</v>
      </c>
      <c r="J28" s="22">
        <v>22</v>
      </c>
      <c r="K28" s="21">
        <v>0.32606588756765942</v>
      </c>
    </row>
    <row r="30" spans="1:12" x14ac:dyDescent="0.25">
      <c r="A30" t="s">
        <v>241</v>
      </c>
    </row>
    <row r="31" spans="1:12" x14ac:dyDescent="0.25">
      <c r="A31" s="57" t="s">
        <v>242</v>
      </c>
      <c r="B31" s="59" t="s">
        <v>243</v>
      </c>
      <c r="C31" s="58"/>
      <c r="D31" s="58"/>
    </row>
    <row r="32" spans="1:12" ht="38.25" x14ac:dyDescent="0.25">
      <c r="A32" s="58"/>
      <c r="B32" s="18" t="s">
        <v>244</v>
      </c>
      <c r="C32" s="18" t="s">
        <v>130</v>
      </c>
      <c r="D32" s="18" t="s">
        <v>131</v>
      </c>
    </row>
    <row r="33" spans="1:4" x14ac:dyDescent="0.25">
      <c r="A33" s="19" t="s">
        <v>245</v>
      </c>
      <c r="B33" s="24">
        <v>2.364995</v>
      </c>
      <c r="C33" s="21">
        <v>-0.58137819999999996</v>
      </c>
      <c r="D33" s="21">
        <v>0.18967819999999999</v>
      </c>
    </row>
    <row r="34" spans="1:4" x14ac:dyDescent="0.25">
      <c r="A34" s="19" t="s">
        <v>246</v>
      </c>
      <c r="B34" s="24">
        <v>10.643990000000001</v>
      </c>
      <c r="C34" s="21">
        <v>0.55912720000000005</v>
      </c>
      <c r="D34" s="21">
        <v>1.208861</v>
      </c>
    </row>
    <row r="35" spans="1:4" x14ac:dyDescent="0.25">
      <c r="A35" s="19" t="s">
        <v>247</v>
      </c>
      <c r="B35" s="24"/>
      <c r="C35" s="21">
        <v>1.9534590000000001E-2</v>
      </c>
      <c r="D35" s="21">
        <v>3.0859369999999999</v>
      </c>
    </row>
    <row r="36" spans="1:4" x14ac:dyDescent="0.25">
      <c r="A36" s="57" t="s">
        <v>248</v>
      </c>
      <c r="B36" s="59" t="s">
        <v>249</v>
      </c>
      <c r="C36" s="58"/>
      <c r="D36" s="58"/>
    </row>
    <row r="37" spans="1:4" x14ac:dyDescent="0.25">
      <c r="A37" s="58"/>
      <c r="B37" s="18" t="s">
        <v>250</v>
      </c>
      <c r="C37" s="18" t="s">
        <v>251</v>
      </c>
      <c r="D37" s="18" t="s">
        <v>252</v>
      </c>
    </row>
    <row r="38" spans="1:4" x14ac:dyDescent="0.25">
      <c r="A38" s="19" t="s">
        <v>253</v>
      </c>
      <c r="B38" s="21">
        <v>0</v>
      </c>
      <c r="C38" s="21">
        <v>0.50660011527160753</v>
      </c>
      <c r="D38" s="21">
        <v>-0.50660011527160753</v>
      </c>
    </row>
    <row r="39" spans="1:4" x14ac:dyDescent="0.25">
      <c r="A39" s="19" t="s">
        <v>254</v>
      </c>
      <c r="B39" s="21">
        <v>0</v>
      </c>
      <c r="C39" s="21">
        <v>0.39733807574619978</v>
      </c>
      <c r="D39" s="21">
        <v>-0.39733807574619978</v>
      </c>
    </row>
    <row r="40" spans="1:4" x14ac:dyDescent="0.25">
      <c r="A40" s="19" t="s">
        <v>255</v>
      </c>
      <c r="B40" s="21">
        <v>0</v>
      </c>
      <c r="C40" s="21">
        <v>0.45035958471532778</v>
      </c>
      <c r="D40" s="21">
        <v>-0.45035958471532778</v>
      </c>
    </row>
    <row r="41" spans="1:4" x14ac:dyDescent="0.25">
      <c r="A41" s="19" t="s">
        <v>256</v>
      </c>
      <c r="B41" s="21">
        <v>0</v>
      </c>
      <c r="C41" s="21">
        <v>0.51535549439001804</v>
      </c>
      <c r="D41" s="21">
        <v>-0.51535549439001804</v>
      </c>
    </row>
    <row r="42" spans="1:4" x14ac:dyDescent="0.25">
      <c r="A42" s="19" t="s">
        <v>257</v>
      </c>
      <c r="B42" s="21">
        <v>0</v>
      </c>
      <c r="C42" s="21">
        <v>0.64367969379453416</v>
      </c>
      <c r="D42" s="21">
        <v>-0.64367969379453416</v>
      </c>
    </row>
    <row r="43" spans="1:4" x14ac:dyDescent="0.25">
      <c r="A43" s="19" t="s">
        <v>258</v>
      </c>
      <c r="B43" s="21">
        <v>0</v>
      </c>
      <c r="C43" s="21">
        <v>0.55049166703955954</v>
      </c>
      <c r="D43" s="21">
        <v>-0.55049166703955954</v>
      </c>
    </row>
    <row r="44" spans="1:4" x14ac:dyDescent="0.25">
      <c r="A44" s="19" t="s">
        <v>259</v>
      </c>
      <c r="B44" s="21">
        <v>0</v>
      </c>
      <c r="C44" s="21">
        <v>0.44684813030915504</v>
      </c>
      <c r="D44" s="21">
        <v>-0.44684813030915504</v>
      </c>
    </row>
    <row r="45" spans="1:4" x14ac:dyDescent="0.25">
      <c r="A45" s="19" t="s">
        <v>260</v>
      </c>
      <c r="B45" s="21">
        <v>0</v>
      </c>
      <c r="C45" s="21">
        <v>0.40308865031822472</v>
      </c>
      <c r="D45" s="21">
        <v>-0.40308865031822472</v>
      </c>
    </row>
    <row r="46" spans="1:4" x14ac:dyDescent="0.25">
      <c r="A46" s="19" t="s">
        <v>261</v>
      </c>
      <c r="B46" s="21">
        <v>0</v>
      </c>
      <c r="C46" s="21">
        <v>0.66707217863749235</v>
      </c>
      <c r="D46" s="21">
        <v>-0.66707217863749235</v>
      </c>
    </row>
    <row r="47" spans="1:4" x14ac:dyDescent="0.25">
      <c r="A47" s="19" t="s">
        <v>262</v>
      </c>
      <c r="B47" s="21">
        <v>0</v>
      </c>
      <c r="C47" s="21">
        <v>0.44399743116416746</v>
      </c>
      <c r="D47" s="21">
        <v>-0.44399743116416746</v>
      </c>
    </row>
    <row r="48" spans="1:4" x14ac:dyDescent="0.25">
      <c r="A48" s="19" t="s">
        <v>263</v>
      </c>
      <c r="B48" s="21">
        <v>0</v>
      </c>
      <c r="C48" s="21">
        <v>0.56497691633678337</v>
      </c>
      <c r="D48" s="21">
        <v>-0.56497691633678337</v>
      </c>
    </row>
    <row r="49" spans="1:4" x14ac:dyDescent="0.25">
      <c r="A49" s="19" t="s">
        <v>264</v>
      </c>
      <c r="B49" s="21">
        <v>0</v>
      </c>
      <c r="C49" s="21">
        <v>0.42581932866147271</v>
      </c>
      <c r="D49" s="21">
        <v>-0.42581932866147271</v>
      </c>
    </row>
    <row r="50" spans="1:4" x14ac:dyDescent="0.25">
      <c r="A50" s="19" t="s">
        <v>265</v>
      </c>
      <c r="B50" s="21">
        <v>0</v>
      </c>
      <c r="C50" s="21">
        <v>0.65791091862258222</v>
      </c>
      <c r="D50" s="21">
        <v>-0.65791091862258222</v>
      </c>
    </row>
    <row r="51" spans="1:4" x14ac:dyDescent="0.25">
      <c r="A51" s="19" t="s">
        <v>266</v>
      </c>
      <c r="B51" s="21">
        <v>0</v>
      </c>
      <c r="C51" s="21">
        <v>0.4844596679189288</v>
      </c>
      <c r="D51" s="21">
        <v>-0.4844596679189288</v>
      </c>
    </row>
    <row r="52" spans="1:4" x14ac:dyDescent="0.25">
      <c r="A52" s="19" t="s">
        <v>267</v>
      </c>
      <c r="B52" s="21">
        <v>0</v>
      </c>
      <c r="C52" s="21">
        <v>0.73528945438276094</v>
      </c>
      <c r="D52" s="21">
        <v>-0.73528945438276094</v>
      </c>
    </row>
    <row r="53" spans="1:4" x14ac:dyDescent="0.25">
      <c r="A53" s="19" t="s">
        <v>268</v>
      </c>
      <c r="B53" s="21">
        <v>0</v>
      </c>
      <c r="C53" s="21">
        <v>0.60768781460631482</v>
      </c>
      <c r="D53" s="21">
        <v>-0.60768781460631482</v>
      </c>
    </row>
    <row r="54" spans="1:4" x14ac:dyDescent="0.25">
      <c r="A54" s="19" t="s">
        <v>269</v>
      </c>
      <c r="B54" s="21">
        <v>1</v>
      </c>
      <c r="C54" s="21">
        <v>0.67695503783434474</v>
      </c>
      <c r="D54" s="21">
        <v>0.32304496216565526</v>
      </c>
    </row>
    <row r="55" spans="1:4" x14ac:dyDescent="0.25">
      <c r="A55" s="19" t="s">
        <v>270</v>
      </c>
      <c r="B55" s="21">
        <v>1</v>
      </c>
      <c r="C55" s="21">
        <v>0.42760779940048232</v>
      </c>
      <c r="D55" s="21">
        <v>0.57239220059951768</v>
      </c>
    </row>
    <row r="56" spans="1:4" x14ac:dyDescent="0.25">
      <c r="A56" s="19" t="s">
        <v>271</v>
      </c>
      <c r="B56" s="21">
        <v>1</v>
      </c>
      <c r="C56" s="21">
        <v>0.62987541125270308</v>
      </c>
      <c r="D56" s="21">
        <v>0.37012458874729692</v>
      </c>
    </row>
    <row r="57" spans="1:4" x14ac:dyDescent="0.25">
      <c r="A57" s="19" t="s">
        <v>272</v>
      </c>
      <c r="B57" s="21">
        <v>1</v>
      </c>
      <c r="C57" s="21">
        <v>0.63760530009546112</v>
      </c>
      <c r="D57" s="21">
        <v>0.36239469990453888</v>
      </c>
    </row>
    <row r="58" spans="1:4" x14ac:dyDescent="0.25">
      <c r="A58" s="19" t="s">
        <v>273</v>
      </c>
      <c r="B58" s="21">
        <v>1</v>
      </c>
      <c r="C58" s="21">
        <v>0.73637791813079201</v>
      </c>
      <c r="D58" s="21">
        <v>0.26362208186920799</v>
      </c>
    </row>
    <row r="59" spans="1:4" x14ac:dyDescent="0.25">
      <c r="A59" s="19" t="s">
        <v>274</v>
      </c>
      <c r="B59" s="21">
        <v>1</v>
      </c>
      <c r="C59" s="21">
        <v>0.62053804356192843</v>
      </c>
      <c r="D59" s="21">
        <v>0.37946195643807157</v>
      </c>
    </row>
    <row r="60" spans="1:4" x14ac:dyDescent="0.25">
      <c r="A60" s="19" t="s">
        <v>275</v>
      </c>
      <c r="B60" s="21">
        <v>1</v>
      </c>
      <c r="C60" s="21">
        <v>0.58790562440838678</v>
      </c>
      <c r="D60" s="21">
        <v>0.41209437559161322</v>
      </c>
    </row>
    <row r="61" spans="1:4" x14ac:dyDescent="0.25">
      <c r="A61" s="19" t="s">
        <v>276</v>
      </c>
      <c r="B61" s="21">
        <v>1</v>
      </c>
      <c r="C61" s="21">
        <v>0.71338584888503687</v>
      </c>
      <c r="D61" s="21">
        <v>0.28661415111496313</v>
      </c>
    </row>
    <row r="62" spans="1:4" x14ac:dyDescent="0.25">
      <c r="A62" s="19" t="s">
        <v>277</v>
      </c>
      <c r="B62" s="21">
        <v>1</v>
      </c>
      <c r="C62" s="21">
        <v>0.38653902845144777</v>
      </c>
      <c r="D62" s="21">
        <v>0.61346097154855217</v>
      </c>
    </row>
    <row r="63" spans="1:4" x14ac:dyDescent="0.25">
      <c r="A63" s="19" t="s">
        <v>278</v>
      </c>
      <c r="B63" s="21">
        <v>1</v>
      </c>
      <c r="C63" s="21">
        <v>0.7146605545176995</v>
      </c>
      <c r="D63" s="21">
        <v>0.2853394454823005</v>
      </c>
    </row>
    <row r="64" spans="1:4" x14ac:dyDescent="0.25">
      <c r="A64" s="19" t="s">
        <v>279</v>
      </c>
      <c r="B64" s="21">
        <v>1</v>
      </c>
      <c r="C64" s="21">
        <v>0.61782488158659832</v>
      </c>
      <c r="D64" s="21">
        <v>0.38217511841340168</v>
      </c>
    </row>
    <row r="65" spans="1:4" x14ac:dyDescent="0.25">
      <c r="A65" s="19" t="s">
        <v>280</v>
      </c>
      <c r="B65" s="21">
        <v>1</v>
      </c>
      <c r="C65" s="21">
        <v>0.96144222145150782</v>
      </c>
      <c r="D65" s="21">
        <v>3.8557778548492183E-2</v>
      </c>
    </row>
    <row r="66" spans="1:4" x14ac:dyDescent="0.25">
      <c r="A66" s="19" t="s">
        <v>281</v>
      </c>
      <c r="B66" s="21">
        <v>1</v>
      </c>
      <c r="C66" s="21">
        <v>0.347704271003351</v>
      </c>
      <c r="D66" s="21">
        <v>0.652295728996649</v>
      </c>
    </row>
    <row r="67" spans="1:4" x14ac:dyDescent="0.25">
      <c r="A67" s="19" t="s">
        <v>282</v>
      </c>
      <c r="B67" s="21">
        <v>1</v>
      </c>
      <c r="C67" s="21">
        <v>0.59903826325587373</v>
      </c>
      <c r="D67" s="21">
        <v>0.40096173674412627</v>
      </c>
    </row>
    <row r="68" spans="1:4" x14ac:dyDescent="0.25">
      <c r="A68" s="19" t="s">
        <v>283</v>
      </c>
      <c r="B68" s="21">
        <v>1</v>
      </c>
      <c r="C68" s="21">
        <v>0.47086583081781241</v>
      </c>
      <c r="D68" s="21">
        <v>0.52913416918218759</v>
      </c>
    </row>
    <row r="69" spans="1:4" x14ac:dyDescent="0.25">
      <c r="A69" s="19" t="s">
        <v>284</v>
      </c>
      <c r="B69" s="21">
        <v>1</v>
      </c>
      <c r="C69" s="21">
        <v>0.52320724342921787</v>
      </c>
      <c r="D69" s="21">
        <v>0.47679275657078213</v>
      </c>
    </row>
    <row r="70" spans="1:4" x14ac:dyDescent="0.25">
      <c r="A70" s="19" t="s">
        <v>285</v>
      </c>
      <c r="B70" s="21">
        <v>1</v>
      </c>
      <c r="C70" s="21">
        <v>0.56395316297772491</v>
      </c>
      <c r="D70" s="21">
        <v>0.43604683702227509</v>
      </c>
    </row>
    <row r="71" spans="1:4" x14ac:dyDescent="0.25">
      <c r="A71" s="19" t="s">
        <v>286</v>
      </c>
      <c r="B71" s="21">
        <v>1</v>
      </c>
      <c r="C71" s="21">
        <v>0.3529695122200347</v>
      </c>
      <c r="D71" s="21">
        <v>0.6470304877799653</v>
      </c>
    </row>
    <row r="72" spans="1:4" x14ac:dyDescent="0.25">
      <c r="A72" s="19" t="s">
        <v>287</v>
      </c>
      <c r="B72" s="21">
        <v>1</v>
      </c>
      <c r="C72" s="21">
        <v>0.57546036266702461</v>
      </c>
      <c r="D72" s="21">
        <v>0.42453963733297539</v>
      </c>
    </row>
    <row r="73" spans="1:4" x14ac:dyDescent="0.25">
      <c r="A73" s="19" t="s">
        <v>288</v>
      </c>
      <c r="B73" s="21">
        <v>1</v>
      </c>
      <c r="C73" s="21">
        <v>0.63881601844726421</v>
      </c>
      <c r="D73" s="21">
        <v>0.36118398155273579</v>
      </c>
    </row>
    <row r="74" spans="1:4" x14ac:dyDescent="0.25">
      <c r="A74" s="19" t="s">
        <v>289</v>
      </c>
      <c r="B74" s="21">
        <v>1</v>
      </c>
      <c r="C74" s="21">
        <v>0.76228338585538846</v>
      </c>
      <c r="D74" s="21">
        <v>0.23771661414461154</v>
      </c>
    </row>
    <row r="75" spans="1:4" x14ac:dyDescent="0.25">
      <c r="A75" s="19" t="s">
        <v>290</v>
      </c>
      <c r="B75" s="21">
        <v>1</v>
      </c>
      <c r="C75" s="21">
        <v>0.95400915574190148</v>
      </c>
      <c r="D75" s="21">
        <v>4.5990844258098518E-2</v>
      </c>
    </row>
  </sheetData>
  <mergeCells count="16">
    <mergeCell ref="A36:A37"/>
    <mergeCell ref="B36:D36"/>
    <mergeCell ref="A22:A23"/>
    <mergeCell ref="B22:K22"/>
    <mergeCell ref="A26:A27"/>
    <mergeCell ref="B26:K26"/>
    <mergeCell ref="A31:A32"/>
    <mergeCell ref="B31:D31"/>
    <mergeCell ref="A18:A19"/>
    <mergeCell ref="B18:K18"/>
    <mergeCell ref="A1:A2"/>
    <mergeCell ref="B1:U1"/>
    <mergeCell ref="A7:A8"/>
    <mergeCell ref="B7:K7"/>
    <mergeCell ref="A12:A13"/>
    <mergeCell ref="B12:U12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55C78-55BA-4F27-A730-DBF10FBA4817}">
  <dimension ref="A3:I37"/>
  <sheetViews>
    <sheetView topLeftCell="A20" workbookViewId="0">
      <selection activeCell="A23" sqref="A23"/>
    </sheetView>
  </sheetViews>
  <sheetFormatPr defaultRowHeight="15" x14ac:dyDescent="0.25"/>
  <cols>
    <col min="1" max="1" width="28" bestFit="1" customWidth="1"/>
    <col min="2" max="2" width="20.85546875" bestFit="1" customWidth="1"/>
    <col min="3" max="3" width="5" bestFit="1" customWidth="1"/>
    <col min="4" max="4" width="11.85546875" bestFit="1" customWidth="1"/>
    <col min="5" max="5" width="13.7109375" bestFit="1" customWidth="1"/>
    <col min="6" max="6" width="6" bestFit="1" customWidth="1"/>
    <col min="7" max="7" width="7.5703125" bestFit="1" customWidth="1"/>
    <col min="8" max="8" width="10.85546875" bestFit="1" customWidth="1"/>
    <col min="9" max="9" width="11.85546875" bestFit="1" customWidth="1"/>
  </cols>
  <sheetData>
    <row r="3" spans="1:9" x14ac:dyDescent="0.25">
      <c r="A3" s="49" t="s">
        <v>307</v>
      </c>
      <c r="B3" s="49" t="s">
        <v>305</v>
      </c>
    </row>
    <row r="4" spans="1:9" x14ac:dyDescent="0.25">
      <c r="A4" s="49" t="s">
        <v>303</v>
      </c>
      <c r="B4" t="s">
        <v>27</v>
      </c>
      <c r="C4" t="s">
        <v>24</v>
      </c>
      <c r="D4" t="s">
        <v>19</v>
      </c>
      <c r="E4" t="s">
        <v>28</v>
      </c>
      <c r="F4" t="s">
        <v>26</v>
      </c>
      <c r="G4" t="s">
        <v>25</v>
      </c>
      <c r="H4" t="s">
        <v>22</v>
      </c>
      <c r="I4" t="s">
        <v>304</v>
      </c>
    </row>
    <row r="5" spans="1:9" x14ac:dyDescent="0.25">
      <c r="A5" s="50">
        <v>1</v>
      </c>
      <c r="C5">
        <v>1</v>
      </c>
      <c r="I5">
        <v>1</v>
      </c>
    </row>
    <row r="6" spans="1:9" x14ac:dyDescent="0.25">
      <c r="A6" s="50">
        <v>2</v>
      </c>
      <c r="E6">
        <v>1</v>
      </c>
      <c r="H6">
        <v>3</v>
      </c>
      <c r="I6">
        <v>4</v>
      </c>
    </row>
    <row r="7" spans="1:9" x14ac:dyDescent="0.25">
      <c r="A7" s="50">
        <v>3</v>
      </c>
      <c r="C7">
        <v>1</v>
      </c>
      <c r="F7">
        <v>1</v>
      </c>
      <c r="H7">
        <v>9</v>
      </c>
      <c r="I7">
        <v>11</v>
      </c>
    </row>
    <row r="8" spans="1:9" x14ac:dyDescent="0.25">
      <c r="A8" s="50">
        <v>4</v>
      </c>
      <c r="D8">
        <v>3</v>
      </c>
      <c r="H8">
        <v>1</v>
      </c>
      <c r="I8">
        <v>4</v>
      </c>
    </row>
    <row r="9" spans="1:9" x14ac:dyDescent="0.25">
      <c r="A9" s="50">
        <v>5</v>
      </c>
      <c r="B9">
        <v>1</v>
      </c>
      <c r="G9">
        <v>2</v>
      </c>
      <c r="H9">
        <v>2</v>
      </c>
      <c r="I9">
        <v>5</v>
      </c>
    </row>
    <row r="10" spans="1:9" x14ac:dyDescent="0.25">
      <c r="A10" s="50">
        <v>8</v>
      </c>
      <c r="D10">
        <v>4</v>
      </c>
      <c r="H10">
        <v>5</v>
      </c>
      <c r="I10">
        <v>9</v>
      </c>
    </row>
    <row r="11" spans="1:9" x14ac:dyDescent="0.25">
      <c r="A11" s="50">
        <v>11</v>
      </c>
      <c r="H11">
        <v>2</v>
      </c>
      <c r="I11">
        <v>2</v>
      </c>
    </row>
    <row r="12" spans="1:9" x14ac:dyDescent="0.25">
      <c r="A12" s="50">
        <v>13</v>
      </c>
      <c r="B12">
        <v>2</v>
      </c>
      <c r="C12">
        <v>1</v>
      </c>
      <c r="D12">
        <v>1</v>
      </c>
      <c r="H12">
        <v>12</v>
      </c>
      <c r="I12">
        <v>16</v>
      </c>
    </row>
    <row r="13" spans="1:9" x14ac:dyDescent="0.25">
      <c r="A13" s="50">
        <v>16</v>
      </c>
      <c r="H13">
        <v>1</v>
      </c>
      <c r="I13">
        <v>1</v>
      </c>
    </row>
    <row r="14" spans="1:9" x14ac:dyDescent="0.25">
      <c r="A14" s="50">
        <v>22</v>
      </c>
      <c r="D14">
        <v>2</v>
      </c>
      <c r="I14">
        <v>2</v>
      </c>
    </row>
    <row r="15" spans="1:9" x14ac:dyDescent="0.25">
      <c r="A15" s="50">
        <v>26</v>
      </c>
      <c r="D15">
        <v>1</v>
      </c>
      <c r="H15">
        <v>1</v>
      </c>
      <c r="I15">
        <v>2</v>
      </c>
    </row>
    <row r="16" spans="1:9" x14ac:dyDescent="0.25">
      <c r="A16" s="50" t="s">
        <v>306</v>
      </c>
    </row>
    <row r="17" spans="1:9" x14ac:dyDescent="0.25">
      <c r="A17" s="50" t="s">
        <v>304</v>
      </c>
      <c r="B17">
        <v>3</v>
      </c>
      <c r="C17">
        <v>3</v>
      </c>
      <c r="D17">
        <v>11</v>
      </c>
      <c r="E17">
        <v>1</v>
      </c>
      <c r="F17">
        <v>1</v>
      </c>
      <c r="G17">
        <v>2</v>
      </c>
      <c r="H17">
        <v>36</v>
      </c>
      <c r="I17">
        <v>57</v>
      </c>
    </row>
    <row r="23" spans="1:9" x14ac:dyDescent="0.25">
      <c r="A23" s="49" t="s">
        <v>307</v>
      </c>
      <c r="B23" s="49" t="s">
        <v>305</v>
      </c>
    </row>
    <row r="24" spans="1:9" x14ac:dyDescent="0.25">
      <c r="A24" s="49" t="s">
        <v>303</v>
      </c>
      <c r="B24" t="s">
        <v>21</v>
      </c>
      <c r="C24" t="s">
        <v>18</v>
      </c>
      <c r="D24" t="s">
        <v>304</v>
      </c>
    </row>
    <row r="25" spans="1:9" x14ac:dyDescent="0.25">
      <c r="A25" s="50">
        <v>1</v>
      </c>
      <c r="C25">
        <v>1</v>
      </c>
      <c r="D25">
        <v>1</v>
      </c>
    </row>
    <row r="26" spans="1:9" x14ac:dyDescent="0.25">
      <c r="A26" s="50">
        <v>2</v>
      </c>
      <c r="B26">
        <v>3</v>
      </c>
      <c r="C26">
        <v>1</v>
      </c>
      <c r="D26">
        <v>4</v>
      </c>
    </row>
    <row r="27" spans="1:9" x14ac:dyDescent="0.25">
      <c r="A27" s="50">
        <v>3</v>
      </c>
      <c r="B27">
        <v>8</v>
      </c>
      <c r="C27">
        <v>3</v>
      </c>
      <c r="D27">
        <v>11</v>
      </c>
    </row>
    <row r="28" spans="1:9" x14ac:dyDescent="0.25">
      <c r="A28" s="50">
        <v>4</v>
      </c>
      <c r="B28">
        <v>2</v>
      </c>
      <c r="C28">
        <v>2</v>
      </c>
      <c r="D28">
        <v>4</v>
      </c>
    </row>
    <row r="29" spans="1:9" x14ac:dyDescent="0.25">
      <c r="A29" s="50">
        <v>5</v>
      </c>
      <c r="B29">
        <v>5</v>
      </c>
      <c r="D29">
        <v>5</v>
      </c>
    </row>
    <row r="30" spans="1:9" x14ac:dyDescent="0.25">
      <c r="A30" s="50">
        <v>8</v>
      </c>
      <c r="B30">
        <v>4</v>
      </c>
      <c r="C30">
        <v>5</v>
      </c>
      <c r="D30">
        <v>9</v>
      </c>
    </row>
    <row r="31" spans="1:9" x14ac:dyDescent="0.25">
      <c r="A31" s="50">
        <v>11</v>
      </c>
      <c r="B31">
        <v>1</v>
      </c>
      <c r="C31">
        <v>1</v>
      </c>
      <c r="D31">
        <v>2</v>
      </c>
    </row>
    <row r="32" spans="1:9" x14ac:dyDescent="0.25">
      <c r="A32" s="50">
        <v>13</v>
      </c>
      <c r="B32">
        <v>7</v>
      </c>
      <c r="C32">
        <v>9</v>
      </c>
      <c r="D32">
        <v>16</v>
      </c>
    </row>
    <row r="33" spans="1:4" x14ac:dyDescent="0.25">
      <c r="A33" s="50">
        <v>16</v>
      </c>
      <c r="C33">
        <v>1</v>
      </c>
      <c r="D33">
        <v>1</v>
      </c>
    </row>
    <row r="34" spans="1:4" x14ac:dyDescent="0.25">
      <c r="A34" s="50">
        <v>22</v>
      </c>
      <c r="B34">
        <v>2</v>
      </c>
      <c r="D34">
        <v>2</v>
      </c>
    </row>
    <row r="35" spans="1:4" x14ac:dyDescent="0.25">
      <c r="A35" s="50">
        <v>26</v>
      </c>
      <c r="C35">
        <v>2</v>
      </c>
      <c r="D35">
        <v>2</v>
      </c>
    </row>
    <row r="36" spans="1:4" x14ac:dyDescent="0.25">
      <c r="A36" s="50" t="s">
        <v>306</v>
      </c>
    </row>
    <row r="37" spans="1:4" x14ac:dyDescent="0.25">
      <c r="A37" s="50" t="s">
        <v>304</v>
      </c>
      <c r="B37">
        <v>32</v>
      </c>
      <c r="C37">
        <v>25</v>
      </c>
      <c r="D37">
        <v>57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66AC2-39F0-4DA3-AAE8-B139B3216DDC}">
  <sheetPr codeName="Лист5"/>
  <dimension ref="A1:J77"/>
  <sheetViews>
    <sheetView topLeftCell="A4" workbookViewId="0">
      <selection activeCell="J2" sqref="J2"/>
    </sheetView>
  </sheetViews>
  <sheetFormatPr defaultRowHeight="15" x14ac:dyDescent="0.25"/>
  <cols>
    <col min="1" max="1" width="6.28515625" bestFit="1" customWidth="1"/>
    <col min="2" max="2" width="7.5703125" bestFit="1" customWidth="1"/>
    <col min="3" max="3" width="8" bestFit="1" customWidth="1"/>
    <col min="4" max="4" width="6.42578125" bestFit="1" customWidth="1"/>
    <col min="5" max="5" width="12" bestFit="1" customWidth="1"/>
    <col min="6" max="6" width="10.5703125" bestFit="1" customWidth="1"/>
    <col min="7" max="7" width="16.140625" bestFit="1" customWidth="1"/>
    <col min="8" max="8" width="7.42578125" bestFit="1" customWidth="1"/>
    <col min="9" max="9" width="8" bestFit="1" customWidth="1"/>
    <col min="10" max="10" width="10.5703125" customWidth="1"/>
  </cols>
  <sheetData>
    <row r="1" spans="1:10" x14ac:dyDescent="0.25">
      <c r="A1" t="s">
        <v>5</v>
      </c>
      <c r="B1" t="s">
        <v>48</v>
      </c>
      <c r="C1" t="s">
        <v>80</v>
      </c>
      <c r="D1" t="s">
        <v>47</v>
      </c>
      <c r="E1" t="s">
        <v>129</v>
      </c>
      <c r="F1" t="s">
        <v>163</v>
      </c>
      <c r="G1" t="s">
        <v>296</v>
      </c>
      <c r="H1" t="s">
        <v>297</v>
      </c>
      <c r="I1" s="48" t="s">
        <v>100</v>
      </c>
      <c r="J1" s="48" t="s">
        <v>14</v>
      </c>
    </row>
    <row r="2" spans="1:10" x14ac:dyDescent="0.25">
      <c r="A2">
        <v>8</v>
      </c>
      <c r="B2" t="s">
        <v>51</v>
      </c>
      <c r="C2">
        <v>349000</v>
      </c>
      <c r="D2">
        <v>13</v>
      </c>
      <c r="E2">
        <v>5.5428254269591797</v>
      </c>
      <c r="F2" t="s">
        <v>165</v>
      </c>
      <c r="G2">
        <v>3</v>
      </c>
      <c r="H2">
        <v>13</v>
      </c>
      <c r="I2" t="str">
        <f>VLOOKUP(Пробы[[#This Row],[IDP]],Пациенты[],8,0)</f>
        <v>гетеросексуальный</v>
      </c>
      <c r="J2" t="str">
        <f>VLOOKUP(Пробы[[#This Row],[IDP]],Пациенты[],11,0)</f>
        <v>Челябинск</v>
      </c>
    </row>
    <row r="3" spans="1:10" x14ac:dyDescent="0.25">
      <c r="A3">
        <v>8</v>
      </c>
      <c r="B3" t="s">
        <v>50</v>
      </c>
      <c r="C3">
        <v>45700</v>
      </c>
      <c r="D3">
        <v>73</v>
      </c>
      <c r="E3">
        <v>4.6599162000698504</v>
      </c>
      <c r="F3" t="s">
        <v>165</v>
      </c>
      <c r="G3">
        <v>3</v>
      </c>
      <c r="H3">
        <v>73</v>
      </c>
      <c r="I3" t="str">
        <f>VLOOKUP(Пробы[[#This Row],[IDP]],Пациенты[],8,0)</f>
        <v>гетеросексуальный</v>
      </c>
      <c r="J3" t="str">
        <f>VLOOKUP(Пробы[[#This Row],[IDP]],Пациенты[],11,0)</f>
        <v>Челябинск</v>
      </c>
    </row>
    <row r="4" spans="1:10" x14ac:dyDescent="0.25">
      <c r="A4">
        <v>10</v>
      </c>
      <c r="B4" t="s">
        <v>51</v>
      </c>
      <c r="C4">
        <v>735000</v>
      </c>
      <c r="D4">
        <v>17</v>
      </c>
      <c r="E4">
        <v>5.8662873390841952</v>
      </c>
      <c r="I4" t="str">
        <f>VLOOKUP(Пробы[[#This Row],[IDP]],Пациенты[],8,0)</f>
        <v>гетеросексуальный</v>
      </c>
      <c r="J4" t="str">
        <f>VLOOKUP(Пробы[[#This Row],[IDP]],Пациенты[],11,0)</f>
        <v>Челябинск</v>
      </c>
    </row>
    <row r="5" spans="1:10" x14ac:dyDescent="0.25">
      <c r="A5">
        <v>10</v>
      </c>
      <c r="B5" t="s">
        <v>50</v>
      </c>
      <c r="C5">
        <v>2070</v>
      </c>
      <c r="D5">
        <v>77</v>
      </c>
      <c r="E5">
        <v>3.3159703454569178</v>
      </c>
      <c r="F5" t="s">
        <v>165</v>
      </c>
      <c r="G5">
        <v>3</v>
      </c>
      <c r="H5">
        <v>77</v>
      </c>
      <c r="I5" t="str">
        <f>VLOOKUP(Пробы[[#This Row],[IDP]],Пациенты[],8,0)</f>
        <v>гетеросексуальный</v>
      </c>
      <c r="J5" t="str">
        <f>VLOOKUP(Пробы[[#This Row],[IDP]],Пациенты[],11,0)</f>
        <v>Челябинск</v>
      </c>
    </row>
    <row r="6" spans="1:10" x14ac:dyDescent="0.25">
      <c r="A6">
        <v>11</v>
      </c>
      <c r="B6" t="s">
        <v>50</v>
      </c>
      <c r="C6">
        <v>528</v>
      </c>
      <c r="D6">
        <v>102</v>
      </c>
      <c r="E6">
        <v>2.7226339225338121</v>
      </c>
      <c r="F6" t="s">
        <v>165</v>
      </c>
      <c r="G6">
        <v>13</v>
      </c>
      <c r="H6">
        <v>102</v>
      </c>
      <c r="I6" t="str">
        <f>VLOOKUP(Пробы[[#This Row],[IDP]],Пациенты[],8,0)</f>
        <v>ПИН</v>
      </c>
      <c r="J6" t="str">
        <f>VLOOKUP(Пробы[[#This Row],[IDP]],Пациенты[],11,0)</f>
        <v>Челябинск</v>
      </c>
    </row>
    <row r="7" spans="1:10" x14ac:dyDescent="0.25">
      <c r="A7">
        <v>11</v>
      </c>
      <c r="B7" t="s">
        <v>51</v>
      </c>
      <c r="C7">
        <v>199000</v>
      </c>
      <c r="D7">
        <v>42</v>
      </c>
      <c r="E7">
        <v>5.2988530764097064</v>
      </c>
      <c r="F7" t="s">
        <v>165</v>
      </c>
      <c r="G7">
        <v>13</v>
      </c>
      <c r="H7">
        <v>42</v>
      </c>
      <c r="I7" t="str">
        <f>VLOOKUP(Пробы[[#This Row],[IDP]],Пациенты[],8,0)</f>
        <v>ПИН</v>
      </c>
      <c r="J7" t="str">
        <f>VLOOKUP(Пробы[[#This Row],[IDP]],Пациенты[],11,0)</f>
        <v>Челябинск</v>
      </c>
    </row>
    <row r="8" spans="1:10" x14ac:dyDescent="0.25">
      <c r="A8">
        <v>12</v>
      </c>
      <c r="B8" t="s">
        <v>50</v>
      </c>
      <c r="C8">
        <v>85036</v>
      </c>
      <c r="D8">
        <v>99</v>
      </c>
      <c r="E8">
        <v>4.9296028232604847</v>
      </c>
      <c r="F8" t="s">
        <v>165</v>
      </c>
      <c r="G8">
        <v>13</v>
      </c>
      <c r="H8">
        <v>99</v>
      </c>
      <c r="I8" t="str">
        <f>VLOOKUP(Пробы[[#This Row],[IDP]],Пациенты[],8,0)</f>
        <v>ПИН</v>
      </c>
      <c r="J8" t="str">
        <f>VLOOKUP(Пробы[[#This Row],[IDP]],Пациенты[],11,0)</f>
        <v>Челябинск</v>
      </c>
    </row>
    <row r="9" spans="1:10" x14ac:dyDescent="0.25">
      <c r="A9">
        <v>12</v>
      </c>
      <c r="B9" t="s">
        <v>51</v>
      </c>
      <c r="C9">
        <v>372000</v>
      </c>
      <c r="D9">
        <v>39</v>
      </c>
      <c r="E9">
        <v>5.5705429398818973</v>
      </c>
      <c r="F9" t="s">
        <v>165</v>
      </c>
      <c r="G9">
        <v>8</v>
      </c>
      <c r="H9">
        <v>39</v>
      </c>
      <c r="I9" t="str">
        <f>VLOOKUP(Пробы[[#This Row],[IDP]],Пациенты[],8,0)</f>
        <v>ПИН</v>
      </c>
      <c r="J9" t="str">
        <f>VLOOKUP(Пробы[[#This Row],[IDP]],Пациенты[],11,0)</f>
        <v>Челябинск</v>
      </c>
    </row>
    <row r="10" spans="1:10" x14ac:dyDescent="0.25">
      <c r="A10">
        <v>17</v>
      </c>
      <c r="B10" t="s">
        <v>51</v>
      </c>
      <c r="C10">
        <v>5880000</v>
      </c>
      <c r="D10">
        <v>51</v>
      </c>
      <c r="E10">
        <v>6.7693773260761381</v>
      </c>
      <c r="F10" t="s">
        <v>165</v>
      </c>
      <c r="G10">
        <v>2</v>
      </c>
      <c r="H10">
        <v>51</v>
      </c>
      <c r="I10" t="str">
        <f>VLOOKUP(Пробы[[#This Row],[IDP]],Пациенты[],8,0)</f>
        <v>ПИН</v>
      </c>
      <c r="J10" t="str">
        <f>VLOOKUP(Пробы[[#This Row],[IDP]],Пациенты[],11,0)</f>
        <v>Нязепетровск</v>
      </c>
    </row>
    <row r="11" spans="1:10" x14ac:dyDescent="0.25">
      <c r="A11">
        <v>17</v>
      </c>
      <c r="B11" t="s">
        <v>50</v>
      </c>
      <c r="C11">
        <v>91894</v>
      </c>
      <c r="D11">
        <v>111</v>
      </c>
      <c r="E11">
        <v>4.9632871560873273</v>
      </c>
      <c r="I11" t="str">
        <f>VLOOKUP(Пробы[[#This Row],[IDP]],Пациенты[],8,0)</f>
        <v>ПИН</v>
      </c>
      <c r="J11" t="str">
        <f>VLOOKUP(Пробы[[#This Row],[IDP]],Пациенты[],11,0)</f>
        <v>Нязепетровск</v>
      </c>
    </row>
    <row r="12" spans="1:10" x14ac:dyDescent="0.25">
      <c r="A12">
        <v>25</v>
      </c>
      <c r="B12" t="s">
        <v>51</v>
      </c>
      <c r="C12">
        <v>23300</v>
      </c>
      <c r="D12">
        <v>38</v>
      </c>
      <c r="E12">
        <v>4.3673559210260189</v>
      </c>
      <c r="F12" t="s">
        <v>165</v>
      </c>
      <c r="G12">
        <v>13</v>
      </c>
      <c r="H12">
        <v>38</v>
      </c>
      <c r="I12" t="str">
        <f>VLOOKUP(Пробы[[#This Row],[IDP]],Пациенты[],8,0)</f>
        <v>ПИН</v>
      </c>
      <c r="J12" t="str">
        <f>VLOOKUP(Пробы[[#This Row],[IDP]],Пациенты[],11,0)</f>
        <v>Миасс</v>
      </c>
    </row>
    <row r="13" spans="1:10" x14ac:dyDescent="0.25">
      <c r="A13">
        <v>25</v>
      </c>
      <c r="B13" t="s">
        <v>50</v>
      </c>
      <c r="C13">
        <v>7879</v>
      </c>
      <c r="D13">
        <v>98</v>
      </c>
      <c r="E13">
        <v>3.8964711004792774</v>
      </c>
      <c r="I13" t="str">
        <f>VLOOKUP(Пробы[[#This Row],[IDP]],Пациенты[],8,0)</f>
        <v>ПИН</v>
      </c>
      <c r="J13" t="str">
        <f>VLOOKUP(Пробы[[#This Row],[IDP]],Пациенты[],11,0)</f>
        <v>Миасс</v>
      </c>
    </row>
    <row r="14" spans="1:10" x14ac:dyDescent="0.25">
      <c r="A14">
        <v>26</v>
      </c>
      <c r="B14" t="s">
        <v>51</v>
      </c>
      <c r="C14">
        <v>32500</v>
      </c>
      <c r="D14">
        <v>23</v>
      </c>
      <c r="E14">
        <v>4.5118833609788744</v>
      </c>
      <c r="F14" t="s">
        <v>165</v>
      </c>
      <c r="G14">
        <v>3</v>
      </c>
      <c r="H14">
        <v>23</v>
      </c>
      <c r="I14" t="str">
        <f>VLOOKUP(Пробы[[#This Row],[IDP]],Пациенты[],8,0)</f>
        <v>ПИН</v>
      </c>
      <c r="J14" t="str">
        <f>VLOOKUP(Пробы[[#This Row],[IDP]],Пациенты[],11,0)</f>
        <v>Челябинск</v>
      </c>
    </row>
    <row r="15" spans="1:10" x14ac:dyDescent="0.25">
      <c r="A15">
        <v>26</v>
      </c>
      <c r="B15" t="s">
        <v>50</v>
      </c>
      <c r="C15">
        <v>30100</v>
      </c>
      <c r="D15">
        <v>83</v>
      </c>
      <c r="E15">
        <v>4.4785664955938431</v>
      </c>
      <c r="F15" t="s">
        <v>165</v>
      </c>
      <c r="G15">
        <v>3</v>
      </c>
      <c r="H15">
        <v>83</v>
      </c>
      <c r="I15" t="str">
        <f>VLOOKUP(Пробы[[#This Row],[IDP]],Пациенты[],8,0)</f>
        <v>ПИН</v>
      </c>
      <c r="J15" t="str">
        <f>VLOOKUP(Пробы[[#This Row],[IDP]],Пациенты[],11,0)</f>
        <v>Челябинск</v>
      </c>
    </row>
    <row r="16" spans="1:10" x14ac:dyDescent="0.25">
      <c r="A16">
        <v>27</v>
      </c>
      <c r="B16" t="s">
        <v>50</v>
      </c>
      <c r="C16">
        <v>28331</v>
      </c>
      <c r="D16">
        <v>100</v>
      </c>
      <c r="E16">
        <v>4.452261904093934</v>
      </c>
      <c r="F16" t="s">
        <v>165</v>
      </c>
      <c r="G16">
        <v>8</v>
      </c>
      <c r="H16">
        <v>100</v>
      </c>
      <c r="I16" t="str">
        <f>VLOOKUP(Пробы[[#This Row],[IDP]],Пациенты[],8,0)</f>
        <v>ПИН</v>
      </c>
      <c r="J16" t="str">
        <f>VLOOKUP(Пробы[[#This Row],[IDP]],Пациенты[],11,0)</f>
        <v>Миасс</v>
      </c>
    </row>
    <row r="17" spans="1:10" x14ac:dyDescent="0.25">
      <c r="A17">
        <v>27</v>
      </c>
      <c r="B17" t="s">
        <v>51</v>
      </c>
      <c r="C17">
        <v>17700</v>
      </c>
      <c r="D17">
        <v>40</v>
      </c>
      <c r="E17">
        <v>4.2479732663618064</v>
      </c>
      <c r="F17" t="s">
        <v>165</v>
      </c>
      <c r="G17">
        <v>8</v>
      </c>
      <c r="H17">
        <v>40</v>
      </c>
      <c r="I17" t="str">
        <f>VLOOKUP(Пробы[[#This Row],[IDP]],Пациенты[],8,0)</f>
        <v>ПИН</v>
      </c>
      <c r="J17" t="str">
        <f>VLOOKUP(Пробы[[#This Row],[IDP]],Пациенты[],11,0)</f>
        <v>Миасс</v>
      </c>
    </row>
    <row r="18" spans="1:10" x14ac:dyDescent="0.25">
      <c r="A18">
        <v>38</v>
      </c>
      <c r="B18" t="s">
        <v>50</v>
      </c>
      <c r="C18">
        <v>0</v>
      </c>
      <c r="D18">
        <v>87</v>
      </c>
      <c r="E18">
        <v>0</v>
      </c>
      <c r="I18" t="str">
        <f>VLOOKUP(Пробы[[#This Row],[IDP]],Пациенты[],8,0)</f>
        <v>гетеросексуальный</v>
      </c>
      <c r="J18" t="str">
        <f>VLOOKUP(Пробы[[#This Row],[IDP]],Пациенты[],11,0)</f>
        <v>Копейск</v>
      </c>
    </row>
    <row r="19" spans="1:10" x14ac:dyDescent="0.25">
      <c r="A19">
        <v>38</v>
      </c>
      <c r="B19" t="s">
        <v>51</v>
      </c>
      <c r="C19">
        <v>5240</v>
      </c>
      <c r="D19">
        <v>27</v>
      </c>
      <c r="E19">
        <v>3.7193312869837265</v>
      </c>
      <c r="F19" t="s">
        <v>165</v>
      </c>
      <c r="G19">
        <v>3</v>
      </c>
      <c r="H19">
        <v>27</v>
      </c>
      <c r="I19" t="str">
        <f>VLOOKUP(Пробы[[#This Row],[IDP]],Пациенты[],8,0)</f>
        <v>гетеросексуальный</v>
      </c>
      <c r="J19" t="str">
        <f>VLOOKUP(Пробы[[#This Row],[IDP]],Пациенты[],11,0)</f>
        <v>Копейск</v>
      </c>
    </row>
    <row r="20" spans="1:10" x14ac:dyDescent="0.25">
      <c r="A20">
        <v>39</v>
      </c>
      <c r="B20" t="s">
        <v>50</v>
      </c>
      <c r="C20">
        <v>44281</v>
      </c>
      <c r="D20">
        <v>101</v>
      </c>
      <c r="E20">
        <v>4.6462174200110669</v>
      </c>
      <c r="F20" t="s">
        <v>165</v>
      </c>
      <c r="G20">
        <v>8</v>
      </c>
      <c r="H20">
        <v>101</v>
      </c>
      <c r="I20" t="str">
        <f>VLOOKUP(Пробы[[#This Row],[IDP]],Пациенты[],8,0)</f>
        <v>гетеросексуальный</v>
      </c>
      <c r="J20" t="str">
        <f>VLOOKUP(Пробы[[#This Row],[IDP]],Пациенты[],11,0)</f>
        <v>Челябинск</v>
      </c>
    </row>
    <row r="21" spans="1:10" x14ac:dyDescent="0.25">
      <c r="A21">
        <v>39</v>
      </c>
      <c r="B21" t="s">
        <v>51</v>
      </c>
      <c r="C21">
        <v>893000</v>
      </c>
      <c r="D21">
        <v>41</v>
      </c>
      <c r="E21">
        <v>5.9508514588885468</v>
      </c>
      <c r="F21" t="s">
        <v>165</v>
      </c>
      <c r="G21">
        <v>3</v>
      </c>
      <c r="H21">
        <v>41</v>
      </c>
      <c r="I21" t="str">
        <f>VLOOKUP(Пробы[[#This Row],[IDP]],Пациенты[],8,0)</f>
        <v>гетеросексуальный</v>
      </c>
      <c r="J21" t="str">
        <f>VLOOKUP(Пробы[[#This Row],[IDP]],Пациенты[],11,0)</f>
        <v>Челябинск</v>
      </c>
    </row>
    <row r="22" spans="1:10" x14ac:dyDescent="0.25">
      <c r="A22">
        <v>40</v>
      </c>
      <c r="B22" t="s">
        <v>51</v>
      </c>
      <c r="C22">
        <v>3360000</v>
      </c>
      <c r="D22">
        <v>4</v>
      </c>
      <c r="E22">
        <v>6.5263392773898437</v>
      </c>
      <c r="F22" t="s">
        <v>165</v>
      </c>
      <c r="G22">
        <v>22</v>
      </c>
      <c r="H22">
        <v>4</v>
      </c>
      <c r="I22" t="str">
        <f>VLOOKUP(Пробы[[#This Row],[IDP]],Пациенты[],8,0)</f>
        <v>гетеросексуальный</v>
      </c>
      <c r="J22" t="str">
        <f>VLOOKUP(Пробы[[#This Row],[IDP]],Пациенты[],11,0)</f>
        <v>Миасс</v>
      </c>
    </row>
    <row r="23" spans="1:10" x14ac:dyDescent="0.25">
      <c r="A23">
        <v>40</v>
      </c>
      <c r="B23" t="s">
        <v>50</v>
      </c>
      <c r="C23">
        <v>292000</v>
      </c>
      <c r="D23">
        <v>64</v>
      </c>
      <c r="E23">
        <v>5.4653828514484184</v>
      </c>
      <c r="F23" t="s">
        <v>165</v>
      </c>
      <c r="G23">
        <v>22</v>
      </c>
      <c r="H23">
        <v>64</v>
      </c>
      <c r="I23" t="str">
        <f>VLOOKUP(Пробы[[#This Row],[IDP]],Пациенты[],8,0)</f>
        <v>гетеросексуальный</v>
      </c>
      <c r="J23" t="str">
        <f>VLOOKUP(Пробы[[#This Row],[IDP]],Пациенты[],11,0)</f>
        <v>Миасс</v>
      </c>
    </row>
    <row r="24" spans="1:10" x14ac:dyDescent="0.25">
      <c r="A24">
        <v>42</v>
      </c>
      <c r="B24" t="s">
        <v>51</v>
      </c>
      <c r="C24">
        <v>200</v>
      </c>
      <c r="D24">
        <v>11</v>
      </c>
      <c r="E24">
        <v>2.3010299956639813</v>
      </c>
      <c r="F24" t="s">
        <v>165</v>
      </c>
      <c r="G24">
        <v>3</v>
      </c>
      <c r="H24">
        <v>11</v>
      </c>
      <c r="I24" t="str">
        <f>VLOOKUP(Пробы[[#This Row],[IDP]],Пациенты[],8,0)</f>
        <v>ПИН</v>
      </c>
      <c r="J24" t="str">
        <f>VLOOKUP(Пробы[[#This Row],[IDP]],Пациенты[],11,0)</f>
        <v>Челябинск</v>
      </c>
    </row>
    <row r="25" spans="1:10" x14ac:dyDescent="0.25">
      <c r="A25">
        <v>42</v>
      </c>
      <c r="B25" t="s">
        <v>50</v>
      </c>
      <c r="C25">
        <v>0</v>
      </c>
      <c r="D25">
        <v>71</v>
      </c>
      <c r="E25">
        <v>0</v>
      </c>
      <c r="I25" t="str">
        <f>VLOOKUP(Пробы[[#This Row],[IDP]],Пациенты[],8,0)</f>
        <v>ПИН</v>
      </c>
      <c r="J25" t="str">
        <f>VLOOKUP(Пробы[[#This Row],[IDP]],Пациенты[],11,0)</f>
        <v>Челябинск</v>
      </c>
    </row>
    <row r="26" spans="1:10" x14ac:dyDescent="0.25">
      <c r="A26">
        <v>46</v>
      </c>
      <c r="B26" t="s">
        <v>51</v>
      </c>
      <c r="C26">
        <v>4200</v>
      </c>
      <c r="D26">
        <v>24</v>
      </c>
      <c r="E26">
        <v>3.6232492903979003</v>
      </c>
      <c r="F26" t="s">
        <v>165</v>
      </c>
      <c r="G26">
        <v>3</v>
      </c>
      <c r="H26">
        <v>24</v>
      </c>
      <c r="I26" t="str">
        <f>VLOOKUP(Пробы[[#This Row],[IDP]],Пациенты[],8,0)</f>
        <v>гетеросексуальный</v>
      </c>
      <c r="J26" t="str">
        <f>VLOOKUP(Пробы[[#This Row],[IDP]],Пациенты[],11,0)</f>
        <v>Челябинск</v>
      </c>
    </row>
    <row r="27" spans="1:10" x14ac:dyDescent="0.25">
      <c r="A27">
        <v>46</v>
      </c>
      <c r="B27" t="s">
        <v>50</v>
      </c>
      <c r="C27">
        <v>200</v>
      </c>
      <c r="D27">
        <v>84</v>
      </c>
      <c r="E27">
        <v>2.3010299956639813</v>
      </c>
      <c r="F27" t="s">
        <v>165</v>
      </c>
      <c r="G27">
        <v>3</v>
      </c>
      <c r="H27">
        <v>84</v>
      </c>
      <c r="I27" t="str">
        <f>VLOOKUP(Пробы[[#This Row],[IDP]],Пациенты[],8,0)</f>
        <v>гетеросексуальный</v>
      </c>
      <c r="J27" t="str">
        <f>VLOOKUP(Пробы[[#This Row],[IDP]],Пациенты[],11,0)</f>
        <v>Челябинск</v>
      </c>
    </row>
    <row r="28" spans="1:10" x14ac:dyDescent="0.25">
      <c r="A28">
        <v>48</v>
      </c>
      <c r="B28" t="s">
        <v>50</v>
      </c>
      <c r="C28">
        <v>80644</v>
      </c>
      <c r="D28">
        <v>110</v>
      </c>
      <c r="E28">
        <v>4.9065720609521977</v>
      </c>
      <c r="I28" t="str">
        <f>VLOOKUP(Пробы[[#This Row],[IDP]],Пациенты[],8,0)</f>
        <v>гетеросексуальный</v>
      </c>
      <c r="J28" t="str">
        <f>VLOOKUP(Пробы[[#This Row],[IDP]],Пациенты[],11,0)</f>
        <v>Еманжелинск</v>
      </c>
    </row>
    <row r="29" spans="1:10" x14ac:dyDescent="0.25">
      <c r="A29">
        <v>48</v>
      </c>
      <c r="B29" t="s">
        <v>51</v>
      </c>
      <c r="C29">
        <v>95100</v>
      </c>
      <c r="D29">
        <v>50</v>
      </c>
      <c r="E29">
        <v>4.9781805169374138</v>
      </c>
      <c r="F29" t="s">
        <v>165</v>
      </c>
      <c r="G29">
        <v>5</v>
      </c>
      <c r="H29">
        <v>50</v>
      </c>
      <c r="I29" t="str">
        <f>VLOOKUP(Пробы[[#This Row],[IDP]],Пациенты[],8,0)</f>
        <v>гетеросексуальный</v>
      </c>
      <c r="J29" t="str">
        <f>VLOOKUP(Пробы[[#This Row],[IDP]],Пациенты[],11,0)</f>
        <v>Еманжелинск</v>
      </c>
    </row>
    <row r="30" spans="1:10" x14ac:dyDescent="0.25">
      <c r="A30">
        <v>50</v>
      </c>
      <c r="B30" t="s">
        <v>51</v>
      </c>
      <c r="C30">
        <v>28500</v>
      </c>
      <c r="D30">
        <v>52</v>
      </c>
      <c r="E30">
        <v>4.4548448600085102</v>
      </c>
      <c r="F30" t="s">
        <v>165</v>
      </c>
      <c r="G30">
        <v>2</v>
      </c>
      <c r="H30">
        <v>52</v>
      </c>
      <c r="I30" t="str">
        <f>VLOOKUP(Пробы[[#This Row],[IDP]],Пациенты[],8,0)</f>
        <v>гетеросексуальный</v>
      </c>
      <c r="J30" t="str">
        <f>VLOOKUP(Пробы[[#This Row],[IDP]],Пациенты[],11,0)</f>
        <v>Челябинск</v>
      </c>
    </row>
    <row r="31" spans="1:10" x14ac:dyDescent="0.25">
      <c r="A31">
        <v>50</v>
      </c>
      <c r="B31" t="s">
        <v>50</v>
      </c>
      <c r="C31">
        <v>0</v>
      </c>
      <c r="D31">
        <v>112</v>
      </c>
      <c r="E31">
        <v>0</v>
      </c>
      <c r="I31" t="str">
        <f>VLOOKUP(Пробы[[#This Row],[IDP]],Пациенты[],8,0)</f>
        <v>гетеросексуальный</v>
      </c>
      <c r="J31" t="str">
        <f>VLOOKUP(Пробы[[#This Row],[IDP]],Пациенты[],11,0)</f>
        <v>Челябинск</v>
      </c>
    </row>
    <row r="32" spans="1:10" x14ac:dyDescent="0.25">
      <c r="A32">
        <v>52</v>
      </c>
      <c r="B32" t="s">
        <v>50</v>
      </c>
      <c r="C32">
        <v>3719</v>
      </c>
      <c r="D32">
        <v>109</v>
      </c>
      <c r="E32">
        <v>3.5704261783589728</v>
      </c>
      <c r="F32" t="s">
        <v>165</v>
      </c>
      <c r="G32">
        <v>13</v>
      </c>
      <c r="H32">
        <v>109</v>
      </c>
      <c r="I32" t="str">
        <f>VLOOKUP(Пробы[[#This Row],[IDP]],Пациенты[],8,0)</f>
        <v>ПИН</v>
      </c>
      <c r="J32" t="str">
        <f>VLOOKUP(Пробы[[#This Row],[IDP]],Пациенты[],11,0)</f>
        <v>Челябинск</v>
      </c>
    </row>
    <row r="33" spans="1:10" x14ac:dyDescent="0.25">
      <c r="A33">
        <v>52</v>
      </c>
      <c r="B33" t="s">
        <v>51</v>
      </c>
      <c r="C33">
        <v>60700</v>
      </c>
      <c r="D33">
        <v>49</v>
      </c>
      <c r="E33">
        <v>4.7831886910752575</v>
      </c>
      <c r="I33" t="str">
        <f>VLOOKUP(Пробы[[#This Row],[IDP]],Пациенты[],8,0)</f>
        <v>ПИН</v>
      </c>
      <c r="J33" t="str">
        <f>VLOOKUP(Пробы[[#This Row],[IDP]],Пациенты[],11,0)</f>
        <v>Челябинск</v>
      </c>
    </row>
    <row r="34" spans="1:10" x14ac:dyDescent="0.25">
      <c r="A34">
        <v>53</v>
      </c>
      <c r="B34" t="s">
        <v>51</v>
      </c>
      <c r="C34">
        <v>847000</v>
      </c>
      <c r="D34">
        <v>28</v>
      </c>
      <c r="E34">
        <v>5.9278834103307068</v>
      </c>
      <c r="F34" t="s">
        <v>165</v>
      </c>
      <c r="G34">
        <v>13</v>
      </c>
      <c r="H34">
        <v>28</v>
      </c>
      <c r="I34" t="str">
        <f>VLOOKUP(Пробы[[#This Row],[IDP]],Пациенты[],8,0)</f>
        <v>ПИН</v>
      </c>
      <c r="J34" t="str">
        <f>VLOOKUP(Пробы[[#This Row],[IDP]],Пациенты[],11,0)</f>
        <v>Челябинск</v>
      </c>
    </row>
    <row r="35" spans="1:10" x14ac:dyDescent="0.25">
      <c r="A35">
        <v>53</v>
      </c>
      <c r="B35" t="s">
        <v>50</v>
      </c>
      <c r="C35">
        <v>14572</v>
      </c>
      <c r="D35">
        <v>88</v>
      </c>
      <c r="E35">
        <v>4.1635191625698784</v>
      </c>
      <c r="F35" t="s">
        <v>165</v>
      </c>
      <c r="G35">
        <v>13</v>
      </c>
      <c r="H35">
        <v>88</v>
      </c>
      <c r="I35" t="str">
        <f>VLOOKUP(Пробы[[#This Row],[IDP]],Пациенты[],8,0)</f>
        <v>ПИН</v>
      </c>
      <c r="J35" t="str">
        <f>VLOOKUP(Пробы[[#This Row],[IDP]],Пациенты[],11,0)</f>
        <v>Челябинск</v>
      </c>
    </row>
    <row r="36" spans="1:10" x14ac:dyDescent="0.25">
      <c r="A36">
        <v>56</v>
      </c>
      <c r="B36" t="s">
        <v>51</v>
      </c>
      <c r="C36">
        <v>12400</v>
      </c>
      <c r="D36">
        <v>25</v>
      </c>
      <c r="E36">
        <v>4.0934216851622347</v>
      </c>
      <c r="F36" t="s">
        <v>165</v>
      </c>
      <c r="G36">
        <v>3</v>
      </c>
      <c r="H36">
        <v>25</v>
      </c>
      <c r="I36" t="str">
        <f>VLOOKUP(Пробы[[#This Row],[IDP]],Пациенты[],8,0)</f>
        <v>гетеросексуальный</v>
      </c>
      <c r="J36" t="str">
        <f>VLOOKUP(Пробы[[#This Row],[IDP]],Пациенты[],11,0)</f>
        <v>Сатка</v>
      </c>
    </row>
    <row r="37" spans="1:10" x14ac:dyDescent="0.25">
      <c r="A37">
        <v>56</v>
      </c>
      <c r="B37" t="s">
        <v>50</v>
      </c>
      <c r="C37">
        <v>469</v>
      </c>
      <c r="D37">
        <v>85</v>
      </c>
      <c r="E37">
        <v>2.6711728427150834</v>
      </c>
      <c r="I37" t="str">
        <f>VLOOKUP(Пробы[[#This Row],[IDP]],Пациенты[],8,0)</f>
        <v>гетеросексуальный</v>
      </c>
      <c r="J37" t="str">
        <f>VLOOKUP(Пробы[[#This Row],[IDP]],Пациенты[],11,0)</f>
        <v>Сатка</v>
      </c>
    </row>
    <row r="38" spans="1:10" x14ac:dyDescent="0.25">
      <c r="A38">
        <v>59</v>
      </c>
      <c r="B38" t="s">
        <v>51</v>
      </c>
      <c r="C38">
        <v>622000</v>
      </c>
      <c r="D38">
        <v>3</v>
      </c>
      <c r="E38">
        <v>5.7937903846908183</v>
      </c>
      <c r="F38" t="s">
        <v>165</v>
      </c>
      <c r="G38">
        <v>4</v>
      </c>
      <c r="H38">
        <v>3</v>
      </c>
      <c r="I38" t="str">
        <f>VLOOKUP(Пробы[[#This Row],[IDP]],Пациенты[],8,0)</f>
        <v>гетеросексуальный</v>
      </c>
      <c r="J38" t="str">
        <f>VLOOKUP(Пробы[[#This Row],[IDP]],Пациенты[],11,0)</f>
        <v>Миасс</v>
      </c>
    </row>
    <row r="39" spans="1:10" x14ac:dyDescent="0.25">
      <c r="A39">
        <v>59</v>
      </c>
      <c r="B39" t="s">
        <v>50</v>
      </c>
      <c r="C39">
        <v>47300</v>
      </c>
      <c r="D39">
        <v>63</v>
      </c>
      <c r="E39">
        <v>4.6748611407378116</v>
      </c>
      <c r="F39" t="s">
        <v>165</v>
      </c>
      <c r="G39">
        <v>4</v>
      </c>
      <c r="H39">
        <v>63</v>
      </c>
      <c r="I39" t="str">
        <f>VLOOKUP(Пробы[[#This Row],[IDP]],Пациенты[],8,0)</f>
        <v>гетеросексуальный</v>
      </c>
      <c r="J39" t="str">
        <f>VLOOKUP(Пробы[[#This Row],[IDP]],Пациенты[],11,0)</f>
        <v>Миасс</v>
      </c>
    </row>
    <row r="40" spans="1:10" x14ac:dyDescent="0.25">
      <c r="A40">
        <v>61</v>
      </c>
      <c r="B40" t="s">
        <v>50</v>
      </c>
      <c r="C40">
        <v>4548</v>
      </c>
      <c r="D40">
        <v>121</v>
      </c>
      <c r="E40">
        <v>3.6578204560156973</v>
      </c>
      <c r="F40" t="s">
        <v>165</v>
      </c>
      <c r="G40">
        <v>11</v>
      </c>
      <c r="H40">
        <v>121</v>
      </c>
      <c r="I40" t="str">
        <f>VLOOKUP(Пробы[[#This Row],[IDP]],Пациенты[],8,0)</f>
        <v>гетеросексуальный</v>
      </c>
      <c r="J40" t="str">
        <f>VLOOKUP(Пробы[[#This Row],[IDP]],Пациенты[],11,0)</f>
        <v>Челябинск</v>
      </c>
    </row>
    <row r="41" spans="1:10" x14ac:dyDescent="0.25">
      <c r="A41">
        <v>61</v>
      </c>
      <c r="B41" t="s">
        <v>51</v>
      </c>
      <c r="C41">
        <v>596309</v>
      </c>
      <c r="D41">
        <v>122</v>
      </c>
      <c r="E41">
        <v>5.7754713641350071</v>
      </c>
      <c r="I41" t="str">
        <f>VLOOKUP(Пробы[[#This Row],[IDP]],Пациенты[],8,0)</f>
        <v>гетеросексуальный</v>
      </c>
      <c r="J41" t="str">
        <f>VLOOKUP(Пробы[[#This Row],[IDP]],Пациенты[],11,0)</f>
        <v>Челябинск</v>
      </c>
    </row>
    <row r="42" spans="1:10" x14ac:dyDescent="0.25">
      <c r="A42">
        <v>64</v>
      </c>
      <c r="B42" t="s">
        <v>51</v>
      </c>
      <c r="C42">
        <v>4940</v>
      </c>
      <c r="D42">
        <v>5</v>
      </c>
      <c r="E42">
        <v>3.6937269489236471</v>
      </c>
      <c r="F42" t="s">
        <v>165</v>
      </c>
      <c r="G42">
        <v>13</v>
      </c>
      <c r="H42">
        <v>5</v>
      </c>
      <c r="I42" t="str">
        <f>VLOOKUP(Пробы[[#This Row],[IDP]],Пациенты[],8,0)</f>
        <v>гетеросексуальный</v>
      </c>
      <c r="J42" t="str">
        <f>VLOOKUP(Пробы[[#This Row],[IDP]],Пациенты[],11,0)</f>
        <v>Еманжелинск</v>
      </c>
    </row>
    <row r="43" spans="1:10" x14ac:dyDescent="0.25">
      <c r="A43">
        <v>64</v>
      </c>
      <c r="B43" t="s">
        <v>50</v>
      </c>
      <c r="C43">
        <v>200</v>
      </c>
      <c r="D43">
        <v>65</v>
      </c>
      <c r="E43">
        <v>2.3010299956639813</v>
      </c>
      <c r="F43" t="s">
        <v>165</v>
      </c>
      <c r="G43">
        <v>13</v>
      </c>
      <c r="H43">
        <v>65</v>
      </c>
      <c r="I43" t="str">
        <f>VLOOKUP(Пробы[[#This Row],[IDP]],Пациенты[],8,0)</f>
        <v>гетеросексуальный</v>
      </c>
      <c r="J43" t="str">
        <f>VLOOKUP(Пробы[[#This Row],[IDP]],Пациенты[],11,0)</f>
        <v>Еманжелинск</v>
      </c>
    </row>
    <row r="44" spans="1:10" x14ac:dyDescent="0.25">
      <c r="A44">
        <v>71</v>
      </c>
      <c r="B44" t="s">
        <v>50</v>
      </c>
      <c r="C44">
        <v>7100</v>
      </c>
      <c r="D44">
        <v>141</v>
      </c>
      <c r="E44">
        <v>3.8512583487190755</v>
      </c>
      <c r="F44" t="s">
        <v>165</v>
      </c>
      <c r="G44">
        <v>11</v>
      </c>
      <c r="H44">
        <v>141</v>
      </c>
      <c r="I44" t="str">
        <f>VLOOKUP(Пробы[[#This Row],[IDP]],Пациенты[],8,0)</f>
        <v>ПИН</v>
      </c>
      <c r="J44" t="str">
        <f>VLOOKUP(Пробы[[#This Row],[IDP]],Пациенты[],11,0)</f>
        <v>Челябинск</v>
      </c>
    </row>
    <row r="45" spans="1:10" x14ac:dyDescent="0.25">
      <c r="A45">
        <v>71</v>
      </c>
      <c r="B45" t="s">
        <v>51</v>
      </c>
      <c r="C45">
        <v>270000</v>
      </c>
      <c r="D45">
        <v>142</v>
      </c>
      <c r="E45">
        <v>5.4313637641589869</v>
      </c>
      <c r="I45" t="str">
        <f>VLOOKUP(Пробы[[#This Row],[IDP]],Пациенты[],8,0)</f>
        <v>ПИН</v>
      </c>
      <c r="J45" t="str">
        <f>VLOOKUP(Пробы[[#This Row],[IDP]],Пациенты[],11,0)</f>
        <v>Челябинск</v>
      </c>
    </row>
    <row r="46" spans="1:10" x14ac:dyDescent="0.25">
      <c r="A46">
        <v>73</v>
      </c>
      <c r="B46" t="s">
        <v>51</v>
      </c>
      <c r="C46">
        <v>5000</v>
      </c>
      <c r="D46">
        <v>146</v>
      </c>
      <c r="E46">
        <v>3.6989700043360187</v>
      </c>
      <c r="F46" t="s">
        <v>165</v>
      </c>
      <c r="G46">
        <v>26</v>
      </c>
      <c r="H46">
        <v>146</v>
      </c>
      <c r="I46" t="str">
        <f>VLOOKUP(Пробы[[#This Row],[IDP]],Пациенты[],8,0)</f>
        <v>ПИН</v>
      </c>
      <c r="J46" t="str">
        <f>VLOOKUP(Пробы[[#This Row],[IDP]],Пациенты[],11,0)</f>
        <v>Челябинск</v>
      </c>
    </row>
    <row r="47" spans="1:10" x14ac:dyDescent="0.25">
      <c r="A47">
        <v>73</v>
      </c>
      <c r="B47" t="s">
        <v>50</v>
      </c>
      <c r="C47">
        <v>18000</v>
      </c>
      <c r="D47">
        <v>145</v>
      </c>
      <c r="E47">
        <v>4.2552725051033065</v>
      </c>
      <c r="I47" t="str">
        <f>VLOOKUP(Пробы[[#This Row],[IDP]],Пациенты[],8,0)</f>
        <v>ПИН</v>
      </c>
      <c r="J47" t="str">
        <f>VLOOKUP(Пробы[[#This Row],[IDP]],Пациенты[],11,0)</f>
        <v>Челябинск</v>
      </c>
    </row>
    <row r="48" spans="1:10" x14ac:dyDescent="0.25">
      <c r="A48">
        <v>79</v>
      </c>
      <c r="B48" t="s">
        <v>51</v>
      </c>
      <c r="C48">
        <v>68445</v>
      </c>
      <c r="D48">
        <v>155</v>
      </c>
      <c r="E48">
        <v>4.8353417278283422</v>
      </c>
      <c r="F48" t="s">
        <v>165</v>
      </c>
      <c r="G48">
        <v>8</v>
      </c>
      <c r="H48">
        <v>155</v>
      </c>
      <c r="I48" t="str">
        <f>VLOOKUP(Пробы[[#This Row],[IDP]],Пациенты[],8,0)</f>
        <v>ПИН</v>
      </c>
      <c r="J48" t="str">
        <f>VLOOKUP(Пробы[[#This Row],[IDP]],Пациенты[],11,0)</f>
        <v>Челябинск</v>
      </c>
    </row>
    <row r="49" spans="1:10" x14ac:dyDescent="0.25">
      <c r="A49">
        <v>79</v>
      </c>
      <c r="B49" t="s">
        <v>50</v>
      </c>
      <c r="C49">
        <v>695</v>
      </c>
      <c r="D49">
        <v>156</v>
      </c>
      <c r="E49">
        <v>2.8419848045901137</v>
      </c>
      <c r="F49" t="s">
        <v>165</v>
      </c>
      <c r="G49">
        <v>4</v>
      </c>
      <c r="H49">
        <v>156</v>
      </c>
      <c r="I49" t="str">
        <f>VLOOKUP(Пробы[[#This Row],[IDP]],Пациенты[],8,0)</f>
        <v>ПИН</v>
      </c>
      <c r="J49" t="str">
        <f>VLOOKUP(Пробы[[#This Row],[IDP]],Пациенты[],11,0)</f>
        <v>Челябинск</v>
      </c>
    </row>
    <row r="50" spans="1:10" x14ac:dyDescent="0.25">
      <c r="A50">
        <v>80</v>
      </c>
      <c r="B50" t="s">
        <v>51</v>
      </c>
      <c r="C50">
        <v>126503</v>
      </c>
      <c r="D50">
        <v>157</v>
      </c>
      <c r="E50">
        <v>5.10210082486359</v>
      </c>
      <c r="F50" t="s">
        <v>165</v>
      </c>
      <c r="G50">
        <v>13</v>
      </c>
      <c r="H50">
        <v>157</v>
      </c>
      <c r="I50" t="str">
        <f>VLOOKUP(Пробы[[#This Row],[IDP]],Пациенты[],8,0)</f>
        <v>гетеросексуальный</v>
      </c>
      <c r="J50" t="str">
        <f>VLOOKUP(Пробы[[#This Row],[IDP]],Пациенты[],11,0)</f>
        <v>Челябинск</v>
      </c>
    </row>
    <row r="51" spans="1:10" x14ac:dyDescent="0.25">
      <c r="A51">
        <v>80</v>
      </c>
      <c r="B51" t="s">
        <v>50</v>
      </c>
      <c r="C51">
        <v>110437</v>
      </c>
      <c r="D51">
        <v>158</v>
      </c>
      <c r="E51">
        <v>5.0431146006008563</v>
      </c>
      <c r="F51" t="s">
        <v>165</v>
      </c>
      <c r="G51">
        <v>13</v>
      </c>
      <c r="H51">
        <v>158</v>
      </c>
      <c r="I51" t="str">
        <f>VLOOKUP(Пробы[[#This Row],[IDP]],Пациенты[],8,0)</f>
        <v>гетеросексуальный</v>
      </c>
      <c r="J51" t="str">
        <f>VLOOKUP(Пробы[[#This Row],[IDP]],Пациенты[],11,0)</f>
        <v>Челябинск</v>
      </c>
    </row>
    <row r="52" spans="1:10" x14ac:dyDescent="0.25">
      <c r="A52">
        <v>81</v>
      </c>
      <c r="B52" t="s">
        <v>50</v>
      </c>
      <c r="C52">
        <v>591</v>
      </c>
      <c r="D52">
        <v>160</v>
      </c>
      <c r="E52">
        <v>2.7715874808812555</v>
      </c>
      <c r="F52" t="s">
        <v>165</v>
      </c>
      <c r="G52">
        <v>13</v>
      </c>
      <c r="H52">
        <v>160</v>
      </c>
      <c r="I52" t="str">
        <f>VLOOKUP(Пробы[[#This Row],[IDP]],Пациенты[],8,0)</f>
        <v>ПИН</v>
      </c>
      <c r="J52" t="str">
        <f>VLOOKUP(Пробы[[#This Row],[IDP]],Пациенты[],11,0)</f>
        <v>Копейск</v>
      </c>
    </row>
    <row r="53" spans="1:10" x14ac:dyDescent="0.25">
      <c r="A53">
        <v>81</v>
      </c>
      <c r="B53" t="s">
        <v>51</v>
      </c>
      <c r="C53">
        <v>33863</v>
      </c>
      <c r="D53">
        <v>159</v>
      </c>
      <c r="E53">
        <v>4.5297254306108163</v>
      </c>
      <c r="F53" t="s">
        <v>166</v>
      </c>
      <c r="G53">
        <v>1</v>
      </c>
      <c r="H53">
        <v>159</v>
      </c>
      <c r="I53" t="str">
        <f>VLOOKUP(Пробы[[#This Row],[IDP]],Пациенты[],8,0)</f>
        <v>ПИН</v>
      </c>
      <c r="J53" t="str">
        <f>VLOOKUP(Пробы[[#This Row],[IDP]],Пациенты[],11,0)</f>
        <v>Копейск</v>
      </c>
    </row>
    <row r="54" spans="1:10" x14ac:dyDescent="0.25">
      <c r="A54">
        <v>82</v>
      </c>
      <c r="B54" t="s">
        <v>51</v>
      </c>
      <c r="C54">
        <v>128909</v>
      </c>
      <c r="D54">
        <v>161</v>
      </c>
      <c r="E54">
        <v>5.1102832394161606</v>
      </c>
      <c r="F54" t="s">
        <v>165</v>
      </c>
      <c r="G54">
        <v>8</v>
      </c>
      <c r="H54">
        <v>161</v>
      </c>
      <c r="I54" t="str">
        <f>VLOOKUP(Пробы[[#This Row],[IDP]],Пациенты[],8,0)</f>
        <v>ПИН</v>
      </c>
      <c r="J54" t="str">
        <f>VLOOKUP(Пробы[[#This Row],[IDP]],Пациенты[],11,0)</f>
        <v>Челябинск</v>
      </c>
    </row>
    <row r="55" spans="1:10" x14ac:dyDescent="0.25">
      <c r="A55">
        <v>82</v>
      </c>
      <c r="B55" t="s">
        <v>50</v>
      </c>
      <c r="C55">
        <v>0</v>
      </c>
      <c r="D55">
        <v>162</v>
      </c>
      <c r="E55">
        <v>0</v>
      </c>
      <c r="I55" t="str">
        <f>VLOOKUP(Пробы[[#This Row],[IDP]],Пациенты[],8,0)</f>
        <v>ПИН</v>
      </c>
      <c r="J55" t="str">
        <f>VLOOKUP(Пробы[[#This Row],[IDP]],Пациенты[],11,0)</f>
        <v>Челябинск</v>
      </c>
    </row>
    <row r="56" spans="1:10" x14ac:dyDescent="0.25">
      <c r="A56">
        <v>84</v>
      </c>
      <c r="B56" t="s">
        <v>51</v>
      </c>
      <c r="C56">
        <v>20124</v>
      </c>
      <c r="D56">
        <v>165</v>
      </c>
      <c r="E56">
        <v>4.3037143086537109</v>
      </c>
      <c r="F56" t="s">
        <v>165</v>
      </c>
      <c r="G56">
        <v>8</v>
      </c>
      <c r="H56">
        <v>165</v>
      </c>
      <c r="I56" t="str">
        <f>VLOOKUP(Пробы[[#This Row],[IDP]],Пациенты[],8,0)</f>
        <v>гетеросексуальный</v>
      </c>
      <c r="J56" t="str">
        <f>VLOOKUP(Пробы[[#This Row],[IDP]],Пациенты[],11,0)</f>
        <v>Челябинск</v>
      </c>
    </row>
    <row r="57" spans="1:10" x14ac:dyDescent="0.25">
      <c r="A57">
        <v>84</v>
      </c>
      <c r="B57" t="s">
        <v>50</v>
      </c>
      <c r="C57">
        <v>212</v>
      </c>
      <c r="D57">
        <v>166</v>
      </c>
      <c r="E57">
        <v>2.3263358609287512</v>
      </c>
      <c r="I57" t="str">
        <f>VLOOKUP(Пробы[[#This Row],[IDP]],Пациенты[],8,0)</f>
        <v>гетеросексуальный</v>
      </c>
      <c r="J57" t="str">
        <f>VLOOKUP(Пробы[[#This Row],[IDP]],Пациенты[],11,0)</f>
        <v>Челябинск</v>
      </c>
    </row>
    <row r="58" spans="1:10" x14ac:dyDescent="0.25">
      <c r="A58">
        <v>86</v>
      </c>
      <c r="B58" t="s">
        <v>51</v>
      </c>
      <c r="C58">
        <v>37925</v>
      </c>
      <c r="D58">
        <v>169</v>
      </c>
      <c r="E58">
        <v>4.5789255894587679</v>
      </c>
      <c r="F58" t="s">
        <v>165</v>
      </c>
      <c r="G58">
        <v>13</v>
      </c>
      <c r="H58">
        <v>169</v>
      </c>
      <c r="I58" t="str">
        <f>VLOOKUP(Пробы[[#This Row],[IDP]],Пациенты[],8,0)</f>
        <v>гетеросексуальный</v>
      </c>
      <c r="J58" t="str">
        <f>VLOOKUP(Пробы[[#This Row],[IDP]],Пациенты[],11,0)</f>
        <v>Челябинск</v>
      </c>
    </row>
    <row r="59" spans="1:10" x14ac:dyDescent="0.25">
      <c r="A59">
        <v>86</v>
      </c>
      <c r="B59" t="s">
        <v>50</v>
      </c>
      <c r="C59">
        <v>37376</v>
      </c>
      <c r="D59">
        <v>170</v>
      </c>
      <c r="E59">
        <v>4.5725928210962863</v>
      </c>
      <c r="I59" t="str">
        <f>VLOOKUP(Пробы[[#This Row],[IDP]],Пациенты[],8,0)</f>
        <v>гетеросексуальный</v>
      </c>
      <c r="J59" t="str">
        <f>VLOOKUP(Пробы[[#This Row],[IDP]],Пациенты[],11,0)</f>
        <v>Челябинск</v>
      </c>
    </row>
    <row r="60" spans="1:10" x14ac:dyDescent="0.25">
      <c r="A60">
        <v>87</v>
      </c>
      <c r="B60" t="s">
        <v>50</v>
      </c>
      <c r="C60">
        <v>0</v>
      </c>
      <c r="D60">
        <v>172</v>
      </c>
      <c r="E60">
        <v>0</v>
      </c>
      <c r="I60" t="str">
        <f>VLOOKUP(Пробы[[#This Row],[IDP]],Пациенты[],8,0)</f>
        <v>ПИН</v>
      </c>
      <c r="J60" t="str">
        <f>VLOOKUP(Пробы[[#This Row],[IDP]],Пациенты[],11,0)</f>
        <v>Челябинск</v>
      </c>
    </row>
    <row r="61" spans="1:10" x14ac:dyDescent="0.25">
      <c r="A61">
        <v>87</v>
      </c>
      <c r="B61" t="s">
        <v>51</v>
      </c>
      <c r="C61">
        <v>72841</v>
      </c>
      <c r="D61">
        <v>171</v>
      </c>
      <c r="E61">
        <v>4.8623758993895052</v>
      </c>
      <c r="F61" t="s">
        <v>165</v>
      </c>
      <c r="G61">
        <v>13</v>
      </c>
      <c r="H61">
        <v>171</v>
      </c>
      <c r="I61" t="str">
        <f>VLOOKUP(Пробы[[#This Row],[IDP]],Пациенты[],8,0)</f>
        <v>ПИН</v>
      </c>
      <c r="J61" t="str">
        <f>VLOOKUP(Пробы[[#This Row],[IDP]],Пациенты[],11,0)</f>
        <v>Челябинск</v>
      </c>
    </row>
    <row r="62" spans="1:10" x14ac:dyDescent="0.25">
      <c r="A62">
        <v>88</v>
      </c>
      <c r="B62" t="s">
        <v>50</v>
      </c>
      <c r="C62">
        <v>27462</v>
      </c>
      <c r="D62">
        <v>174</v>
      </c>
      <c r="E62">
        <v>4.4387321628109433</v>
      </c>
      <c r="I62" t="str">
        <f>VLOOKUP(Пробы[[#This Row],[IDP]],Пациенты[],8,0)</f>
        <v>гетеросексуальный</v>
      </c>
      <c r="J62" t="str">
        <f>VLOOKUP(Пробы[[#This Row],[IDP]],Пациенты[],11,0)</f>
        <v>Челябинск</v>
      </c>
    </row>
    <row r="63" spans="1:10" x14ac:dyDescent="0.25">
      <c r="A63">
        <v>88</v>
      </c>
      <c r="B63" t="s">
        <v>51</v>
      </c>
      <c r="C63">
        <v>57993</v>
      </c>
      <c r="D63">
        <v>173</v>
      </c>
      <c r="E63">
        <v>4.7633755755484533</v>
      </c>
      <c r="F63" t="s">
        <v>165</v>
      </c>
      <c r="G63">
        <v>13</v>
      </c>
      <c r="H63">
        <v>173</v>
      </c>
      <c r="I63" t="str">
        <f>VLOOKUP(Пробы[[#This Row],[IDP]],Пациенты[],8,0)</f>
        <v>гетеросексуальный</v>
      </c>
      <c r="J63" t="str">
        <f>VLOOKUP(Пробы[[#This Row],[IDP]],Пациенты[],11,0)</f>
        <v>Челябинск</v>
      </c>
    </row>
    <row r="64" spans="1:10" x14ac:dyDescent="0.25">
      <c r="A64">
        <v>89</v>
      </c>
      <c r="B64" t="s">
        <v>50</v>
      </c>
      <c r="C64">
        <v>30763</v>
      </c>
      <c r="D64">
        <v>176</v>
      </c>
      <c r="E64">
        <v>4.4880286854829441</v>
      </c>
      <c r="F64" t="s">
        <v>165</v>
      </c>
      <c r="G64">
        <v>16</v>
      </c>
      <c r="H64">
        <v>176</v>
      </c>
      <c r="I64" t="str">
        <f>VLOOKUP(Пробы[[#This Row],[IDP]],Пациенты[],8,0)</f>
        <v>ПИН</v>
      </c>
      <c r="J64" t="str">
        <f>VLOOKUP(Пробы[[#This Row],[IDP]],Пациенты[],11,0)</f>
        <v>Челябинск</v>
      </c>
    </row>
    <row r="65" spans="1:10" x14ac:dyDescent="0.25">
      <c r="A65">
        <v>89</v>
      </c>
      <c r="B65" t="s">
        <v>51</v>
      </c>
      <c r="C65">
        <v>0</v>
      </c>
      <c r="D65">
        <v>175</v>
      </c>
      <c r="E65">
        <v>0</v>
      </c>
      <c r="I65" t="str">
        <f>VLOOKUP(Пробы[[#This Row],[IDP]],Пациенты[],8,0)</f>
        <v>ПИН</v>
      </c>
      <c r="J65" t="str">
        <f>VLOOKUP(Пробы[[#This Row],[IDP]],Пациенты[],11,0)</f>
        <v>Челябинск</v>
      </c>
    </row>
    <row r="66" spans="1:10" x14ac:dyDescent="0.25">
      <c r="A66">
        <v>90</v>
      </c>
      <c r="B66" t="s">
        <v>51</v>
      </c>
      <c r="C66">
        <v>15063</v>
      </c>
      <c r="D66">
        <v>177</v>
      </c>
      <c r="E66">
        <v>4.1779114760940095</v>
      </c>
      <c r="F66" t="s">
        <v>165</v>
      </c>
      <c r="G66">
        <v>5</v>
      </c>
      <c r="H66">
        <v>177</v>
      </c>
      <c r="I66" t="str">
        <f>VLOOKUP(Пробы[[#This Row],[IDP]],Пациенты[],8,0)</f>
        <v>гетеросексуальный</v>
      </c>
      <c r="J66" t="str">
        <f>VLOOKUP(Пробы[[#This Row],[IDP]],Пациенты[],11,0)</f>
        <v>Челябинск</v>
      </c>
    </row>
    <row r="67" spans="1:10" x14ac:dyDescent="0.25">
      <c r="A67">
        <v>90</v>
      </c>
      <c r="B67" t="s">
        <v>50</v>
      </c>
      <c r="C67">
        <v>150525</v>
      </c>
      <c r="D67">
        <v>178</v>
      </c>
      <c r="E67">
        <v>5.177608635879186</v>
      </c>
      <c r="F67" t="s">
        <v>165</v>
      </c>
      <c r="G67">
        <v>5</v>
      </c>
      <c r="H67">
        <v>178</v>
      </c>
      <c r="I67" t="str">
        <f>VLOOKUP(Пробы[[#This Row],[IDP]],Пациенты[],8,0)</f>
        <v>гетеросексуальный</v>
      </c>
      <c r="J67" t="str">
        <f>VLOOKUP(Пробы[[#This Row],[IDP]],Пациенты[],11,0)</f>
        <v>Челябинск</v>
      </c>
    </row>
    <row r="68" spans="1:10" x14ac:dyDescent="0.25">
      <c r="A68">
        <v>92</v>
      </c>
      <c r="B68" t="s">
        <v>50</v>
      </c>
      <c r="C68">
        <v>1575</v>
      </c>
      <c r="D68">
        <v>182</v>
      </c>
      <c r="E68">
        <v>3.1972805581256192</v>
      </c>
      <c r="F68" t="s">
        <v>165</v>
      </c>
      <c r="G68">
        <v>4</v>
      </c>
      <c r="H68">
        <v>182</v>
      </c>
      <c r="I68" t="str">
        <f>VLOOKUP(Пробы[[#This Row],[IDP]],Пациенты[],8,0)</f>
        <v>ПИН</v>
      </c>
      <c r="J68" t="str">
        <f>VLOOKUP(Пробы[[#This Row],[IDP]],Пациенты[],11,0)</f>
        <v>Миасс</v>
      </c>
    </row>
    <row r="69" spans="1:10" x14ac:dyDescent="0.25">
      <c r="A69">
        <v>92</v>
      </c>
      <c r="B69" t="s">
        <v>51</v>
      </c>
      <c r="C69">
        <v>19269</v>
      </c>
      <c r="D69">
        <v>181</v>
      </c>
      <c r="E69">
        <v>4.2848591767337636</v>
      </c>
      <c r="F69" t="s">
        <v>165</v>
      </c>
      <c r="G69">
        <v>26</v>
      </c>
      <c r="H69">
        <v>181</v>
      </c>
      <c r="I69" t="str">
        <f>VLOOKUP(Пробы[[#This Row],[IDP]],Пациенты[],8,0)</f>
        <v>ПИН</v>
      </c>
      <c r="J69" t="str">
        <f>VLOOKUP(Пробы[[#This Row],[IDP]],Пациенты[],11,0)</f>
        <v>Миасс</v>
      </c>
    </row>
    <row r="70" spans="1:10" x14ac:dyDescent="0.25">
      <c r="A70">
        <v>94</v>
      </c>
      <c r="B70" t="s">
        <v>50</v>
      </c>
      <c r="C70">
        <v>872732</v>
      </c>
      <c r="D70">
        <v>186</v>
      </c>
      <c r="E70">
        <v>5.9408809003034158</v>
      </c>
      <c r="F70" t="s">
        <v>167</v>
      </c>
      <c r="G70">
        <v>2</v>
      </c>
      <c r="H70">
        <v>186</v>
      </c>
      <c r="I70" t="str">
        <f>VLOOKUP(Пробы[[#This Row],[IDP]],Пациенты[],8,0)</f>
        <v>гетеросексуальный</v>
      </c>
      <c r="J70" t="str">
        <f>VLOOKUP(Пробы[[#This Row],[IDP]],Пациенты[],11,0)</f>
        <v>Челябинск</v>
      </c>
    </row>
    <row r="71" spans="1:10" x14ac:dyDescent="0.25">
      <c r="A71">
        <v>94</v>
      </c>
      <c r="B71" t="s">
        <v>51</v>
      </c>
      <c r="C71">
        <v>27395</v>
      </c>
      <c r="D71">
        <v>185</v>
      </c>
      <c r="E71">
        <v>4.4376713047707286</v>
      </c>
      <c r="F71" t="s">
        <v>167</v>
      </c>
      <c r="G71">
        <v>2</v>
      </c>
      <c r="H71">
        <v>185</v>
      </c>
      <c r="I71" t="str">
        <f>VLOOKUP(Пробы[[#This Row],[IDP]],Пациенты[],8,0)</f>
        <v>гетеросексуальный</v>
      </c>
      <c r="J71" t="str">
        <f>VLOOKUP(Пробы[[#This Row],[IDP]],Пациенты[],11,0)</f>
        <v>Челябинск</v>
      </c>
    </row>
    <row r="72" spans="1:10" x14ac:dyDescent="0.25">
      <c r="A72">
        <v>95</v>
      </c>
      <c r="B72" t="s">
        <v>51</v>
      </c>
      <c r="C72">
        <v>1909</v>
      </c>
      <c r="D72">
        <v>187</v>
      </c>
      <c r="E72">
        <v>3.2808059283936668</v>
      </c>
      <c r="F72" t="s">
        <v>165</v>
      </c>
      <c r="G72">
        <v>8</v>
      </c>
      <c r="H72">
        <v>187</v>
      </c>
      <c r="I72" t="str">
        <f>VLOOKUP(Пробы[[#This Row],[IDP]],Пациенты[],8,0)</f>
        <v>гетеросексуальный</v>
      </c>
      <c r="J72" t="str">
        <f>VLOOKUP(Пробы[[#This Row],[IDP]],Пациенты[],11,0)</f>
        <v>Миасс</v>
      </c>
    </row>
    <row r="73" spans="1:10" x14ac:dyDescent="0.25">
      <c r="A73">
        <v>95</v>
      </c>
      <c r="B73" t="s">
        <v>50</v>
      </c>
      <c r="C73">
        <v>5379</v>
      </c>
      <c r="D73">
        <v>188</v>
      </c>
      <c r="E73">
        <v>3.7307015442818452</v>
      </c>
      <c r="F73" t="s">
        <v>165</v>
      </c>
      <c r="G73">
        <v>8</v>
      </c>
      <c r="H73">
        <v>188</v>
      </c>
      <c r="I73" t="str">
        <f>VLOOKUP(Пробы[[#This Row],[IDP]],Пациенты[],8,0)</f>
        <v>гетеросексуальный</v>
      </c>
      <c r="J73" t="str">
        <f>VLOOKUP(Пробы[[#This Row],[IDP]],Пациенты[],11,0)</f>
        <v>Миасс</v>
      </c>
    </row>
    <row r="74" spans="1:10" x14ac:dyDescent="0.25">
      <c r="A74">
        <v>96</v>
      </c>
      <c r="B74" t="s">
        <v>50</v>
      </c>
      <c r="C74">
        <v>449354</v>
      </c>
      <c r="D74">
        <v>190</v>
      </c>
      <c r="E74">
        <v>5.6525886119890396</v>
      </c>
      <c r="F74" t="s">
        <v>165</v>
      </c>
      <c r="G74">
        <v>5</v>
      </c>
      <c r="H74">
        <v>190</v>
      </c>
      <c r="I74" t="str">
        <f>VLOOKUP(Пробы[[#This Row],[IDP]],Пациенты[],8,0)</f>
        <v>гетеросексуальный</v>
      </c>
      <c r="J74" t="str">
        <f>VLOOKUP(Пробы[[#This Row],[IDP]],Пациенты[],11,0)</f>
        <v>Троицк</v>
      </c>
    </row>
    <row r="75" spans="1:10" x14ac:dyDescent="0.25">
      <c r="A75">
        <v>96</v>
      </c>
      <c r="B75" t="s">
        <v>51</v>
      </c>
      <c r="C75">
        <v>99445</v>
      </c>
      <c r="D75">
        <v>189</v>
      </c>
      <c r="E75">
        <v>4.997582952095966</v>
      </c>
      <c r="F75" t="s">
        <v>165</v>
      </c>
      <c r="G75">
        <v>5</v>
      </c>
      <c r="H75">
        <v>189</v>
      </c>
      <c r="I75" t="str">
        <f>VLOOKUP(Пробы[[#This Row],[IDP]],Пациенты[],8,0)</f>
        <v>гетеросексуальный</v>
      </c>
      <c r="J75" t="str">
        <f>VLOOKUP(Пробы[[#This Row],[IDP]],Пациенты[],11,0)</f>
        <v>Троицк</v>
      </c>
    </row>
    <row r="76" spans="1:10" x14ac:dyDescent="0.25">
      <c r="A76">
        <v>97</v>
      </c>
      <c r="B76" t="s">
        <v>50</v>
      </c>
      <c r="C76">
        <v>3294</v>
      </c>
      <c r="D76">
        <v>192</v>
      </c>
      <c r="E76">
        <v>3.5177235948337358</v>
      </c>
      <c r="F76" t="s">
        <v>165</v>
      </c>
      <c r="G76">
        <v>13</v>
      </c>
      <c r="H76">
        <v>192</v>
      </c>
      <c r="I76" t="str">
        <f>VLOOKUP(Пробы[[#This Row],[IDP]],Пациенты[],8,0)</f>
        <v>гетеросексуальный</v>
      </c>
      <c r="J76" t="str">
        <f>VLOOKUP(Пробы[[#This Row],[IDP]],Пациенты[],11,0)</f>
        <v>Челябинск</v>
      </c>
    </row>
    <row r="77" spans="1:10" x14ac:dyDescent="0.25">
      <c r="A77">
        <v>97</v>
      </c>
      <c r="B77" t="s">
        <v>51</v>
      </c>
      <c r="C77">
        <v>0</v>
      </c>
      <c r="D77">
        <v>191</v>
      </c>
      <c r="E77">
        <v>0</v>
      </c>
      <c r="I77" t="str">
        <f>VLOOKUP(Пробы[[#This Row],[IDP]],Пациенты[],8,0)</f>
        <v>гетеросексуальный</v>
      </c>
      <c r="J77" t="str">
        <f>VLOOKUP(Пробы[[#This Row],[IDP]],Пациенты[],11,0)</f>
        <v>Челябинск</v>
      </c>
    </row>
  </sheetData>
  <phoneticPr fontId="1" type="noConversion"/>
  <dataValidations count="1">
    <dataValidation type="whole" allowBlank="1" showInputMessage="1" showErrorMessage="1" sqref="A77 D2:D77" xr:uid="{E63934E5-757F-4350-94D3-1C5107E66D7A}">
      <formula1>0</formula1>
      <formula2>100</formula2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552FFE-257E-40F2-8483-2794197EBEEE}">
  <sheetPr codeName="Лист6"/>
  <dimension ref="A2:E7"/>
  <sheetViews>
    <sheetView topLeftCell="B1" workbookViewId="0">
      <selection activeCell="I6" sqref="I6"/>
    </sheetView>
  </sheetViews>
  <sheetFormatPr defaultRowHeight="15" x14ac:dyDescent="0.25"/>
  <cols>
    <col min="2" max="2" width="3.28515625" bestFit="1" customWidth="1"/>
    <col min="3" max="3" width="3.85546875" customWidth="1"/>
    <col min="4" max="4" width="24.28515625" customWidth="1"/>
  </cols>
  <sheetData>
    <row r="2" spans="1:5" x14ac:dyDescent="0.25">
      <c r="A2" t="s">
        <v>34</v>
      </c>
      <c r="B2" s="51" t="s">
        <v>232</v>
      </c>
      <c r="C2" s="52" t="s">
        <v>233</v>
      </c>
      <c r="D2" s="5" t="s">
        <v>233</v>
      </c>
      <c r="E2">
        <f t="shared" ref="E2:E5" ca="1" si="0">SUMPRODUCT((INDIRECT($A2&amp;"["&amp;$B2&amp;"]")=$C2)*1)</f>
        <v>18</v>
      </c>
    </row>
    <row r="3" spans="1:5" x14ac:dyDescent="0.25">
      <c r="A3" t="s">
        <v>34</v>
      </c>
      <c r="B3" s="51" t="s">
        <v>232</v>
      </c>
      <c r="C3" s="53" t="s">
        <v>234</v>
      </c>
      <c r="D3" s="4" t="s">
        <v>234</v>
      </c>
      <c r="E3">
        <f t="shared" ca="1" si="0"/>
        <v>10</v>
      </c>
    </row>
    <row r="4" spans="1:5" x14ac:dyDescent="0.25">
      <c r="A4" t="s">
        <v>34</v>
      </c>
      <c r="B4" s="51" t="s">
        <v>232</v>
      </c>
      <c r="C4" s="52" t="s">
        <v>235</v>
      </c>
      <c r="D4" s="5" t="s">
        <v>235</v>
      </c>
      <c r="E4">
        <f t="shared" ca="1" si="0"/>
        <v>6</v>
      </c>
    </row>
    <row r="5" spans="1:5" x14ac:dyDescent="0.25">
      <c r="A5" t="s">
        <v>34</v>
      </c>
      <c r="B5" s="51" t="s">
        <v>232</v>
      </c>
      <c r="C5" s="53" t="s">
        <v>236</v>
      </c>
      <c r="D5" s="4" t="s">
        <v>236</v>
      </c>
      <c r="E5">
        <f t="shared" ca="1" si="0"/>
        <v>3</v>
      </c>
    </row>
    <row r="6" spans="1:5" x14ac:dyDescent="0.25">
      <c r="A6" t="s">
        <v>34</v>
      </c>
      <c r="B6" s="51" t="s">
        <v>232</v>
      </c>
      <c r="C6" s="52" t="s">
        <v>237</v>
      </c>
      <c r="D6" s="5" t="s">
        <v>308</v>
      </c>
      <c r="E6">
        <f ca="1">SUMPRODUCT((INDIRECT($A6&amp;"["&amp;$B6&amp;"]")=$C6)*1)</f>
        <v>1</v>
      </c>
    </row>
    <row r="7" spans="1:5" x14ac:dyDescent="0.25">
      <c r="D7" s="45" t="s">
        <v>240</v>
      </c>
      <c r="E7">
        <f ca="1">SUM(E2:E6)</f>
        <v>38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B764F4-DA43-4072-BFCD-C57BFFB69605}">
  <sheetPr codeName="Лист7"/>
  <dimension ref="A1:G39"/>
  <sheetViews>
    <sheetView tabSelected="1" zoomScale="70" zoomScaleNormal="70" workbookViewId="0"/>
  </sheetViews>
  <sheetFormatPr defaultRowHeight="15" x14ac:dyDescent="0.25"/>
  <cols>
    <col min="1" max="1" width="7.42578125" bestFit="1" customWidth="1"/>
    <col min="2" max="2" width="13.140625" bestFit="1" customWidth="1"/>
    <col min="3" max="3" width="12.5703125" bestFit="1" customWidth="1"/>
    <col min="4" max="4" width="12.5703125" customWidth="1"/>
    <col min="5" max="5" width="7.85546875" bestFit="1" customWidth="1"/>
    <col min="6" max="6" width="8" bestFit="1" customWidth="1"/>
    <col min="7" max="7" width="12" bestFit="1" customWidth="1"/>
    <col min="8" max="8" width="12.7109375" bestFit="1" customWidth="1"/>
    <col min="9" max="9" width="6.5703125" bestFit="1" customWidth="1"/>
  </cols>
  <sheetData>
    <row r="1" spans="1:7" x14ac:dyDescent="0.25">
      <c r="A1" t="s">
        <v>5</v>
      </c>
      <c r="B1" t="s">
        <v>51</v>
      </c>
      <c r="C1" t="s">
        <v>50</v>
      </c>
      <c r="D1" t="s">
        <v>293</v>
      </c>
      <c r="E1" t="s">
        <v>49</v>
      </c>
      <c r="F1" t="s">
        <v>291</v>
      </c>
      <c r="G1" t="s">
        <v>292</v>
      </c>
    </row>
    <row r="2" spans="1:7" x14ac:dyDescent="0.25">
      <c r="A2">
        <v>71</v>
      </c>
      <c r="B2">
        <v>-5.4313637641589869</v>
      </c>
      <c r="C2">
        <v>3.8512583487190755</v>
      </c>
      <c r="D2">
        <f>Diag[[#This Row],[плазма]]*-1</f>
        <v>5.4313637641589869</v>
      </c>
      <c r="E2">
        <v>1</v>
      </c>
      <c r="F2">
        <f>MEDIAN(Diag[плазма])</f>
        <v>-4.6711505825036106</v>
      </c>
      <c r="G2">
        <f>MEDIAN(Diag[ликвор])</f>
        <v>3.8738647245991764</v>
      </c>
    </row>
    <row r="3" spans="1:7" x14ac:dyDescent="0.25">
      <c r="A3">
        <v>92</v>
      </c>
      <c r="B3">
        <v>-4.2848591767337636</v>
      </c>
      <c r="C3">
        <v>3.1972805581256192</v>
      </c>
      <c r="D3">
        <f>Diag[[#This Row],[плазма]]*-1</f>
        <v>4.2848591767337636</v>
      </c>
      <c r="E3">
        <v>2</v>
      </c>
      <c r="F3">
        <f>MEDIAN(Diag[плазма])</f>
        <v>-4.6711505825036106</v>
      </c>
      <c r="G3">
        <f>MEDIAN(Diag[ликвор])</f>
        <v>3.8738647245991764</v>
      </c>
    </row>
    <row r="4" spans="1:7" x14ac:dyDescent="0.25">
      <c r="A4">
        <v>89</v>
      </c>
      <c r="B4">
        <v>0</v>
      </c>
      <c r="C4">
        <v>4.4880286854829441</v>
      </c>
      <c r="D4">
        <f>Diag[[#This Row],[плазма]]*-1</f>
        <v>0</v>
      </c>
      <c r="E4">
        <v>2</v>
      </c>
      <c r="F4">
        <f>MEDIAN(Diag[плазма])</f>
        <v>-4.6711505825036106</v>
      </c>
      <c r="G4">
        <f>MEDIAN(Diag[ликвор])</f>
        <v>3.8738647245991764</v>
      </c>
    </row>
    <row r="5" spans="1:7" x14ac:dyDescent="0.25">
      <c r="A5">
        <v>38</v>
      </c>
      <c r="B5">
        <v>-3.7193312869837265</v>
      </c>
      <c r="C5">
        <v>0</v>
      </c>
      <c r="D5">
        <f>Diag[[#This Row],[плазма]]*-1</f>
        <v>3.7193312869837265</v>
      </c>
      <c r="E5">
        <v>3</v>
      </c>
      <c r="F5">
        <f>MEDIAN(Diag[плазма])</f>
        <v>-4.6711505825036106</v>
      </c>
      <c r="G5">
        <f>MEDIAN(Diag[ликвор])</f>
        <v>3.8738647245991764</v>
      </c>
    </row>
    <row r="6" spans="1:7" x14ac:dyDescent="0.25">
      <c r="A6">
        <v>97</v>
      </c>
      <c r="B6">
        <v>0</v>
      </c>
      <c r="C6">
        <v>3.5177235948337358</v>
      </c>
      <c r="D6">
        <f>Diag[[#This Row],[плазма]]*-1</f>
        <v>0</v>
      </c>
      <c r="E6">
        <v>4</v>
      </c>
      <c r="F6">
        <f>MEDIAN(Diag[плазма])</f>
        <v>-4.6711505825036106</v>
      </c>
      <c r="G6">
        <f>MEDIAN(Diag[ликвор])</f>
        <v>3.8738647245991764</v>
      </c>
    </row>
    <row r="7" spans="1:7" x14ac:dyDescent="0.25">
      <c r="A7">
        <v>11</v>
      </c>
      <c r="B7">
        <v>-5.2988530764097064</v>
      </c>
      <c r="C7">
        <v>2.7226339225338121</v>
      </c>
      <c r="D7">
        <f>Diag[[#This Row],[плазма]]*-1</f>
        <v>5.2988530764097064</v>
      </c>
      <c r="E7">
        <v>10</v>
      </c>
      <c r="F7">
        <f>MEDIAN(Diag[плазма])</f>
        <v>-4.6711505825036106</v>
      </c>
      <c r="G7">
        <f>MEDIAN(Diag[ликвор])</f>
        <v>3.8738647245991764</v>
      </c>
    </row>
    <row r="8" spans="1:7" x14ac:dyDescent="0.25">
      <c r="A8">
        <v>50</v>
      </c>
      <c r="B8">
        <v>-4.4548448600085102</v>
      </c>
      <c r="C8">
        <v>0</v>
      </c>
      <c r="D8">
        <f>Diag[[#This Row],[плазма]]*-1</f>
        <v>4.4548448600085102</v>
      </c>
      <c r="E8">
        <v>13</v>
      </c>
      <c r="F8">
        <f>MEDIAN(Diag[плазма])</f>
        <v>-4.6711505825036106</v>
      </c>
      <c r="G8">
        <f>MEDIAN(Diag[ликвор])</f>
        <v>3.8738647245991764</v>
      </c>
    </row>
    <row r="9" spans="1:7" x14ac:dyDescent="0.25">
      <c r="A9">
        <v>94</v>
      </c>
      <c r="B9">
        <v>-4.4376713047707286</v>
      </c>
      <c r="C9">
        <v>5.9408809003034158</v>
      </c>
      <c r="D9">
        <f>Diag[[#This Row],[плазма]]*-1</f>
        <v>4.4376713047707286</v>
      </c>
      <c r="E9">
        <v>15</v>
      </c>
      <c r="F9">
        <f>MEDIAN(Diag[плазма])</f>
        <v>-4.6711505825036106</v>
      </c>
      <c r="G9">
        <f>MEDIAN(Diag[ликвор])</f>
        <v>3.8738647245991764</v>
      </c>
    </row>
    <row r="10" spans="1:7" x14ac:dyDescent="0.25">
      <c r="A10">
        <v>79</v>
      </c>
      <c r="B10">
        <v>-4.8353417278283422</v>
      </c>
      <c r="C10">
        <v>2.8419848045901137</v>
      </c>
      <c r="D10">
        <f>Diag[[#This Row],[плазма]]*-1</f>
        <v>4.8353417278283422</v>
      </c>
      <c r="E10">
        <v>21</v>
      </c>
      <c r="F10">
        <f>MEDIAN(Diag[плазма])</f>
        <v>-4.6711505825036106</v>
      </c>
      <c r="G10">
        <f>MEDIAN(Diag[ликвор])</f>
        <v>3.8738647245991764</v>
      </c>
    </row>
    <row r="11" spans="1:7" x14ac:dyDescent="0.25">
      <c r="A11">
        <v>90</v>
      </c>
      <c r="B11">
        <v>-4.1779114760940095</v>
      </c>
      <c r="C11">
        <v>5.177608635879186</v>
      </c>
      <c r="D11">
        <f>Diag[[#This Row],[плазма]]*-1</f>
        <v>4.1779114760940095</v>
      </c>
      <c r="E11">
        <v>21</v>
      </c>
      <c r="F11">
        <f>MEDIAN(Diag[плазма])</f>
        <v>-4.6711505825036106</v>
      </c>
      <c r="G11">
        <f>MEDIAN(Diag[ликвор])</f>
        <v>3.8738647245991764</v>
      </c>
    </row>
    <row r="12" spans="1:7" x14ac:dyDescent="0.25">
      <c r="A12">
        <v>39</v>
      </c>
      <c r="B12">
        <v>-5.9508514588885468</v>
      </c>
      <c r="C12">
        <v>4.6462174200110669</v>
      </c>
      <c r="D12">
        <f>Diag[[#This Row],[плазма]]*-1</f>
        <v>5.9508514588885468</v>
      </c>
      <c r="E12">
        <v>22</v>
      </c>
      <c r="F12">
        <f>MEDIAN(Diag[плазма])</f>
        <v>-4.6711505825036106</v>
      </c>
      <c r="G12">
        <f>MEDIAN(Diag[ликвор])</f>
        <v>3.8738647245991764</v>
      </c>
    </row>
    <row r="13" spans="1:7" x14ac:dyDescent="0.25">
      <c r="A13">
        <v>48</v>
      </c>
      <c r="B13">
        <v>-4.9781805169374138</v>
      </c>
      <c r="C13">
        <v>4.9065720609521977</v>
      </c>
      <c r="D13">
        <f>Diag[[#This Row],[плазма]]*-1</f>
        <v>4.9781805169374138</v>
      </c>
      <c r="E13">
        <v>23</v>
      </c>
      <c r="F13">
        <f>MEDIAN(Diag[плазма])</f>
        <v>-4.6711505825036106</v>
      </c>
      <c r="G13">
        <f>MEDIAN(Diag[ликвор])</f>
        <v>3.8738647245991764</v>
      </c>
    </row>
    <row r="14" spans="1:7" x14ac:dyDescent="0.25">
      <c r="A14">
        <v>81</v>
      </c>
      <c r="B14">
        <v>-4.5297254306108163</v>
      </c>
      <c r="C14">
        <v>2.7715874808812555</v>
      </c>
      <c r="D14">
        <f>Diag[[#This Row],[плазма]]*-1</f>
        <v>4.5297254306108163</v>
      </c>
      <c r="E14">
        <v>23</v>
      </c>
      <c r="F14">
        <f>MEDIAN(Diag[плазма])</f>
        <v>-4.6711505825036106</v>
      </c>
      <c r="G14">
        <f>MEDIAN(Diag[ликвор])</f>
        <v>3.8738647245991764</v>
      </c>
    </row>
    <row r="15" spans="1:7" x14ac:dyDescent="0.25">
      <c r="A15">
        <v>10</v>
      </c>
      <c r="B15">
        <v>-5.8662873390841952</v>
      </c>
      <c r="C15">
        <v>3.3159703454569178</v>
      </c>
      <c r="D15">
        <f>Diag[[#This Row],[плазма]]*-1</f>
        <v>5.8662873390841952</v>
      </c>
      <c r="E15">
        <v>23</v>
      </c>
      <c r="F15">
        <f>MEDIAN(Diag[плазма])</f>
        <v>-4.6711505825036106</v>
      </c>
      <c r="G15">
        <f>MEDIAN(Diag[ликвор])</f>
        <v>3.8738647245991764</v>
      </c>
    </row>
    <row r="16" spans="1:7" x14ac:dyDescent="0.25">
      <c r="A16">
        <v>84</v>
      </c>
      <c r="B16">
        <v>-4.3037143086537109</v>
      </c>
      <c r="C16">
        <v>2.3263358609287512</v>
      </c>
      <c r="D16">
        <f>Diag[[#This Row],[плазма]]*-1</f>
        <v>4.3037143086537109</v>
      </c>
      <c r="E16">
        <v>24</v>
      </c>
      <c r="F16">
        <f>MEDIAN(Diag[плазма])</f>
        <v>-4.6711505825036106</v>
      </c>
      <c r="G16">
        <f>MEDIAN(Diag[ликвор])</f>
        <v>3.8738647245991764</v>
      </c>
    </row>
    <row r="17" spans="1:7" x14ac:dyDescent="0.25">
      <c r="A17">
        <v>59</v>
      </c>
      <c r="B17">
        <v>-5.7937903846908183</v>
      </c>
      <c r="C17">
        <v>4.6748611407378116</v>
      </c>
      <c r="D17">
        <f>Diag[[#This Row],[плазма]]*-1</f>
        <v>5.7937903846908183</v>
      </c>
      <c r="E17">
        <v>28</v>
      </c>
      <c r="F17">
        <f>MEDIAN(Diag[плазма])</f>
        <v>-4.6711505825036106</v>
      </c>
      <c r="G17">
        <f>MEDIAN(Diag[ликвор])</f>
        <v>3.8738647245991764</v>
      </c>
    </row>
    <row r="18" spans="1:7" x14ac:dyDescent="0.25">
      <c r="A18">
        <v>40</v>
      </c>
      <c r="B18">
        <v>-6.5263392773898437</v>
      </c>
      <c r="C18">
        <v>5.4653828514484184</v>
      </c>
      <c r="D18">
        <f>Diag[[#This Row],[плазма]]*-1</f>
        <v>6.5263392773898437</v>
      </c>
      <c r="E18">
        <v>31</v>
      </c>
      <c r="F18">
        <f>MEDIAN(Diag[плазма])</f>
        <v>-4.6711505825036106</v>
      </c>
      <c r="G18">
        <f>MEDIAN(Diag[ликвор])</f>
        <v>3.8738647245991764</v>
      </c>
    </row>
    <row r="19" spans="1:7" x14ac:dyDescent="0.25">
      <c r="A19">
        <v>82</v>
      </c>
      <c r="B19">
        <v>-5.1102832394161606</v>
      </c>
      <c r="C19">
        <v>0</v>
      </c>
      <c r="D19">
        <f>Diag[[#This Row],[плазма]]*-1</f>
        <v>5.1102832394161606</v>
      </c>
      <c r="E19">
        <v>32</v>
      </c>
      <c r="F19">
        <f>MEDIAN(Diag[плазма])</f>
        <v>-4.6711505825036106</v>
      </c>
      <c r="G19">
        <f>MEDIAN(Diag[ликвор])</f>
        <v>3.8738647245991764</v>
      </c>
    </row>
    <row r="20" spans="1:7" x14ac:dyDescent="0.25">
      <c r="A20">
        <v>56</v>
      </c>
      <c r="B20">
        <v>-4.0934216851622347</v>
      </c>
      <c r="C20">
        <v>2.6711728427150834</v>
      </c>
      <c r="D20">
        <f>Diag[[#This Row],[плазма]]*-1</f>
        <v>4.0934216851622347</v>
      </c>
      <c r="E20">
        <v>39</v>
      </c>
      <c r="F20">
        <f>MEDIAN(Diag[плазма])</f>
        <v>-4.6711505825036106</v>
      </c>
      <c r="G20">
        <f>MEDIAN(Diag[ликвор])</f>
        <v>3.8738647245991764</v>
      </c>
    </row>
    <row r="21" spans="1:7" x14ac:dyDescent="0.25">
      <c r="A21">
        <v>25</v>
      </c>
      <c r="B21">
        <v>-4.3673559210260189</v>
      </c>
      <c r="C21">
        <v>3.8964711004792774</v>
      </c>
      <c r="D21">
        <f>Diag[[#This Row],[плазма]]*-1</f>
        <v>4.3673559210260189</v>
      </c>
      <c r="E21">
        <v>43</v>
      </c>
      <c r="F21">
        <f>MEDIAN(Diag[плазма])</f>
        <v>-4.6711505825036106</v>
      </c>
      <c r="G21">
        <f>MEDIAN(Diag[ликвор])</f>
        <v>3.8738647245991764</v>
      </c>
    </row>
    <row r="22" spans="1:7" x14ac:dyDescent="0.25">
      <c r="A22">
        <v>88</v>
      </c>
      <c r="B22">
        <v>-4.7633755755484533</v>
      </c>
      <c r="C22">
        <v>4.4387321628109433</v>
      </c>
      <c r="D22">
        <f>Diag[[#This Row],[плазма]]*-1</f>
        <v>4.7633755755484533</v>
      </c>
      <c r="E22">
        <v>45</v>
      </c>
      <c r="F22">
        <f>MEDIAN(Diag[плазма])</f>
        <v>-4.6711505825036106</v>
      </c>
      <c r="G22">
        <f>MEDIAN(Diag[ликвор])</f>
        <v>3.8738647245991764</v>
      </c>
    </row>
    <row r="23" spans="1:7" x14ac:dyDescent="0.25">
      <c r="A23">
        <v>87</v>
      </c>
      <c r="B23">
        <v>-4.8623758993895052</v>
      </c>
      <c r="C23">
        <v>0</v>
      </c>
      <c r="D23">
        <f>Diag[[#This Row],[плазма]]*-1</f>
        <v>4.8623758993895052</v>
      </c>
      <c r="E23">
        <v>49</v>
      </c>
      <c r="F23">
        <f>MEDIAN(Diag[плазма])</f>
        <v>-4.6711505825036106</v>
      </c>
      <c r="G23">
        <f>MEDIAN(Diag[ликвор])</f>
        <v>3.8738647245991764</v>
      </c>
    </row>
    <row r="24" spans="1:7" x14ac:dyDescent="0.25">
      <c r="A24">
        <v>8</v>
      </c>
      <c r="B24">
        <v>-5.5428254269591797</v>
      </c>
      <c r="C24">
        <v>4.6599162000698504</v>
      </c>
      <c r="D24">
        <f>Diag[[#This Row],[плазма]]*-1</f>
        <v>5.5428254269591797</v>
      </c>
      <c r="E24">
        <v>51</v>
      </c>
      <c r="F24">
        <f>MEDIAN(Diag[плазма])</f>
        <v>-4.6711505825036106</v>
      </c>
      <c r="G24">
        <f>MEDIAN(Diag[ликвор])</f>
        <v>3.8738647245991764</v>
      </c>
    </row>
    <row r="25" spans="1:7" x14ac:dyDescent="0.25">
      <c r="A25">
        <v>42</v>
      </c>
      <c r="B25">
        <v>-2.3010299956639813</v>
      </c>
      <c r="C25">
        <v>0</v>
      </c>
      <c r="D25">
        <f>Diag[[#This Row],[плазма]]*-1</f>
        <v>2.3010299956639813</v>
      </c>
      <c r="E25">
        <v>57</v>
      </c>
      <c r="F25">
        <f>MEDIAN(Diag[плазма])</f>
        <v>-4.6711505825036106</v>
      </c>
      <c r="G25">
        <f>MEDIAN(Diag[ликвор])</f>
        <v>3.8738647245991764</v>
      </c>
    </row>
    <row r="26" spans="1:7" x14ac:dyDescent="0.25">
      <c r="A26">
        <v>27</v>
      </c>
      <c r="B26">
        <v>-4.2479732663618064</v>
      </c>
      <c r="C26">
        <v>4.452261904093934</v>
      </c>
      <c r="D26">
        <f>Diag[[#This Row],[плазма]]*-1</f>
        <v>4.2479732663618064</v>
      </c>
      <c r="E26">
        <v>61</v>
      </c>
      <c r="F26">
        <f>MEDIAN(Diag[плазма])</f>
        <v>-4.6711505825036106</v>
      </c>
      <c r="G26">
        <f>MEDIAN(Diag[ликвор])</f>
        <v>3.8738647245991764</v>
      </c>
    </row>
    <row r="27" spans="1:7" x14ac:dyDescent="0.25">
      <c r="A27">
        <v>95</v>
      </c>
      <c r="B27">
        <v>-3.2808059283936668</v>
      </c>
      <c r="C27" s="39">
        <v>3.7307015442818452</v>
      </c>
      <c r="D27" s="39">
        <f>Diag[[#This Row],[плазма]]*-1</f>
        <v>3.2808059283936668</v>
      </c>
      <c r="E27">
        <v>61</v>
      </c>
      <c r="F27">
        <f>MEDIAN(Diag[плазма])</f>
        <v>-4.6711505825036106</v>
      </c>
      <c r="G27">
        <f>MEDIAN(Diag[ликвор])</f>
        <v>3.8738647245991764</v>
      </c>
    </row>
    <row r="28" spans="1:7" x14ac:dyDescent="0.25">
      <c r="A28">
        <v>46</v>
      </c>
      <c r="B28">
        <v>-3.6232492903979003</v>
      </c>
      <c r="C28" s="39">
        <v>2.3010299956639813</v>
      </c>
      <c r="D28" s="39">
        <f>Diag[[#This Row],[плазма]]*-1</f>
        <v>3.6232492903979003</v>
      </c>
      <c r="E28">
        <v>63</v>
      </c>
      <c r="F28">
        <f>MEDIAN(Diag[плазма])</f>
        <v>-4.6711505825036106</v>
      </c>
      <c r="G28">
        <f>MEDIAN(Diag[ликвор])</f>
        <v>3.8738647245991764</v>
      </c>
    </row>
    <row r="29" spans="1:7" x14ac:dyDescent="0.25">
      <c r="A29">
        <v>96</v>
      </c>
      <c r="B29">
        <v>-4.997582952095966</v>
      </c>
      <c r="C29">
        <v>5.6525886119890396</v>
      </c>
      <c r="D29">
        <f>Diag[[#This Row],[плазма]]*-1</f>
        <v>4.997582952095966</v>
      </c>
      <c r="E29">
        <v>65</v>
      </c>
      <c r="F29">
        <f>MEDIAN(Diag[плазма])</f>
        <v>-4.6711505825036106</v>
      </c>
      <c r="G29">
        <f>MEDIAN(Diag[ликвор])</f>
        <v>3.8738647245991764</v>
      </c>
    </row>
    <row r="30" spans="1:7" x14ac:dyDescent="0.25">
      <c r="A30">
        <v>53</v>
      </c>
      <c r="B30">
        <v>-5.9278834103307068</v>
      </c>
      <c r="C30">
        <v>4.1635191625698784</v>
      </c>
      <c r="D30">
        <f>Diag[[#This Row],[плазма]]*-1</f>
        <v>5.9278834103307068</v>
      </c>
      <c r="E30">
        <v>67</v>
      </c>
      <c r="F30">
        <f>MEDIAN(Diag[плазма])</f>
        <v>-4.6711505825036106</v>
      </c>
      <c r="G30">
        <f>MEDIAN(Diag[ликвор])</f>
        <v>3.8738647245991764</v>
      </c>
    </row>
    <row r="31" spans="1:7" x14ac:dyDescent="0.25">
      <c r="A31">
        <v>61</v>
      </c>
      <c r="B31">
        <v>-5.7754713641350071</v>
      </c>
      <c r="C31">
        <v>3.6578204560156973</v>
      </c>
      <c r="D31">
        <f>Diag[[#This Row],[плазма]]*-1</f>
        <v>5.7754713641350071</v>
      </c>
      <c r="E31">
        <v>83</v>
      </c>
      <c r="F31">
        <f>MEDIAN(Diag[плазма])</f>
        <v>-4.6711505825036106</v>
      </c>
      <c r="G31">
        <f>MEDIAN(Diag[ликвор])</f>
        <v>3.8738647245991764</v>
      </c>
    </row>
    <row r="32" spans="1:7" x14ac:dyDescent="0.25">
      <c r="A32">
        <v>26</v>
      </c>
      <c r="B32">
        <v>-4.5118833609788744</v>
      </c>
      <c r="C32">
        <v>4.4785664955938431</v>
      </c>
      <c r="D32">
        <f>Diag[[#This Row],[плазма]]*-1</f>
        <v>4.5118833609788744</v>
      </c>
      <c r="E32">
        <v>85</v>
      </c>
      <c r="F32">
        <f>MEDIAN(Diag[плазма])</f>
        <v>-4.6711505825036106</v>
      </c>
      <c r="G32">
        <f>MEDIAN(Diag[ликвор])</f>
        <v>3.8738647245991764</v>
      </c>
    </row>
    <row r="33" spans="1:7" x14ac:dyDescent="0.25">
      <c r="A33">
        <v>80</v>
      </c>
      <c r="B33">
        <v>-5.10210082486359</v>
      </c>
      <c r="C33">
        <v>5.0431146006008563</v>
      </c>
      <c r="D33">
        <f>Diag[[#This Row],[плазма]]*-1</f>
        <v>5.10210082486359</v>
      </c>
      <c r="E33">
        <v>93</v>
      </c>
      <c r="F33">
        <f>MEDIAN(Diag[плазма])</f>
        <v>-4.6711505825036106</v>
      </c>
      <c r="G33">
        <f>MEDIAN(Diag[ликвор])</f>
        <v>3.8738647245991764</v>
      </c>
    </row>
    <row r="34" spans="1:7" x14ac:dyDescent="0.25">
      <c r="A34">
        <v>12</v>
      </c>
      <c r="B34">
        <v>-5.5705429398818973</v>
      </c>
      <c r="C34">
        <v>4.9296028232604847</v>
      </c>
      <c r="D34">
        <f>Diag[[#This Row],[плазма]]*-1</f>
        <v>5.5705429398818973</v>
      </c>
      <c r="E34">
        <v>99</v>
      </c>
      <c r="F34">
        <f>MEDIAN(Diag[плазма])</f>
        <v>-4.6711505825036106</v>
      </c>
      <c r="G34">
        <f>MEDIAN(Diag[ликвор])</f>
        <v>3.8738647245991764</v>
      </c>
    </row>
    <row r="35" spans="1:7" x14ac:dyDescent="0.25">
      <c r="A35">
        <v>64</v>
      </c>
      <c r="B35">
        <v>-3.6937269489236471</v>
      </c>
      <c r="C35">
        <v>2.3010299956639813</v>
      </c>
      <c r="D35">
        <f>Diag[[#This Row],[плазма]]*-1</f>
        <v>3.6937269489236471</v>
      </c>
      <c r="E35">
        <v>103</v>
      </c>
      <c r="F35">
        <f>MEDIAN(Diag[плазма])</f>
        <v>-4.6711505825036106</v>
      </c>
      <c r="G35">
        <f>MEDIAN(Diag[ликвор])</f>
        <v>3.8738647245991764</v>
      </c>
    </row>
    <row r="36" spans="1:7" x14ac:dyDescent="0.25">
      <c r="A36">
        <v>73</v>
      </c>
      <c r="B36">
        <v>-3.6989700043360187</v>
      </c>
      <c r="C36">
        <v>4.2552725051033065</v>
      </c>
      <c r="D36">
        <f>Diag[[#This Row],[плазма]]*-1</f>
        <v>3.6989700043360187</v>
      </c>
      <c r="E36">
        <v>122</v>
      </c>
      <c r="F36">
        <f>MEDIAN(Diag[плазма])</f>
        <v>-4.6711505825036106</v>
      </c>
      <c r="G36">
        <f>MEDIAN(Diag[ликвор])</f>
        <v>3.8738647245991764</v>
      </c>
    </row>
    <row r="37" spans="1:7" x14ac:dyDescent="0.25">
      <c r="A37">
        <v>86</v>
      </c>
      <c r="B37">
        <v>-4.5789255894587679</v>
      </c>
      <c r="C37">
        <v>4.5725928210962863</v>
      </c>
      <c r="D37">
        <f>Diag[[#This Row],[плазма]]*-1</f>
        <v>4.5789255894587679</v>
      </c>
      <c r="E37">
        <v>126</v>
      </c>
      <c r="F37">
        <f>MEDIAN(Diag[плазма])</f>
        <v>-4.6711505825036106</v>
      </c>
      <c r="G37">
        <f>MEDIAN(Diag[ликвор])</f>
        <v>3.8738647245991764</v>
      </c>
    </row>
    <row r="38" spans="1:7" x14ac:dyDescent="0.25">
      <c r="A38">
        <v>17</v>
      </c>
      <c r="B38">
        <v>-6.7693773260761381</v>
      </c>
      <c r="C38">
        <v>4.9632871560873273</v>
      </c>
      <c r="D38">
        <f>Diag[[#This Row],[плазма]]*-1</f>
        <v>6.7693773260761381</v>
      </c>
      <c r="E38">
        <v>213</v>
      </c>
      <c r="F38">
        <f>MEDIAN(Diag[плазма])</f>
        <v>-4.6711505825036106</v>
      </c>
      <c r="G38">
        <f>MEDIAN(Diag[ликвор])</f>
        <v>3.8738647245991764</v>
      </c>
    </row>
    <row r="39" spans="1:7" x14ac:dyDescent="0.25">
      <c r="A39">
        <v>52</v>
      </c>
      <c r="B39">
        <v>-4.7831886910752575</v>
      </c>
      <c r="C39">
        <v>3.5704261783589728</v>
      </c>
      <c r="D39">
        <f>Diag[[#This Row],[плазма]]*-1</f>
        <v>4.7831886910752575</v>
      </c>
      <c r="E39">
        <v>397</v>
      </c>
      <c r="F39">
        <f>MEDIAN(Diag[плазма])</f>
        <v>-4.6711505825036106</v>
      </c>
      <c r="G39">
        <f>MEDIAN(Diag[ликвор])</f>
        <v>3.8738647245991764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60A88-CA7E-4EC6-A238-9E5D6F0D8D4D}">
  <sheetPr codeName="Лист8"/>
  <dimension ref="A1:AJ39"/>
  <sheetViews>
    <sheetView workbookViewId="0">
      <pane xSplit="1" ySplit="1" topLeftCell="B3" activePane="bottomRight" state="frozen"/>
      <selection pane="topRight" activeCell="B1" sqref="B1"/>
      <selection pane="bottomLeft" activeCell="A2" sqref="A2"/>
      <selection pane="bottomRight" activeCell="H3" sqref="H3:H34"/>
    </sheetView>
  </sheetViews>
  <sheetFormatPr defaultRowHeight="15" x14ac:dyDescent="0.25"/>
  <cols>
    <col min="1" max="1" width="6.42578125" bestFit="1" customWidth="1"/>
    <col min="2" max="3" width="9.140625" bestFit="1" customWidth="1"/>
    <col min="4" max="4" width="6.85546875" bestFit="1" customWidth="1"/>
    <col min="5" max="7" width="9.140625" bestFit="1" customWidth="1"/>
    <col min="8" max="8" width="12.5703125" customWidth="1"/>
    <col min="9" max="29" width="9.140625" bestFit="1" customWidth="1"/>
    <col min="30" max="30" width="8.5703125" bestFit="1" customWidth="1"/>
    <col min="31" max="32" width="9.140625" bestFit="1" customWidth="1"/>
    <col min="33" max="33" width="6.7109375" bestFit="1" customWidth="1"/>
    <col min="34" max="34" width="12.85546875" customWidth="1"/>
    <col min="35" max="36" width="9.85546875" bestFit="1" customWidth="1"/>
    <col min="37" max="37" width="18.42578125" bestFit="1" customWidth="1"/>
    <col min="38" max="38" width="11.28515625" bestFit="1" customWidth="1"/>
    <col min="39" max="39" width="12" bestFit="1" customWidth="1"/>
    <col min="40" max="40" width="16.28515625" bestFit="1" customWidth="1"/>
    <col min="41" max="41" width="12.7109375" bestFit="1" customWidth="1"/>
    <col min="42" max="42" width="12" bestFit="1" customWidth="1"/>
    <col min="43" max="43" width="11.140625" bestFit="1" customWidth="1"/>
    <col min="44" max="44" width="13" bestFit="1" customWidth="1"/>
    <col min="45" max="45" width="12.28515625" bestFit="1" customWidth="1"/>
    <col min="46" max="46" width="15.42578125" bestFit="1" customWidth="1"/>
    <col min="47" max="47" width="13.140625" bestFit="1" customWidth="1"/>
    <col min="48" max="48" width="12.42578125" bestFit="1" customWidth="1"/>
    <col min="49" max="49" width="15.5703125" bestFit="1" customWidth="1"/>
    <col min="50" max="50" width="13.28515625" bestFit="1" customWidth="1"/>
    <col min="51" max="51" width="13.42578125" bestFit="1" customWidth="1"/>
    <col min="52" max="52" width="8.140625" bestFit="1" customWidth="1"/>
    <col min="53" max="53" width="8.5703125" bestFit="1" customWidth="1"/>
    <col min="54" max="54" width="9.140625" bestFit="1" customWidth="1"/>
  </cols>
  <sheetData>
    <row r="1" spans="1:36" x14ac:dyDescent="0.25">
      <c r="A1" t="s">
        <v>5</v>
      </c>
      <c r="B1" t="s">
        <v>6</v>
      </c>
      <c r="C1" t="s">
        <v>7</v>
      </c>
      <c r="D1" t="s">
        <v>49</v>
      </c>
      <c r="E1" t="s">
        <v>8</v>
      </c>
      <c r="F1" t="s">
        <v>98</v>
      </c>
      <c r="G1" t="s">
        <v>99</v>
      </c>
      <c r="H1" t="s">
        <v>100</v>
      </c>
      <c r="I1" t="s">
        <v>12</v>
      </c>
      <c r="J1" t="s">
        <v>13</v>
      </c>
      <c r="K1" t="s">
        <v>14</v>
      </c>
      <c r="L1" t="s">
        <v>232</v>
      </c>
      <c r="M1" t="s">
        <v>125</v>
      </c>
      <c r="N1" t="s">
        <v>126</v>
      </c>
      <c r="O1" t="s">
        <v>30</v>
      </c>
      <c r="P1" t="s">
        <v>31</v>
      </c>
      <c r="Q1" t="s">
        <v>33</v>
      </c>
      <c r="R1" t="s">
        <v>32</v>
      </c>
      <c r="S1" t="s">
        <v>29</v>
      </c>
      <c r="T1" t="s">
        <v>130</v>
      </c>
      <c r="U1" t="s">
        <v>131</v>
      </c>
      <c r="V1" t="s">
        <v>66</v>
      </c>
      <c r="W1" t="s">
        <v>65</v>
      </c>
      <c r="X1" t="s">
        <v>171</v>
      </c>
      <c r="Y1" t="s">
        <v>172</v>
      </c>
      <c r="Z1" t="s">
        <v>173</v>
      </c>
      <c r="AA1" t="s">
        <v>299</v>
      </c>
      <c r="AB1" t="s">
        <v>300</v>
      </c>
      <c r="AC1" t="s">
        <v>301</v>
      </c>
      <c r="AD1" t="s">
        <v>64</v>
      </c>
      <c r="AE1" t="s">
        <v>231</v>
      </c>
      <c r="AF1" t="s">
        <v>238</v>
      </c>
      <c r="AG1" t="s">
        <v>302</v>
      </c>
      <c r="AI1">
        <v>120</v>
      </c>
      <c r="AJ1">
        <v>3</v>
      </c>
    </row>
    <row r="2" spans="1:36" hidden="1" x14ac:dyDescent="0.25">
      <c r="A2">
        <v>71</v>
      </c>
      <c r="B2" s="1">
        <v>44277</v>
      </c>
      <c r="C2" t="s">
        <v>16</v>
      </c>
      <c r="D2">
        <v>1</v>
      </c>
      <c r="E2" t="s">
        <v>17</v>
      </c>
      <c r="F2">
        <v>102</v>
      </c>
      <c r="G2">
        <v>108</v>
      </c>
      <c r="H2" t="s">
        <v>18</v>
      </c>
      <c r="I2" s="1">
        <v>29146</v>
      </c>
      <c r="J2" s="1">
        <v>41083</v>
      </c>
      <c r="K2" t="s">
        <v>22</v>
      </c>
      <c r="L2" t="s">
        <v>233</v>
      </c>
      <c r="M2" s="1"/>
      <c r="N2" s="1"/>
      <c r="O2">
        <v>41.454794520547452</v>
      </c>
      <c r="P2">
        <v>106.46666666666667</v>
      </c>
      <c r="Q2">
        <v>0</v>
      </c>
      <c r="S2">
        <v>1</v>
      </c>
      <c r="T2">
        <v>5.4313637641589869</v>
      </c>
      <c r="U2">
        <v>3.8512583487190755</v>
      </c>
      <c r="V2">
        <v>270000</v>
      </c>
      <c r="W2">
        <v>7100</v>
      </c>
      <c r="Y2" t="s">
        <v>214</v>
      </c>
      <c r="Z2">
        <v>1</v>
      </c>
      <c r="AB2">
        <v>11</v>
      </c>
      <c r="AD2">
        <f>IF(Пациенты[[#This Row],[ВИЧ-инфекция]]&lt;$AI$1,1,2)</f>
        <v>1</v>
      </c>
      <c r="AE2">
        <f>IFERROR(VLOOKUP(Пациенты[[#This Row],[IDP]],Гетерогенность[],2,0),0)</f>
        <v>0</v>
      </c>
      <c r="AF2">
        <f>IF(Пациенты[[#This Row],[DS]]="ВИЧ-энцефалит",0,IF(Пациенты[[#This Row],[DS]]&lt;&gt;"Другие поражения ГМ",1,""))</f>
        <v>0</v>
      </c>
      <c r="AG2">
        <f>IF(OR(Пациенты[[#This Row],[Кл_плазма]]=$AJ$1,Пациенты[[#This Row],[Кл_ликвор]]=$AJ$1),1,0)</f>
        <v>0</v>
      </c>
    </row>
    <row r="3" spans="1:36" x14ac:dyDescent="0.25">
      <c r="A3">
        <v>92</v>
      </c>
      <c r="B3" s="1">
        <v>44518</v>
      </c>
      <c r="C3" t="s">
        <v>16</v>
      </c>
      <c r="D3">
        <v>2</v>
      </c>
      <c r="E3" t="s">
        <v>17</v>
      </c>
      <c r="F3">
        <v>102</v>
      </c>
      <c r="G3">
        <v>105</v>
      </c>
      <c r="H3" t="s">
        <v>18</v>
      </c>
      <c r="I3" s="1">
        <v>27204</v>
      </c>
      <c r="J3" s="1">
        <v>44484</v>
      </c>
      <c r="K3" t="s">
        <v>19</v>
      </c>
      <c r="L3" t="s">
        <v>236</v>
      </c>
      <c r="M3" s="1">
        <v>44505</v>
      </c>
      <c r="N3" s="1">
        <v>44523</v>
      </c>
      <c r="O3">
        <v>47.435616438355325</v>
      </c>
      <c r="P3">
        <v>1.1333333333333333</v>
      </c>
      <c r="Q3">
        <v>0.43333333333333329</v>
      </c>
      <c r="S3">
        <v>1</v>
      </c>
      <c r="T3">
        <v>4.2848591767337636</v>
      </c>
      <c r="U3">
        <v>3.1972805581256192</v>
      </c>
      <c r="V3">
        <v>19269</v>
      </c>
      <c r="W3">
        <v>1575</v>
      </c>
      <c r="X3" t="s">
        <v>218</v>
      </c>
      <c r="Y3" t="s">
        <v>219</v>
      </c>
      <c r="Z3">
        <v>2</v>
      </c>
      <c r="AA3">
        <v>26</v>
      </c>
      <c r="AB3">
        <v>4</v>
      </c>
      <c r="AC3">
        <v>1</v>
      </c>
      <c r="AD3">
        <f>IF(Пациенты[[#This Row],[ВИЧ-инфекция]]&lt;$AI$1,1,2)</f>
        <v>1</v>
      </c>
      <c r="AE3">
        <f>IFERROR(VLOOKUP(Пациенты[[#This Row],[IDP]],Гетерогенность[],2,0),0)</f>
        <v>1</v>
      </c>
      <c r="AF3">
        <f>IF(Пациенты[[#This Row],[DS]]="ВИЧ-энцефалит",0,IF(Пациенты[[#This Row],[DS]]&lt;&gt;"Другие поражения ГМ",1,""))</f>
        <v>1</v>
      </c>
      <c r="AG3">
        <f>IF(OR(Пациенты[[#This Row],[Кл_плазма]]=$AJ$1,Пациенты[[#This Row],[Кл_ликвор]]=$AJ$1),1,0)</f>
        <v>0</v>
      </c>
    </row>
    <row r="4" spans="1:36" hidden="1" x14ac:dyDescent="0.25">
      <c r="A4">
        <v>89</v>
      </c>
      <c r="B4" s="1">
        <v>43199</v>
      </c>
      <c r="C4" t="s">
        <v>16</v>
      </c>
      <c r="D4">
        <v>2</v>
      </c>
      <c r="E4" t="s">
        <v>17</v>
      </c>
      <c r="F4">
        <v>112</v>
      </c>
      <c r="G4">
        <v>108</v>
      </c>
      <c r="H4" t="s">
        <v>18</v>
      </c>
      <c r="I4" s="1">
        <v>30814</v>
      </c>
      <c r="J4" s="1">
        <v>40500</v>
      </c>
      <c r="K4" t="s">
        <v>22</v>
      </c>
      <c r="L4" t="s">
        <v>237</v>
      </c>
      <c r="M4" s="1"/>
      <c r="N4" s="1"/>
      <c r="O4">
        <v>33.931506849314815</v>
      </c>
      <c r="P4">
        <v>89.966666666666669</v>
      </c>
      <c r="Q4">
        <v>0</v>
      </c>
      <c r="S4">
        <v>1</v>
      </c>
      <c r="T4">
        <v>0</v>
      </c>
      <c r="U4">
        <v>4.4880286854829441</v>
      </c>
      <c r="V4">
        <v>0</v>
      </c>
      <c r="W4">
        <v>30763</v>
      </c>
      <c r="Y4" t="s">
        <v>227</v>
      </c>
      <c r="Z4">
        <v>1</v>
      </c>
      <c r="AB4">
        <v>16</v>
      </c>
      <c r="AD4">
        <f>IF(Пациенты[[#This Row],[ВИЧ-инфекция]]&lt;$AI$1,1,2)</f>
        <v>1</v>
      </c>
      <c r="AE4">
        <f>IFERROR(VLOOKUP(Пациенты[[#This Row],[IDP]],Гетерогенность[],2,0),0)</f>
        <v>0</v>
      </c>
      <c r="AF4">
        <f>IF(Пациенты[[#This Row],[DS]]="ВИЧ-энцефалит",0,IF(Пациенты[[#This Row],[DS]]&lt;&gt;"Другие поражения ГМ",1,""))</f>
        <v>1</v>
      </c>
      <c r="AG4">
        <f>IF(OR(Пациенты[[#This Row],[Кл_плазма]]=$AJ$1,Пациенты[[#This Row],[Кл_ликвор]]=$AJ$1),1,0)</f>
        <v>0</v>
      </c>
    </row>
    <row r="5" spans="1:36" hidden="1" x14ac:dyDescent="0.25">
      <c r="A5">
        <v>38</v>
      </c>
      <c r="B5" s="1">
        <v>43964</v>
      </c>
      <c r="C5" t="s">
        <v>16</v>
      </c>
      <c r="D5">
        <v>3</v>
      </c>
      <c r="E5" t="s">
        <v>20</v>
      </c>
      <c r="F5">
        <v>118</v>
      </c>
      <c r="G5">
        <v>105</v>
      </c>
      <c r="H5" t="s">
        <v>21</v>
      </c>
      <c r="I5" s="1">
        <v>33355</v>
      </c>
      <c r="J5" s="1">
        <v>40787</v>
      </c>
      <c r="K5" t="s">
        <v>24</v>
      </c>
      <c r="L5" t="s">
        <v>233</v>
      </c>
      <c r="M5" s="1"/>
      <c r="N5" s="1"/>
      <c r="O5">
        <v>29.065753424657405</v>
      </c>
      <c r="P5">
        <v>105.89999999999999</v>
      </c>
      <c r="Q5">
        <v>0</v>
      </c>
      <c r="S5">
        <v>1</v>
      </c>
      <c r="T5">
        <v>3.7193312869837265</v>
      </c>
      <c r="U5">
        <v>0</v>
      </c>
      <c r="V5">
        <v>5240</v>
      </c>
      <c r="W5">
        <v>0</v>
      </c>
      <c r="X5" t="s">
        <v>189</v>
      </c>
      <c r="Z5">
        <v>1</v>
      </c>
      <c r="AA5">
        <v>3</v>
      </c>
      <c r="AD5">
        <f>IF(Пациенты[[#This Row],[ВИЧ-инфекция]]&lt;$AI$1,1,2)</f>
        <v>1</v>
      </c>
      <c r="AE5">
        <f>IFERROR(VLOOKUP(Пациенты[[#This Row],[IDP]],Гетерогенность[],2,0),0)</f>
        <v>0</v>
      </c>
      <c r="AF5">
        <f>IF(Пациенты[[#This Row],[DS]]="ВИЧ-энцефалит",0,IF(Пациенты[[#This Row],[DS]]&lt;&gt;"Другие поражения ГМ",1,""))</f>
        <v>0</v>
      </c>
      <c r="AG5">
        <f>IF(OR(Пациенты[[#This Row],[Кл_плазма]]=$AJ$1,Пациенты[[#This Row],[Кл_ликвор]]=$AJ$1),1,0)</f>
        <v>1</v>
      </c>
    </row>
    <row r="6" spans="1:36" hidden="1" x14ac:dyDescent="0.25">
      <c r="A6">
        <v>97</v>
      </c>
      <c r="B6" s="1">
        <v>44392</v>
      </c>
      <c r="C6" t="s">
        <v>16</v>
      </c>
      <c r="D6">
        <v>4</v>
      </c>
      <c r="E6" t="s">
        <v>20</v>
      </c>
      <c r="F6">
        <v>118</v>
      </c>
      <c r="G6">
        <v>105</v>
      </c>
      <c r="H6" t="s">
        <v>21</v>
      </c>
      <c r="I6" s="1">
        <v>34912</v>
      </c>
      <c r="J6" s="1">
        <v>42640</v>
      </c>
      <c r="K6" t="s">
        <v>22</v>
      </c>
      <c r="L6" t="s">
        <v>234</v>
      </c>
      <c r="M6" s="1">
        <v>43347</v>
      </c>
      <c r="N6" s="1">
        <v>44306</v>
      </c>
      <c r="O6">
        <v>25.972602739725694</v>
      </c>
      <c r="P6">
        <v>58.4</v>
      </c>
      <c r="Q6">
        <v>34.833333333333329</v>
      </c>
      <c r="R6">
        <v>34.833333333333329</v>
      </c>
      <c r="S6">
        <v>0</v>
      </c>
      <c r="T6">
        <v>0</v>
      </c>
      <c r="U6">
        <v>3.5177235948337358</v>
      </c>
      <c r="V6">
        <v>0</v>
      </c>
      <c r="W6">
        <v>3294</v>
      </c>
      <c r="Y6" t="s">
        <v>228</v>
      </c>
      <c r="Z6">
        <v>1</v>
      </c>
      <c r="AB6">
        <v>13</v>
      </c>
      <c r="AD6">
        <f>IF(Пациенты[[#This Row],[ВИЧ-инфекция]]&lt;$AI$1,1,2)</f>
        <v>1</v>
      </c>
      <c r="AE6">
        <f>IFERROR(VLOOKUP(Пациенты[[#This Row],[IDP]],Гетерогенность[],2,0),0)</f>
        <v>0</v>
      </c>
      <c r="AF6">
        <f>IF(Пациенты[[#This Row],[DS]]="ВИЧ-энцефалит",0,IF(Пациенты[[#This Row],[DS]]&lt;&gt;"Другие поражения ГМ",1,""))</f>
        <v>1</v>
      </c>
      <c r="AG6">
        <f>IF(OR(Пациенты[[#This Row],[Кл_плазма]]=$AJ$1,Пациенты[[#This Row],[Кл_ликвор]]=$AJ$1),1,0)</f>
        <v>0</v>
      </c>
    </row>
    <row r="7" spans="1:36" hidden="1" x14ac:dyDescent="0.25">
      <c r="A7">
        <v>11</v>
      </c>
      <c r="B7" s="1">
        <v>43684</v>
      </c>
      <c r="C7" t="s">
        <v>16</v>
      </c>
      <c r="D7">
        <v>10</v>
      </c>
      <c r="E7" t="s">
        <v>17</v>
      </c>
      <c r="F7">
        <v>102</v>
      </c>
      <c r="G7">
        <v>108</v>
      </c>
      <c r="H7" t="s">
        <v>18</v>
      </c>
      <c r="I7" s="1">
        <v>28032</v>
      </c>
      <c r="J7" s="1">
        <v>43657</v>
      </c>
      <c r="K7" t="s">
        <v>22</v>
      </c>
      <c r="L7" t="s">
        <v>233</v>
      </c>
      <c r="M7" s="1"/>
      <c r="N7" s="1"/>
      <c r="O7">
        <v>42.882191780821756</v>
      </c>
      <c r="P7">
        <v>0.89999999999999991</v>
      </c>
      <c r="Q7">
        <v>0</v>
      </c>
      <c r="S7">
        <v>1</v>
      </c>
      <c r="T7">
        <v>5.2988530764097064</v>
      </c>
      <c r="U7">
        <v>2.7226339225338121</v>
      </c>
      <c r="V7">
        <v>199000</v>
      </c>
      <c r="W7">
        <v>528</v>
      </c>
      <c r="X7" t="s">
        <v>179</v>
      </c>
      <c r="Y7" t="s">
        <v>180</v>
      </c>
      <c r="Z7">
        <v>2</v>
      </c>
      <c r="AA7">
        <v>13</v>
      </c>
      <c r="AB7">
        <v>13</v>
      </c>
      <c r="AC7">
        <v>0</v>
      </c>
      <c r="AD7">
        <f>IF(Пациенты[[#This Row],[ВИЧ-инфекция]]&lt;$AI$1,1,2)</f>
        <v>1</v>
      </c>
      <c r="AE7">
        <f>IFERROR(VLOOKUP(Пациенты[[#This Row],[IDP]],Гетерогенность[],2,0),0)</f>
        <v>0</v>
      </c>
      <c r="AF7">
        <f>IF(Пациенты[[#This Row],[DS]]="ВИЧ-энцефалит",0,IF(Пациенты[[#This Row],[DS]]&lt;&gt;"Другие поражения ГМ",1,""))</f>
        <v>0</v>
      </c>
      <c r="AG7">
        <f>IF(OR(Пациенты[[#This Row],[Кл_плазма]]=$AJ$1,Пациенты[[#This Row],[Кл_ликвор]]=$AJ$1),1,0)</f>
        <v>0</v>
      </c>
    </row>
    <row r="8" spans="1:36" hidden="1" x14ac:dyDescent="0.25">
      <c r="A8">
        <v>50</v>
      </c>
      <c r="B8" s="1">
        <v>44106</v>
      </c>
      <c r="C8" t="s">
        <v>16</v>
      </c>
      <c r="D8">
        <v>13</v>
      </c>
      <c r="E8" t="s">
        <v>20</v>
      </c>
      <c r="F8">
        <v>104</v>
      </c>
      <c r="G8">
        <v>105</v>
      </c>
      <c r="H8" t="s">
        <v>21</v>
      </c>
      <c r="I8" s="1">
        <v>27550</v>
      </c>
      <c r="J8" s="1">
        <v>40967</v>
      </c>
      <c r="K8" t="s">
        <v>22</v>
      </c>
      <c r="L8" t="s">
        <v>233</v>
      </c>
      <c r="M8" s="1">
        <v>43052</v>
      </c>
      <c r="N8" s="1">
        <v>44109</v>
      </c>
      <c r="O8">
        <v>45.358904109587961</v>
      </c>
      <c r="P8">
        <v>104.63333333333333</v>
      </c>
      <c r="Q8">
        <v>35.133333333333333</v>
      </c>
      <c r="R8">
        <v>35.133333333333333</v>
      </c>
      <c r="S8">
        <v>0</v>
      </c>
      <c r="T8">
        <v>4.4548448600085102</v>
      </c>
      <c r="U8">
        <v>0</v>
      </c>
      <c r="V8">
        <v>28500</v>
      </c>
      <c r="W8">
        <v>0</v>
      </c>
      <c r="X8" t="s">
        <v>190</v>
      </c>
      <c r="Z8">
        <v>1</v>
      </c>
      <c r="AA8">
        <v>2</v>
      </c>
      <c r="AD8">
        <f>IF(Пациенты[[#This Row],[ВИЧ-инфекция]]&lt;$AI$1,1,2)</f>
        <v>1</v>
      </c>
      <c r="AE8">
        <f>IFERROR(VLOOKUP(Пациенты[[#This Row],[IDP]],Гетерогенность[],2,0),0)</f>
        <v>0</v>
      </c>
      <c r="AF8">
        <f>IF(Пациенты[[#This Row],[DS]]="ВИЧ-энцефалит",0,IF(Пациенты[[#This Row],[DS]]&lt;&gt;"Другие поражения ГМ",1,""))</f>
        <v>0</v>
      </c>
      <c r="AG8">
        <f>IF(OR(Пациенты[[#This Row],[Кл_плазма]]=$AJ$1,Пациенты[[#This Row],[Кл_ликвор]]=$AJ$1),1,0)</f>
        <v>0</v>
      </c>
    </row>
    <row r="9" spans="1:36" hidden="1" x14ac:dyDescent="0.25">
      <c r="A9">
        <v>94</v>
      </c>
      <c r="B9" s="1">
        <v>44588</v>
      </c>
      <c r="C9" t="s">
        <v>16</v>
      </c>
      <c r="D9">
        <v>15</v>
      </c>
      <c r="E9" t="s">
        <v>20</v>
      </c>
      <c r="F9">
        <v>113</v>
      </c>
      <c r="G9">
        <v>105</v>
      </c>
      <c r="H9" t="s">
        <v>21</v>
      </c>
      <c r="I9" s="1">
        <v>33946</v>
      </c>
      <c r="J9" s="1">
        <v>41932</v>
      </c>
      <c r="K9" t="s">
        <v>22</v>
      </c>
      <c r="L9" t="s">
        <v>235</v>
      </c>
      <c r="M9" s="1">
        <v>44551</v>
      </c>
      <c r="N9" s="1">
        <v>44588</v>
      </c>
      <c r="O9">
        <v>29.156164383561343</v>
      </c>
      <c r="P9">
        <v>88.533333333333331</v>
      </c>
      <c r="Q9">
        <v>1.2333333333333334</v>
      </c>
      <c r="S9">
        <v>1</v>
      </c>
      <c r="T9">
        <v>4.4376713047707286</v>
      </c>
      <c r="U9">
        <v>5.9408809003034158</v>
      </c>
      <c r="V9">
        <v>27395</v>
      </c>
      <c r="W9">
        <v>872732</v>
      </c>
      <c r="X9" t="s">
        <v>220</v>
      </c>
      <c r="Y9" t="s">
        <v>221</v>
      </c>
      <c r="Z9">
        <v>2</v>
      </c>
      <c r="AA9">
        <v>2</v>
      </c>
      <c r="AB9">
        <v>2</v>
      </c>
      <c r="AC9">
        <v>0</v>
      </c>
      <c r="AD9">
        <f>IF(Пациенты[[#This Row],[ВИЧ-инфекция]]&lt;$AI$1,1,2)</f>
        <v>1</v>
      </c>
      <c r="AE9">
        <f>IFERROR(VLOOKUP(Пациенты[[#This Row],[IDP]],Гетерогенность[],2,0),0)</f>
        <v>0</v>
      </c>
      <c r="AF9">
        <f>IF(Пациенты[[#This Row],[DS]]="ВИЧ-энцефалит",0,IF(Пациенты[[#This Row],[DS]]&lt;&gt;"Другие поражения ГМ",1,""))</f>
        <v>1</v>
      </c>
      <c r="AG9">
        <f>IF(OR(Пациенты[[#This Row],[Кл_плазма]]=$AJ$1,Пациенты[[#This Row],[Кл_ликвор]]=$AJ$1),1,0)</f>
        <v>0</v>
      </c>
    </row>
    <row r="10" spans="1:36" x14ac:dyDescent="0.25">
      <c r="A10">
        <v>79</v>
      </c>
      <c r="B10" s="1">
        <v>43125</v>
      </c>
      <c r="C10" t="s">
        <v>16</v>
      </c>
      <c r="D10">
        <v>21</v>
      </c>
      <c r="E10" t="s">
        <v>20</v>
      </c>
      <c r="F10">
        <v>102</v>
      </c>
      <c r="G10">
        <v>108</v>
      </c>
      <c r="H10" t="s">
        <v>18</v>
      </c>
      <c r="I10" s="1">
        <v>29981</v>
      </c>
      <c r="J10" s="1">
        <v>36592</v>
      </c>
      <c r="K10" t="s">
        <v>22</v>
      </c>
      <c r="L10" t="s">
        <v>234</v>
      </c>
      <c r="M10" s="1">
        <v>43139</v>
      </c>
      <c r="N10" s="1">
        <v>43125</v>
      </c>
      <c r="O10">
        <v>36.010958904108797</v>
      </c>
      <c r="P10">
        <v>217.76666666666665</v>
      </c>
      <c r="Q10">
        <v>-0.46666666666666667</v>
      </c>
      <c r="S10">
        <v>1</v>
      </c>
      <c r="T10">
        <v>4.8353417278283422</v>
      </c>
      <c r="U10">
        <v>2.8419848045901137</v>
      </c>
      <c r="V10">
        <v>68445</v>
      </c>
      <c r="W10">
        <v>695</v>
      </c>
      <c r="X10" t="s">
        <v>200</v>
      </c>
      <c r="Y10" t="s">
        <v>201</v>
      </c>
      <c r="Z10">
        <v>2</v>
      </c>
      <c r="AA10">
        <v>8</v>
      </c>
      <c r="AB10">
        <v>4</v>
      </c>
      <c r="AC10">
        <v>1</v>
      </c>
      <c r="AD10">
        <f>IF(Пациенты[[#This Row],[ВИЧ-инфекция]]&lt;$AI$1,1,2)</f>
        <v>2</v>
      </c>
      <c r="AE10">
        <f>IFERROR(VLOOKUP(Пациенты[[#This Row],[IDP]],Гетерогенность[],2,0),0)</f>
        <v>1</v>
      </c>
      <c r="AF10">
        <f>IF(Пациенты[[#This Row],[DS]]="ВИЧ-энцефалит",0,IF(Пациенты[[#This Row],[DS]]&lt;&gt;"Другие поражения ГМ",1,""))</f>
        <v>1</v>
      </c>
      <c r="AG10">
        <f>IF(OR(Пациенты[[#This Row],[Кл_плазма]]=$AJ$1,Пациенты[[#This Row],[Кл_ликвор]]=$AJ$1),1,0)</f>
        <v>0</v>
      </c>
    </row>
    <row r="11" spans="1:36" hidden="1" x14ac:dyDescent="0.25">
      <c r="A11">
        <v>90</v>
      </c>
      <c r="B11" s="1">
        <v>44483</v>
      </c>
      <c r="C11" t="s">
        <v>16</v>
      </c>
      <c r="D11">
        <v>21</v>
      </c>
      <c r="E11" t="s">
        <v>17</v>
      </c>
      <c r="F11">
        <v>112</v>
      </c>
      <c r="G11">
        <v>105</v>
      </c>
      <c r="H11" t="s">
        <v>21</v>
      </c>
      <c r="I11" s="1">
        <v>32557</v>
      </c>
      <c r="J11" s="1">
        <v>42787</v>
      </c>
      <c r="K11" t="s">
        <v>22</v>
      </c>
      <c r="L11" t="s">
        <v>236</v>
      </c>
      <c r="M11" s="1"/>
      <c r="N11" s="1"/>
      <c r="O11">
        <v>32.673972602739582</v>
      </c>
      <c r="P11">
        <v>56.533333333333331</v>
      </c>
      <c r="Q11">
        <v>0</v>
      </c>
      <c r="S11">
        <v>1</v>
      </c>
      <c r="T11">
        <v>4.1779114760940095</v>
      </c>
      <c r="U11">
        <v>5.177608635879186</v>
      </c>
      <c r="V11">
        <v>15063</v>
      </c>
      <c r="W11">
        <v>150525</v>
      </c>
      <c r="X11" t="s">
        <v>229</v>
      </c>
      <c r="Y11" t="s">
        <v>230</v>
      </c>
      <c r="Z11">
        <v>2</v>
      </c>
      <c r="AA11">
        <v>5</v>
      </c>
      <c r="AB11">
        <v>5</v>
      </c>
      <c r="AC11">
        <v>0</v>
      </c>
      <c r="AD11">
        <f>IF(Пациенты[[#This Row],[ВИЧ-инфекция]]&lt;$AI$1,1,2)</f>
        <v>1</v>
      </c>
      <c r="AE11">
        <f>IFERROR(VLOOKUP(Пациенты[[#This Row],[IDP]],Гетерогенность[],2,0),0)</f>
        <v>0</v>
      </c>
      <c r="AF11">
        <f>IF(Пациенты[[#This Row],[DS]]="ВИЧ-энцефалит",0,IF(Пациенты[[#This Row],[DS]]&lt;&gt;"Другие поражения ГМ",1,""))</f>
        <v>1</v>
      </c>
      <c r="AG11">
        <f>IF(OR(Пациенты[[#This Row],[Кл_плазма]]=$AJ$1,Пациенты[[#This Row],[Кл_ликвор]]=$AJ$1),1,0)</f>
        <v>0</v>
      </c>
    </row>
    <row r="12" spans="1:36" x14ac:dyDescent="0.25">
      <c r="A12">
        <v>39</v>
      </c>
      <c r="B12" s="1">
        <v>43941</v>
      </c>
      <c r="C12" t="s">
        <v>16</v>
      </c>
      <c r="D12">
        <v>22</v>
      </c>
      <c r="E12" t="s">
        <v>20</v>
      </c>
      <c r="F12">
        <v>118</v>
      </c>
      <c r="G12">
        <v>105</v>
      </c>
      <c r="H12" t="s">
        <v>21</v>
      </c>
      <c r="I12" s="1">
        <v>25273</v>
      </c>
      <c r="J12" s="1">
        <v>42192</v>
      </c>
      <c r="K12" t="s">
        <v>22</v>
      </c>
      <c r="L12" t="s">
        <v>233</v>
      </c>
      <c r="M12" s="1"/>
      <c r="N12" s="1"/>
      <c r="O12">
        <v>51.145205479451384</v>
      </c>
      <c r="P12">
        <v>58.3</v>
      </c>
      <c r="Q12">
        <v>0</v>
      </c>
      <c r="S12">
        <v>1</v>
      </c>
      <c r="T12">
        <v>5.9508514588885468</v>
      </c>
      <c r="U12">
        <v>4.6462174200110669</v>
      </c>
      <c r="V12">
        <v>893000</v>
      </c>
      <c r="W12">
        <v>44281</v>
      </c>
      <c r="X12" t="s">
        <v>191</v>
      </c>
      <c r="Y12" t="s">
        <v>192</v>
      </c>
      <c r="Z12">
        <v>2</v>
      </c>
      <c r="AA12">
        <v>3</v>
      </c>
      <c r="AB12">
        <v>8</v>
      </c>
      <c r="AC12">
        <v>1</v>
      </c>
      <c r="AD12">
        <f>IF(Пациенты[[#This Row],[ВИЧ-инфекция]]&lt;$AI$1,1,2)</f>
        <v>1</v>
      </c>
      <c r="AE12">
        <f>IFERROR(VLOOKUP(Пациенты[[#This Row],[IDP]],Гетерогенность[],2,0),0)</f>
        <v>1</v>
      </c>
      <c r="AF12">
        <f>IF(Пациенты[[#This Row],[DS]]="ВИЧ-энцефалит",0,IF(Пациенты[[#This Row],[DS]]&lt;&gt;"Другие поражения ГМ",1,""))</f>
        <v>0</v>
      </c>
      <c r="AG12">
        <f>IF(OR(Пациенты[[#This Row],[Кл_плазма]]=$AJ$1,Пациенты[[#This Row],[Кл_ликвор]]=$AJ$1),1,0)</f>
        <v>1</v>
      </c>
    </row>
    <row r="13" spans="1:36" hidden="1" x14ac:dyDescent="0.25">
      <c r="A13">
        <v>10</v>
      </c>
      <c r="B13" s="1">
        <v>43733</v>
      </c>
      <c r="C13" t="s">
        <v>16</v>
      </c>
      <c r="D13">
        <v>23</v>
      </c>
      <c r="E13" t="s">
        <v>20</v>
      </c>
      <c r="F13">
        <v>113</v>
      </c>
      <c r="G13">
        <v>105</v>
      </c>
      <c r="H13" t="s">
        <v>21</v>
      </c>
      <c r="I13" s="1">
        <v>28981</v>
      </c>
      <c r="J13" s="1">
        <v>38380</v>
      </c>
      <c r="K13" t="s">
        <v>22</v>
      </c>
      <c r="L13" t="s">
        <v>233</v>
      </c>
      <c r="M13" s="1">
        <v>43723</v>
      </c>
      <c r="N13" s="1">
        <v>43725</v>
      </c>
      <c r="O13">
        <v>40.416438356164349</v>
      </c>
      <c r="P13">
        <v>178.43333333333334</v>
      </c>
      <c r="Q13">
        <v>0.33333333333333331</v>
      </c>
      <c r="S13">
        <v>1</v>
      </c>
      <c r="T13">
        <v>5.8662873390841952</v>
      </c>
      <c r="U13">
        <v>3.3159703454569178</v>
      </c>
      <c r="V13">
        <v>735000</v>
      </c>
      <c r="W13">
        <v>2070</v>
      </c>
      <c r="Y13" t="s">
        <v>176</v>
      </c>
      <c r="Z13">
        <v>1</v>
      </c>
      <c r="AB13">
        <v>3</v>
      </c>
      <c r="AD13">
        <f>IF(Пациенты[[#This Row],[ВИЧ-инфекция]]&lt;$AI$1,1,2)</f>
        <v>2</v>
      </c>
      <c r="AE13">
        <f>IFERROR(VLOOKUP(Пациенты[[#This Row],[IDP]],Гетерогенность[],2,0),0)</f>
        <v>0</v>
      </c>
      <c r="AF13">
        <f>IF(Пациенты[[#This Row],[DS]]="ВИЧ-энцефалит",0,IF(Пациенты[[#This Row],[DS]]&lt;&gt;"Другие поражения ГМ",1,""))</f>
        <v>0</v>
      </c>
      <c r="AG13">
        <f>IF(OR(Пациенты[[#This Row],[Кл_плазма]]=$AJ$1,Пациенты[[#This Row],[Кл_ликвор]]=$AJ$1),1,0)</f>
        <v>1</v>
      </c>
    </row>
    <row r="14" spans="1:36" hidden="1" x14ac:dyDescent="0.25">
      <c r="A14">
        <v>48</v>
      </c>
      <c r="B14" s="1">
        <v>44097</v>
      </c>
      <c r="C14" t="s">
        <v>16</v>
      </c>
      <c r="D14">
        <v>23</v>
      </c>
      <c r="E14" t="s">
        <v>17</v>
      </c>
      <c r="F14">
        <v>113</v>
      </c>
      <c r="G14">
        <v>105</v>
      </c>
      <c r="H14" t="s">
        <v>21</v>
      </c>
      <c r="I14" s="1">
        <v>31984</v>
      </c>
      <c r="J14" s="1">
        <v>39814</v>
      </c>
      <c r="K14" t="s">
        <v>27</v>
      </c>
      <c r="L14" t="s">
        <v>234</v>
      </c>
      <c r="M14" s="1"/>
      <c r="N14" s="1"/>
      <c r="O14">
        <v>33.186301369862264</v>
      </c>
      <c r="P14">
        <v>142.76666666666665</v>
      </c>
      <c r="Q14">
        <v>0</v>
      </c>
      <c r="S14">
        <v>1</v>
      </c>
      <c r="T14">
        <v>4.9781805169374138</v>
      </c>
      <c r="U14">
        <v>4.9065720609521977</v>
      </c>
      <c r="V14">
        <v>95100</v>
      </c>
      <c r="W14">
        <v>80644</v>
      </c>
      <c r="X14" t="s">
        <v>199</v>
      </c>
      <c r="Z14">
        <v>1</v>
      </c>
      <c r="AA14">
        <v>5</v>
      </c>
      <c r="AD14">
        <f>IF(Пациенты[[#This Row],[ВИЧ-инфекция]]&lt;$AI$1,1,2)</f>
        <v>2</v>
      </c>
      <c r="AE14">
        <f>IFERROR(VLOOKUP(Пациенты[[#This Row],[IDP]],Гетерогенность[],2,0),0)</f>
        <v>0</v>
      </c>
      <c r="AF14">
        <f>IF(Пациенты[[#This Row],[DS]]="ВИЧ-энцефалит",0,IF(Пациенты[[#This Row],[DS]]&lt;&gt;"Другие поражения ГМ",1,""))</f>
        <v>1</v>
      </c>
      <c r="AG14">
        <f>IF(OR(Пациенты[[#This Row],[Кл_плазма]]=$AJ$1,Пациенты[[#This Row],[Кл_ликвор]]=$AJ$1),1,0)</f>
        <v>0</v>
      </c>
    </row>
    <row r="15" spans="1:36" x14ac:dyDescent="0.25">
      <c r="A15">
        <v>81</v>
      </c>
      <c r="B15" s="1">
        <v>44643</v>
      </c>
      <c r="C15" t="s">
        <v>16</v>
      </c>
      <c r="D15">
        <v>23</v>
      </c>
      <c r="E15" t="s">
        <v>17</v>
      </c>
      <c r="F15">
        <v>102</v>
      </c>
      <c r="G15">
        <v>108</v>
      </c>
      <c r="H15" t="s">
        <v>18</v>
      </c>
      <c r="I15" s="1">
        <v>29336</v>
      </c>
      <c r="J15" s="1">
        <v>40248</v>
      </c>
      <c r="K15" t="s">
        <v>24</v>
      </c>
      <c r="L15" t="s">
        <v>234</v>
      </c>
      <c r="M15" s="1">
        <v>44658</v>
      </c>
      <c r="N15" s="1">
        <v>44644</v>
      </c>
      <c r="O15">
        <v>41.93698630136921</v>
      </c>
      <c r="P15">
        <v>146.5</v>
      </c>
      <c r="Q15">
        <v>-0.5</v>
      </c>
      <c r="S15">
        <v>1</v>
      </c>
      <c r="T15">
        <v>4.5297254306108163</v>
      </c>
      <c r="U15">
        <v>2.7715874808812555</v>
      </c>
      <c r="V15">
        <v>33863</v>
      </c>
      <c r="W15">
        <v>591</v>
      </c>
      <c r="X15" t="s">
        <v>205</v>
      </c>
      <c r="Y15" t="s">
        <v>206</v>
      </c>
      <c r="Z15">
        <v>2</v>
      </c>
      <c r="AA15">
        <v>1</v>
      </c>
      <c r="AB15">
        <v>13</v>
      </c>
      <c r="AC15">
        <v>1</v>
      </c>
      <c r="AD15">
        <f>IF(Пациенты[[#This Row],[ВИЧ-инфекция]]&lt;$AI$1,1,2)</f>
        <v>2</v>
      </c>
      <c r="AE15">
        <f>IFERROR(VLOOKUP(Пациенты[[#This Row],[IDP]],Гетерогенность[],2,0),0)</f>
        <v>1</v>
      </c>
      <c r="AF15">
        <f>IF(Пациенты[[#This Row],[DS]]="ВИЧ-энцефалит",0,IF(Пациенты[[#This Row],[DS]]&lt;&gt;"Другие поражения ГМ",1,""))</f>
        <v>1</v>
      </c>
      <c r="AG15">
        <f>IF(OR(Пациенты[[#This Row],[Кл_плазма]]=$AJ$1,Пациенты[[#This Row],[Кл_ликвор]]=$AJ$1),1,0)</f>
        <v>0</v>
      </c>
    </row>
    <row r="16" spans="1:36" hidden="1" x14ac:dyDescent="0.25">
      <c r="A16">
        <v>84</v>
      </c>
      <c r="B16" s="1">
        <v>43789</v>
      </c>
      <c r="C16" t="s">
        <v>16</v>
      </c>
      <c r="D16">
        <v>24</v>
      </c>
      <c r="E16" t="s">
        <v>17</v>
      </c>
      <c r="F16">
        <v>113</v>
      </c>
      <c r="G16">
        <v>105</v>
      </c>
      <c r="H16" t="s">
        <v>21</v>
      </c>
      <c r="I16" s="1">
        <v>31135</v>
      </c>
      <c r="J16" s="1">
        <v>41221</v>
      </c>
      <c r="K16" t="s">
        <v>22</v>
      </c>
      <c r="L16" t="s">
        <v>234</v>
      </c>
      <c r="M16" s="1">
        <v>43011</v>
      </c>
      <c r="N16" s="1">
        <v>43791</v>
      </c>
      <c r="O16">
        <v>34.668493150684029</v>
      </c>
      <c r="P16">
        <v>85.6</v>
      </c>
      <c r="Q16">
        <v>25.933333333333334</v>
      </c>
      <c r="R16">
        <v>25.933333333333334</v>
      </c>
      <c r="S16">
        <v>0</v>
      </c>
      <c r="T16">
        <v>4.3037143086537109</v>
      </c>
      <c r="U16">
        <v>2.3263358609287512</v>
      </c>
      <c r="V16">
        <v>20124</v>
      </c>
      <c r="W16">
        <v>212</v>
      </c>
      <c r="X16" t="s">
        <v>213</v>
      </c>
      <c r="Z16">
        <v>1</v>
      </c>
      <c r="AA16">
        <v>8</v>
      </c>
      <c r="AD16">
        <f>IF(Пациенты[[#This Row],[ВИЧ-инфекция]]&lt;$AI$1,1,2)</f>
        <v>1</v>
      </c>
      <c r="AE16">
        <f>IFERROR(VLOOKUP(Пациенты[[#This Row],[IDP]],Гетерогенность[],2,0),0)</f>
        <v>0</v>
      </c>
      <c r="AF16">
        <f>IF(Пациенты[[#This Row],[DS]]="ВИЧ-энцефалит",0,IF(Пациенты[[#This Row],[DS]]&lt;&gt;"Другие поражения ГМ",1,""))</f>
        <v>1</v>
      </c>
      <c r="AG16">
        <f>IF(OR(Пациенты[[#This Row],[Кл_плазма]]=$AJ$1,Пациенты[[#This Row],[Кл_ликвор]]=$AJ$1),1,0)</f>
        <v>0</v>
      </c>
    </row>
    <row r="17" spans="1:33" hidden="1" x14ac:dyDescent="0.25">
      <c r="A17">
        <v>59</v>
      </c>
      <c r="B17" s="1">
        <v>44070</v>
      </c>
      <c r="C17" t="s">
        <v>16</v>
      </c>
      <c r="D17">
        <v>28</v>
      </c>
      <c r="E17" t="s">
        <v>17</v>
      </c>
      <c r="F17">
        <v>112</v>
      </c>
      <c r="G17">
        <v>105</v>
      </c>
      <c r="H17" t="s">
        <v>21</v>
      </c>
      <c r="I17" s="1">
        <v>30776</v>
      </c>
      <c r="J17" s="1">
        <v>43704</v>
      </c>
      <c r="K17" t="s">
        <v>19</v>
      </c>
      <c r="L17" t="s">
        <v>234</v>
      </c>
      <c r="M17" s="1"/>
      <c r="N17" s="1"/>
      <c r="O17">
        <v>36.421917808218751</v>
      </c>
      <c r="P17">
        <v>12.2</v>
      </c>
      <c r="Q17">
        <v>0</v>
      </c>
      <c r="S17">
        <v>1</v>
      </c>
      <c r="T17">
        <v>5.7937903846908183</v>
      </c>
      <c r="U17">
        <v>4.6748611407378116</v>
      </c>
      <c r="V17">
        <v>622000</v>
      </c>
      <c r="W17">
        <v>47300</v>
      </c>
      <c r="X17" t="s">
        <v>207</v>
      </c>
      <c r="Y17" t="s">
        <v>208</v>
      </c>
      <c r="Z17">
        <v>2</v>
      </c>
      <c r="AA17">
        <v>4</v>
      </c>
      <c r="AB17">
        <v>4</v>
      </c>
      <c r="AC17">
        <v>0</v>
      </c>
      <c r="AD17">
        <f>IF(Пациенты[[#This Row],[ВИЧ-инфекция]]&lt;$AI$1,1,2)</f>
        <v>1</v>
      </c>
      <c r="AE17">
        <f>IFERROR(VLOOKUP(Пациенты[[#This Row],[IDP]],Гетерогенность[],2,0),0)</f>
        <v>0</v>
      </c>
      <c r="AF17">
        <f>IF(Пациенты[[#This Row],[DS]]="ВИЧ-энцефалит",0,IF(Пациенты[[#This Row],[DS]]&lt;&gt;"Другие поражения ГМ",1,""))</f>
        <v>1</v>
      </c>
      <c r="AG17">
        <f>IF(OR(Пациенты[[#This Row],[Кл_плазма]]=$AJ$1,Пациенты[[#This Row],[Кл_ликвор]]=$AJ$1),1,0)</f>
        <v>0</v>
      </c>
    </row>
    <row r="18" spans="1:33" hidden="1" x14ac:dyDescent="0.25">
      <c r="A18">
        <v>40</v>
      </c>
      <c r="B18" s="1">
        <v>43936</v>
      </c>
      <c r="C18" t="s">
        <v>16</v>
      </c>
      <c r="D18">
        <v>31</v>
      </c>
      <c r="E18" t="s">
        <v>17</v>
      </c>
      <c r="F18">
        <v>112</v>
      </c>
      <c r="G18">
        <v>105</v>
      </c>
      <c r="H18" t="s">
        <v>21</v>
      </c>
      <c r="I18" s="1">
        <v>31839</v>
      </c>
      <c r="J18" s="1">
        <v>42556</v>
      </c>
      <c r="K18" t="s">
        <v>19</v>
      </c>
      <c r="L18" t="s">
        <v>233</v>
      </c>
      <c r="M18" s="1"/>
      <c r="N18" s="1"/>
      <c r="O18">
        <v>33.142465753423608</v>
      </c>
      <c r="P18">
        <v>46</v>
      </c>
      <c r="Q18">
        <v>0</v>
      </c>
      <c r="S18">
        <v>1</v>
      </c>
      <c r="T18">
        <v>6.5263392773898437</v>
      </c>
      <c r="U18">
        <v>5.4653828514484184</v>
      </c>
      <c r="V18">
        <v>3360000</v>
      </c>
      <c r="W18">
        <v>292000</v>
      </c>
      <c r="X18" t="s">
        <v>194</v>
      </c>
      <c r="Y18" t="s">
        <v>195</v>
      </c>
      <c r="Z18">
        <v>2</v>
      </c>
      <c r="AA18">
        <v>22</v>
      </c>
      <c r="AB18">
        <v>22</v>
      </c>
      <c r="AC18">
        <v>0</v>
      </c>
      <c r="AD18">
        <f>IF(Пациенты[[#This Row],[ВИЧ-инфекция]]&lt;$AI$1,1,2)</f>
        <v>1</v>
      </c>
      <c r="AE18">
        <f>IFERROR(VLOOKUP(Пациенты[[#This Row],[IDP]],Гетерогенность[],2,0),0)</f>
        <v>0</v>
      </c>
      <c r="AF18">
        <f>IF(Пациенты[[#This Row],[DS]]="ВИЧ-энцефалит",0,IF(Пациенты[[#This Row],[DS]]&lt;&gt;"Другие поражения ГМ",1,""))</f>
        <v>0</v>
      </c>
      <c r="AG18">
        <f>IF(OR(Пациенты[[#This Row],[Кл_плазма]]=$AJ$1,Пациенты[[#This Row],[Кл_ликвор]]=$AJ$1),1,0)</f>
        <v>0</v>
      </c>
    </row>
    <row r="19" spans="1:33" hidden="1" x14ac:dyDescent="0.25">
      <c r="A19">
        <v>82</v>
      </c>
      <c r="B19" s="1">
        <v>44273</v>
      </c>
      <c r="C19" t="s">
        <v>16</v>
      </c>
      <c r="D19">
        <v>32</v>
      </c>
      <c r="E19" t="s">
        <v>17</v>
      </c>
      <c r="F19">
        <v>102</v>
      </c>
      <c r="G19">
        <v>108</v>
      </c>
      <c r="H19" t="s">
        <v>18</v>
      </c>
      <c r="I19" s="1">
        <v>28573</v>
      </c>
      <c r="J19" s="1">
        <v>44265</v>
      </c>
      <c r="K19" t="s">
        <v>22</v>
      </c>
      <c r="L19" t="s">
        <v>234</v>
      </c>
      <c r="M19" s="1">
        <v>44286</v>
      </c>
      <c r="N19" s="1">
        <v>44279</v>
      </c>
      <c r="O19">
        <v>43.013698630136574</v>
      </c>
      <c r="P19">
        <v>0.26666666666666666</v>
      </c>
      <c r="Q19">
        <v>-0.43333333333333329</v>
      </c>
      <c r="S19">
        <v>1</v>
      </c>
      <c r="T19">
        <v>5.1102832394161606</v>
      </c>
      <c r="U19">
        <v>0</v>
      </c>
      <c r="V19">
        <v>128909</v>
      </c>
      <c r="W19">
        <v>0</v>
      </c>
      <c r="X19" t="s">
        <v>209</v>
      </c>
      <c r="Z19">
        <v>1</v>
      </c>
      <c r="AA19">
        <v>8</v>
      </c>
      <c r="AD19">
        <f>IF(Пациенты[[#This Row],[ВИЧ-инфекция]]&lt;$AI$1,1,2)</f>
        <v>1</v>
      </c>
      <c r="AE19">
        <f>IFERROR(VLOOKUP(Пациенты[[#This Row],[IDP]],Гетерогенность[],2,0),0)</f>
        <v>0</v>
      </c>
      <c r="AF19">
        <f>IF(Пациенты[[#This Row],[DS]]="ВИЧ-энцефалит",0,IF(Пациенты[[#This Row],[DS]]&lt;&gt;"Другие поражения ГМ",1,""))</f>
        <v>1</v>
      </c>
      <c r="AG19">
        <f>IF(OR(Пациенты[[#This Row],[Кл_плазма]]=$AJ$1,Пациенты[[#This Row],[Кл_ликвор]]=$AJ$1),1,0)</f>
        <v>0</v>
      </c>
    </row>
    <row r="20" spans="1:33" hidden="1" x14ac:dyDescent="0.25">
      <c r="A20">
        <v>56</v>
      </c>
      <c r="B20" s="1">
        <v>44050</v>
      </c>
      <c r="C20" t="s">
        <v>16</v>
      </c>
      <c r="D20">
        <v>39</v>
      </c>
      <c r="E20" t="s">
        <v>20</v>
      </c>
      <c r="F20">
        <v>108</v>
      </c>
      <c r="G20">
        <v>105</v>
      </c>
      <c r="H20" t="s">
        <v>21</v>
      </c>
      <c r="I20" s="1">
        <v>31420</v>
      </c>
      <c r="J20" s="1">
        <v>39693</v>
      </c>
      <c r="K20" t="s">
        <v>26</v>
      </c>
      <c r="L20" t="s">
        <v>235</v>
      </c>
      <c r="M20" s="1"/>
      <c r="N20" s="1"/>
      <c r="O20">
        <v>34.60273972602662</v>
      </c>
      <c r="P20">
        <v>145.23333333333332</v>
      </c>
      <c r="Q20">
        <v>0</v>
      </c>
      <c r="S20">
        <v>1</v>
      </c>
      <c r="T20">
        <v>4.0934216851622347</v>
      </c>
      <c r="U20">
        <v>2.6711728427150834</v>
      </c>
      <c r="V20">
        <v>12400</v>
      </c>
      <c r="W20">
        <v>469</v>
      </c>
      <c r="X20" t="s">
        <v>204</v>
      </c>
      <c r="Z20">
        <v>1</v>
      </c>
      <c r="AA20">
        <v>3</v>
      </c>
      <c r="AD20">
        <f>IF(Пациенты[[#This Row],[ВИЧ-инфекция]]&lt;$AI$1,1,2)</f>
        <v>2</v>
      </c>
      <c r="AE20">
        <f>IFERROR(VLOOKUP(Пациенты[[#This Row],[IDP]],Гетерогенность[],2,0),0)</f>
        <v>0</v>
      </c>
      <c r="AF20">
        <f>IF(Пациенты[[#This Row],[DS]]="ВИЧ-энцефалит",0,IF(Пациенты[[#This Row],[DS]]&lt;&gt;"Другие поражения ГМ",1,""))</f>
        <v>1</v>
      </c>
      <c r="AG20">
        <f>IF(OR(Пациенты[[#This Row],[Кл_плазма]]=$AJ$1,Пациенты[[#This Row],[Кл_ликвор]]=$AJ$1),1,0)</f>
        <v>1</v>
      </c>
    </row>
    <row r="21" spans="1:33" hidden="1" x14ac:dyDescent="0.25">
      <c r="A21">
        <v>25</v>
      </c>
      <c r="B21" s="1">
        <v>43853</v>
      </c>
      <c r="C21" t="s">
        <v>16</v>
      </c>
      <c r="D21">
        <v>43</v>
      </c>
      <c r="E21" t="s">
        <v>20</v>
      </c>
      <c r="F21">
        <v>109</v>
      </c>
      <c r="G21">
        <v>108</v>
      </c>
      <c r="H21" t="s">
        <v>18</v>
      </c>
      <c r="I21" s="1">
        <v>30196</v>
      </c>
      <c r="J21" s="1">
        <v>39125</v>
      </c>
      <c r="K21" t="s">
        <v>19</v>
      </c>
      <c r="L21" t="s">
        <v>235</v>
      </c>
      <c r="M21" s="1">
        <v>43875</v>
      </c>
      <c r="N21" s="1">
        <v>43867</v>
      </c>
      <c r="O21">
        <v>37.416438356164349</v>
      </c>
      <c r="P21">
        <v>157.6</v>
      </c>
      <c r="Q21">
        <v>-0.73333333333333328</v>
      </c>
      <c r="S21">
        <v>1</v>
      </c>
      <c r="T21">
        <v>4.3673559210260189</v>
      </c>
      <c r="U21">
        <v>3.8964711004792774</v>
      </c>
      <c r="V21">
        <v>23300</v>
      </c>
      <c r="W21">
        <v>7879</v>
      </c>
      <c r="X21" t="s">
        <v>182</v>
      </c>
      <c r="Z21">
        <v>1</v>
      </c>
      <c r="AA21">
        <v>13</v>
      </c>
      <c r="AD21">
        <f>IF(Пациенты[[#This Row],[ВИЧ-инфекция]]&lt;$AI$1,1,2)</f>
        <v>2</v>
      </c>
      <c r="AE21">
        <f>IFERROR(VLOOKUP(Пациенты[[#This Row],[IDP]],Гетерогенность[],2,0),0)</f>
        <v>0</v>
      </c>
      <c r="AF21">
        <f>IF(Пациенты[[#This Row],[DS]]="ВИЧ-энцефалит",0,IF(Пациенты[[#This Row],[DS]]&lt;&gt;"Другие поражения ГМ",1,""))</f>
        <v>1</v>
      </c>
      <c r="AG21">
        <f>IF(OR(Пациенты[[#This Row],[Кл_плазма]]=$AJ$1,Пациенты[[#This Row],[Кл_ликвор]]=$AJ$1),1,0)</f>
        <v>0</v>
      </c>
    </row>
    <row r="22" spans="1:33" hidden="1" x14ac:dyDescent="0.25">
      <c r="A22">
        <v>88</v>
      </c>
      <c r="B22" s="1">
        <v>43670</v>
      </c>
      <c r="C22" t="s">
        <v>16</v>
      </c>
      <c r="D22">
        <v>45</v>
      </c>
      <c r="E22" t="s">
        <v>20</v>
      </c>
      <c r="F22">
        <v>118</v>
      </c>
      <c r="G22">
        <v>105</v>
      </c>
      <c r="H22" t="s">
        <v>21</v>
      </c>
      <c r="I22" s="1">
        <v>28366</v>
      </c>
      <c r="J22" s="1">
        <v>42529</v>
      </c>
      <c r="K22" t="s">
        <v>22</v>
      </c>
      <c r="L22" t="s">
        <v>233</v>
      </c>
      <c r="M22" s="1">
        <v>43706</v>
      </c>
      <c r="N22" s="1">
        <v>43671</v>
      </c>
      <c r="O22">
        <v>41.928767123287038</v>
      </c>
      <c r="P22">
        <v>38.033333333333331</v>
      </c>
      <c r="Q22">
        <v>-1.2</v>
      </c>
      <c r="S22">
        <v>1</v>
      </c>
      <c r="T22">
        <v>4.7633755755484533</v>
      </c>
      <c r="U22">
        <v>4.4387321628109433</v>
      </c>
      <c r="V22">
        <v>57993</v>
      </c>
      <c r="W22">
        <v>27462</v>
      </c>
      <c r="X22" t="s">
        <v>217</v>
      </c>
      <c r="Z22">
        <v>1</v>
      </c>
      <c r="AA22">
        <v>13</v>
      </c>
      <c r="AD22">
        <f>IF(Пациенты[[#This Row],[ВИЧ-инфекция]]&lt;$AI$1,1,2)</f>
        <v>1</v>
      </c>
      <c r="AE22">
        <f>IFERROR(VLOOKUP(Пациенты[[#This Row],[IDP]],Гетерогенность[],2,0),0)</f>
        <v>0</v>
      </c>
      <c r="AF22">
        <f>IF(Пациенты[[#This Row],[DS]]="ВИЧ-энцефалит",0,IF(Пациенты[[#This Row],[DS]]&lt;&gt;"Другие поражения ГМ",1,""))</f>
        <v>0</v>
      </c>
      <c r="AG22">
        <f>IF(OR(Пациенты[[#This Row],[Кл_плазма]]=$AJ$1,Пациенты[[#This Row],[Кл_ликвор]]=$AJ$1),1,0)</f>
        <v>0</v>
      </c>
    </row>
    <row r="23" spans="1:33" hidden="1" x14ac:dyDescent="0.25">
      <c r="A23">
        <v>87</v>
      </c>
      <c r="B23" s="1">
        <v>43640</v>
      </c>
      <c r="C23" t="s">
        <v>16</v>
      </c>
      <c r="D23">
        <v>49</v>
      </c>
      <c r="E23" t="s">
        <v>17</v>
      </c>
      <c r="F23">
        <v>102</v>
      </c>
      <c r="G23">
        <v>108</v>
      </c>
      <c r="H23" t="s">
        <v>18</v>
      </c>
      <c r="I23" s="1">
        <v>26490</v>
      </c>
      <c r="J23" s="1">
        <v>41891</v>
      </c>
      <c r="K23" t="s">
        <v>22</v>
      </c>
      <c r="L23" t="s">
        <v>236</v>
      </c>
      <c r="M23" s="1"/>
      <c r="N23" s="1"/>
      <c r="O23">
        <v>46.986301369862268</v>
      </c>
      <c r="P23">
        <v>58.3</v>
      </c>
      <c r="Q23">
        <v>0</v>
      </c>
      <c r="S23">
        <v>1</v>
      </c>
      <c r="T23">
        <v>4.8623758993895052</v>
      </c>
      <c r="U23">
        <v>0</v>
      </c>
      <c r="V23">
        <v>72841</v>
      </c>
      <c r="W23">
        <v>0</v>
      </c>
      <c r="X23" t="s">
        <v>224</v>
      </c>
      <c r="Z23">
        <v>1</v>
      </c>
      <c r="AA23">
        <v>13</v>
      </c>
      <c r="AD23">
        <f>IF(Пациенты[[#This Row],[ВИЧ-инфекция]]&lt;$AI$1,1,2)</f>
        <v>1</v>
      </c>
      <c r="AE23">
        <f>IFERROR(VLOOKUP(Пациенты[[#This Row],[IDP]],Гетерогенность[],2,0),0)</f>
        <v>0</v>
      </c>
      <c r="AF23">
        <f>IF(Пациенты[[#This Row],[DS]]="ВИЧ-энцефалит",0,IF(Пациенты[[#This Row],[DS]]&lt;&gt;"Другие поражения ГМ",1,""))</f>
        <v>1</v>
      </c>
      <c r="AG23">
        <f>IF(OR(Пациенты[[#This Row],[Кл_плазма]]=$AJ$1,Пациенты[[#This Row],[Кл_ликвор]]=$AJ$1),1,0)</f>
        <v>0</v>
      </c>
    </row>
    <row r="24" spans="1:33" hidden="1" x14ac:dyDescent="0.25">
      <c r="A24">
        <v>8</v>
      </c>
      <c r="B24" s="1">
        <v>43752</v>
      </c>
      <c r="C24" t="s">
        <v>16</v>
      </c>
      <c r="D24">
        <v>51</v>
      </c>
      <c r="E24" t="s">
        <v>20</v>
      </c>
      <c r="F24">
        <v>118</v>
      </c>
      <c r="G24">
        <v>105</v>
      </c>
      <c r="H24" t="s">
        <v>21</v>
      </c>
      <c r="I24" s="1">
        <v>19591</v>
      </c>
      <c r="J24" s="1">
        <v>43510</v>
      </c>
      <c r="K24" t="s">
        <v>22</v>
      </c>
      <c r="L24" t="s">
        <v>233</v>
      </c>
      <c r="M24" s="1">
        <v>43762</v>
      </c>
      <c r="N24" s="1">
        <v>43760</v>
      </c>
      <c r="O24">
        <v>66.194520547944435</v>
      </c>
      <c r="P24">
        <v>8.0666666666666664</v>
      </c>
      <c r="Q24">
        <v>-0.33333333333333331</v>
      </c>
      <c r="S24">
        <v>1</v>
      </c>
      <c r="T24">
        <v>5.5428254269591797</v>
      </c>
      <c r="U24">
        <v>4.6599162000698504</v>
      </c>
      <c r="V24">
        <v>349000</v>
      </c>
      <c r="W24">
        <v>45700</v>
      </c>
      <c r="X24" t="s">
        <v>174</v>
      </c>
      <c r="Y24" t="s">
        <v>175</v>
      </c>
      <c r="Z24">
        <v>2</v>
      </c>
      <c r="AA24">
        <v>3</v>
      </c>
      <c r="AB24">
        <v>3</v>
      </c>
      <c r="AC24">
        <v>0</v>
      </c>
      <c r="AD24">
        <f>IF(Пациенты[[#This Row],[ВИЧ-инфекция]]&lt;$AI$1,1,2)</f>
        <v>1</v>
      </c>
      <c r="AE24">
        <f>IFERROR(VLOOKUP(Пациенты[[#This Row],[IDP]],Гетерогенность[],2,0),0)</f>
        <v>0</v>
      </c>
      <c r="AF24">
        <f>IF(Пациенты[[#This Row],[DS]]="ВИЧ-энцефалит",0,IF(Пациенты[[#This Row],[DS]]&lt;&gt;"Другие поражения ГМ",1,""))</f>
        <v>0</v>
      </c>
      <c r="AG24">
        <f>IF(OR(Пациенты[[#This Row],[Кл_плазма]]=$AJ$1,Пациенты[[#This Row],[Кл_ликвор]]=$AJ$1),1,0)</f>
        <v>1</v>
      </c>
    </row>
    <row r="25" spans="1:33" hidden="1" x14ac:dyDescent="0.25">
      <c r="A25">
        <v>42</v>
      </c>
      <c r="B25" s="1">
        <v>43993</v>
      </c>
      <c r="C25" t="s">
        <v>16</v>
      </c>
      <c r="D25">
        <v>57</v>
      </c>
      <c r="E25" t="s">
        <v>20</v>
      </c>
      <c r="F25">
        <v>102</v>
      </c>
      <c r="G25">
        <v>108</v>
      </c>
      <c r="H25" t="s">
        <v>18</v>
      </c>
      <c r="I25" s="1">
        <v>29815</v>
      </c>
      <c r="J25" s="1">
        <v>42360</v>
      </c>
      <c r="K25" t="s">
        <v>22</v>
      </c>
      <c r="L25" t="s">
        <v>235</v>
      </c>
      <c r="M25" s="1"/>
      <c r="N25" s="1"/>
      <c r="O25">
        <v>38.843835616437495</v>
      </c>
      <c r="P25">
        <v>54.43333333333333</v>
      </c>
      <c r="Q25">
        <v>0</v>
      </c>
      <c r="S25">
        <v>1</v>
      </c>
      <c r="T25">
        <v>2.3010299956639813</v>
      </c>
      <c r="U25">
        <v>0</v>
      </c>
      <c r="V25">
        <v>200</v>
      </c>
      <c r="W25">
        <v>0</v>
      </c>
      <c r="X25" t="s">
        <v>196</v>
      </c>
      <c r="Z25">
        <v>1</v>
      </c>
      <c r="AA25">
        <v>3</v>
      </c>
      <c r="AD25">
        <f>IF(Пациенты[[#This Row],[ВИЧ-инфекция]]&lt;$AI$1,1,2)</f>
        <v>1</v>
      </c>
      <c r="AE25">
        <f>IFERROR(VLOOKUP(Пациенты[[#This Row],[IDP]],Гетерогенность[],2,0),0)</f>
        <v>0</v>
      </c>
      <c r="AF25">
        <f>IF(Пациенты[[#This Row],[DS]]="ВИЧ-энцефалит",0,IF(Пациенты[[#This Row],[DS]]&lt;&gt;"Другие поражения ГМ",1,""))</f>
        <v>1</v>
      </c>
      <c r="AG25">
        <f>IF(OR(Пациенты[[#This Row],[Кл_плазма]]=$AJ$1,Пациенты[[#This Row],[Кл_ликвор]]=$AJ$1),1,0)</f>
        <v>1</v>
      </c>
    </row>
    <row r="26" spans="1:33" hidden="1" x14ac:dyDescent="0.25">
      <c r="A26">
        <v>27</v>
      </c>
      <c r="B26" s="1">
        <v>43872</v>
      </c>
      <c r="C26" t="s">
        <v>16</v>
      </c>
      <c r="D26">
        <v>61</v>
      </c>
      <c r="E26" t="s">
        <v>17</v>
      </c>
      <c r="F26">
        <v>102</v>
      </c>
      <c r="G26">
        <v>108</v>
      </c>
      <c r="H26" t="s">
        <v>18</v>
      </c>
      <c r="I26" s="1">
        <v>29734</v>
      </c>
      <c r="J26" s="1">
        <v>43798</v>
      </c>
      <c r="K26" t="s">
        <v>19</v>
      </c>
      <c r="L26" t="s">
        <v>233</v>
      </c>
      <c r="M26" s="1">
        <v>43872</v>
      </c>
      <c r="N26" s="1">
        <v>43879</v>
      </c>
      <c r="O26">
        <v>38.73424657534143</v>
      </c>
      <c r="P26">
        <v>2.4666666666666668</v>
      </c>
      <c r="Q26">
        <v>0</v>
      </c>
      <c r="S26">
        <v>1</v>
      </c>
      <c r="T26">
        <v>4.2479732663618064</v>
      </c>
      <c r="U26">
        <v>4.452261904093934</v>
      </c>
      <c r="V26">
        <v>17700</v>
      </c>
      <c r="W26">
        <v>28331</v>
      </c>
      <c r="X26" t="s">
        <v>183</v>
      </c>
      <c r="Y26" t="s">
        <v>184</v>
      </c>
      <c r="Z26">
        <v>2</v>
      </c>
      <c r="AA26">
        <v>8</v>
      </c>
      <c r="AB26">
        <v>8</v>
      </c>
      <c r="AC26">
        <v>0</v>
      </c>
      <c r="AD26">
        <f>IF(Пациенты[[#This Row],[ВИЧ-инфекция]]&lt;$AI$1,1,2)</f>
        <v>1</v>
      </c>
      <c r="AE26">
        <f>IFERROR(VLOOKUP(Пациенты[[#This Row],[IDP]],Гетерогенность[],2,0),0)</f>
        <v>0</v>
      </c>
      <c r="AF26">
        <f>IF(Пациенты[[#This Row],[DS]]="ВИЧ-энцефалит",0,IF(Пациенты[[#This Row],[DS]]&lt;&gt;"Другие поражения ГМ",1,""))</f>
        <v>0</v>
      </c>
      <c r="AG26">
        <f>IF(OR(Пациенты[[#This Row],[Кл_плазма]]=$AJ$1,Пациенты[[#This Row],[Кл_ликвор]]=$AJ$1),1,0)</f>
        <v>0</v>
      </c>
    </row>
    <row r="27" spans="1:33" hidden="1" x14ac:dyDescent="0.25">
      <c r="A27">
        <v>95</v>
      </c>
      <c r="B27" s="1">
        <v>44641</v>
      </c>
      <c r="C27" t="s">
        <v>16</v>
      </c>
      <c r="D27">
        <v>61</v>
      </c>
      <c r="E27" t="s">
        <v>20</v>
      </c>
      <c r="F27">
        <v>109</v>
      </c>
      <c r="G27">
        <v>105</v>
      </c>
      <c r="H27" t="s">
        <v>21</v>
      </c>
      <c r="I27" s="1">
        <v>29019</v>
      </c>
      <c r="J27" s="1">
        <v>42446</v>
      </c>
      <c r="K27" t="s">
        <v>19</v>
      </c>
      <c r="L27" t="s">
        <v>234</v>
      </c>
      <c r="M27" s="1">
        <v>43693</v>
      </c>
      <c r="N27" s="1">
        <v>44651</v>
      </c>
      <c r="O27">
        <v>42.8</v>
      </c>
      <c r="P27">
        <v>73.166666666666657</v>
      </c>
      <c r="Q27">
        <v>31.599999999999998</v>
      </c>
      <c r="R27">
        <v>31.599999999999998</v>
      </c>
      <c r="S27">
        <v>0</v>
      </c>
      <c r="T27">
        <v>3.2808059283936668</v>
      </c>
      <c r="U27">
        <v>3.7307015442818452</v>
      </c>
      <c r="V27">
        <v>1909</v>
      </c>
      <c r="W27">
        <v>5379</v>
      </c>
      <c r="X27" t="s">
        <v>222</v>
      </c>
      <c r="Y27" t="s">
        <v>223</v>
      </c>
      <c r="Z27">
        <v>2</v>
      </c>
      <c r="AA27">
        <v>8</v>
      </c>
      <c r="AB27">
        <v>8</v>
      </c>
      <c r="AC27">
        <v>0</v>
      </c>
      <c r="AD27">
        <f>IF(Пациенты[[#This Row],[ВИЧ-инфекция]]&lt;$AI$1,1,2)</f>
        <v>1</v>
      </c>
      <c r="AE27">
        <f>IFERROR(VLOOKUP(Пациенты[[#This Row],[IDP]],Гетерогенность[],2,0),0)</f>
        <v>0</v>
      </c>
      <c r="AF27">
        <f>IF(Пациенты[[#This Row],[DS]]="ВИЧ-энцефалит",0,IF(Пациенты[[#This Row],[DS]]&lt;&gt;"Другие поражения ГМ",1,""))</f>
        <v>1</v>
      </c>
      <c r="AG27">
        <f>IF(OR(Пациенты[[#This Row],[Кл_плазма]]=$AJ$1,Пациенты[[#This Row],[Кл_ликвор]]=$AJ$1),1,0)</f>
        <v>0</v>
      </c>
    </row>
    <row r="28" spans="1:33" hidden="1" x14ac:dyDescent="0.25">
      <c r="A28">
        <v>46</v>
      </c>
      <c r="B28" s="1">
        <v>43481</v>
      </c>
      <c r="C28" t="s">
        <v>16</v>
      </c>
      <c r="D28">
        <v>63</v>
      </c>
      <c r="E28" t="s">
        <v>17</v>
      </c>
      <c r="F28">
        <v>113</v>
      </c>
      <c r="G28">
        <v>105</v>
      </c>
      <c r="H28" t="s">
        <v>21</v>
      </c>
      <c r="I28" s="1">
        <v>29717</v>
      </c>
      <c r="J28" s="1">
        <v>43069</v>
      </c>
      <c r="K28" t="s">
        <v>22</v>
      </c>
      <c r="L28" t="s">
        <v>233</v>
      </c>
      <c r="M28" s="1">
        <v>43374</v>
      </c>
      <c r="N28" s="1">
        <v>43490</v>
      </c>
      <c r="O28">
        <v>37.709589041094908</v>
      </c>
      <c r="P28">
        <v>13.733333333333333</v>
      </c>
      <c r="Q28">
        <v>3.5666666666666664</v>
      </c>
      <c r="R28">
        <v>3.5666666666666664</v>
      </c>
      <c r="S28">
        <v>0</v>
      </c>
      <c r="T28">
        <v>3.6232492903979003</v>
      </c>
      <c r="U28">
        <v>2.3010299956639813</v>
      </c>
      <c r="V28">
        <v>4200</v>
      </c>
      <c r="W28">
        <v>200</v>
      </c>
      <c r="X28" t="s">
        <v>187</v>
      </c>
      <c r="Y28" t="s">
        <v>188</v>
      </c>
      <c r="Z28">
        <v>2</v>
      </c>
      <c r="AA28">
        <v>3</v>
      </c>
      <c r="AB28">
        <v>3</v>
      </c>
      <c r="AC28">
        <v>0</v>
      </c>
      <c r="AD28">
        <f>IF(Пациенты[[#This Row],[ВИЧ-инфекция]]&lt;$AI$1,1,2)</f>
        <v>1</v>
      </c>
      <c r="AE28">
        <f>IFERROR(VLOOKUP(Пациенты[[#This Row],[IDP]],Гетерогенность[],2,0),0)</f>
        <v>0</v>
      </c>
      <c r="AF28">
        <f>IF(Пациенты[[#This Row],[DS]]="ВИЧ-энцефалит",0,IF(Пациенты[[#This Row],[DS]]&lt;&gt;"Другие поражения ГМ",1,""))</f>
        <v>0</v>
      </c>
      <c r="AG28">
        <f>IF(OR(Пациенты[[#This Row],[Кл_плазма]]=$AJ$1,Пациенты[[#This Row],[Кл_ликвор]]=$AJ$1),1,0)</f>
        <v>1</v>
      </c>
    </row>
    <row r="29" spans="1:33" hidden="1" x14ac:dyDescent="0.25">
      <c r="A29">
        <v>96</v>
      </c>
      <c r="B29" s="1">
        <v>44452</v>
      </c>
      <c r="C29" t="s">
        <v>16</v>
      </c>
      <c r="D29">
        <v>65</v>
      </c>
      <c r="E29" t="s">
        <v>20</v>
      </c>
      <c r="F29">
        <v>113</v>
      </c>
      <c r="G29">
        <v>105</v>
      </c>
      <c r="H29" t="s">
        <v>21</v>
      </c>
      <c r="I29" s="1">
        <v>29854</v>
      </c>
      <c r="J29" s="1">
        <v>39877</v>
      </c>
      <c r="K29" t="s">
        <v>25</v>
      </c>
      <c r="L29" t="s">
        <v>235</v>
      </c>
      <c r="M29" s="1">
        <v>44407</v>
      </c>
      <c r="N29" s="1">
        <v>44370</v>
      </c>
      <c r="O29">
        <v>39.99452054794444</v>
      </c>
      <c r="P29">
        <v>152.5</v>
      </c>
      <c r="Q29">
        <v>1.5</v>
      </c>
      <c r="S29">
        <v>1</v>
      </c>
      <c r="T29">
        <v>4.997582952095966</v>
      </c>
      <c r="U29">
        <v>5.6525886119890396</v>
      </c>
      <c r="V29">
        <v>99445</v>
      </c>
      <c r="W29">
        <v>449354</v>
      </c>
      <c r="X29" t="s">
        <v>225</v>
      </c>
      <c r="Y29" t="s">
        <v>226</v>
      </c>
      <c r="Z29">
        <v>2</v>
      </c>
      <c r="AA29">
        <v>5</v>
      </c>
      <c r="AB29">
        <v>5</v>
      </c>
      <c r="AC29">
        <v>0</v>
      </c>
      <c r="AD29">
        <f>IF(Пациенты[[#This Row],[ВИЧ-инфекция]]&lt;$AI$1,1,2)</f>
        <v>2</v>
      </c>
      <c r="AE29">
        <f>IFERROR(VLOOKUP(Пациенты[[#This Row],[IDP]],Гетерогенность[],2,0),0)</f>
        <v>0</v>
      </c>
      <c r="AF29">
        <f>IF(Пациенты[[#This Row],[DS]]="ВИЧ-энцефалит",0,IF(Пациенты[[#This Row],[DS]]&lt;&gt;"Другие поражения ГМ",1,""))</f>
        <v>1</v>
      </c>
      <c r="AG29">
        <f>IF(OR(Пациенты[[#This Row],[Кл_плазма]]=$AJ$1,Пациенты[[#This Row],[Кл_ликвор]]=$AJ$1),1,0)</f>
        <v>0</v>
      </c>
    </row>
    <row r="30" spans="1:33" hidden="1" x14ac:dyDescent="0.25">
      <c r="A30">
        <v>53</v>
      </c>
      <c r="B30" s="1">
        <v>43549</v>
      </c>
      <c r="C30" t="s">
        <v>16</v>
      </c>
      <c r="D30">
        <v>67</v>
      </c>
      <c r="E30" t="s">
        <v>20</v>
      </c>
      <c r="F30">
        <v>102</v>
      </c>
      <c r="G30">
        <v>108</v>
      </c>
      <c r="H30" t="s">
        <v>18</v>
      </c>
      <c r="I30" s="1">
        <v>29787</v>
      </c>
      <c r="J30" s="1">
        <v>42089</v>
      </c>
      <c r="K30" t="s">
        <v>22</v>
      </c>
      <c r="L30" t="s">
        <v>233</v>
      </c>
      <c r="M30" s="1">
        <v>43566</v>
      </c>
      <c r="N30" s="1">
        <v>43550</v>
      </c>
      <c r="O30">
        <v>37.704109589040506</v>
      </c>
      <c r="P30">
        <v>48.666666666666664</v>
      </c>
      <c r="Q30">
        <v>-0.56666666666666665</v>
      </c>
      <c r="S30">
        <v>1</v>
      </c>
      <c r="T30">
        <v>5.9278834103307068</v>
      </c>
      <c r="U30">
        <v>4.1635191625698784</v>
      </c>
      <c r="V30">
        <v>847000</v>
      </c>
      <c r="W30">
        <v>14572</v>
      </c>
      <c r="X30" t="s">
        <v>197</v>
      </c>
      <c r="Y30" t="s">
        <v>198</v>
      </c>
      <c r="Z30">
        <v>2</v>
      </c>
      <c r="AA30">
        <v>13</v>
      </c>
      <c r="AB30">
        <v>13</v>
      </c>
      <c r="AC30">
        <v>0</v>
      </c>
      <c r="AD30">
        <f>IF(Пациенты[[#This Row],[ВИЧ-инфекция]]&lt;$AI$1,1,2)</f>
        <v>1</v>
      </c>
      <c r="AE30">
        <f>IFERROR(VLOOKUP(Пациенты[[#This Row],[IDP]],Гетерогенность[],2,0),0)</f>
        <v>0</v>
      </c>
      <c r="AF30">
        <f>IF(Пациенты[[#This Row],[DS]]="ВИЧ-энцефалит",0,IF(Пациенты[[#This Row],[DS]]&lt;&gt;"Другие поражения ГМ",1,""))</f>
        <v>0</v>
      </c>
      <c r="AG30">
        <f>IF(OR(Пациенты[[#This Row],[Кл_плазма]]=$AJ$1,Пациенты[[#This Row],[Кл_ликвор]]=$AJ$1),1,0)</f>
        <v>0</v>
      </c>
    </row>
    <row r="31" spans="1:33" hidden="1" x14ac:dyDescent="0.25">
      <c r="A31">
        <v>61</v>
      </c>
      <c r="B31" s="1">
        <v>44256</v>
      </c>
      <c r="C31" t="s">
        <v>16</v>
      </c>
      <c r="D31">
        <v>83</v>
      </c>
      <c r="E31" t="s">
        <v>17</v>
      </c>
      <c r="F31">
        <v>118</v>
      </c>
      <c r="G31">
        <v>105</v>
      </c>
      <c r="H31" t="s">
        <v>21</v>
      </c>
      <c r="I31" s="1">
        <v>29231</v>
      </c>
      <c r="J31" s="1">
        <v>41294</v>
      </c>
      <c r="K31" t="s">
        <v>22</v>
      </c>
      <c r="L31" t="s">
        <v>233</v>
      </c>
      <c r="M31" s="1"/>
      <c r="N31" s="1"/>
      <c r="O31">
        <v>41.164383561643518</v>
      </c>
      <c r="P31">
        <v>98.733333333333334</v>
      </c>
      <c r="Q31">
        <v>0</v>
      </c>
      <c r="S31">
        <v>1</v>
      </c>
      <c r="T31">
        <v>5.7754713641350071</v>
      </c>
      <c r="U31">
        <v>3.6578204560156973</v>
      </c>
      <c r="V31">
        <v>596309</v>
      </c>
      <c r="W31">
        <v>4548</v>
      </c>
      <c r="Y31" t="s">
        <v>210</v>
      </c>
      <c r="Z31">
        <v>1</v>
      </c>
      <c r="AB31">
        <v>11</v>
      </c>
      <c r="AD31">
        <f>IF(Пациенты[[#This Row],[ВИЧ-инфекция]]&lt;$AI$1,1,2)</f>
        <v>1</v>
      </c>
      <c r="AE31">
        <f>IFERROR(VLOOKUP(Пациенты[[#This Row],[IDP]],Гетерогенность[],2,0),0)</f>
        <v>0</v>
      </c>
      <c r="AF31">
        <f>IF(Пациенты[[#This Row],[DS]]="ВИЧ-энцефалит",0,IF(Пациенты[[#This Row],[DS]]&lt;&gt;"Другие поражения ГМ",1,""))</f>
        <v>0</v>
      </c>
      <c r="AG31">
        <f>IF(OR(Пациенты[[#This Row],[Кл_плазма]]=$AJ$1,Пациенты[[#This Row],[Кл_ликвор]]=$AJ$1),1,0)</f>
        <v>0</v>
      </c>
    </row>
    <row r="32" spans="1:33" hidden="1" x14ac:dyDescent="0.25">
      <c r="A32">
        <v>26</v>
      </c>
      <c r="B32" s="1">
        <v>43852</v>
      </c>
      <c r="C32" t="s">
        <v>16</v>
      </c>
      <c r="D32">
        <v>85</v>
      </c>
      <c r="E32" t="s">
        <v>20</v>
      </c>
      <c r="F32">
        <v>102</v>
      </c>
      <c r="G32">
        <v>108</v>
      </c>
      <c r="H32" t="s">
        <v>18</v>
      </c>
      <c r="I32" s="1">
        <v>28699</v>
      </c>
      <c r="J32" s="1">
        <v>37232</v>
      </c>
      <c r="K32" t="s">
        <v>22</v>
      </c>
      <c r="L32" t="s">
        <v>233</v>
      </c>
      <c r="M32" s="1"/>
      <c r="N32" s="1"/>
      <c r="O32">
        <v>41.515068493150459</v>
      </c>
      <c r="P32">
        <v>220.66666666666666</v>
      </c>
      <c r="Q32">
        <v>0</v>
      </c>
      <c r="S32">
        <v>1</v>
      </c>
      <c r="T32">
        <v>4.5118833609788744</v>
      </c>
      <c r="U32">
        <v>4.4785664955938431</v>
      </c>
      <c r="V32">
        <v>32500</v>
      </c>
      <c r="W32">
        <v>30100</v>
      </c>
      <c r="X32" t="s">
        <v>185</v>
      </c>
      <c r="Y32" t="s">
        <v>186</v>
      </c>
      <c r="Z32">
        <v>2</v>
      </c>
      <c r="AA32">
        <v>3</v>
      </c>
      <c r="AB32">
        <v>3</v>
      </c>
      <c r="AC32">
        <v>0</v>
      </c>
      <c r="AD32">
        <f>IF(Пациенты[[#This Row],[ВИЧ-инфекция]]&lt;$AI$1,1,2)</f>
        <v>2</v>
      </c>
      <c r="AE32">
        <f>IFERROR(VLOOKUP(Пациенты[[#This Row],[IDP]],Гетерогенность[],2,0),0)</f>
        <v>0</v>
      </c>
      <c r="AF32">
        <f>IF(Пациенты[[#This Row],[DS]]="ВИЧ-энцефалит",0,IF(Пациенты[[#This Row],[DS]]&lt;&gt;"Другие поражения ГМ",1,""))</f>
        <v>0</v>
      </c>
      <c r="AG32">
        <f>IF(OR(Пациенты[[#This Row],[Кл_плазма]]=$AJ$1,Пациенты[[#This Row],[Кл_ликвор]]=$AJ$1),1,0)</f>
        <v>1</v>
      </c>
    </row>
    <row r="33" spans="1:33" hidden="1" x14ac:dyDescent="0.25">
      <c r="A33">
        <v>80</v>
      </c>
      <c r="B33" s="1">
        <v>43230</v>
      </c>
      <c r="C33" t="s">
        <v>16</v>
      </c>
      <c r="D33">
        <v>93</v>
      </c>
      <c r="E33" t="s">
        <v>17</v>
      </c>
      <c r="F33">
        <v>118</v>
      </c>
      <c r="G33">
        <v>105</v>
      </c>
      <c r="H33" t="s">
        <v>21</v>
      </c>
      <c r="I33" s="1">
        <v>27969</v>
      </c>
      <c r="J33" s="1">
        <v>42717</v>
      </c>
      <c r="K33" t="s">
        <v>22</v>
      </c>
      <c r="L33" t="s">
        <v>235</v>
      </c>
      <c r="M33" s="1">
        <v>43209</v>
      </c>
      <c r="N33" s="1">
        <v>43235</v>
      </c>
      <c r="O33">
        <v>41.810958904108794</v>
      </c>
      <c r="P33">
        <v>17.099999999999998</v>
      </c>
      <c r="Q33">
        <v>0.7</v>
      </c>
      <c r="S33">
        <v>1</v>
      </c>
      <c r="T33">
        <v>5.10210082486359</v>
      </c>
      <c r="U33">
        <v>5.0431146006008563</v>
      </c>
      <c r="V33">
        <v>126503</v>
      </c>
      <c r="W33">
        <v>110437</v>
      </c>
      <c r="X33" t="s">
        <v>202</v>
      </c>
      <c r="Y33" t="s">
        <v>203</v>
      </c>
      <c r="Z33">
        <v>2</v>
      </c>
      <c r="AA33">
        <v>13</v>
      </c>
      <c r="AB33">
        <v>13</v>
      </c>
      <c r="AC33">
        <v>0</v>
      </c>
      <c r="AD33">
        <f>IF(Пациенты[[#This Row],[ВИЧ-инфекция]]&lt;$AI$1,1,2)</f>
        <v>1</v>
      </c>
      <c r="AE33">
        <f>IFERROR(VLOOKUP(Пациенты[[#This Row],[IDP]],Гетерогенность[],2,0),0)</f>
        <v>0</v>
      </c>
      <c r="AF33">
        <f>IF(Пациенты[[#This Row],[DS]]="ВИЧ-энцефалит",0,IF(Пациенты[[#This Row],[DS]]&lt;&gt;"Другие поражения ГМ",1,""))</f>
        <v>1</v>
      </c>
      <c r="AG33">
        <f>IF(OR(Пациенты[[#This Row],[Кл_плазма]]=$AJ$1,Пациенты[[#This Row],[Кл_ликвор]]=$AJ$1),1,0)</f>
        <v>0</v>
      </c>
    </row>
    <row r="34" spans="1:33" x14ac:dyDescent="0.25">
      <c r="A34">
        <v>12</v>
      </c>
      <c r="B34" s="1">
        <v>43718</v>
      </c>
      <c r="C34" t="s">
        <v>16</v>
      </c>
      <c r="D34">
        <v>99</v>
      </c>
      <c r="E34" t="s">
        <v>17</v>
      </c>
      <c r="F34">
        <v>102</v>
      </c>
      <c r="G34">
        <v>108</v>
      </c>
      <c r="H34" t="s">
        <v>18</v>
      </c>
      <c r="I34" s="1">
        <v>32235</v>
      </c>
      <c r="J34" s="1">
        <v>40764</v>
      </c>
      <c r="K34" t="s">
        <v>22</v>
      </c>
      <c r="L34" t="s">
        <v>233</v>
      </c>
      <c r="M34" s="1">
        <v>43719</v>
      </c>
      <c r="N34" s="1">
        <v>43725</v>
      </c>
      <c r="O34">
        <v>31.460273972601851</v>
      </c>
      <c r="P34">
        <v>98.466666666666669</v>
      </c>
      <c r="Q34">
        <v>-3.3333333333333333E-2</v>
      </c>
      <c r="S34">
        <v>1</v>
      </c>
      <c r="T34">
        <v>5.5705429398818973</v>
      </c>
      <c r="U34">
        <v>4.9296028232604847</v>
      </c>
      <c r="V34">
        <v>372000</v>
      </c>
      <c r="W34">
        <v>85036</v>
      </c>
      <c r="X34" t="s">
        <v>177</v>
      </c>
      <c r="Y34" t="s">
        <v>178</v>
      </c>
      <c r="Z34">
        <v>2</v>
      </c>
      <c r="AA34">
        <v>8</v>
      </c>
      <c r="AB34">
        <v>13</v>
      </c>
      <c r="AC34">
        <v>1</v>
      </c>
      <c r="AD34">
        <f>IF(Пациенты[[#This Row],[ВИЧ-инфекция]]&lt;$AI$1,1,2)</f>
        <v>1</v>
      </c>
      <c r="AE34">
        <f>IFERROR(VLOOKUP(Пациенты[[#This Row],[IDP]],Гетерогенность[],2,0),0)</f>
        <v>1</v>
      </c>
      <c r="AF34">
        <f>IF(Пациенты[[#This Row],[DS]]="ВИЧ-энцефалит",0,IF(Пациенты[[#This Row],[DS]]&lt;&gt;"Другие поражения ГМ",1,""))</f>
        <v>0</v>
      </c>
      <c r="AG34">
        <f>IF(OR(Пациенты[[#This Row],[Кл_плазма]]=$AJ$1,Пациенты[[#This Row],[Кл_ликвор]]=$AJ$1),1,0)</f>
        <v>0</v>
      </c>
    </row>
    <row r="35" spans="1:33" hidden="1" x14ac:dyDescent="0.25">
      <c r="A35">
        <v>64</v>
      </c>
      <c r="B35" s="1">
        <v>44322</v>
      </c>
      <c r="C35" t="s">
        <v>16</v>
      </c>
      <c r="D35">
        <v>103</v>
      </c>
      <c r="E35" t="s">
        <v>20</v>
      </c>
      <c r="F35">
        <v>113</v>
      </c>
      <c r="G35">
        <v>105</v>
      </c>
      <c r="H35" t="s">
        <v>21</v>
      </c>
      <c r="I35" s="1">
        <v>27525</v>
      </c>
      <c r="J35" s="1">
        <v>43417</v>
      </c>
      <c r="K35" t="s">
        <v>27</v>
      </c>
      <c r="L35" t="s">
        <v>233</v>
      </c>
      <c r="M35" s="1"/>
      <c r="N35" s="1"/>
      <c r="O35">
        <v>46.019178082190969</v>
      </c>
      <c r="P35">
        <v>30.166666666666664</v>
      </c>
      <c r="Q35">
        <v>0</v>
      </c>
      <c r="S35">
        <v>1</v>
      </c>
      <c r="T35">
        <v>3.6937269489236471</v>
      </c>
      <c r="U35">
        <v>2.3010299956639813</v>
      </c>
      <c r="V35">
        <v>4940</v>
      </c>
      <c r="W35">
        <v>200</v>
      </c>
      <c r="X35" t="s">
        <v>211</v>
      </c>
      <c r="Y35" t="s">
        <v>212</v>
      </c>
      <c r="Z35">
        <v>2</v>
      </c>
      <c r="AA35">
        <v>13</v>
      </c>
      <c r="AB35">
        <v>13</v>
      </c>
      <c r="AC35">
        <v>0</v>
      </c>
      <c r="AD35">
        <f>IF(Пациенты[[#This Row],[ВИЧ-инфекция]]&lt;$AI$1,1,2)</f>
        <v>1</v>
      </c>
      <c r="AE35">
        <f>IFERROR(VLOOKUP(Пациенты[[#This Row],[IDP]],Гетерогенность[],2,0),0)</f>
        <v>0</v>
      </c>
      <c r="AF35">
        <f>IF(Пациенты[[#This Row],[DS]]="ВИЧ-энцефалит",0,IF(Пациенты[[#This Row],[DS]]&lt;&gt;"Другие поражения ГМ",1,""))</f>
        <v>0</v>
      </c>
      <c r="AG35">
        <f>IF(OR(Пациенты[[#This Row],[Кл_плазма]]=$AJ$1,Пациенты[[#This Row],[Кл_ликвор]]=$AJ$1),1,0)</f>
        <v>0</v>
      </c>
    </row>
    <row r="36" spans="1:33" hidden="1" x14ac:dyDescent="0.25">
      <c r="A36">
        <v>73</v>
      </c>
      <c r="B36" s="1">
        <v>44274</v>
      </c>
      <c r="C36" t="s">
        <v>16</v>
      </c>
      <c r="D36">
        <v>122</v>
      </c>
      <c r="E36" t="s">
        <v>17</v>
      </c>
      <c r="F36">
        <v>102</v>
      </c>
      <c r="G36">
        <v>108</v>
      </c>
      <c r="H36" t="s">
        <v>18</v>
      </c>
      <c r="I36" s="1">
        <v>32053</v>
      </c>
      <c r="J36" s="1">
        <v>42370</v>
      </c>
      <c r="K36" t="s">
        <v>22</v>
      </c>
      <c r="L36" t="s">
        <v>233</v>
      </c>
      <c r="M36" s="1"/>
      <c r="N36" s="1"/>
      <c r="O36">
        <v>33.482191780821758</v>
      </c>
      <c r="P36">
        <v>63.466666666666661</v>
      </c>
      <c r="Q36">
        <v>0</v>
      </c>
      <c r="S36">
        <v>1</v>
      </c>
      <c r="T36">
        <v>3.6989700043360187</v>
      </c>
      <c r="U36">
        <v>4.2552725051033065</v>
      </c>
      <c r="V36">
        <v>5000</v>
      </c>
      <c r="W36">
        <v>18000</v>
      </c>
      <c r="X36" t="s">
        <v>216</v>
      </c>
      <c r="Z36">
        <v>1</v>
      </c>
      <c r="AA36">
        <v>26</v>
      </c>
      <c r="AD36">
        <f>IF(Пациенты[[#This Row],[ВИЧ-инфекция]]&lt;$AI$1,1,2)</f>
        <v>1</v>
      </c>
      <c r="AE36">
        <f>IFERROR(VLOOKUP(Пациенты[[#This Row],[IDP]],Гетерогенность[],2,0),0)</f>
        <v>0</v>
      </c>
      <c r="AF36">
        <f>IF(Пациенты[[#This Row],[DS]]="ВИЧ-энцефалит",0,IF(Пациенты[[#This Row],[DS]]&lt;&gt;"Другие поражения ГМ",1,""))</f>
        <v>0</v>
      </c>
      <c r="AG36">
        <f>IF(OR(Пациенты[[#This Row],[Кл_плазма]]=$AJ$1,Пациенты[[#This Row],[Кл_ликвор]]=$AJ$1),1,0)</f>
        <v>0</v>
      </c>
    </row>
    <row r="37" spans="1:33" hidden="1" x14ac:dyDescent="0.25">
      <c r="A37">
        <v>86</v>
      </c>
      <c r="B37" s="1">
        <v>43676</v>
      </c>
      <c r="C37" t="s">
        <v>16</v>
      </c>
      <c r="D37">
        <v>126</v>
      </c>
      <c r="E37" t="s">
        <v>20</v>
      </c>
      <c r="F37">
        <v>118</v>
      </c>
      <c r="G37">
        <v>105</v>
      </c>
      <c r="H37" t="s">
        <v>21</v>
      </c>
      <c r="I37" s="1">
        <v>32041</v>
      </c>
      <c r="J37" s="1">
        <v>41863</v>
      </c>
      <c r="K37" t="s">
        <v>22</v>
      </c>
      <c r="L37" t="s">
        <v>234</v>
      </c>
      <c r="M37" s="1">
        <v>43370</v>
      </c>
      <c r="N37" s="1">
        <v>43678</v>
      </c>
      <c r="O37">
        <v>31.876712328766203</v>
      </c>
      <c r="P37">
        <v>60.43333333333333</v>
      </c>
      <c r="Q37">
        <v>10.199999999999999</v>
      </c>
      <c r="R37">
        <v>10.199999999999999</v>
      </c>
      <c r="S37">
        <v>0</v>
      </c>
      <c r="T37">
        <v>4.5789255894587679</v>
      </c>
      <c r="U37">
        <v>4.5725928210962863</v>
      </c>
      <c r="V37">
        <v>37925</v>
      </c>
      <c r="W37">
        <v>37376</v>
      </c>
      <c r="X37" t="s">
        <v>215</v>
      </c>
      <c r="Z37">
        <v>1</v>
      </c>
      <c r="AA37">
        <v>13</v>
      </c>
      <c r="AD37">
        <f>IF(Пациенты[[#This Row],[ВИЧ-инфекция]]&lt;$AI$1,1,2)</f>
        <v>1</v>
      </c>
      <c r="AE37">
        <f>IFERROR(VLOOKUP(Пациенты[[#This Row],[IDP]],Гетерогенность[],2,0),0)</f>
        <v>0</v>
      </c>
      <c r="AF37">
        <f>IF(Пациенты[[#This Row],[DS]]="ВИЧ-энцефалит",0,IF(Пациенты[[#This Row],[DS]]&lt;&gt;"Другие поражения ГМ",1,""))</f>
        <v>1</v>
      </c>
      <c r="AG37">
        <f>IF(OR(Пациенты[[#This Row],[Кл_плазма]]=$AJ$1,Пациенты[[#This Row],[Кл_ликвор]]=$AJ$1),1,0)</f>
        <v>0</v>
      </c>
    </row>
    <row r="38" spans="1:33" hidden="1" x14ac:dyDescent="0.25">
      <c r="A38">
        <v>17</v>
      </c>
      <c r="B38" s="1">
        <v>43546</v>
      </c>
      <c r="C38" t="s">
        <v>16</v>
      </c>
      <c r="D38">
        <v>213</v>
      </c>
      <c r="E38" t="s">
        <v>17</v>
      </c>
      <c r="F38">
        <v>102</v>
      </c>
      <c r="G38">
        <v>108</v>
      </c>
      <c r="H38" t="s">
        <v>18</v>
      </c>
      <c r="I38" s="1">
        <v>29254</v>
      </c>
      <c r="J38" s="1">
        <v>36843</v>
      </c>
      <c r="K38" t="s">
        <v>28</v>
      </c>
      <c r="L38" t="s">
        <v>234</v>
      </c>
      <c r="M38" s="1">
        <v>42370</v>
      </c>
      <c r="N38" s="1">
        <v>43547</v>
      </c>
      <c r="O38">
        <v>39.15616438356134</v>
      </c>
      <c r="P38">
        <v>223.43333333333334</v>
      </c>
      <c r="Q38">
        <v>39.199999999999996</v>
      </c>
      <c r="R38">
        <v>39.199999999999996</v>
      </c>
      <c r="S38">
        <v>0</v>
      </c>
      <c r="T38">
        <v>6.7693773260761381</v>
      </c>
      <c r="U38">
        <v>4.9632871560873273</v>
      </c>
      <c r="V38">
        <v>5880000</v>
      </c>
      <c r="W38">
        <v>91894</v>
      </c>
      <c r="X38" t="s">
        <v>181</v>
      </c>
      <c r="Z38">
        <v>1</v>
      </c>
      <c r="AA38">
        <v>2</v>
      </c>
      <c r="AD38">
        <f>IF(Пациенты[[#This Row],[ВИЧ-инфекция]]&lt;$AI$1,1,2)</f>
        <v>2</v>
      </c>
      <c r="AE38">
        <f>IFERROR(VLOOKUP(Пациенты[[#This Row],[IDP]],Гетерогенность[],2,0),0)</f>
        <v>0</v>
      </c>
      <c r="AF38">
        <f>IF(Пациенты[[#This Row],[DS]]="ВИЧ-энцефалит",0,IF(Пациенты[[#This Row],[DS]]&lt;&gt;"Другие поражения ГМ",1,""))</f>
        <v>1</v>
      </c>
      <c r="AG38">
        <f>IF(OR(Пациенты[[#This Row],[Кл_плазма]]=$AJ$1,Пациенты[[#This Row],[Кл_ликвор]]=$AJ$1),1,0)</f>
        <v>0</v>
      </c>
    </row>
    <row r="39" spans="1:33" hidden="1" x14ac:dyDescent="0.25">
      <c r="A39">
        <v>52</v>
      </c>
      <c r="B39" s="1">
        <v>43199</v>
      </c>
      <c r="C39" t="s">
        <v>23</v>
      </c>
      <c r="D39">
        <v>397</v>
      </c>
      <c r="E39" t="s">
        <v>17</v>
      </c>
      <c r="F39">
        <v>102</v>
      </c>
      <c r="G39">
        <v>108</v>
      </c>
      <c r="H39" t="s">
        <v>18</v>
      </c>
      <c r="I39" s="1">
        <v>31775</v>
      </c>
      <c r="J39" s="1">
        <v>42794</v>
      </c>
      <c r="K39" t="s">
        <v>22</v>
      </c>
      <c r="L39" t="s">
        <v>233</v>
      </c>
      <c r="M39" s="1">
        <v>43000</v>
      </c>
      <c r="N39" s="1">
        <v>43202</v>
      </c>
      <c r="O39">
        <v>31.298630136986109</v>
      </c>
      <c r="P39">
        <v>13.5</v>
      </c>
      <c r="Q39">
        <v>6.6333333333333329</v>
      </c>
      <c r="R39">
        <v>6.6333333333333329</v>
      </c>
      <c r="S39">
        <v>0</v>
      </c>
      <c r="T39">
        <v>4.7831886910752575</v>
      </c>
      <c r="U39">
        <v>3.5704261783589728</v>
      </c>
      <c r="V39">
        <v>60700</v>
      </c>
      <c r="W39">
        <v>3719</v>
      </c>
      <c r="Y39" t="s">
        <v>193</v>
      </c>
      <c r="Z39">
        <v>1</v>
      </c>
      <c r="AB39">
        <v>13</v>
      </c>
      <c r="AD39">
        <f>IF(Пациенты[[#This Row],[ВИЧ-инфекция]]&lt;$AI$1,1,2)</f>
        <v>1</v>
      </c>
      <c r="AE39">
        <f>IFERROR(VLOOKUP(Пациенты[[#This Row],[IDP]],Гетерогенность[],2,0),0)</f>
        <v>0</v>
      </c>
      <c r="AF39">
        <f>IF(Пациенты[[#This Row],[DS]]="ВИЧ-энцефалит",0,IF(Пациенты[[#This Row],[DS]]&lt;&gt;"Другие поражения ГМ",1,""))</f>
        <v>0</v>
      </c>
      <c r="AG39">
        <f>IF(OR(Пациенты[[#This Row],[Кл_плазма]]=$AJ$1,Пациенты[[#This Row],[Кл_ликвор]]=$AJ$1),1,0)</f>
        <v>0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6 f d c d c c f - c d 6 8 - 4 f 1 6 - a 0 6 e - a 0 0 9 5 e c b e e 6 1 "   x m l n s = " h t t p : / / s c h e m a s . m i c r o s o f t . c o m / D a t a M a s h u p " > A A A A A O s M A A B Q S w M E F A A C A A g A D o I H V x d G x o W k A A A A 9 g A A A B I A H A B D b 2 5 m a W c v U G F j a 2 F n Z S 5 4 b W w g o h g A K K A U A A A A A A A A A A A A A A A A A A A A A A A A A A A A h Y + 9 D o I w A I R f h X S n P 8 i g p J T B V R K j 0 b g 2 p U I j F N M f y 7 s 5 + E i + g h h F 3 R z v 7 r v k 7 n 6 9 0 W L o 2 u g i j V W 9 z g G B G E R S i 7 5 S u s 6 B d 8 d 4 D g p G 1 1 y c e C 2 j E d Y 2 G 6 z K Q e P c O U M o h A D D D P a m R g n G B B 3 K 1 V Y 0 s u O x 0 t Z x L S T 4 t K r / L c D o / j W G J Z C Q B U x x C j F F k 0 l L p b 9 A M u 5 9 p j 8 m X f r W e S O Z 8 f F m R 9 E k K X p / Y A 9 Q S w M E F A A C A A g A D o I H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6 C B 1 c E n l J m 5 Q k A A I R R A A A T A B w A R m 9 y b X V s Y X M v U 2 V j d G l v b j E u b S C i G A A o o B Q A A A A A A A A A A A A A A A A A A A A A A A A A A A D t X O t v G 0 U Q / x 4 p / 8 P p + G I j 1 / i c t O K V S i F u J a C 4 F S k g Y V n W N b 4 2 J 5 y 7 6 H y G I C t S k q I W U V C h q k S F C G 0 D E l + T 0 t A 0 D + d f 2 P u P m N 2 9 x + 4 9 7 D v f u d S R + 8 G x 9 z H 7 m 5 n d m d n Z 3 b a V J V P V N W G R / p X e m 5 6 a n m o v y 4 b S F N B j t G v d Q Q d o H 5 1 Y W 9 Y 9 Y U 5 o K e a U A P / Q I 2 v T 2 k I 9 6 y 4 6 g Q a H U F U q 0 J r H 1 m 1 o / C O U X F p b U l r F h Y 5 h K J r 5 h W 5 8 d U P X v 8 r l u 7 W q v K L M i U 5 L s b 5 e W 9 A 1 E x r V a 0 5 h v e s f Y t 2 m / w f a s 3 4 A S I f W 1 r B j M C S i x 9 m B H 6 f D j k A 6 R 9 P + C + 2 i l + g I q F + X b 7 S U 4 q L S A v l / q n / T z t H h 3 H E u q 1 B t 0 2 3 n n M H y B U H r t F o F w T Q 6 C v x Q 5 K V l o f a x q j X r c 3 R s B x / H 6 3 q t I p t y v T D t o D h A R 9 a P Q H B D c q F U l b a p N D / S V S 0 3 i H O 2 P 8 t + Q e h y l e J 6 w S Z + 2 d B X r q h t M 0 d / L u i t z o q G q Q F r t k y A m 8 X V l m q a i l E k X z 7 4 t q q b y 6 p 2 K + d y T T 8 v r Z m G / L n c 6 i j t 4 i X D 0 I 0 8 H p j S l P C Y I t o R C w J m B U u m + K G m K d D G Z v 4 x 2 r c 2 Q C 4 H 6 B j P b 9 R D z w A A 1 t K + K 4 t P F Q 2 w U Y r t H K s q p 8 x B X e C l W W N / 1 Q E X Z r r 4 p b q a 6 / Z p F y C y j V F Z 9 9 B + f T 3 v A J + v W t 9 5 j e g C t e 4 z k F f 0 r 3 2 Q G Z X 2 Y x t L 7 8 P K N S w 5 + N O Y r z I F I i 0 J E W f X q V p 3 E L 4 h u p P u O d A 9 I e O c Y D Y E 9 A I G O w U A P V g X 9 8 p i 2 K w L Z 5 D B g n 5 G T 9 A O C 4 6 W s O C u K D f N q x 3 T 0 z e A e g J j v w B 2 s Q B O y D q 6 h 1 4 K 1 k / o C B A e U y N n E / e A X V p b l b U m + U 6 F m k v A H g u t K 0 o N X H B Z 1 d T 2 M o b d t S s F Y i N 2 r Q 1 r y + s h E C G A X q z v O c k + g j G o 5 p x h g Y U t v O J n P d D X D V l r 3 9 S N F Q r 5 + r e r s M A S S q D Q B X w P A R Z A E 9 A / m C V 0 C v h M I C Y 0 Z V O h H D x E T 4 K F j 9 A v A g i H 9 O V q W U 4 e w t z b A 0 D P y O g n A j q F A t A 6 I C S T E j r v k 1 m w i Q 6 B v 5 c C b u + Y M o / X + W b T U 0 w / 6 W D R P g A a L 8 i k 2 i T C J n Y z V w v w W T + H y 5 7 U 8 2 / N X D g f S / r S Y O m n Y 5 j o w 4 + f S F b r r N x Q j O x k K y U W r m Q L 9 x H 6 + x y e t T B 3 M S W y c A d I m Z 0 q W N y l W N I u j 1 j a k i P u C I 5 G I v d y Y r k z F q Y B Q j w C d O 6 s V m 8 K t Y B 9 q b 9 / k T h P w V x W t C i V B D p h t Q h K q 6 0 I 8 b Q z M 2 L t l K l 2 A n y P R C s z i b U y w 1 r x T e w N 0 G F Q K y 7 w + v s z V B 1 E M U T M g S Z Z M T M b w U x K C W F + t 6 H 7 A b Q l n j A O u 1 J w S s X z q 6 F R Q 3 r J s B H G Y 6 K 1 P R j 8 A d r m I g 2 3 J p t o w y O X R c Q h + h E S G 7 a N J X F E 4 B z j p X 4 E 1 f / Y F n s b / 4 S N C Q D t W R u B O q Z f a A c 7 j B n x G I l n i B Q 1 R Z I q J R A S l 4 M x c T m T m e D Q y m I a E H f s g Q M F + W X M i p f M G W z p 7 a V L V D p f D S g G F / X t l 1 h N M 6 n U x D L o r N v f M G T i u a A r R O C N d 8 5 z q z e k P p t 1 H E Y 4 C 1 V S 2 x o O O 4 Z e K X h G r 5 h U I 9 C N F P r 7 4 k I c a n o E 8 t N T q p a B Y N g c 0 2 X d W D R l s 3 9 q q T x J L Y 1 L a i m L H I W b U 0 m b j 3 B j J p h 6 t y H E x b k d + A L b D R o i 2 E u O C h K K 9 q w 7 r C f m U z 0 R e Q k K C S + Y X 9 D v j g O j B r j C Y v g V B m X i R R i P r P U T I H S X F A E 4 k R H R a k t e U k h 2 K 5 e Y g w L R Y K l g U z E 4 c g X q s F l s D 2 i w 7 0 R O q P c u 3 p P t Q + l 9 H N L i K U Y W N 3 X d x O Y f g D C O I 6 L J W K w y r p 6 G A 1 7 A C M X 1 i y U a J V Z J O F + 8 o t + S S j l a l X c C R 7 B G q T n g 8 t 0 0 Z u 9 r i q S J K R o r U 5 R l k r s 8 P k n u 8 c 5 x w 4 J + S o x s D + / U w L o J J C I 6 8 G 2 4 j w X O I v d Y g 8 T M t f 4 5 b z s 5 J T X q g p 0 c Y W F w d p c z s g R V D 0 o C m D Z p U E Q C I n c g F t t n 2 q r 6 t W 5 e B Q N n O E I e n m U + E U 6 K D w D i b T u b / K v P 7 s b K 4 M R I 4 G Q o G J L N 8 e M E p 6 + Z F 2 a L e E Q u m / M U U 8 H G 3 c P s j g / k 7 3 j Y r 2 E p 9 8 / V i P a 0 r c C H q i 0 N a l 3 j B Y x n f U K Z h z k q C M P B c G 0 S Z e + S j M W g 8 I B z t w M F g i H 9 7 o 0 B e j t 2 / C 1 h / h N 5 L d e t l R u w O G u z 5 P M C + X y b f E q l B i x N V h 0 M O 3 8 C y S O y o M J G x j 6 Y y 8 l E c J B K K N 6 Z C h t D + P i t w 8 B e 4 r M G L N E g I r z t R d r C 1 z b Y M M p Q D B t i D i F Q L / 7 k j 5 c y O 7 R I F n h 2 7 W M u / k D I 1 Q 9 7 E s R t J v t h 5 K 8 k s J m 5 y a 7 x L I V q r 8 u u c T q D L V v E Z j H m v s y + o r B T + n / 3 V x l b N + A n f L f s Y E z p 5 R O a q q D j T 0 a g h l m g E U A I L 5 4 S p Y h Q O 5 b n 7 o Y k + a K y 7 T T B 5 0 / j R e X f + R O y J J x L i R W c S L N S W t V K q X U r R S i X 0 W p 5 e K 1 K 8 d Q a U 5 + 8 I l O c o M F M Z V P p O 9 x R B / z M J l G + k 8 0 R h + h i C j l + S n J U F X X k x O S W Y j P G B i r U n f Q P U G Y m A c q 4 B C g Z e 0 I n V r E X G L u h C p B E z 2 G c P X t 6 7 u L Z 5 5 E d 3 n t x B r m H N + U Q o G y 4 q R G v j 5 O S Y H j R D T J g L K j Y 1 F G P c N V o Q q A x 3 1 5 S t K a q 3 f L v A G K i C D k 7 K k + 2 A W d k l b 1 W 2 4 D / 7 / D o L M T B 4 m h y u f H S X c 6 F Q 8 b P u 9 l d A U I O I V h V y p M K 6 M T E A f 5 O / q r S O K e K e W W N 6 C g w 0 z T x 6 3 d i W F H l W x P v M / E + Z 8 z 7 T O 4 s v I K c W j B 8 j l I m P + n S 8 B 7 I M Q 4 X Y Q y E H h J U D O w T L 5 9 G K B 0 T B f 0 b A 7 L v W C N u A B H M z x B N N 4 Q 3 h X N S 9 E X z d P e X Y / D F 3 V H m H 2 f y t 5 T 5 u o z u K v u I Z n d j O Y C 2 K y 5 U Z m n G h n z J Y L c 6 H I 9 4 + 4 o R j G L 7 6 p 1 l T U K I S Q h x l k K I y e 3 H V x p J p H M 7 w w c T Z E J W i D N 6 i h N / 9 M D e c U U V 6 o q 4 m m w c E U 8 y M z f k R 9 o V F z s 3 s K u n j s j 9 8 a q f o w R x O V L 3 X a 7 n 5 O 6 r G 8 k z h + x e q 4 T A 7 Y r k b u A x L h D A e e J o 7 D l V l c 1 k / x Z S J g 8 W e I / N q a K / 1 5 6 d e O 1 x 8 d q R l / P c e 0 i 4 / S a e H a f k m e w R d j r 0 a Q z e R p B 3 j f i v d T / M J 3 g e n U x c G 9 5 1 Z c 0 s z t + E V V h R W u q K C l 9 y t W V F h i i z T l q K + Y y u a m b A F T 3 F q f g v Z T L p t D 4 A p 4 L n o g O O b C Y H o + O 3 d r I + G C X h r R t W + o 9 J x / F Y B D g a c B H 4 k P T H I d c + q X 2 G e m n u / L K v M 9 n 7 v l V d q 4 L K F / S O Z u a 6 / F l I w X f M 4 b v 5 y z n U u C x w L t T n X / s b g v M T Q z B 2 h i D L l x u u 5 / R c 5 q I p G 2 b 7 C 9 V c z t X m q y G u c j R O P M 2 h 2 0 C 3 7 / F h 5 x Z N a P X a e / + Y F 7 j 7 L n / 8 H p i a g O k o G z B 4 r T i v 9 d n X W R n 7 J R + s k L x H 6 E 5 k 3 F 1 W O F c j / k + c Y v k 2 9 m U 7 m z 1 h f d m c 7 8 S e p F R K z M M P r j E 9 6 N c N n w O c 8 5 6 N e P 9 B i 8 R P / n R S e O 8 / U E s B A i 0 A F A A C A A g A D o I H V x d G x o W k A A A A 9 g A A A B I A A A A A A A A A A A A A A A A A A A A A A E N v b m Z p Z y 9 Q Y W N r Y W d l L n h t b F B L A Q I t A B Q A A g A I A A 6 C B 1 c P y u m r p A A A A O k A A A A T A A A A A A A A A A A A A A A A A P A A A A B b Q 2 9 u d G V u d F 9 U e X B l c 1 0 u e G 1 s U E s B A i 0 A F A A C A A g A D o I H V w S e U m b l C Q A A h F E A A B M A A A A A A A A A A A A A A A A A 4 Q E A A E Z v c m 1 1 b G F z L 1 N l Y 3 R p b 2 4 x L m 1 Q S w U G A A A A A A M A A w D C A A A A E w w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E + 8 A A A A A A A D x 7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G J U Q w J U I w J U Q x J T g 2 J U Q w J U I 4 J U Q w J U I 1 J U Q w J U J E J U Q x J T g y J U Q x J T h C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Q n d C w 0 L L Q u N C z 0 L D R h t C 4 0 Y 8 i I C 8 + P E V u d H J 5 I F R 5 c G U 9 I k Z p b G x l Z E N v b X B s Z X R l U m V z d W x 0 V G 9 X b 3 J r c 2 h l Z X Q i I F Z h b H V l P S J s M S I g L z 4 8 R W 5 0 c n k g V H l w Z T 0 i U m V j b 3 Z l c n l U Y X J n Z X R S b 3 c i I F Z h b H V l P S J s M S I g L z 4 8 R W 5 0 c n k g V H l w Z T 0 i U m V j b 3 Z l c n l U Y X J n Z X R D b 2 x 1 b W 4 i I F Z h b H V l P S J s M S I g L z 4 8 R W 5 0 c n k g V H l w Z T 0 i U m V j b 3 Z l c n l U Y X J n Z X R T a G V l d C I g V m F s d W U 9 I n P Q m 9 C 4 0 Y H R g j I i I C 8 + P E V u d H J 5 I F R 5 c G U 9 I k Z p b G x U Y X J n Z X Q i I F Z h b H V l P S J z 0 J / Q s N G G 0 L j Q t d C 9 0 Y L R i y I g L z 4 8 R W 5 0 c n k g V H l w Z T 0 i U X V l c n l J R C I g V m F s d W U 9 I n M y Z G E y M W Q x Z S 1 m O T c w L T R j Z G E t Y W F h M C 1 i Y m M y M G R j Y T k w Z j A i I C 8 + P E V u d H J 5 I F R 5 c G U 9 I k Z p b G x M Y X N 0 V X B k Y X R l Z C I g V m F s d W U 9 I m Q y M D I z L T A 4 L T A 3 V D E x O j E 2 O j I 4 L j Y z M z g w M T Z a I i A v P j x F b n R y e S B U e X B l P S J G a W x s Q 2 9 s d W 1 u V H l w Z X M i I F Z h b H V l P S J z Q U F r Q U F B Q U F B Q U F K Q 1 F B Q U N R a 0 Z C U V V B Q U F B Q U F B Q U F B Q U 1 B Q U F B P S I g L z 4 8 R W 5 0 c n k g V H l w Z T 0 i R m l s b E V y c m 9 y Q 2 9 1 b n Q i I F Z h b H V l P S J s M C I g L z 4 8 R W 5 0 c n k g V H l w Z T 0 i R m l s b E N v b H V t b k 5 h b W V z I i B W Y W x 1 Z T 0 i c 1 s m c X V v d D t J R F A m c X V v d D s s J n F 1 b 3 Q 7 0 J T Q s N G C 0 L A g 0 L P Q v t G B 0 L 8 m c X V v d D s s J n F 1 b 3 Q 7 0 K H R g t C w 0 L T Q u N G P J n F 1 b 3 Q 7 L C Z x d W 9 0 O 0 N E N C Z x d W 9 0 O y w m c X V v d D v Q n 9 C + 0 L s y J n F 1 b 3 Q 7 L C Z x d W 9 0 O 9 C a 0 L 7 Q t C D Q p D Q m c X V v d D s s J n F 1 b 3 Q 7 0 J r Q v t C 0 I N C Y 0 J 3 Q p C Z x d W 9 0 O y w m c X V v d D v Q n 9 G D 0 Y L R j C D Q m N C d 0 K Q m c X V v d D s s J n F 1 b 3 Q 7 0 J T Q o C Z x d W 9 0 O y w m c X V v d D v Q m N C R I N C 0 0 L D R g t C w J n F 1 b 3 Q 7 L C Z x d W 9 0 O 9 C T 0 L 7 R g N C + 0 L Q m c X V v d D s s J n F 1 b 3 Q 7 R F M m c X V v d D s s J n F 1 b 3 Q 7 0 J D Q o N C i I N G B 0 Y L Q s N G A 0 Y I m c X V v d D s s J n F 1 b 3 Q 7 0 J D Q o N C i I N G E 0 L j Q v d C 4 0 Y g m c X V v d D s s J n F 1 b 3 Q 7 0 J L Q v t C 3 0 Y D Q s N G B 0 Y I m c X V v d D s s J n F 1 b 3 Q 7 0 J L Q m N C n L d C 4 0 L 3 R h N C 1 0 L r R h t C 4 0 Y 8 m c X V v d D s s J n F 1 b 3 Q 7 0 J D Q o N C i X 9 C 0 0 L v Q u N G C J n F 1 b 3 Q 7 L C Z x d W 9 0 O 9 C Q 0 K D Q o i D R g d G A 0 L 7 Q u i Z x d W 9 0 O y w m c X V v d D v Q n d C w 0 L j Q s t C 9 0 Y v Q t S Z x d W 9 0 O y w m c X V v d D v Q k t C d I N C / 0 L v Q s N C 3 0 L z Q s C D Q u 9 C + 0 L M m c X V v d D s s J n F 1 b 3 Q 7 0 J L Q n S D Q u 9 C 4 0 L r Q s t C + 0 Y A g 0 L v Q v t C z J n F 1 b 3 Q 7 L C Z x d W 9 0 O 9 C S 0 J 0 g 0 L / Q u 9 C w 0 L f Q v N C w J n F 1 b 3 Q 7 L C Z x d W 9 0 O 9 C S 0 J 0 g 0 L v Q u N C 6 0 L L Q v t G A J n F 1 b 3 Q 7 L C Z x d W 9 0 O 0 F O I N C / 0 L v Q s N C 3 0 L z Q s C Z x d W 9 0 O y w m c X V v d D t B T i D Q u 9 C 4 0 L r Q s t C + 0 Y A m c X V v d D s s J n F 1 b 3 Q 7 0 J / Q s N G A 0 L 3 R i 9 C 1 J n F 1 b 3 Q 7 L C Z x d W 9 0 O 9 C a 0 L t f 0 L / Q u 9 C w 0 L f Q v N C w J n F 1 b 3 Q 7 L C Z x d W 9 0 O 9 C a 0 L t f 0 L v Q u N C 6 0 L L Q v t G A J n F 1 b 3 Q 7 L C Z x d W 9 0 O 9 C a 0 L t f 0 Y D Q s N C 3 0 L 3 R i 9 C 1 J n F 1 b 3 Q 7 X S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M z g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f 0 L D R h t C 4 0 L X Q v d G C 0 Y s v 0 K T Q s N C 5 0 L s u e 0 l E U C w w f S Z x d W 9 0 O y w m c X V v d D t T Z W N 0 a W 9 u M S / Q n 9 C w 0 Y b Q u N C 1 0 L 3 R g t G L L 9 C Y 0 L f Q v N C 1 0 L 3 Q t d C 9 0 L 3 R i 9 C 5 I N G C 0 L j Q v z Q u e 9 C U 0 L D R g t C w I N C z 0 L 7 R g d C / L D F 9 J n F 1 b 3 Q 7 L C Z x d W 9 0 O 1 N l Y 3 R p b 2 4 x L 9 C f 0 L D R h t C 4 0 L X Q v d G C 0 Y s v 0 K T Q s N C 5 0 L s u e 9 C h 0 Y L Q s N C 0 0 L j R j y w 2 O X 0 m c X V v d D s s J n F 1 b 3 Q 7 U 2 V j d G l v b j E v 0 J / Q s N G G 0 L j Q t d C 9 0 Y L R i y / Q p N C w 0 L n Q u y 5 7 Q 0 Q 0 L D c z f S Z x d W 9 0 O y w m c X V v d D t T Z W N 0 a W 9 u M S / Q n 9 C w 0 Y b Q u N C 1 0 L 3 R g t G L L 9 C k 0 L D Q u d C 7 L n v Q n 9 C + 0 L s y L D c 0 f S Z x d W 9 0 O y w m c X V v d D t T Z W N 0 a W 9 u M S / Q n 9 C w 0 Y b Q u N C 1 0 L 3 R g t G L L 9 C k 0 L D Q u d C 7 L n v Q m t C + 0 L Q g 0 L 7 Q s d G B 0 L v Q t d C 0 0 L 7 Q s t C w 0 L 3 Q u N G P L D c 1 f S Z x d W 9 0 O y w m c X V v d D t T Z W N 0 a W 9 u M S / Q n 9 C w 0 Y b Q u N C 1 0 L 3 R g t G L L 9 C k 0 L D Q u d C 7 L n v Q m t C + 0 L Q g 0 L j Q v d G E 0 L j R h t C 4 0 Y D Q v t C y 0 L D Q v d C 4 0 Y 8 s N z Z 9 J n F 1 b 3 Q 7 L C Z x d W 9 0 O 1 N l Y 3 R p b 2 4 x L 9 C f 0 L D R h t C 4 0 L X Q v d G C 0 Y s v 0 K T Q s N C 5 0 L s u e 9 C f 0 Y D Q t d C 0 0 L / Q v t C 7 0 L D Q s 9 C w 0 L X Q v N G L 0 L k g 0 L / R g 9 G C 0 Y w g 0 L j Q v d G E 0 L j R h t C 4 0 Y D Q v t C y 0 L D Q v d C 4 0 Y 8 q L D c 3 f S Z x d W 9 0 O y w m c X V v d D t T Z W N 0 a W 9 u M S / Q n 9 C w 0 Y b Q u N C 1 0 L 3 R g t G L L 9 C Y 0 L f Q v N C 1 0 L 3 Q t d C 9 0 L 3 R i 9 C 5 I N G C 0 L j Q v z Q u e 9 C U 0 K A s O H 0 m c X V v d D s s J n F 1 b 3 Q 7 U 2 V j d G l v b j E v 0 J / Q s N G G 0 L j Q t d C 9 0 Y L R i y / Q m N C 3 0 L z Q t d C 9 0 L X Q v d C 9 0 Y v Q u S D R g t C 4 0 L 8 0 L n v Q m N C R I N C 0 0 L D R g t C w L D l 9 J n F 1 b 3 Q 7 L C Z x d W 9 0 O 1 N l Y 3 R p b 2 4 x L 9 C f 0 L D R h t C 4 0 L X Q v d G C 0 Y s v 0 K T Q s N C 5 0 L s u e 9 C T 0 L 7 R g N C + 0 L Q s O D B 9 J n F 1 b 3 Q 7 L C Z x d W 9 0 O 1 N l Y 3 R p b 2 4 x L 9 C f 0 L D R h t C 4 0 L X Q v d G C 0 Y s v 0 K T Q s N C 5 0 L s u e 0 R T L D g x f S Z x d W 9 0 O y w m c X V v d D t T Z W N 0 a W 9 u M S / Q k N C g 0 K I v 0 J j Q t 9 C 8 0 L X Q v d C 1 0 L 3 Q v d G L 0 L k g 0 Y L Q u N C / M S 5 7 M V 8 s M X 0 m c X V v d D s s J n F 1 b 3 Q 7 U 2 V j d G l v b j E v 0 J D Q o N C i L 9 C Y 0 L f Q v N C 1 0 L 3 Q t d C 9 0 L 3 R i 9 C 5 I N G C 0 L j Q v z E u e 0 Z p b m l z a C w y f S Z x d W 9 0 O y w m c X V v d D t T Z W N 0 a W 9 u M S / Q n 9 C w 0 Y b Q u N C 1 0 L 3 R g t G L L 9 C Y 0 L f Q v N C 1 0 L 3 Q t d C 9 0 L 3 R i 9 C 5 I N G C 0 L j Q v z E u e 9 C S 0 L 7 Q t 9 G A 0 L D R g d G C L D E 0 f S Z x d W 9 0 O y w m c X V v d D t T Z W N 0 a W 9 u M S / Q n 9 C w 0 Y b Q u N C 1 0 L 3 R g t G L L 9 C Y 0 L f Q v N C 1 0 L 3 Q t d C 9 0 L 3 R i 9 C 5 I N G C 0 L j Q v z I u e 9 C S 0 J j Q p y 3 Q u N C 9 0 Y T Q t d C 6 0 Y b Q u N G P L D E 1 f S Z x d W 9 0 O y w m c X V v d D t T Z W N 0 a W 9 u M S / Q n 9 C w 0 Y b Q u N C 1 0 L 3 R g t G L L 9 C Y 0 L f Q v N C 1 0 L 3 Q t d C 9 0 L 3 R i 9 C 5 I N G C 0 L j Q v z M u e 9 C Q 0 K D Q o l / Q t N C 7 0 L j R g i w x N n 0 m c X V v d D s s J n F 1 b 3 Q 7 U 2 V j d G l v b j E v 0 J / Q s N G G 0 L j Q t d C 9 0 Y L R i y / Q l N C + 0 L H Q s N C y 0 L v Q t d C 9 I N C / 0 L 7 Q u 9 G M 0 L f Q v t C y 0 L D R g t C 1 0 L v R j N G B 0 L r Q u N C 5 I N C + 0 L H R i t C 1 0 L r R g j M u e 9 C Q 0 K D Q o i D R g d G A 0 L 7 Q u i w x N 3 0 m c X V v d D s s J n F 1 b 3 Q 7 U 2 V j d G l v b j E v 0 J / Q s N G G 0 L j Q t d C 9 0 Y L R i y / Q l N C + 0 L H Q s N C y 0 L v Q t d C 9 I N C / 0 L 7 Q u 9 G M 0 L f Q v t C y 0 L D R g t C 1 0 L v R j N G B 0 L r Q u N C 5 I N C + 0 L H R i t C 1 0 L r R g j Q u e 9 C d 0 L D Q u N C y 0 L 3 R i 9 C 1 L D E 4 f S Z x d W 9 0 O y w m c X V v d D t T Z W N 0 a W 9 u M S / Q n 9 G A 0 L 7 Q s d G L 0 J L Q n S / Q o d C y 0 L X Q t N C 1 0 L 3 Q v d G L 0 L k g 0 Y H R g t C + 0 L v Q s d C 1 0 Y Y u e 9 C / 0 L v Q s N C 3 0 L z Q s C w x f S Z x d W 9 0 O y w m c X V v d D t T Z W N 0 a W 9 u M S / Q n 9 G A 0 L 7 Q s d G L 0 J L Q n S / Q o d C y 0 L X Q t N C 1 0 L 3 Q v d G L 0 L k g 0 Y H R g t C + 0 L v Q s d C 1 0 Y Y u e 9 C 7 0 L j Q u t C y 0 L 7 R g C w y f S Z x d W 9 0 O y w m c X V v d D t T Z W N 0 a W 9 u M S / Q n 9 G A 0 L 7 Q s d G L 0 J L Q n S / Q o d C y 0 L X Q t N C 1 0 L 3 Q v d G L 0 L k g 0 Y H R g t C + 0 L v Q s d C 1 0 Y Y x L n v Q v 9 C 7 0 L D Q t 9 C 8 0 L A s M X 0 m c X V v d D s s J n F 1 b 3 Q 7 U 2 V j d G l v b j E v 0 J / R g N C + 0 L H R i 9 C S 0 J 0 v 0 K H Q s t C 1 0 L T Q t d C 9 0 L 3 R i 9 C 5 I N G B 0 Y L Q v t C 7 0 L H Q t d G G M S 5 7 0 L v Q u N C 6 0 L L Q v t G A L D J 9 J n F 1 b 3 Q 7 L C Z x d W 9 0 O 1 N l Y 3 R p b 2 4 x L 0 l E U F 9 B T j I v 0 K H Q s t C 1 0 L T Q t d C 9 0 L 3 R i 9 C 5 I N G B 0 Y L Q v t C 7 0 L H Q t d G G L n v Q v 9 C 7 0 L D Q t 9 C 8 0 L A s M X 0 m c X V v d D s s J n F 1 b 3 Q 7 U 2 V j d G l v b j E v S U R Q X 0 F O M i / Q o d C y 0 L X Q t N C 1 0 L 3 Q v d G L 0 L k g 0 Y H R g t C + 0 L v Q s d C 1 0 Y Y u e 9 C 7 0 L j Q u t C y 0 L 7 R g C w y f S Z x d W 9 0 O y w m c X V v d D t T Z W N 0 a W 9 u M S 9 J R F B f Q U 4 y L 9 C S 0 Y H R g t C w 0 L L Q u 9 C 1 0 L 3 Q v j o g 0 L r Q v t C 7 0 L j R h 9 C 1 0 Y H R g t C y 0 L 4 u e 9 C f 0 L D R g N C 9 0 Y v Q t S w z f S Z x d W 9 0 O y w m c X V v d D t T Z W N 0 a W 9 u M S / Q m t C 7 0 L D R g d G C 0 L X R g N G L M l 8 5 N S / Q o d C y 0 L X Q t N C 1 0 L 3 Q v d G L 0 L k g 0 Y H R g t C + 0 L v Q s d C 1 0 Y Y u e 9 C / 0 L v Q s N C 3 0 L z Q s C w x f S Z x d W 9 0 O y w m c X V v d D t T Z W N 0 a W 9 u M S / Q m t C 7 0 L D R g d G C 0 L X R g N G L M l 8 5 N S / Q o d C y 0 L X Q t N C 1 0 L 3 Q v d G L 0 L k g 0 Y H R g t C + 0 L v Q s d C 1 0 Y Y u e 9 C 7 0 L j Q u t C y 0 L 7 R g C w y f S Z x d W 9 0 O y w m c X V v d D t T Z W N 0 a W 9 u M S / Q m t C 7 0 L D R g d G C 0 L X R g N G L M l 8 5 N S / Q l N C + 0 L H Q s N C y 0 L v Q t d C 9 I N C / 0 L 7 Q u 9 G M 0 L f Q v t C y 0 L D R g t C 1 0 L v R j N G B 0 L r Q u N C 5 I N C + 0 L H R i t C 1 0 L r R g i 5 7 0 K D Q s N C 3 0 L 3 R i 9 C 1 L D N 9 J n F 1 b 3 Q 7 X S w m c X V v d D t D b 2 x 1 b W 5 D b 3 V u d C Z x d W 9 0 O z o y O S w m c X V v d D t L Z X l D b 2 x 1 b W 5 O Y W 1 l c y Z x d W 9 0 O z p b X S w m c X V v d D t D b 2 x 1 b W 5 J Z G V u d G l 0 a W V z J n F 1 b 3 Q 7 O l s m c X V v d D t T Z W N 0 a W 9 u M S / Q n 9 C w 0 Y b Q u N C 1 0 L 3 R g t G L L 9 C k 0 L D Q u d C 7 L n t J R F A s M H 0 m c X V v d D s s J n F 1 b 3 Q 7 U 2 V j d G l v b j E v 0 J / Q s N G G 0 L j Q t d C 9 0 Y L R i y / Q m N C 3 0 L z Q t d C 9 0 L X Q v d C 9 0 Y v Q u S D R g t C 4 0 L 8 0 L n v Q l N C w 0 Y L Q s C D Q s 9 C + 0 Y H Q v y w x f S Z x d W 9 0 O y w m c X V v d D t T Z W N 0 a W 9 u M S / Q n 9 C w 0 Y b Q u N C 1 0 L 3 R g t G L L 9 C k 0 L D Q u d C 7 L n v Q o d G C 0 L D Q t N C 4 0 Y 8 s N j l 9 J n F 1 b 3 Q 7 L C Z x d W 9 0 O 1 N l Y 3 R p b 2 4 x L 9 C f 0 L D R h t C 4 0 L X Q v d G C 0 Y s v 0 K T Q s N C 5 0 L s u e 0 N E N C w 3 M 3 0 m c X V v d D s s J n F 1 b 3 Q 7 U 2 V j d G l v b j E v 0 J / Q s N G G 0 L j Q t d C 9 0 Y L R i y / Q p N C w 0 L n Q u y 5 7 0 J / Q v t C 7 M i w 3 N H 0 m c X V v d D s s J n F 1 b 3 Q 7 U 2 V j d G l v b j E v 0 J / Q s N G G 0 L j Q t d C 9 0 Y L R i y / Q p N C w 0 L n Q u y 5 7 0 J r Q v t C 0 I N C + 0 L H R g d C 7 0 L X Q t N C + 0 L L Q s N C 9 0 L j R j y w 3 N X 0 m c X V v d D s s J n F 1 b 3 Q 7 U 2 V j d G l v b j E v 0 J / Q s N G G 0 L j Q t d C 9 0 Y L R i y / Q p N C w 0 L n Q u y 5 7 0 J r Q v t C 0 I N C 4 0 L 3 R h N C 4 0 Y b Q u N G A 0 L 7 Q s t C w 0 L 3 Q u N G P L D c 2 f S Z x d W 9 0 O y w m c X V v d D t T Z W N 0 a W 9 u M S / Q n 9 C w 0 Y b Q u N C 1 0 L 3 R g t G L L 9 C k 0 L D Q u d C 7 L n v Q n 9 G A 0 L X Q t N C / 0 L 7 Q u 9 C w 0 L P Q s N C 1 0 L z R i 9 C 5 I N C / 0 Y P R g t G M I N C 4 0 L 3 R h N C 4 0 Y b Q u N G A 0 L 7 Q s t C w 0 L 3 Q u N G P K i w 3 N 3 0 m c X V v d D s s J n F 1 b 3 Q 7 U 2 V j d G l v b j E v 0 J / Q s N G G 0 L j Q t d C 9 0 Y L R i y / Q m N C 3 0 L z Q t d C 9 0 L X Q v d C 9 0 Y v Q u S D R g t C 4 0 L 8 0 L n v Q l N C g L D h 9 J n F 1 b 3 Q 7 L C Z x d W 9 0 O 1 N l Y 3 R p b 2 4 x L 9 C f 0 L D R h t C 4 0 L X Q v d G C 0 Y s v 0 J j Q t 9 C 8 0 L X Q v d C 1 0 L 3 Q v d G L 0 L k g 0 Y L Q u N C / N C 5 7 0 J j Q k S D Q t N C w 0 Y L Q s C w 5 f S Z x d W 9 0 O y w m c X V v d D t T Z W N 0 a W 9 u M S / Q n 9 C w 0 Y b Q u N C 1 0 L 3 R g t G L L 9 C k 0 L D Q u d C 7 L n v Q k 9 C + 0 Y D Q v t C 0 L D g w f S Z x d W 9 0 O y w m c X V v d D t T Z W N 0 a W 9 u M S / Q n 9 C w 0 Y b Q u N C 1 0 L 3 R g t G L L 9 C k 0 L D Q u d C 7 L n t E U y w 4 M X 0 m c X V v d D s s J n F 1 b 3 Q 7 U 2 V j d G l v b j E v 0 J D Q o N C i L 9 C Y 0 L f Q v N C 1 0 L 3 Q t d C 9 0 L 3 R i 9 C 5 I N G C 0 L j Q v z E u e z F f L D F 9 J n F 1 b 3 Q 7 L C Z x d W 9 0 O 1 N l Y 3 R p b 2 4 x L 9 C Q 0 K D Q o i / Q m N C 3 0 L z Q t d C 9 0 L X Q v d C 9 0 Y v Q u S D R g t C 4 0 L 8 x L n t G a W 5 p c 2 g s M n 0 m c X V v d D s s J n F 1 b 3 Q 7 U 2 V j d G l v b j E v 0 J / Q s N G G 0 L j Q t d C 9 0 Y L R i y / Q m N C 3 0 L z Q t d C 9 0 L X Q v d C 9 0 Y v Q u S D R g t C 4 0 L 8 x L n v Q k t C + 0 L f R g N C w 0 Y H R g i w x N H 0 m c X V v d D s s J n F 1 b 3 Q 7 U 2 V j d G l v b j E v 0 J / Q s N G G 0 L j Q t d C 9 0 Y L R i y / Q m N C 3 0 L z Q t d C 9 0 L X Q v d C 9 0 Y v Q u S D R g t C 4 0 L 8 y L n v Q k t C Y 0 K c t 0 L j Q v d G E 0 L X Q u t G G 0 L j R j y w x N X 0 m c X V v d D s s J n F 1 b 3 Q 7 U 2 V j d G l v b j E v 0 J / Q s N G G 0 L j Q t d C 9 0 Y L R i y / Q m N C 3 0 L z Q t d C 9 0 L X Q v d C 9 0 Y v Q u S D R g t C 4 0 L 8 z L n v Q k N C g 0 K J f 0 L T Q u 9 C 4 0 Y I s M T Z 9 J n F 1 b 3 Q 7 L C Z x d W 9 0 O 1 N l Y 3 R p b 2 4 x L 9 C f 0 L D R h t C 4 0 L X Q v d G C 0 Y s v 0 J T Q v t C x 0 L D Q s t C 7 0 L X Q v S D Q v 9 C + 0 L v R j N C 3 0 L 7 Q s t C w 0 Y L Q t d C 7 0 Y z R g d C 6 0 L j Q u S D Q v t C x 0 Y r Q t d C 6 0 Y I z L n v Q k N C g 0 K I g 0 Y H R g N C + 0 L o s M T d 9 J n F 1 b 3 Q 7 L C Z x d W 9 0 O 1 N l Y 3 R p b 2 4 x L 9 C f 0 L D R h t C 4 0 L X Q v d G C 0 Y s v 0 J T Q v t C x 0 L D Q s t C 7 0 L X Q v S D Q v 9 C + 0 L v R j N C 3 0 L 7 Q s t C w 0 Y L Q t d C 7 0 Y z R g d C 6 0 L j Q u S D Q v t C x 0 Y r Q t d C 6 0 Y I 0 L n v Q n d C w 0 L j Q s t C 9 0 Y v Q t S w x O H 0 m c X V v d D s s J n F 1 b 3 Q 7 U 2 V j d G l v b j E v 0 J / R g N C + 0 L H R i 9 C S 0 J 0 v 0 K H Q s t C 1 0 L T Q t d C 9 0 L 3 R i 9 C 5 I N G B 0 Y L Q v t C 7 0 L H Q t d G G L n v Q v 9 C 7 0 L D Q t 9 C 8 0 L A s M X 0 m c X V v d D s s J n F 1 b 3 Q 7 U 2 V j d G l v b j E v 0 J / R g N C + 0 L H R i 9 C S 0 J 0 v 0 K H Q s t C 1 0 L T Q t d C 9 0 L 3 R i 9 C 5 I N G B 0 Y L Q v t C 7 0 L H Q t d G G L n v Q u 9 C 4 0 L r Q s t C + 0 Y A s M n 0 m c X V v d D s s J n F 1 b 3 Q 7 U 2 V j d G l v b j E v 0 J / R g N C + 0 L H R i 9 C S 0 J 0 v 0 K H Q s t C 1 0 L T Q t d C 9 0 L 3 R i 9 C 5 I N G B 0 Y L Q v t C 7 0 L H Q t d G G M S 5 7 0 L / Q u 9 C w 0 L f Q v N C w L D F 9 J n F 1 b 3 Q 7 L C Z x d W 9 0 O 1 N l Y 3 R p b 2 4 x L 9 C f 0 Y D Q v t C x 0 Y v Q k t C d L 9 C h 0 L L Q t d C 0 0 L X Q v d C 9 0 Y v Q u S D R g d G C 0 L 7 Q u 9 C x 0 L X R h j E u e 9 C 7 0 L j Q u t C y 0 L 7 R g C w y f S Z x d W 9 0 O y w m c X V v d D t T Z W N 0 a W 9 u M S 9 J R F B f Q U 4 y L 9 C h 0 L L Q t d C 0 0 L X Q v d C 9 0 Y v Q u S D R g d G C 0 L 7 Q u 9 C x 0 L X R h i 5 7 0 L / Q u 9 C w 0 L f Q v N C w L D F 9 J n F 1 b 3 Q 7 L C Z x d W 9 0 O 1 N l Y 3 R p b 2 4 x L 0 l E U F 9 B T j I v 0 K H Q s t C 1 0 L T Q t d C 9 0 L 3 R i 9 C 5 I N G B 0 Y L Q v t C 7 0 L H Q t d G G L n v Q u 9 C 4 0 L r Q s t C + 0 Y A s M n 0 m c X V v d D s s J n F 1 b 3 Q 7 U 2 V j d G l v b j E v S U R Q X 0 F O M i / Q k t G B 0 Y L Q s N C y 0 L v Q t d C 9 0 L 4 6 I N C 6 0 L 7 Q u 9 C 4 0 Y f Q t d G B 0 Y L Q s t C + L n v Q n 9 C w 0 Y D Q v d G L 0 L U s M 3 0 m c X V v d D s s J n F 1 b 3 Q 7 U 2 V j d G l v b j E v 0 J r Q u 9 C w 0 Y H R g t C 1 0 Y D R i z J f O T U v 0 K H Q s t C 1 0 L T Q t d C 9 0 L 3 R i 9 C 5 I N G B 0 Y L Q v t C 7 0 L H Q t d G G L n v Q v 9 C 7 0 L D Q t 9 C 8 0 L A s M X 0 m c X V v d D s s J n F 1 b 3 Q 7 U 2 V j d G l v b j E v 0 J r Q u 9 C w 0 Y H R g t C 1 0 Y D R i z J f O T U v 0 K H Q s t C 1 0 L T Q t d C 9 0 L 3 R i 9 C 5 I N G B 0 Y L Q v t C 7 0 L H Q t d G G L n v Q u 9 C 4 0 L r Q s t C + 0 Y A s M n 0 m c X V v d D s s J n F 1 b 3 Q 7 U 2 V j d G l v b j E v 0 J r Q u 9 C w 0 Y H R g t C 1 0 Y D R i z J f O T U v 0 J T Q v t C x 0 L D Q s t C 7 0 L X Q v S D Q v 9 C + 0 L v R j N C 3 0 L 7 Q s t C w 0 Y L Q t d C 7 0 Y z R g d C 6 0 L j Q u S D Q v t C x 0 Y r Q t d C 6 0 Y I u e 9 C g 0 L D Q t 9 C 9 0 Y v Q t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G J U Q w J U I w J U Q x J T g 2 J U Q w J U I 4 J U Q w J U I 1 J U Q w J U J E J U Q x J T g y J U Q x J T h C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R i V E M C V C M C V E M S U 4 N i V E M C V C O C V E M C V C N S V E M C V C R C V E M S U 4 M i V E M S U 4 Q i 8 l R D A l O U Y l R D E l O D M l R D E l O D I l R D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Y l R D A l Q j A l R D E l O D Y l R D A l Q j g l R D A l Q j U l R D A l Q k Q l R D E l O D I l R D E l O E I v J U Q w J T l F J U Q w J U I x J U Q x J T h B J U Q w J U I 1 J U Q w J U J B J U Q x J T g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G J U Q w J U I w J U Q x J T g 2 J U Q w J U I 4 J U Q w J U I 1 J U Q w J U J E J U Q x J T g y J U Q x J T h C L y V E M C V B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R i V E M C V C M C V E M S U 4 N i V E M C V C O C V E M C V C N S V E M C V C R C V E M S U 4 M i V E M S U 4 Q i 8 l R D A l Q T Q l R D A l Q j A l R D A l Q j k l R D A l Q k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Y l R D A l Q j A l R D E l O D Y l R D A l Q j g l R D A l Q j U l R D A l Q k Q l R D E l O D I l R D E l O E I v J U Q w J T k 0 J U Q w J U J F J U Q w J U I x J U Q w J U I w J U Q w J U I y J U Q w J U J C J U Q w J U I 1 J U Q w J U J E J T I w J U Q w J U J G J U Q w J U J F J U Q w J U J C J U Q x J T h D J U Q w J U I 3 J U Q w J U J F J U Q w J U I y J U Q w J U I w J U Q x J T g y J U Q w J U I 1 J U Q w J U J C J U Q x J T h D J U Q x J T g x J U Q w J U J B J U Q w J U I 4 J U Q w J U I 5 J T I w J U Q w J U J F J U Q w J U I x J U Q x J T h B J U Q w J U I 1 J U Q w J U J B J U Q x J T g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G J U Q w J U I w J U Q x J T g 2 J U Q w J U I 4 J U Q w J U I 1 J U Q w J U J E J U Q x J T g y J U Q x J T h C L y V E M C U 5 O C V E M C V C N y V E M C V C Q y V E M C V C N S V E M C V C R C V E M C V C N S V E M C V C R C V E M C V C R C V E M S U 4 Q i V E M C V C O S U y M C V E M S U 4 M i V E M C V C O C V E M C V C R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Y l R D A l Q j A l R D E l O D Y l R D A l Q j g l R D A l Q j U l R D A l Q k Q l R D E l O D I l R D E l O E I v J U Q w J T k 0 J U Q w J U J F J U Q w J U I x J U Q w J U I w J U Q w J U I y J U Q w J U J C J U Q w J U I 1 J U Q w J U J E J T I w J U Q w J U J G J U Q w J U J F J U Q w J U J C J U Q x J T h D J U Q w J U I 3 J U Q w J U J F J U Q w J U I y J U Q w J U I w J U Q x J T g y J U Q w J U I 1 J U Q w J U J C J U Q x J T h D J U Q x J T g x J U Q w J U J B J U Q w J U I 4 J U Q w J U I 5 J T I w J U Q w J U J F J U Q w J U I x J U Q x J T h B J U Q w J U I 1 J U Q w J U J B J U Q x J T g y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R i V E M C V C M C V E M S U 4 N i V E M C V C O C V E M C V C N S V E M C V C R C V E M S U 4 M i V E M S U 4 Q i 8 l R D A l O T g l R D A l Q j c l R D A l Q k M l R D A l Q j U l R D A l Q k Q l R D A l Q j U l R D A l Q k Q l R D A l Q k Q l R D E l O E I l R D A l Q j k l M j A l R D E l O D I l R D A l Q j g l R D A l Q k Y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G J U Q w J U I w J U Q x J T g 2 J U Q w J U I 4 J U Q w J U I 1 J U Q w J U J E J U Q x J T g y J U Q x J T h C L y V E M C U 5 N C V E M C V C R S V E M C V C M S V E M C V C M C V E M C V C M i V E M C V C Q i V E M C V C N S V E M C V C R C U y M C V E M C V C R i V E M C V C R S V E M C V C Q i V E M S U 4 Q y V E M C V C N y V E M C V C R S V E M C V C M i V E M C V C M C V E M S U 4 M i V E M C V C N S V E M C V C Q i V E M S U 4 Q y V E M S U 4 M S V E M C V C Q S V E M C V C O C V E M C V C O S U y M C V E M C V C R S V E M C V C M S V E M S U 4 Q S V E M C V C N S V E M C V C Q S V E M S U 4 M j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Y l R D A l Q j A l R D E l O D Y l R D A l Q j g l R D A l Q j U l R D A l Q k Q l R D E l O D I l R D E l O E I v J U Q w J T k 4 J U Q w J U I 3 J U Q w J U J D J U Q w J U I 1 J U Q w J U J E J U Q w J U I 1 J U Q w J U J E J U Q w J U J E J U Q x J T h C J U Q w J U I 5 J T I w J U Q x J T g y J U Q w J U I 4 J U Q w J U J G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R i V E M C V C M C V E M S U 4 N i V E M C V C O C V E M C V C N S V E M C V C R C V E M S U 4 M i V E M S U 4 Q i 8 l R D A l O T Q l R D A l Q k U l R D A l Q j E l R D A l Q j A l R D A l Q j I l R D A l Q k I l R D A l Q j U l R D A l Q k Q l M j A l R D A l Q k Y l R D A l Q k U l R D A l Q k I l R D E l O E M l R D A l Q j c l R D A l Q k U l R D A l Q j I l R D A l Q j A l R D E l O D I l R D A l Q j U l R D A l Q k I l R D E l O E M l R D E l O D E l R D A l Q k E l R D A l Q j g l R D A l Q j k l M j A l R D A l Q k U l R D A l Q j E l R D E l O E E l R D A l Q j U l R D A l Q k E l R D E l O D I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G J U Q w J U I w J U Q x J T g 2 J U Q w J U I 4 J U Q w J U I 1 J U Q w J U J E J U Q x J T g y J U Q x J T h C L y V E M C U 5 N C V E M C V C R S V E M C V C M S V E M C V C M C V E M C V C M i V E M C V C Q i V E M C V C N S V E M C V C R C U y M C V E M C V C R i V E M C V C R S V E M C V C Q i V E M S U 4 Q y V E M C V C N y V E M C V C R S V E M C V C M i V E M C V C M C V E M S U 4 M i V E M C V C N S V E M C V C Q i V E M S U 4 Q y V E M S U 4 M S V E M C V C Q S V E M C V C O C V E M C V C O S U y M C V E M C V C R S V E M C V C M S V E M S U 4 Q S V E M C V C N S V E M C V C Q S V E M S U 4 M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3 J T d G F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Q n d C w 0 L L Q u N C z 0 L D R h t C 4 0 Y 8 i I C 8 + P E V u d H J 5 I F R 5 c G U 9 I k Z p b G x l Z E N v b X B s Z X R l U m V z d W x 0 V G 9 X b 3 J r c 2 h l Z X Q i I F Z h b H V l P S J s M S I g L z 4 8 R W 5 0 c n k g V H l w Z T 0 i R m l s b E x h c 3 R V c G R h d G V k I i B W Y W x 1 Z T 0 i Z D I w M j M t M D c t M z F U M D U 6 M j U 6 M D E u N D E 5 M D Y 1 N F o i I C 8 + P E V u d H J 5 I F R 5 c G U 9 I l J l Y 2 9 2 Z X J 5 V G F y Z 2 V 0 U 2 h l Z X Q i I F Z h b H V l P S J z U 3 R h d C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F R h c m d l d C I g V m F s d W U 9 I n N G b 3 J T d G F 0 I i A v P j x F b n R y e S B U e X B l P S J R d W V y e U l E I i B W Y W x 1 Z T 0 i c 2 Q 0 Y T F i Y 2 E 0 L W R l O T M t N G Q 2 Z S 0 5 M 2 R i L T Y 5 Z j l k Z G Q 0 N j Q z N S I g L z 4 8 R W 5 0 c n k g V H l w Z T 0 i R m l s b E N v b H V t b l R 5 c G V z I i B W Y W x 1 Z T 0 i c 0 F B Q U F B Q U E 9 I i A v P j x F b n R y e S B U e X B l P S J G a W x s R X J y b 3 J D b 3 V u d C I g V m F s d W U 9 I m w w I i A v P j x F b n R y e S B U e X B l P S J G a W x s Q 2 9 s d W 1 u T m F t Z X M i I F Z h b H V l P S J z W y Z x d W 9 0 O 0 l E U C Z x d W 9 0 O y w m c X V v d D v Q k d C c J n F 1 b 3 Q 7 L C Z x d W 9 0 O 9 C S 0 J 0 m c X V v d D s s J n F 1 b 3 Q 7 S U R E J n F 1 b 3 Q 7 L C Z x d W 9 0 O 9 C S 0 J 0 g 0 L v Q v t C z J n F 1 b 3 Q 7 X S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N z Y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7 J n F 1 b 3 Q 7 a 2 V 5 Q 2 9 s d W 1 u Q 2 9 1 b n Q m c X V v d D s 6 M S w m c X V v d D t r Z X l D b 2 x 1 b W 4 m c X V v d D s 6 M C w m c X V v d D t v d G h l c k t l e U N v b H V t b k l k Z W 5 0 a X R 5 J n F 1 b 3 Q 7 O i Z x d W 9 0 O 1 N l Y 3 R p b 2 4 x L 0 l E U F 9 B T i / Q p N C w 0 L n Q u y 5 7 S U R Q L D V 9 J n F 1 b 3 Q 7 L C Z x d W 9 0 O 0 t l e U N v b H V t b k N v d W 5 0 J n F 1 b 3 Q 7 O j F 9 X S w m c X V v d D t j b 2 x 1 b W 5 J Z G V u d G l 0 a W V z J n F 1 b 3 Q 7 O l s m c X V v d D t T Z W N 0 a W 9 u M S 9 G b 3 J T d G F 0 L 9 C k 0 L D Q u d C 7 L n t J R F A s M H 0 m c X V v d D s s J n F 1 b 3 Q 7 U 2 V j d G l v b j E v R m 9 y U 3 R h d C / Q p N C w 0 L n Q u y 5 7 0 J H Q n C w x f S Z x d W 9 0 O y w m c X V v d D t T Z W N 0 a W 9 u M S 9 G b 3 J T d G F 0 L 9 C X 0 L D Q v N C 1 0 L 3 Q t d C 9 0 L 3 Q v t C 1 I N C 3 0 L 3 Q s N G H 0 L X Q v d C 4 0 L U u e 9 C S 0 J 0 s M n 0 m c X V v d D s s J n F 1 b 3 Q 7 U 2 V j d G l v b j E v R m 9 y U 3 R h d C / Q p N C w 0 L n Q u y 5 7 S U R E L D V 9 J n F 1 b 3 Q 7 L C Z x d W 9 0 O 1 N l Y 3 R p b 2 4 x L 0 Z v c l N 0 Y X Q v 0 J L R g d G C 0 L D Q s t C 7 0 L X Q v d C + O i D Q t N C 1 0 Y H R j 9 G C 0 L j R h 9 C 9 0 Y v Q u S D Q u 9 C + 0 L P Q s N G A 0 L j R h N C 8 L n v Q k t C d I N C 7 0 L 7 Q s y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G b 3 J T d G F 0 L 9 C k 0 L D Q u d C 7 L n t J R F A s M H 0 m c X V v d D s s J n F 1 b 3 Q 7 U 2 V j d G l v b j E v R m 9 y U 3 R h d C / Q p N C w 0 L n Q u y 5 7 0 J H Q n C w x f S Z x d W 9 0 O y w m c X V v d D t T Z W N 0 a W 9 u M S 9 G b 3 J T d G F 0 L 9 C X 0 L D Q v N C 1 0 L 3 Q t d C 9 0 L 3 Q v t C 1 I N C 3 0 L 3 Q s N G H 0 L X Q v d C 4 0 L U u e 9 C S 0 J 0 s M n 0 m c X V v d D s s J n F 1 b 3 Q 7 U 2 V j d G l v b j E v R m 9 y U 3 R h d C / Q p N C w 0 L n Q u y 5 7 S U R E L D V 9 J n F 1 b 3 Q 7 L C Z x d W 9 0 O 1 N l Y 3 R p b 2 4 x L 0 Z v c l N 0 Y X Q v 0 J L R g d G C 0 L D Q s t C 7 0 L X Q v d C + O i D Q t N C 1 0 Y H R j 9 G C 0 L j R h 9 C 9 0 Y v Q u S D Q u 9 C + 0 L P Q s N G A 0 L j R h N C 8 L n v Q k t C d I N C 7 0 L 7 Q s y w 0 f S Z x d W 9 0 O 1 0 s J n F 1 b 3 Q 7 U m V s Y X R p b 2 5 z a G l w S W 5 m b y Z x d W 9 0 O z p b e y Z x d W 9 0 O 2 t l e U N v b H V t b k N v d W 5 0 J n F 1 b 3 Q 7 O j E s J n F 1 b 3 Q 7 a 2 V 5 Q 2 9 s d W 1 u J n F 1 b 3 Q 7 O j A s J n F 1 b 3 Q 7 b 3 R o Z X J L Z X l D b 2 x 1 b W 5 J Z G V u d G l 0 e S Z x d W 9 0 O z o m c X V v d D t T Z W N 0 a W 9 u M S 9 J R F B f Q U 4 v 0 K T Q s N C 5 0 L s u e 0 l E U C w 1 f S Z x d W 9 0 O y w m c X V v d D t L Z X l D b 2 x 1 b W 5 D b 3 V u d C Z x d W 9 0 O z o x f V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m 9 y U 3 R h d C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3 J T d G F 0 L y V E M C U 5 N C V E M S U 4 M C V E M S U 4 M y V E M C V C M y V E M C V C O C V E M C V C N S U y M C V E M S U 4 M y V E M C V C N C V E M C V C M C V E M C V C Q i V E M C V C N S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R i V E M C V C M C V E M S U 4 N i V E M C V C O C V E M C V C N S V E M C V C R C V E M S U 4 M i V E M S U 4 Q i 8 l R D A l O U Y l R D A l Q j U l R D E l O D A l R D A l Q j U l R D A l Q j g l R D A l Q k M l R D A l Q j U l R D A l Q k Q l R D A l Q k U l R D A l Q j I l R D A l Q j A l R D A l Q k Q l R D A l Q j g l R D A l Q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Y l R D A l Q j A l R D E l O D Y l R D A l Q j g l R D A l Q j U l R D A l Q k Q l R D E l O D I l R D E l O E I v J U Q w J U E 0 J U Q w J U I 4 J U Q w J U J C J U Q x J T h D J U Q x J T g y J U Q x J T g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R i V E M C V C M C V E M S U 4 N i V E M C V C O C V E M C V C N S V E M C V C R C V E M S U 4 M i V E M S U 4 Q i 8 l R D A l O T g l R D A l Q j c l R D A l Q k M l R D A l Q j U l R D A l Q k Q l R D A l Q j U l R D A l Q k Q l R D A l Q k Q l R D E l O E I l R D A l Q j k l M j A l R D E l O D I l R D A l Q j g l R D A l Q k Y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k w J U Q w J U E w J U Q w J U E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Q n d C w 0 L L Q u N C z 0 L D R h t C 4 0 Y 8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z L T A 3 L T I 4 V D E 5 O j I 1 O j M z L j M z M T k 3 N D l a I i A v P j x F b n R y e S B U e X B l P S J G a W x s Q 2 9 s d W 1 u V H l w Z X M i I F Z h b H V l P S J z Q U F r S i I g L z 4 8 R W 5 0 c n k g V H l w Z T 0 i R m l s b E N v b H V t b k 5 h b W V z I i B W Y W x 1 Z T 0 i c 1 s m c X V v d D t J R F A m c X V v d D s s J n F 1 b 3 Q 7 M V 8 m c X V v d D s s J n F 1 b 3 Q 7 R m l u a X N o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0 J D Q o N C i L 9 C h 0 L L Q t d C 0 0 L X Q v d C 9 0 Y v Q u S D R g d G C 0 L 7 Q u 9 C x 0 L X R h i 5 7 S U R Q L D B 9 J n F 1 b 3 Q 7 L C Z x d W 9 0 O 1 N l Y 3 R p b 2 4 x L 9 C Q 0 K D Q o i / Q m N C 3 0 L z Q t d C 9 0 L X Q v d C 9 0 Y v Q u S D R g t C 4 0 L 8 x L n s x X y w x f S Z x d W 9 0 O y w m c X V v d D t T Z W N 0 a W 9 u M S / Q k N C g 0 K I v 0 J j Q t 9 C 8 0 L X Q v d C 1 0 L 3 Q v d G L 0 L k g 0 Y L Q u N C / M S 5 7 R m l u a X N o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9 C Q 0 K D Q o i / Q o d C y 0 L X Q t N C 1 0 L 3 Q v d G L 0 L k g 0 Y H R g t C + 0 L v Q s d C 1 0 Y Y u e 0 l E U C w w f S Z x d W 9 0 O y w m c X V v d D t T Z W N 0 a W 9 u M S / Q k N C g 0 K I v 0 J j Q t 9 C 8 0 L X Q v d C 1 0 L 3 Q v d G L 0 L k g 0 Y L Q u N C / M S 5 7 M V 8 s M X 0 m c X V v d D s s J n F 1 b 3 Q 7 U 2 V j d G l v b j E v 0 J D Q o N C i L 9 C Y 0 L f Q v N C 1 0 L 3 Q t d C 9 0 L 3 R i 9 C 5 I N G C 0 L j Q v z E u e 0 Z p b m l z a C w y f S Z x d W 9 0 O 1 0 s J n F 1 b 3 Q 7 U m V s Y X R p b 2 5 z a G l w S W 5 m b y Z x d W 9 0 O z p b X X 0 i I C 8 + P E V u d H J 5 I F R 5 c G U 9 I l J l Y 2 9 2 Z X J 5 V G F y Z 2 V 0 U m 9 3 I i B W Y W x 1 Z T 0 i b D E i I C 8 + P E V u d H J 5 I F R 5 c G U 9 I l J l Y 2 9 2 Z X J 5 V G F y Z 2 V 0 Q 2 9 s d W 1 u I i B W Y W x 1 Z T 0 i b D E i I C 8 + P E V u d H J 5 I F R 5 c G U 9 I l J l Y 2 9 2 Z X J 5 V G F y Z 2 V 0 U 2 h l Z X Q i I F Z h b H V l P S J z 0 J v Q u N G B 0 Y I x I i A v P j x F b n R y e S B U e X B l P S J R d W V y e U l E I i B W Y W x 1 Z T 0 i c z A 5 O D F k Z D E 1 L T M 4 N j A t N G I z M i 1 i Z T I 0 L T h j Y 2 U x Z D M y Z T N k M S I g L z 4 8 L 1 N 0 Y W J s Z U V u d H J p Z X M + P C 9 J d G V t P j x J d G V t P j x J d G V t T G 9 j Y X R p b 2 4 + P E l 0 Z W 1 U e X B l P k Z v c m 1 1 b G E 8 L 0 l 0 Z W 1 U e X B l P j x J d G V t U G F 0 a D 5 T Z W N 0 a W 9 u M S 8 l R D A l O T A l R D A l Q T A l R D A l Q T I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k w J U Q w J U E w J U Q w J U E y L y V E M C U 5 R i V E M S U 4 M y V E M S U 4 M i V E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M C V E M C V B M C V E M C V B M i 8 l R D A l O U U l R D A l Q j E l R D E l O E E l R D A l Q j U l R D A l Q k E l R D E l O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T A l R D A l Q T A l R D A l Q T I v J U Q w J U E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k w J U Q w J U E w J U Q w J U E y L y V E M C V B N C V E M C V C M C V E M C V C O S V E M C V C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M C V E M C V B M C V E M C V B M i 8 l R D A l O U Y l R D A l Q j U l R D E l O D A l R D A l Q j U l R D A l Q j g l R D A l Q k M l R D A l Q j U l R D A l Q k Q l R D A l Q k U l R D A l Q j I l R D A l Q j A l R D A l Q k Q l R D A l Q j g l R D A l Q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T A l R D A l Q T A l R D A l Q T I v J U Q w J U E 0 J U Q w J U I 4 J U Q w J U J C J U Q x J T h D J U Q x J T g y J U Q x J T g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M C V E M C V B M C V E M C V B M i 8 l R D A l O T Q l R D E l O D A l R D E l O D M l R D A l Q j M l R D A l Q j g l R D A l Q j U l M j A l R D E l O D E l R D E l O D I l R D A l Q k U l R D A l Q k I l R D A l Q j E l R D E l O D Y l R D E l O E I l M j A l R D E l O D E l M j A l R D A l Q k U l R D E l O D I l R D A l Q k M l R D A l Q j U l R D A l Q k Q l R D A l Q j U l R D A l Q k Q l R D A l Q k Q l R D E l O E I l R D A l Q k M l M j A l R D E l O D E l R D A l Q j I l R D A l Q j U l R D E l O D A l R D E l O D I l R D E l O E I l R D A l Q j I l R D A l Q j A l R D A l Q k Q l R D A l Q j g l R D A l Q j U l R D A l Q k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T A l R D A l Q T A l R D A l Q T I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k w J U Q w J U E w J U Q w J U E y L y V E M C V B M S V E M C V C M i V E M C V C N S V E M C V C N C V E M C V C N S V E M C V C R C V E M C V C R C V E M S U 4 Q i V E M C V C O S U y M C V E M S U 4 M S V E M S U 4 M i V E M C V C R S V E M C V C Q i V E M C V C M S V E M C V C N S V E M S U 4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M C V E M C V B M C V E M C V B M i 8 l R D A l O T I l R D E l O D E l R D E l O D I l R D A l Q j A l R D A l Q j I l R D A l Q k I l R D A l Q j U l R D A l Q k Q l R D A l Q k U l M 0 E l M j A l R D A l Q k M l R D A l Q j A l R D A l Q k E l R D E l O D E l R D A l Q j g l R D A l Q k M l R D A l Q j A l R D A l Q k I l R D E l O E M l R D A l Q k Q l R D A l Q k U l R D A l Q j U l M j A l R D A l Q j c l R D A l Q k Q l R D A l Q j A l R D E l O D c l R D A l Q j U l R D A l Q k Q l R D A l Q j g l R D A l Q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T A l R D A l Q T A l R D A l Q T I v J U Q w J U E z J U Q x J T g x J U Q w J U J C J U Q w J U J F J U Q w J U I y J U Q w J U J E J U Q x J T h C J U Q w J U I 5 J T I w J U Q x J T g x J U Q x J T g y J U Q w J U J F J U Q w J U J C J U Q w J U I x J U Q w J U I 1 J U Q x J T g 2 J T I w J U Q w J U I 0 J U Q w J U J F J U Q w J U I x J U Q w J U I w J U Q w J U I y J U Q w J U J C J U Q w J U I 1 J U Q w J U J E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k w J U Q w J U E w J U Q w J U E y L y V E M C V B M S V E M S U 4 M i V E M S U 4 M C V E M C V C R S V E M C V C Q S V E M C V C O C U y M C V E M S U 4 M S U y M C V E M C V C R i V E M S U 4 M C V E M C V C O C V E M C V C Q y V E M C V C N S V E M C V C R C V E M C V C N S V E M C V C R C V E M C V C R C V E M S U 4 Q i V E M C V C Q y U y M C V E M S U 4 N C V E M C V C O C V E M C V C Q i V E M S U 4 Q y V E M S U 4 M i V E M S U 4 M C V E M C V C R S V E M C V C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M C V E M C V B M C V E M C V B M i 8 l R D A l O T Q l R D E l O D A l R D E l O D M l R D A l Q j M l R D A l Q j g l R D A l Q j U l M j A l R D E l O D M l R D A l Q j Q l R D A l Q j A l R D A l Q k I l R D A l Q j U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T A l R D A l Q T A l R D A l Q T I v J U Q w J T k 4 J U Q w J U I 3 J U Q w J U J D J U Q w J U I 1 J U Q w J U J E J U Q w J U I 1 J U Q w J U J E J U Q w J U J E J U Q x J T h C J U Q w J U I 5 J T I w J U Q x J T g y J U Q w J U I 4 J U Q w J U J G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R i V E M C V C M C V E M S U 4 N i V E M C V C O C V E M C V C N S V E M C V C R C V E M S U 4 M i V E M S U 4 Q i 8 l R D A l O U U l R D A l Q j E l R D E l O E E l R D A l Q j U l R D A l Q j Q l R D A l Q j g l R D A l Q k Q l R D A l Q j U l R D A l Q k Q l R D A l Q k Q l R D E l O E I l R D A l Q j U l M j A l R D A l Q j c l R D A l Q j A l R D A l Q k Y l R D E l O D A l R D A l Q k U l R D E l O D E l R D E l O E I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G J U Q w J U I w J U Q x J T g 2 J U Q w J U I 4 J U Q w J U I 1 J U Q w J U J E J U Q x J T g y J U Q x J T h C L y V E M C V B M C V E M C V C M C V E M C V C N y V E M C V C M i V E M C V C N S V E M S U 4 M C V E M C V C R C V E M S U 4 M y V E M S U 4 M i V E M S U 4 Q i V E M C V C O S U y M C V E M S U 4 R C V E M C V C Q i V E M C V C N S V E M C V C Q y V E M C V C N S V E M C V C R C V E M S U 4 M i U y M C V E M C U 5 M C V E M C V B M C V E M C V B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E U F 9 B T j w v S X R l b V B h d G g + P C 9 J d G V t T G 9 j Y X R p b 2 4 + P F N 0 Y W J s Z U V u d H J p Z X M + P E V u d H J 5 I F R 5 c G U 9 I k l z U H J p d m F 0 Z S I g V m F s d W U 9 I m w w I i A v P j x F b n R y e S B U e X B l P S J M b 2 F k Z W R U b 0 F u Y W x 5 c 2 l z U 2 V y d m l j Z X M i I F Z h b H V l P S J s M C I g L z 4 8 R W 5 0 c n k g V H l w Z T 0 i R m l s b E V y c m 9 y Q 2 9 k Z S I g V m F s d W U 9 I n N V b m t u b 3 d u I i A v P j x F b n R y e S B U e X B l P S J G a W x s T G F z d F V w Z G F 0 Z W Q i I F Z h b H V l P S J k M j A y M y 0 w N y 0 y O F Q x O T o z N D o 0 M S 4 w N D U w M z Q 1 W i I g L z 4 8 R W 5 0 c n k g V H l w Z T 0 i R m l s b F N 0 Y X R 1 c y I g V m F s d W U 9 I n N D b 2 1 w b G V 0 Z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S I g L z 4 8 R W 5 0 c n k g V H l w Z T 0 i T m F 2 a W d h d G l v b l N 0 Z X B O Y W 1 l I i B W Y W x 1 Z T 0 i c 9 C d 0 L D Q s t C 4 0 L P Q s N G G 0 L j R j y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S U R Q X 0 F O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E U F 9 B T i 8 l R D A l O U Y l R D E l O D M l R D E l O D I l R D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R F B f Q U 4 v J U Q w J T l F J U Q w J U I x J U Q x J T h B J U Q w J U I 1 J U Q w J U J B J U Q x J T g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U R Q X 0 F O L y V E M C V B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E U F 9 B T i 8 l R D A l Q T Q l R D A l Q j A l R D A l Q j k l R D A l Q k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R F B f Q U 4 v J U Q w J T k 0 J U Q x J T g w J U Q x J T g z J U Q w J U I z J U Q w J U I 4 J U Q w J U I 1 J T I w J U Q x J T g z J U Q w J U I 0 J U Q w J U I w J U Q w J U J C J U Q w J U I 1 J U Q w J U J E J U Q w J U J E J U Q x J T h C J U Q w J U I 1 J T I w J U Q x J T g x J U Q x J T g y J U Q w J U J F J U Q w J U J C J U Q w J U I x J U Q x J T g 2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U R Q X 0 F O L y V E M C V B M y V E M C V C N C V E M C V C M C V E M C V C Q i V E M C V C N S V E M C V C R C V E M C V C R C V E M S U 4 Q i V E M C V C N S U y M C V E M C V C N C V E M S U 4 M y V E M C V C M S V E M C V C Q i V E M C V C O C V E M C V C Q S V E M C V C M C V E M S U 4 M i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E U F 9 B T i 8 l R D A l Q T E l R D A l Q k U l R D E l O D A l R D E l O D I l R D A l Q j g l R D E l O D A l R D A l Q k U l R D A l Q j I l R D A l Q j A l R D A l Q k Q l R D A l Q k Q l R D E l O E I l R D A l Q j U l M j A l R D E l O D E l R D E l O D I l R D E l O D A l R D A l Q k U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Y l R D A l Q j A l R D E l O D Y l R D A l Q j g l R D A l Q j U l R D A l Q k Q l R D E l O D I l R D E l O E I v Q U 4 l R D E l O D Q l R D A l Q j g l R D A l Q k I l R D E l O E M l R D E l O D I l R D E l O D A l R D A l Q j A l R D E l O D Y l R D A l Q j g l R D E l O E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3 J T d G F 0 L y V E M C U 5 R i V E M S U 4 M y V E M S U 4 M i V E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c l N 0 Y X Q v J U Q w J T l F J U Q w J U I x J U Q x J T h B J U Q w J U I 1 J U Q w J U J B J U Q x J T g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y U 3 R h d C 8 l R D A l Q T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3 J T d G F 0 L y V E M C V B N C V E M C V C M C V E M C V C O S V E M C V C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c l N 0 Y X Q v Q U 4 l R D E l O D Q l R D A l Q j g l R D A l Q k I l R D E l O E M l R D E l O D I l R D E l O D A l R D A l Q j A l R D E l O D Y l R D A l Q j g l R D E l O E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3 J T d G F 0 L y V E M C U 5 N y V E M C V C M C V E M C V C Q y V E M C V C N S V E M C V C R C V E M C V C N S V E M C V C R C V E M C V C R C V E M C V C R S V E M C V C N S U y M C V E M C V C N y V E M C V C R C V E M C V C M C V E M S U 4 N y V E M C V C N S V E M C V C R C V E M C V C O C V E M C V C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c l N 0 Y X Q v J U Q w J T k y J U Q x J T g x J U Q x J T g y J U Q w J U I w J U Q w J U I y J U Q w J U J C J U Q w J U I 1 J U Q w J U J E J U Q w J U J F J T N B J T I w J U Q w J U I 0 J U Q w J U I 1 J U Q x J T g x J U Q x J T h G J U Q x J T g y J U Q w J U I 4 J U Q x J T g 3 J U Q w J U J E J U Q x J T h C J U Q w J U I 5 J T I w J U Q w J U J C J U Q w J U J F J U Q w J U I z J U Q w J U I w J U Q x J T g w J U Q w J U I 4 J U Q x J T g 0 J U Q w J U J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G J U Q w J U I w J U Q x J T g 2 J U Q w J U I 4 J U Q w J U I 1 J U Q w J U J E J U Q x J T g y J U Q x J T h C L y V E M C U 5 R S V E M C V C M S V E M S U 4 Q S V E M C V C N S V E M C V C N C V E M C V C O C V E M C V C R C V E M C V C N S V E M C V C R C V E M C V C R C V E M S U 4 Q i V E M C V C N S U y M C V E M C V C N y V E M C V C M C V E M C V C R i V E M S U 4 M C V E M C V C R S V E M S U 4 M S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R i V E M C V C M C V E M S U 4 N i V E M C V C O C V E M C V C N S V E M C V C R C V E M S U 4 M i V E M S U 4 Q i 8 l R D A l Q T A l R D A l Q j A l R D A l Q j c l R D A l Q j I l R D A l Q j U l R D E l O D A l R D A l Q k Q l R D E l O D M l R D E l O D I l R D E l O E I l R D A l Q j k l M j A l R D E l O E Q l R D A l Q k I l R D A l Q j U l R D A l Q k M l R D A l Q j U l R D A l Q k Q l R D E l O D I l M j A l R D A l O U Y l R D E l O D A l R D A l Q k U l R D A l Q j E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3 J T d G F 0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0 J 3 Q s N C y 0 L j Q s 9 C w 0 Y b Q u N G P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M Y X N 0 V X B k Y X R l Z C I g V m F s d W U 9 I m Q y M D I z L T A 3 L T M x V D A 1 O j I 1 O j A x L j Q 0 O T g 5 N z F a I i A v P j x F b n R y e S B U e X B l P S J G a W x s V G F y Z 2 V 0 I i B W Y W x 1 Z T 0 i c 0 Z v c l N 0 Y X Q y I i A v P j x F b n R y e S B U e X B l P S J G a W x s Q 2 9 s d W 1 u V H l w Z X M i I F Z h b H V l P S J z Q U F Z Q U F B P T 0 i I C 8 + P E V u d H J 5 I F R 5 c G U 9 I k Z p b G x F c n J v c k N v d W 5 0 I i B W Y W x 1 Z T 0 i b D A i I C 8 + P E V u d H J 5 I F R 5 c G U 9 I k x v Y W R l Z F R v Q W 5 h b H l z a X N T Z X J 2 a W N l c y I g V m F s d W U 9 I m w w I i A v P j x F b n R y e S B U e X B l P S J R d W V y e U l E I i B W Y W x 1 Z T 0 i c z M 3 M 2 J i M z E 2 L T Y w N W M t N D I y O C 0 5 M z d h L W R j Y z M 3 N G J k Z W U 2 Z i I g L z 4 8 R W 5 0 c n k g V H l w Z T 0 i R m l s b E N v b H V t b k 5 h b W V z I i B W Y W x 1 Z T 0 i c 1 s m c X V v d D t J R F A m c X V v d D s s J n F 1 b 3 Q 7 0 J H Q n C Z x d W 9 0 O y w m c X V v d D v Q k t C d J n F 1 b 3 Q 7 L C Z x d W 9 0 O 9 C S 0 J 0 g 0 L v Q v t C z J n F 1 b 3 Q 7 X S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N j I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v c l N 0 Y X Q y L 9 C U 0 Y D R g 9 C z 0 L j Q t S D R g d G C 0 L 7 Q u 9 C x 0 Y b R i y D R g S D Q v t G C 0 L z Q t d C 9 0 L X Q v d C 9 0 Y v Q v C D R g d C y 0 L X R g N G C 0 Y v Q s t C w 0 L 3 Q u N C 1 0 L w u e 0 l E U C w w f S Z x d W 9 0 O y w m c X V v d D t T Z W N 0 a W 9 u M S 9 G b 3 J T d G F 0 M i / Q l N G A 0 Y P Q s 9 C 4 0 L U g 0 Y H R g t C + 0 L v Q s d G G 0 Y s g 0 Y E g 0 L 7 R g t C 8 0 L X Q v d C 1 0 L 3 Q v d G L 0 L w g 0 Y H Q s t C 1 0 Y D R g t G L 0 L L Q s N C 9 0 L j Q t d C 8 L n v Q k d C c L D F 9 J n F 1 b 3 Q 7 L C Z x d W 9 0 O 1 N l Y 3 R p b 2 4 x L 0 Z v c l N 0 Y X Q y L 9 C U 0 Y D R g 9 C z 0 L j Q t S D R g d G C 0 L 7 Q u 9 C x 0 Y b R i y D R g S D Q v t G C 0 L z Q t d C 9 0 L X Q v d C 9 0 Y v Q v C D R g d C y 0 L X R g N G C 0 Y v Q s t C w 0 L 3 Q u N C 1 0 L w u e 9 C S 0 J 0 s M n 0 m c X V v d D s s J n F 1 b 3 Q 7 U 2 V j d G l v b j E v R m 9 y U 3 R h d D I v 0 J L R g d G C 0 L D Q s t C 7 0 L X Q v d C + O i D Q t N C 1 0 Y H R j 9 G C 0 L j R h 9 C 9 0 Y v Q u S D Q u 9 C + 0 L P Q s N G A 0 L j R h N C 8 L n v Q k t C d I N C 7 0 L 7 Q s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G b 3 J T d G F 0 M i / Q l N G A 0 Y P Q s 9 C 4 0 L U g 0 Y H R g t C + 0 L v Q s d G G 0 Y s g 0 Y E g 0 L 7 R g t C 8 0 L X Q v d C 1 0 L 3 Q v d G L 0 L w g 0 Y H Q s t C 1 0 Y D R g t G L 0 L L Q s N C 9 0 L j Q t d C 8 L n t J R F A s M H 0 m c X V v d D s s J n F 1 b 3 Q 7 U 2 V j d G l v b j E v R m 9 y U 3 R h d D I v 0 J T R g N G D 0 L P Q u N C 1 I N G B 0 Y L Q v t C 7 0 L H R h t G L I N G B I N C + 0 Y L Q v N C 1 0 L 3 Q t d C 9 0 L 3 R i 9 C 8 I N G B 0 L L Q t d G A 0 Y L R i 9 C y 0 L D Q v d C 4 0 L X Q v C 5 7 0 J H Q n C w x f S Z x d W 9 0 O y w m c X V v d D t T Z W N 0 a W 9 u M S 9 G b 3 J T d G F 0 M i / Q l N G A 0 Y P Q s 9 C 4 0 L U g 0 Y H R g t C + 0 L v Q s d G G 0 Y s g 0 Y E g 0 L 7 R g t C 8 0 L X Q v d C 1 0 L 3 Q v d G L 0 L w g 0 Y H Q s t C 1 0 Y D R g t G L 0 L L Q s N C 9 0 L j Q t d C 8 L n v Q k t C d L D J 9 J n F 1 b 3 Q 7 L C Z x d W 9 0 O 1 N l Y 3 R p b 2 4 x L 0 Z v c l N 0 Y X Q y L 9 C S 0 Y H R g t C w 0 L L Q u 9 C 1 0 L 3 Q v j o g 0 L T Q t d G B 0 Y / R g t C 4 0 Y f Q v d G L 0 L k g 0 L v Q v t C z 0 L D R g N C 4 0 Y T Q v C 5 7 0 J L Q n S D Q u 9 C + 0 L M s M 3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m 9 y U 3 R h d D I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y U 3 R h d D I v J U Q w J T l G J U Q x J T g z J U Q x J T g y J U Q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y U 3 R h d D I v J U Q w J T l F J U Q w J U I x J U Q x J T h B J U Q w J U I 1 J U Q w J U J B J U Q x J T g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y U 3 R h d D I v J U Q w J U E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y U 3 R h d D I v J U Q w J U E 0 J U Q w J U I w J U Q w J U I 5 J U Q w J U J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y U 3 R h d D I v Q U 4 l R D E l O D Q l R D A l Q j g l R D A l Q k I l R D E l O E M l R D E l O D I l R D E l O D A l R D A l Q j A l R D E l O D Y l R D A l Q j g l R D E l O E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3 J T d G F 0 M i 8 l R D A l O T Q l R D E l O D A l R D E l O D M l R D A l Q j M l R D A l Q j g l R D A l Q j U l M j A l R D E l O D M l R D A l Q j Q l R D A l Q j A l R D A l Q k I l R D A l Q j U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3 J T d G F 0 M i 8 l R D A l O T I l R D E l O D E l R D E l O D I l R D A l Q j A l R D A l Q j I l R D A l Q k I l R D A l Q j U l R D A l Q k Q l R D A l Q k U l M 0 E l M j A l R D A l Q j Q l R D A l Q j U l R D E l O D E l R D E l O E Y l R D E l O D I l R D A l Q j g l R D E l O D c l R D A l Q k Q l R D E l O E I l R D A l Q j k l M j A l R D A l Q k I l R D A l Q k U l R D A l Q j M l R D A l Q j A l R D E l O D A l R D A l Q j g l R D E l O D Q l R D A l Q k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3 J T d G F 0 M i 8 l R D A l Q T E l R D A l Q j I l R D A l Q j U l R D A l Q j Q l R D A l Q j U l R D A l Q k Q l R D A l Q k Q l R D E l O E I l R D A l Q j k l M j A l R D E l O D E l R D E l O D I l R D A l Q k U l R D A l Q k I l R D A l Q j E l R D A l Q j U l R D E l O D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3 J T d G F 0 M i 8 l R D A l Q T E l R D E l O D I l R D E l O D A l R D A l Q k U l R D A l Q k E l R D A l Q j g l M j A l R D E l O D E l M j A l R D A l Q k Y l R D E l O D A l R D A l Q j g l R D A l Q k M l R D A l Q j U l R D A l Q k Q l R D A l Q j U l R D A l Q k Q l R D A l Q k Q l R D E l O E I l R D A l Q k M l M j A l R D E l O D Q l R D A l Q j g l R D A l Q k I l R D E l O E M l R D E l O D I l R D E l O D A l R D A l Q k U l R D A l Q k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3 J T d G F 0 M i 8 l R D A l O T Q l R D E l O D A l R D E l O D M l R D A l Q j M l R D A l Q j g l R D A l Q j U l M j A l R D E l O D E l R D E l O D I l R D A l Q k U l R D A l Q k I l R D A l Q j E l R D E l O D Y l R D E l O E I l M j A l R D E l O D E l M j A l R D A l Q k U l R D E l O D I l R D A l Q k M l R D A l Q j U l R D A l Q k Q l R D A l Q j U l R D A l Q k Q l R D A l Q k Q l R D E l O E I l R D A l Q k M l M j A l R D E l O D E l R D A l Q j I l R D A l Q j U l R D E l O D A l R D E l O D I l R D E l O E I l R D A l Q j I l R D A l Q j A l R D A l Q k Q l R D A l Q j g l R D A l Q j U l R D A l Q k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F n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Q n d C w 0 L L Q u N C z 0 L D R h t C 4 0 Y 8 i I C 8 + P E V u d H J 5 I F R 5 c G U 9 I k Z p b G x l Z E N v b X B s Z X R l U m V z d W x 0 V G 9 X b 3 J r c 2 h l Z X Q i I F Z h b H V l P S J s M S I g L z 4 8 R W 5 0 c n k g V H l w Z T 0 i R m l s b E V y c m 9 y Q 2 9 1 b n Q i I F Z h b H V l P S J s M C I g L z 4 8 R W 5 0 c n k g V H l w Z T 0 i R m l s b E x h c 3 R V c G R h d G V k I i B W Y W x 1 Z T 0 i Z D I w M j M t M D c t M z F U M D U 6 M j U 6 M D M u N T I x N j A 0 N F o i I C 8 + P E V u d H J 5 I F R 5 c G U 9 I k Z p b G x U Y X J n Z X Q i I F Z h b H V l P S J z R G l h Z y I g L z 4 8 R W 5 0 c n k g V H l w Z T 0 i U X V l c n l J R C I g V m F s d W U 9 I n N m N T h l Y W E 5 Z i 0 5 N z g x L T Q 4 Y z I t O T d m N S 1 l Y 2 Q 5 O W M 4 Z T c 5 N j M i I C 8 + P E V u d H J 5 I F R 5 c G U 9 I k Z p b G x D b 2 x 1 b W 5 U e X B l c y I g V m F s d W U 9 I n N B Q V V B Q U E 9 P S I g L z 4 8 R W 5 0 c n k g V H l w Z T 0 i T G 9 h Z G V k V G 9 B b m F s e X N p c 1 N l c n Z p Y 2 V z I i B W Y W x 1 Z T 0 i b D A i I C 8 + P E V u d H J 5 I F R 5 c G U 9 I k Z p b G x F c n J v c k N v Z G U i I F Z h b H V l P S J z V W 5 r b m 9 3 b i I g L z 4 8 R W 5 0 c n k g V H l w Z T 0 i R m l s b E N v b H V t b k 5 h b W V z I i B W Y W x 1 Z T 0 i c 1 s m c X V v d D t J R F A m c X V v d D s s J n F 1 b 3 Q 7 0 L / Q u 9 C w 0 L f Q v N C w J n F 1 b 3 Q 7 L C Z x d W 9 0 O 9 C 7 0 L j Q u t C y 0 L 7 R g C Z x d W 9 0 O y w m c X V v d D t D R D Q m c X V v d D t d I i A v P j x F b n R y e S B U e X B l P S J G a W x s U 3 R h d H V z I i B W Y W x 1 Z T 0 i c 0 N v b X B s Z X R l I i A v P j x F b n R y e S B U e X B l P S J G a W x s Q 2 9 1 b n Q i I F Z h b H V l P S J s M z g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7 J n F 1 b 3 Q 7 a 2 V 5 Q 2 9 s d W 1 u Q 2 9 1 b n Q m c X V v d D s 6 M S w m c X V v d D t r Z X l D b 2 x 1 b W 4 m c X V v d D s 6 M C w m c X V v d D t v d G h l c k t l e U N v b H V t b k l k Z W 5 0 a X R 5 J n F 1 b 3 Q 7 O i Z x d W 9 0 O 1 N l Y 3 R p b 2 4 x L 9 C f 0 L D R h t C 4 0 L X Q v d G C 0 Y s v 0 K T Q s N C 5 0 L s u e 0 l E U C w w f S Z x d W 9 0 O y w m c X V v d D t L Z X l D b 2 x 1 b W 5 D b 3 V u d C Z x d W 9 0 O z o x f V 0 s J n F 1 b 3 Q 7 Y 2 9 s d W 1 u S W R l b n R p d G l l c y Z x d W 9 0 O z p b J n F 1 b 3 Q 7 U 2 V j d G l v b j E v R G l h Z y / Q o d C y 0 L X Q t N C 1 0 L 3 Q v d G L 0 L k g 0 Y H R g t C + 0 L v Q s d C 1 0 Y Y u e 0 l E U C w w f S Z x d W 9 0 O y w m c X V v d D t T Z W N 0 a W 9 u M S 9 E a W F n L 9 C j 0 L z Q v d C + 0 L b Q t d C 9 0 L 3 R i 9 C 5 I N G B 0 Y L Q v t C 7 0 L H Q t d G G L n v Q v 9 C 7 0 L D Q t 9 C 8 0 L A s M X 0 m c X V v d D s s J n F 1 b 3 Q 7 U 2 V j d G l v b j E v R G l h Z y / Q o d C y 0 L X Q t N C 1 0 L 3 Q v d G L 0 L k g 0 Y H R g t C + 0 L v Q s d C 1 0 Y Y u e 9 C 7 0 L j Q u t C y 0 L 7 R g C w y f S Z x d W 9 0 O y w m c X V v d D t T Z W N 0 a W 9 u M S / Q n 9 C w 0 Y b Q u N C 1 0 L 3 R g t G L L 9 C k 0 L D Q u d C 7 L n t D R D Q s N z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R p Y W c v 0 K H Q s t C 1 0 L T Q t d C 9 0 L 3 R i 9 C 5 I N G B 0 Y L Q v t C 7 0 L H Q t d G G L n t J R F A s M H 0 m c X V v d D s s J n F 1 b 3 Q 7 U 2 V j d G l v b j E v R G l h Z y / Q o 9 C 8 0 L 3 Q v t C 2 0 L X Q v d C 9 0 Y v Q u S D R g d G C 0 L 7 Q u 9 C x 0 L X R h i 5 7 0 L / Q u 9 C w 0 L f Q v N C w L D F 9 J n F 1 b 3 Q 7 L C Z x d W 9 0 O 1 N l Y 3 R p b 2 4 x L 0 R p Y W c v 0 K H Q s t C 1 0 L T Q t d C 9 0 L 3 R i 9 C 5 I N G B 0 Y L Q v t C 7 0 L H Q t d G G L n v Q u 9 C 4 0 L r Q s t C + 0 Y A s M n 0 m c X V v d D s s J n F 1 b 3 Q 7 U 2 V j d G l v b j E v 0 J / Q s N G G 0 L j Q t d C 9 0 Y L R i y / Q p N C w 0 L n Q u y 5 7 Q 0 Q 0 L D c z f S Z x d W 9 0 O 1 0 s J n F 1 b 3 Q 7 U m V s Y X R p b 2 5 z a G l w S W 5 m b y Z x d W 9 0 O z p b e y Z x d W 9 0 O 2 t l e U N v b H V t b k N v d W 5 0 J n F 1 b 3 Q 7 O j E s J n F 1 b 3 Q 7 a 2 V 5 Q 2 9 s d W 1 u J n F 1 b 3 Q 7 O j A s J n F 1 b 3 Q 7 b 3 R o Z X J L Z X l D b 2 x 1 b W 5 J Z G V u d G l 0 e S Z x d W 9 0 O z o m c X V v d D t T Z W N 0 a W 9 u M S / Q n 9 C w 0 Y b Q u N C 1 0 L 3 R g t G L L 9 C k 0 L D Q u d C 7 L n t J R F A s M H 0 m c X V v d D s s J n F 1 b 3 Q 7 S 2 V 5 Q 2 9 s d W 1 u Q 2 9 1 b n Q m c X V v d D s 6 M X 1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p Y W c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h Z y 8 l R D A l O U Y l R D E l O D M l R D E l O D I l R D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F n L y V E M C U 5 R S V E M C V C M S V E M S U 4 Q S V E M C V C N S V E M C V C Q S V E M S U 4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Y W c v J U Q w J U E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h Z y 8 l R D A l Q T Q l R D A l Q j A l R D A l Q j k l R D A l Q k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F n L 0 F O J U Q x J T g 0 J U Q w J U I 4 J U Q w J U J C J U Q x J T h D J U Q x J T g y J U Q x J T g w J U Q w J U I w J U Q x J T g 2 J U Q w J U I 4 J U Q x J T h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h Z y 8 l R D A l O T Q l R D E l O D A l R D E l O D M l R D A l Q j M l R D A l Q j g l R D A l Q j U l M j A l R D E l O D M l R D A l Q j Q l R D A l Q j A l R D A l Q k I l R D A l Q j U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F n L y V E M C U 5 N y V E M C V C M C V E M C V C Q y V E M C V C N S V E M C V C R C V E M C V C N S V E M C V C R C V E M C V C R C V E M C V C R S V E M C V C N S U y M C V E M C V C N y V E M C V C R C V E M C V C M C V E M S U 4 N y V E M C V C N S V E M C V C R C V E M C V C O C V E M C V C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Y W c v J U Q w J T k y J U Q x J T g x J U Q x J T g y J U Q w J U I w J U Q w J U I y J U Q w J U J C J U Q w J U I 1 J U Q w J U J E J U Q w J U J F J T N B J T I w J U Q w J U I 0 J U Q w J U I 1 J U Q x J T g x J U Q x J T h G J U Q x J T g y J U Q w J U I 4 J U Q x J T g 3 J U Q w J U J E J U Q x J T h C J U Q w J U I 5 J T I w J U Q w J U J C J U Q w J U J F J U Q w J U I z J U Q w J U I w J U Q x J T g w J U Q w J U I 4 J U Q x J T g 0 J U Q w J U J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h Z y 8 l R D A l O U U l R D A l Q j E l R D E l O E E l R D A l Q j U l R D A l Q j Q l R D A l Q j g l R D A l Q k Q l R D A l Q j U l R D A l Q k Q l R D A l Q k Q l R D E l O E I l R D A l Q j U l M j A l R D A l Q j c l R D A l Q j A l R D A l Q k Y l R D E l O D A l R D A l Q k U l R D E l O D E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F n L y V E M C V B M C V E M C V C M C V E M C V C N y V E M C V C M i V E M C V C N S V E M S U 4 M C V E M C V C R C V E M S U 4 M y V E M S U 4 M i V E M S U 4 Q i V E M C V C O S U y M C V E M S U 4 R C V E M C V C Q i V E M C V C N S V E M C V C Q y V E M C V C N S V E M C V C R C V E M S U 4 M i U y M C V E M C U 5 R i V E M C V C M C V E M S U 4 N i V E M C V C O C V E M C V C N S V E M C V C R C V E M S U 4 M i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Y W c v J U Q w J U E z J U Q w J U I 0 J U Q w J U I w J U Q w J U J C J U Q w J U I 1 J U Q w J U J E J U Q w J U J E J U Q x J T h C J U Q w J U I 1 J T I w J U Q x J T g x J U Q x J T g y J U Q w J U J F J U Q w J U J C J U Q w J U I x J U Q x J T g 2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h Z y 8 l R D A l Q T E l R D A l Q j I l R D A l Q j U l R D A l Q j Q l R D A l Q j U l R D A l Q k Q l R D A l Q k Q l R D E l O E I l R D A l Q j k l M j A l R D E l O D E l R D E l O D I l R D A l Q k U l R D A l Q k I l R D A l Q j E l R D A l Q j U l R D E l O D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F n L y V E M C V B M y V E M C V C Q y V E M C V C R C V E M C V C R S V E M C V C N i V E M C V C N S V E M C V C R C V E M C V C R C V E M S U 4 Q i V E M C V C O S U y M C V E M S U 4 M S V E M S U 4 M i V E M C V C R S V E M C V C Q i V E M C V C M S V E M C V C N S V E M S U 4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Y W c v J U Q w J U E x J U Q w J U J F J U Q x J T g w J U Q x J T g y J U Q w J U I 4 J U Q x J T g w J U Q w J U J F J U Q w J U I y J U Q w J U I w J U Q w J U J E J U Q w J U J E J U Q x J T h C J U Q w J U I 1 J T I w J U Q x J T g x J U Q x J T g y J U Q x J T g w J U Q w J U J F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G J U Q x J T g w J U Q w J U J F J U Q w J U I x J U Q x J T h C J U Q w J T k y J U Q w J T l E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Q n d C w 0 L L Q u N C z 0 L D R h t C 4 0 Y 8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N v b H V t b l R 5 c G V z I i B W Y W x 1 Z T 0 i c 0 F B Q U F B Q U E 9 I i A v P j x F b n R y e S B U e X B l P S J G a W x s T G F z d F V w Z G F 0 Z W Q i I F Z h b H V l P S J k M j A y M y 0 w N y 0 y O V Q x N D o x N D o 1 N C 4 4 M j U 2 M j M 4 W i I g L z 4 8 R W 5 0 c n k g V H l w Z T 0 i U m V j b 3 Z l c n l U Y X J n Z X R T a G V l d C I g V m F s d W U 9 I n P Q n 9 G A 0 L 7 Q s d G L X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X V l c n l J R C I g V m F s d W U 9 I n N h M W U y N T Z l M y 0 5 Y W Z i L T R k O G Y t Y j c 4 M i 0 5 Z j l j Z W Q 3 Z j M 2 Z D Q i I C 8 + P E V u d H J 5 I F R 5 c G U 9 I k Z p b G x D b 2 x 1 b W 5 O Y W 1 l c y I g V m F s d W U 9 I n N b J n F 1 b 3 Q 7 S U R Q J n F 1 b 3 Q 7 L C Z x d W 9 0 O 9 C S 0 J 0 g 0 L / Q u 9 C w 0 L f Q v N C w I N C 7 0 L 7 Q s y Z x d W 9 0 O y w m c X V v d D v Q k t C d I N C 7 0 L j Q u t C y 0 L 7 R g C D Q u 9 C + 0 L M m c X V v d D s s J n F 1 b 3 Q 7 0 J L Q n S D Q v 9 C 7 0 L D Q t 9 C 8 0 L A m c X V v d D s s J n F 1 b 3 Q 7 0 J L Q n S D Q u 9 C 4 0 L r Q s t C + 0 Y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e y Z x d W 9 0 O 2 t l e U N v b H V t b k N v d W 5 0 J n F 1 b 3 Q 7 O j E s J n F 1 b 3 Q 7 a 2 V 5 Q 2 9 s d W 1 u J n F 1 b 3 Q 7 O j A s J n F 1 b 3 Q 7 b 3 R o Z X J L Z X l D b 2 x 1 b W 5 J Z G V u d G l 0 e S Z x d W 9 0 O z o m c X V v d D t T Z W N 0 a W 9 u M S / Q n 9 G A 0 L 7 Q s d G L L 9 C h 0 L L Q t d C 0 0 L X Q v d C 9 0 Y v Q u S D R g d G C 0 L 7 Q u 9 C x 0 L X R h j E u e 0 l E U C w w f S Z x d W 9 0 O y w m c X V v d D t L Z X l D b 2 x 1 b W 5 D b 3 V u d C Z x d W 9 0 O z o x f V 0 s J n F 1 b 3 Q 7 Y 2 9 s d W 1 u S W R l b n R p d G l l c y Z x d W 9 0 O z p b J n F 1 b 3 Q 7 U 2 V j d G l v b j E v 0 J / R g N C + 0 L H R i y / Q o d C y 0 L X Q t N C 1 0 L 3 Q v d G L 0 L k g 0 Y H R g t C + 0 L v Q s d C 1 0 Y Y u e 0 l E U C w w f S Z x d W 9 0 O y w m c X V v d D t T Z W N 0 a W 9 u M S / Q n 9 G A 0 L 7 Q s d G L L 9 C h 0 L L Q t d C 0 0 L X Q v d C 9 0 Y v Q u S D R g d G C 0 L 7 Q u 9 C x 0 L X R h i 5 7 0 L / Q u 9 C w 0 L f Q v N C w L D F 9 J n F 1 b 3 Q 7 L C Z x d W 9 0 O 1 N l Y 3 R p b 2 4 x L 9 C f 0 Y D Q v t C x 0 Y s v 0 K H Q s t C 1 0 L T Q t d C 9 0 L 3 R i 9 C 5 I N G B 0 Y L Q v t C 7 0 L H Q t d G G L n v Q u 9 C 4 0 L r Q s t C + 0 Y A s M n 0 m c X V v d D s s J n F 1 b 3 Q 7 U 2 V j d G l v b j E v 0 J / R g N C + 0 L H R i y / Q o d C y 0 L X Q t N C 1 0 L 3 Q v d G L 0 L k g 0 Y H R g t C + 0 L v Q s d C 1 0 Y Y x L n v Q v 9 C 7 0 L D Q t 9 C 8 0 L A s M X 0 m c X V v d D s s J n F 1 b 3 Q 7 U 2 V j d G l v b j E v 0 J / R g N C + 0 L H R i y / Q o d C y 0 L X Q t N C 1 0 L 3 Q v d G L 0 L k g 0 Y H R g t C + 0 L v Q s d C 1 0 Y Y x L n v Q u 9 C 4 0 L r Q s t C + 0 Y A s M n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0 J / R g N C + 0 L H R i y / Q o d C y 0 L X Q t N C 1 0 L 3 Q v d G L 0 L k g 0 Y H R g t C + 0 L v Q s d C 1 0 Y Y u e 0 l E U C w w f S Z x d W 9 0 O y w m c X V v d D t T Z W N 0 a W 9 u M S / Q n 9 G A 0 L 7 Q s d G L L 9 C h 0 L L Q t d C 0 0 L X Q v d C 9 0 Y v Q u S D R g d G C 0 L 7 Q u 9 C x 0 L X R h i 5 7 0 L / Q u 9 C w 0 L f Q v N C w L D F 9 J n F 1 b 3 Q 7 L C Z x d W 9 0 O 1 N l Y 3 R p b 2 4 x L 9 C f 0 Y D Q v t C x 0 Y s v 0 K H Q s t C 1 0 L T Q t d C 9 0 L 3 R i 9 C 5 I N G B 0 Y L Q v t C 7 0 L H Q t d G G L n v Q u 9 C 4 0 L r Q s t C + 0 Y A s M n 0 m c X V v d D s s J n F 1 b 3 Q 7 U 2 V j d G l v b j E v 0 J / R g N C + 0 L H R i y / Q o d C y 0 L X Q t N C 1 0 L 3 Q v d G L 0 L k g 0 Y H R g t C + 0 L v Q s d C 1 0 Y Y x L n v Q v 9 C 7 0 L D Q t 9 C 8 0 L A s M X 0 m c X V v d D s s J n F 1 b 3 Q 7 U 2 V j d G l v b j E v 0 J / R g N C + 0 L H R i y / Q o d C y 0 L X Q t N C 1 0 L 3 Q v d G L 0 L k g 0 Y H R g t C + 0 L v Q s d C 1 0 Y Y x L n v Q u 9 C 4 0 L r Q s t C + 0 Y A s M n 0 m c X V v d D t d L C Z x d W 9 0 O 1 J l b G F 0 a W 9 u c 2 h p c E l u Z m 8 m c X V v d D s 6 W 3 s m c X V v d D t r Z X l D b 2 x 1 b W 5 D b 3 V u d C Z x d W 9 0 O z o x L C Z x d W 9 0 O 2 t l e U N v b H V t b i Z x d W 9 0 O z o w L C Z x d W 9 0 O 2 9 0 a G V y S 2 V 5 Q 2 9 s d W 1 u S W R l b n R p d H k m c X V v d D s 6 J n F 1 b 3 Q 7 U 2 V j d G l v b j E v 0 J / R g N C + 0 L H R i y / Q o d C y 0 L X Q t N C 1 0 L 3 Q v d G L 0 L k g 0 Y H R g t C + 0 L v Q s d C 1 0 Y Y x L n t J R F A s M H 0 m c X V v d D s s J n F 1 b 3 Q 7 S 2 V 5 Q 2 9 s d W 1 u Q 2 9 1 b n Q m c X V v d D s 6 M X 1 d f S I g L z 4 8 R W 5 0 c n k g V H l w Z T 0 i R m l s b E V y c m 9 y Q 2 9 k Z S I g V m F s d W U 9 I n N V b m t u b 3 d u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J U Q w J T l G J U Q x J T g w J U Q w J U J F J U Q w J U I x J U Q x J T h C J U Q w J T k y J U Q w J T l E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R i V E M S U 4 M C V E M C V C R S V E M C V C M S V E M S U 4 Q i V E M C U 5 M i V E M C U 5 R C 8 l R D A l O U Y l R D E l O D M l R D E l O D I l R D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Y l R D E l O D A l R D A l Q k U l R D A l Q j E l R D E l O E I l R D A l O T I l R D A l O U Q v J U Q w J T l F J U Q w J U I x J U Q x J T h B J U Q w J U I 1 J U Q w J U J B J U Q x J T g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G J U Q x J T g w J U Q w J U J F J U Q w J U I x J U Q x J T h C J U Q w J T k y J U Q w J T l E L y V E M C V B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R i V E M S U 4 M C V E M C V C R S V E M C V C M S V E M S U 4 Q i V E M C U 5 M i V E M C U 5 R C 8 l R D A l Q T Q l R D A l Q j A l R D A l Q j k l R D A l Q k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Y l R D E l O D A l R D A l Q k U l R D A l Q j E l R D E l O E I l R D A l O T I l R D A l O U Q v Q U 4 l R D E l O D Q l R D A l Q j g l R D A l Q k I l R D E l O E M l R D E l O D I l R D E l O D A l R D A l Q j A l R D E l O D Y l R D A l Q j g l R D E l O E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Y l R D E l O D A l R D A l Q k U l R D A l Q j E l R D E l O E I l R D A l O T I l R D A l O U Q v J U Q w J T k 3 J U Q w J U I w J U Q w J U J D J U Q w J U I 1 J U Q w J U J E J U Q w J U I 1 J U Q w J U J E J U Q w J U J E J U Q w J U J F J U Q w J U I 1 J T I w J U Q w J U I 3 J U Q w J U J E J U Q w J U I w J U Q x J T g 3 J U Q w J U I 1 J U Q w J U J E J U Q w J U I 4 J U Q w J U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G J U Q x J T g w J U Q w J U J F J U Q w J U I x J U Q x J T h C J U Q w J T k y J U Q w J T l E L y V E M C V B M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Y l R D E l O D A l R D A l Q k U l R D A l Q j E l R D E l O E I l R D A l O T I l R D A l O U Q v J U Q w J T k 0 J U Q x J T g w J U Q x J T g z J U Q w J U I z J U Q w J U I 4 J U Q w J U I 1 J T I w J U Q x J T g z J U Q w J U I 0 J U Q w J U I w J U Q w J U J C J U Q w J U I 1 J U Q w J U J E J U Q w J U J E J U Q x J T h C J U Q w J U I 1 J T I w J U Q x J T g x J U Q x J T g y J U Q w J U J F J U Q w J U J C J U Q w J U I x J U Q x J T g 2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G J U Q x J T g w J U Q w J U J F J U Q w J U I x J U Q x J T h C J U Q w J T k y J U Q w J T l E L y V E M C V B M S V E M C V C M i V E M C V C N S V E M C V C N C V E M C V C N S V E M C V C R C V E M C V C R C V E M S U 4 Q i V E M C V C O S U y M C V E M S U 4 M S V E M S U 4 M i V E M C V C R S V E M C V C Q i V E M C V C M S V E M C V C N S V E M S U 4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R i V E M S U 4 M C V E M C V C R S V E M C V C M S V E M S U 4 Q i V E M C U 5 M i V E M C U 5 R C 8 l R D A l Q T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G J U Q x J T g w J U Q w J U J F J U Q w J U I x J U Q x J T h C J U Q w J T k y J U Q w J T l E L y V E M C U 5 N C V E M S U 4 M C V E M S U 4 M y V E M C V C M y V E M C V C O C V E M C V C N S U y M C V E M S U 4 M y V E M C V C N C V E M C V C M C V E M C V C Q i V E M C V C N S V E M C V C R C V E M C V C R C V E M S U 4 Q i V E M C V C N S U y M C V E M S U 4 M S V E M S U 4 M i V E M C V C R S V E M C V C Q i V E M C V C M S V E M S U 4 N i V E M S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Y l R D E l O D A l R D A l Q k U l R D A l Q j E l R D E l O E I l R D A l O T I l R D A l O U Q v J U Q w J U E x J U Q w J U I y J U Q w J U I 1 J U Q w J U I 0 J U Q w J U I 1 J U Q w J U J E J U Q w J U J E J U Q x J T h C J U Q w J U I 5 J T I w J U Q x J T g x J U Q x J T g y J U Q w J U J F J U Q w J U J C J U Q w J U I x J U Q w J U I 1 J U Q x J T g 2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R i V E M S U 4 M C V E M C V C R S V E M C V C M S V E M S U 4 Q i V E M C U 5 M i V E M C U 5 R C 8 l R D A l Q T I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G J U Q x J T g w J U Q w J U J F J U Q w J U I x J U Q x J T h C J U Q w J T k y J U Q w J T l E L y V E M C U 5 R S V E M C V C M S V E M S U 4 Q S V E M C V C N S V E M C V C N C V E M C V C O C V E M C V C R C V E M C V C N S V E M C V C R C V E M C V C R C V E M S U 4 Q i V E M C V C N S U y M C V E M C V C N y V E M C V C M C V E M C V C R i V E M S U 4 M C V E M C V C R S V E M S U 4 M S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R i V E M S U 4 M C V E M C V C R S V E M C V C M S V E M S U 4 Q i V E M C U 5 M i V E M C U 5 R C 8 l R D A l Q T A l R D A l Q j A l R D A l Q j c l R D A l Q j I l R D A l Q j U l R D E l O D A l R D A l Q k Q l R D E l O D M l R D E l O D I l R D E l O E I l R D A l Q j k l M j A l R D E l O E Q l R D A l Q k I l R D A l Q j U l R D A l Q k M l R D A l Q j U l R D A l Q k Q l R D E l O D I l M j A l R D A l Q T I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G J U Q x J T g w J U Q w J U J F J U Q w J U I x J U Q x J T h C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Q n d C w 0 L L Q u N C z 0 L D R h t C 4 0 Y 8 i I C 8 + P E V u d H J 5 I F R 5 c G U 9 I k Z p b G x l Z E N v b X B s Z X R l U m V z d W x 0 V G 9 X b 3 J r c 2 h l Z X Q i I F Z h b H V l P S J s M S I g L z 4 8 R W 5 0 c n k g V H l w Z T 0 i U m V j b 3 Z l c n l U Y X J n Z X R S b 3 c i I F Z h b H V l P S J s M S I g L z 4 8 R W 5 0 c n k g V H l w Z T 0 i U m V j b 3 Z l c n l U Y X J n Z X R D b 2 x 1 b W 4 i I F Z h b H V l P S J s M S I g L z 4 8 R W 5 0 c n k g V H l w Z T 0 i U m V j b 3 Z l c n l U Y X J n Z X R T a G V l d C I g V m F s d W U 9 I n P Q n 9 G A 0 L 7 Q s d G L X y I g L z 4 8 R W 5 0 c n k g V H l w Z T 0 i R m l s b F R h c m d l d C I g V m F s d W U 9 I n P Q n 9 G A 0 L 7 Q s d G L I i A v P j x F b n R y e S B U e X B l P S J G a W x s R X J y b 3 J D b 3 V u d C I g V m F s d W U 9 I m w w I i A v P j x F b n R y e S B U e X B l P S J G a W x s T G F z d F V w Z G F 0 Z W Q i I F Z h b H V l P S J k M j A y M y 0 w O C 0 w N F Q w O T o x N D o 1 O S 4 w M D U 0 N j k z W i I g L z 4 8 R W 5 0 c n k g V H l w Z T 0 i R m l s b E N v b H V t b l R 5 c G V z I i B W Y W x 1 Z T 0 i c 0 F B Q U F B Q U F B Q U F N P S I g L z 4 8 R W 5 0 c n k g V H l w Z T 0 i R m l s b E N v b H V t b k 5 h b W V z I i B W Y W x 1 Z T 0 i c 1 s m c X V v d D t J R F A m c X V v d D s s J n F 1 b 3 Q 7 0 J H Q n C Z x d W 9 0 O y w m c X V v d D v Q k t C d J n F 1 b 3 Q 7 L C Z x d W 9 0 O 0 l E R C Z x d W 9 0 O y w m c X V v d D v Q k t C d I N C 7 0 L 7 Q s y Z x d W 9 0 O y w m c X V v d D t T d W J 0 e X B l J n F 1 b 3 Q 7 L C Z x d W 9 0 O 9 C d 0 L 7 Q v N C 1 0 Y A g 0 L r Q u 9 C w 0 L T R i y Z x d W 9 0 O y w m c X V v d D t J R E Q x J n F 1 b 3 Q 7 X S I g L z 4 8 R W 5 0 c n k g V H l w Z T 0 i R m l s b E V y c m 9 y Q 2 9 k Z S I g V m F s d W U 9 I n N V b m t u b 3 d u I i A v P j x F b n R y e S B U e X B l P S J M b 2 F k Z W R U b 0 F u Y W x 5 c 2 l z U 2 V y d m l j Z X M i I F Z h b H V l P S J s M C I g L z 4 8 R W 5 0 c n k g V H l w Z T 0 i U X V l c n l J R C I g V m F s d W U 9 I n N j Y T Q 3 N j U 3 N i 0 w N D c z L T Q 2 N j Y t Y m E 1 M S 0 4 Y T l j N G J l Z D B k Z j k i I C 8 + P E V u d H J 5 I F R 5 c G U 9 I k Z p b G x T d G F 0 d X M i I F Z h b H V l P S J z Q 2 9 t c G x l d G U i I C 8 + P E V u d H J 5 I F R 5 c G U 9 I k Z p b G x D b 3 V u d C I g V m F s d W U 9 I m w 3 N i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3 s m c X V v d D t r Z X l D b 2 x 1 b W 5 D b 3 V u d C Z x d W 9 0 O z o x L C Z x d W 9 0 O 2 t l e U N v b H V t b i Z x d W 9 0 O z o w L C Z x d W 9 0 O 2 9 0 a G V y S 2 V 5 Q 2 9 s d W 1 u S W R l b n R p d H k m c X V v d D s 6 J n F 1 b 3 Q 7 U 2 V j d G l v b j E v S U R Q X 0 F O L 9 C k 0 L D Q u d C 7 L n t J R F A s N X 0 m c X V v d D s s J n F 1 b 3 Q 7 S 2 V 5 Q 2 9 s d W 1 u Q 2 9 1 b n Q m c X V v d D s 6 M X 0 s e y Z x d W 9 0 O 2 t l e U N v b H V t b k N v d W 5 0 J n F 1 b 3 Q 7 O j E s J n F 1 b 3 Q 7 a 2 V 5 Q 2 9 s d W 1 u J n F 1 b 3 Q 7 O j M s J n F 1 b 3 Q 7 b 3 R o Z X J L Z X l D b 2 x 1 b W 5 J Z G V u d G l 0 e S Z x d W 9 0 O z o m c X V v d D t T Z W N 0 a W 9 u M S / Q o d G D 0 L H R g t C 4 0 L / R i y / Q m N C 3 0 L z Q t d C 9 0 L X Q v d C 9 0 Y v Q u S D R g t C 4 0 L 8 u e 0 l E R C w y f S Z x d W 9 0 O y w m c X V v d D t L Z X l D b 2 x 1 b W 5 D b 3 V u d C Z x d W 9 0 O z o x f S x 7 J n F 1 b 3 Q 7 a 2 V 5 Q 2 9 s d W 1 u Q 2 9 1 b n Q m c X V v d D s 6 M S w m c X V v d D t r Z X l D b 2 x 1 b W 4 m c X V v d D s 6 M y w m c X V v d D t v d G h l c k t l e U N v b H V t b k l k Z W 5 0 a X R 5 J n F 1 b 3 Q 7 O i Z x d W 9 0 O 1 N l Y 3 R p b 2 4 x L 9 C a 0 L v Q s N G B 0 Y L Q t d G A 0 Y s v 0 J j Q t 9 C 8 0 L X Q v d C 1 0 L 3 Q v d G L 0 L k g 0 Y L Q u N C / L n t J R E Q s N 3 0 m c X V v d D s s J n F 1 b 3 Q 7 S 2 V 5 Q 2 9 s d W 1 u Q 2 9 1 b n Q m c X V v d D s 6 M X 1 d L C Z x d W 9 0 O 2 N v b H V t b k l k Z W 5 0 a X R p Z X M m c X V v d D s 6 W y Z x d W 9 0 O 1 N l Y 3 R p b 2 4 x L 9 C f 0 Y D Q v t C x 0 Y s v 0 K T Q s N C 5 0 L s u e 0 l E U C w w f S Z x d W 9 0 O y w m c X V v d D t T Z W N 0 a W 9 u M S / Q n 9 G A 0 L 7 Q s d G L L 9 C k 0 L D Q u d C 7 L n v Q k d C c L D F 9 J n F 1 b 3 Q 7 L C Z x d W 9 0 O 1 N l Y 3 R p b 2 4 x L 9 C f 0 Y D Q v t C x 0 Y s v 0 J f Q s N C 8 0 L X Q v d C 1 0 L 3 Q v d C + 0 L U g 0 L f Q v d C w 0 Y f Q t d C 9 0 L j Q t S 5 7 0 J L Q n S w y f S Z x d W 9 0 O y w m c X V v d D t T Z W N 0 a W 9 u M S / Q n 9 G A 0 L 7 Q s d G L L 9 C k 0 L D Q u d C 7 L n t J R E Q s N X 0 m c X V v d D s s J n F 1 b 3 Q 7 U 2 V j d G l v b j E v 0 J / R g N C + 0 L H R i y / Q k t G B 0 Y L Q s N C y 0 L v Q t d C 9 0 L 4 6 I N C 0 0 L X R g d G P 0 Y L Q u N G H 0 L 3 R i 9 C 5 I N C 7 0 L 7 Q s 9 C w 0 Y D Q u N G E 0 L w u e 9 C S 0 J 0 g 0 L v Q v t C z L D R 9 J n F 1 b 3 Q 7 L C Z x d W 9 0 O 1 N l Y 3 R p b 2 4 x L 9 C h 0 Y P Q s d G C 0 L j Q v 9 G L L 9 C k 0 L D Q u d C 7 L n t T d W J 0 e X B l L D F 9 J n F 1 b 3 Q 7 L C Z x d W 9 0 O 1 N l Y 3 R p b 2 4 x L 9 C a 0 L v Q s N G B 0 Y L Q t d G A 0 Y s v 0 K T Q s N C 5 0 L s u e 9 C d 0 L 7 Q v N C 1 0 Y A g 0 L r Q u 9 C w 0 L T R i y w z f S Z x d W 9 0 O y w m c X V v d D t T Z W N 0 a W 9 u M S / Q m t C 7 0 L D R g d G C 0 L X R g N G L L 9 C Y 0 L f Q v N C 1 0 L 3 Q t d C 9 0 L 3 R i 9 C 5 I N G C 0 L j Q v y 5 7 S U R E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9 C f 0 Y D Q v t C x 0 Y s v 0 K T Q s N C 5 0 L s u e 0 l E U C w w f S Z x d W 9 0 O y w m c X V v d D t T Z W N 0 a W 9 u M S / Q n 9 G A 0 L 7 Q s d G L L 9 C k 0 L D Q u d C 7 L n v Q k d C c L D F 9 J n F 1 b 3 Q 7 L C Z x d W 9 0 O 1 N l Y 3 R p b 2 4 x L 9 C f 0 Y D Q v t C x 0 Y s v 0 J f Q s N C 8 0 L X Q v d C 1 0 L 3 Q v d C + 0 L U g 0 L f Q v d C w 0 Y f Q t d C 9 0 L j Q t S 5 7 0 J L Q n S w y f S Z x d W 9 0 O y w m c X V v d D t T Z W N 0 a W 9 u M S / Q n 9 G A 0 L 7 Q s d G L L 9 C k 0 L D Q u d C 7 L n t J R E Q s N X 0 m c X V v d D s s J n F 1 b 3 Q 7 U 2 V j d G l v b j E v 0 J / R g N C + 0 L H R i y / Q k t G B 0 Y L Q s N C y 0 L v Q t d C 9 0 L 4 6 I N C 0 0 L X R g d G P 0 Y L Q u N G H 0 L 3 R i 9 C 5 I N C 7 0 L 7 Q s 9 C w 0 Y D Q u N G E 0 L w u e 9 C S 0 J 0 g 0 L v Q v t C z L D R 9 J n F 1 b 3 Q 7 L C Z x d W 9 0 O 1 N l Y 3 R p b 2 4 x L 9 C h 0 Y P Q s d G C 0 L j Q v 9 G L L 9 C k 0 L D Q u d C 7 L n t T d W J 0 e X B l L D F 9 J n F 1 b 3 Q 7 L C Z x d W 9 0 O 1 N l Y 3 R p b 2 4 x L 9 C a 0 L v Q s N G B 0 Y L Q t d G A 0 Y s v 0 K T Q s N C 5 0 L s u e 9 C d 0 L 7 Q v N C 1 0 Y A g 0 L r Q u 9 C w 0 L T R i y w z f S Z x d W 9 0 O y w m c X V v d D t T Z W N 0 a W 9 u M S / Q m t C 7 0 L D R g d G C 0 L X R g N G L L 9 C Y 0 L f Q v N C 1 0 L 3 Q t d C 9 0 L 3 R i 9 C 5 I N G C 0 L j Q v y 5 7 S U R E L D d 9 J n F 1 b 3 Q 7 X S w m c X V v d D t S Z W x h d G l v b n N o a X B J b m Z v J n F 1 b 3 Q 7 O l t 7 J n F 1 b 3 Q 7 a 2 V 5 Q 2 9 s d W 1 u Q 2 9 1 b n Q m c X V v d D s 6 M S w m c X V v d D t r Z X l D b 2 x 1 b W 4 m c X V v d D s 6 M C w m c X V v d D t v d G h l c k t l e U N v b H V t b k l k Z W 5 0 a X R 5 J n F 1 b 3 Q 7 O i Z x d W 9 0 O 1 N l Y 3 R p b 2 4 x L 0 l E U F 9 B T i / Q p N C w 0 L n Q u y 5 7 S U R Q L D V 9 J n F 1 b 3 Q 7 L C Z x d W 9 0 O 0 t l e U N v b H V t b k N v d W 5 0 J n F 1 b 3 Q 7 O j F 9 L H s m c X V v d D t r Z X l D b 2 x 1 b W 5 D b 3 V u d C Z x d W 9 0 O z o x L C Z x d W 9 0 O 2 t l e U N v b H V t b i Z x d W 9 0 O z o z L C Z x d W 9 0 O 2 9 0 a G V y S 2 V 5 Q 2 9 s d W 1 u S W R l b n R p d H k m c X V v d D s 6 J n F 1 b 3 Q 7 U 2 V j d G l v b j E v 0 K H R g 9 C x 0 Y L Q u N C / 0 Y s v 0 J j Q t 9 C 8 0 L X Q v d C 1 0 L 3 Q v d G L 0 L k g 0 Y L Q u N C / L n t J R E Q s M n 0 m c X V v d D s s J n F 1 b 3 Q 7 S 2 V 5 Q 2 9 s d W 1 u Q 2 9 1 b n Q m c X V v d D s 6 M X 0 s e y Z x d W 9 0 O 2 t l e U N v b H V t b k N v d W 5 0 J n F 1 b 3 Q 7 O j E s J n F 1 b 3 Q 7 a 2 V 5 Q 2 9 s d W 1 u J n F 1 b 3 Q 7 O j M s J n F 1 b 3 Q 7 b 3 R o Z X J L Z X l D b 2 x 1 b W 5 J Z G V u d G l 0 e S Z x d W 9 0 O z o m c X V v d D t T Z W N 0 a W 9 u M S / Q m t C 7 0 L D R g d G C 0 L X R g N G L L 9 C Y 0 L f Q v N C 1 0 L 3 Q t d C 9 0 L 3 R i 9 C 5 I N G C 0 L j Q v y 5 7 S U R E L D d 9 J n F 1 b 3 Q 7 L C Z x d W 9 0 O 0 t l e U N v b H V t b k N v d W 5 0 J n F 1 b 3 Q 7 O j F 9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8 l R D A l O U Y l R D E l O D A l R D A l Q k U l R D A l Q j E l R D E l O E I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G J U Q x J T g w J U Q w J U J F J U Q w J U I x J U Q x J T h C L y V E M C U 5 R i V E M S U 4 M y V E M S U 4 M i V E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R i V E M S U 4 M C V E M C V C R S V E M C V C M S V E M S U 4 Q i 8 l R D A l O U U l R D A l Q j E l R D E l O E E l R D A l Q j U l R D A l Q k E l R D E l O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Y l R D E l O D A l R D A l Q k U l R D A l Q j E l R D E l O E I v J U Q w J U E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G J U Q x J T g w J U Q w J U J F J U Q w J U I x J U Q x J T h C L y V E M C V B N C V E M C V C M C V E M C V C O S V E M C V C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R i V E M S U 4 M C V E M C V C R S V E M C V C M S V E M S U 4 Q i 9 B T i V E M S U 4 N C V E M C V C O C V E M C V C Q i V E M S U 4 Q y V E M S U 4 M i V E M S U 4 M C V E M C V C M C V E M S U 4 N i V E M C V C O C V E M S U 4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R i V E M S U 4 M C V E M C V C R S V E M C V C M S V E M S U 4 Q i 8 l R D A l O T Q l R D E l O D A l R D E l O D M l R D A l Q j M l R D A l Q j g l R D A l Q j U l M j A l R D E l O D M l R D A l Q j Q l R D A l Q j A l R D A l Q k I l R D A l Q j U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Y l R D E l O D A l R D A l Q k U l R D A l Q j E l R D E l O E I v J U Q w J T k 3 J U Q w J U I w J U Q w J U J D J U Q w J U I 1 J U Q w J U J E J U Q w J U I 1 J U Q w J U J E J U Q w J U J E J U Q w J U J F J U Q w J U I 1 J T I w J U Q w J U I 3 J U Q w J U J E J U Q w J U I w J U Q x J T g 3 J U Q w J U I 1 J U Q w J U J E J U Q w J U I 4 J U Q w J U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G J U Q x J T g w J U Q w J U J F J U Q w J U I x J U Q x J T h C L y V E M C U 5 M i V E M S U 4 M S V E M S U 4 M i V E M C V C M C V E M C V C M i V E M C V C Q i V E M C V C N S V E M C V C R C V E M C V C R S U z Q S U y M C V E M C V C N C V E M C V C N S V E M S U 4 M S V E M S U 4 R i V E M S U 4 M i V E M C V C O C V E M S U 4 N y V E M C V C R C V E M S U 4 Q i V E M C V C O S U y M C V E M C V C Q i V E M C V C R S V E M C V C M y V E M C V C M C V E M S U 4 M C V E M C V C O C V E M S U 4 N C V E M C V C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S V E M S U 4 M y V E M C V C M S V E M S U 4 M i V E M C V C O C V E M C V C R i V E M S U 4 Q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0 J 3 Q s N C y 0 L j Q s 9 C w 0 Y b Q u N G P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y 0 w N y 0 y O V Q x N D o y N D o y M i 4 2 M z Y w O D k 1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8 l R D A l Q T E l R D E l O D M l R D A l Q j E l R D E l O D I l R D A l Q j g l R D A l Q k Y l R D E l O E I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x J U Q x J T g z J U Q w J U I x J U Q x J T g y J U Q w J U I 4 J U Q w J U J G J U Q x J T h C L y V E M C U 5 R i V E M S U 4 M y V E M S U 4 M i V E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S V E M S U 4 M y V E M C V C M S V E M S U 4 M i V E M C V C O C V E M C V C R i V E M S U 4 Q i 8 l R D A l O U U l R D A l Q j E l R D E l O E E l R D A l Q j U l R D A l Q k E l R D E l O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E l R D E l O D M l R D A l Q j E l R D E l O D I l R D A l Q j g l R D A l Q k Y l R D E l O E I v J U Q w J U E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x J U Q x J T g z J U Q w J U I x J U Q x J T g y J U Q w J U I 4 J U Q w J U J G J U Q x J T h C L y V E M C V B N C V E M C V C M C V E M C V C O S V E M C V C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S V E M S U 4 M y V E M C V C M S V E M S U 4 M i V E M C V C O C V E M C V C R i V E M S U 4 Q i 8 l R D A l O T I l R D E l O D E l R D E l O D I l R D A l Q j A l R D A l Q j I l R D A l Q k I l R D A l Q j U l R D A l Q k Q l R D A l Q k Q l R D E l O E I l R D A l Q j k l M j A l R D E l O D I l R D A l Q j U l R D A l Q k E l R D E l O D E l R D E l O D I l M j A l R D A l Q k Y l R D A l Q k U l R D E l O D E l R D A l Q k I l R D A l Q j U l M j A l R D E l O D A l R D A l Q j A l R D A l Q j c l R D A l Q j Q l R D A l Q j U l R D A l Q k I l R D A l Q j g l R D E l O D I l R D A l Q j U l R D A l Q k I l R D E l O E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E l R D E l O D M l R D A l Q j E l R D E l O D I l R D A l Q j g l R D A l Q k Y l R D E l O E I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G J U Q x J T g w J U Q w J U J F J U Q w J U I x J U Q x J T h C L y V E M C U 5 R S V E M C V C M S V E M S U 4 Q S V E M C V C N S V E M C V C N C V E M C V C O C V E M C V C R C V E M C V C N S V E M C V C R C V E M C V C R C V E M S U 4 Q i V E M C V C N S U y M C V E M C V C N y V E M C V C M C V E M C V C R i V E M S U 4 M C V E M C V C R S V E M S U 4 M S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R i V E M S U 4 M C V E M C V C R S V E M C V C M S V E M S U 4 Q i 8 l R D A l Q T A l R D A l Q j A l R D A l Q j c l R D A l Q j I l R D A l Q j U l R D E l O D A l R D A l Q k Q l R D E l O D M l R D E l O D I l R D E l O E I l R D A l Q j k l M j A l R D E l O E Q l R D A l Q k I l R D A l Q j U l R D A l Q k M l R D A l Q j U l R D A l Q k Q l R D E l O D I l M j A l R D A l Q T E l R D E l O D M l R D A l Q j E l R D E l O D I l R D A l Q j g l R D A l Q k Y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R F B f Q U 4 y P C 9 J d G V t U G F 0 a D 4 8 L 0 l 0 Z W 1 M b 2 N h d G l v b j 4 8 U 3 R h Y m x l R W 5 0 c m l l c z 4 8 R W 5 0 c n k g V H l w Z T 0 i S X N Q c m l 2 Y X R l I i B W Y W x 1 Z T 0 i b D A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0 J 3 Q s N C y 0 L j Q s 9 C w 0 Y b Q u N G P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M Y X N 0 V X B k Y X R l Z C I g V m F s d W U 9 I m Q y M D I z L T A 3 L T M w V D A 5 O j M 5 O j A z L j I y N j k 3 M z V a I i A v P j x F b n R y e S B U e X B l P S J G a W x s R X J y b 3 J D b 2 R l I i B W Y W x 1 Z T 0 i c 1 V u a 2 5 v d 2 4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J R F B f Q U 4 y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E U F 9 B T j I v J U Q w J T l G J U Q x J T g z J U Q x J T g y J U Q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U R Q X 0 F O M i 8 l R D A l O U U l R D A l Q j E l R D E l O E E l R D A l Q j U l R D A l Q k E l R D E l O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R F B f Q U 4 y L y V E M C V B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E U F 9 B T j I v J U Q w J U E 0 J U Q w J U I w J U Q w J U I 5 J U Q w J U J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U R Q X 0 F O M i 8 l R D A l O T Q l R D E l O D A l R D E l O D M l R D A l Q j M l R D A l Q j g l R D A l Q j U l M j A l R D E l O D M l R D A l Q j Q l R D A l Q j A l R D A l Q k I l R D A l Q j U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R F B f Q U 4 y L y V E M C V B M S V E M C V C M i V E M C V C N S V E M C V C N C V E M C V C N S V E M C V C R C V E M C V C R C V E M S U 4 Q i V E M C V C O S U y M C V E M S U 4 M S V E M S U 4 M i V E M C V C R S V E M C V C Q i V E M C V C M S V E M C V C N S V E M S U 4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E U F 9 B T j I v J U Q w J T k y J U Q x J T g x J U Q x J T g y J U Q w J U I w J U Q w J U I y J U Q w J U J C J U Q w J U I 1 J U Q w J U J E J U Q w J U J F J T N B J T I w J U Q w J U J B J U Q w J U J F J U Q w J U J C J U Q w J U I 4 J U Q x J T g 3 J U Q w J U I 1 J U Q x J T g x J U Q x J T g y J U Q w J U I y J U Q w J U J F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G J U Q w J U I w J U Q x J T g 2 J U Q w J U I 4 J U Q w J U I 1 J U Q w J U J E J U Q x J T g y J U Q x J T h C L y V E M C U 5 R S V E M C V C M S V E M S U 4 Q S V E M C V C N S V E M C V C N C V E M C V C O C V E M C V C R C V E M C V C N S V E M C V C R C V E M C V C R C V E M S U 4 Q i V E M C V C N S U y M C V E M C V C N y V E M C V C M C V E M C V C R i V E M S U 4 M C V E M C V C R S V E M S U 4 M S V E M S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Y l R D A l Q j A l R D E l O D Y l R D A l Q j g l R D A l Q j U l R D A l Q k Q l R D E l O D I l R D E l O E I v J U Q w J U E w J U Q w J U I w J U Q w J U I 3 J U Q w J U I y J U Q w J U I 1 J U Q x J T g w J U Q w J U J E J U Q x J T g z J U Q x J T g y J U Q x J T h C J U Q w J U I 5 J T I w J U Q x J T h E J U Q w J U J C J U Q w J U I 1 J U Q w J U J D J U Q w J U I 1 J U Q w J U J E J U Q x J T g y J T I w S U R Q X 0 F O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Q i V E M C V C M C V E M S U 4 M S V E M S U 4 M i V E M C V C N S V E M S U 4 M C V E M S U 4 Q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0 J 3 Q s N C y 0 L j Q s 9 C w 0 Y b Q u N G P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x v Y W R l Z F R v Q W 5 h b H l z a X N T Z X J 2 a W N l c y I g V m F s d W U 9 I m w w I i A v P j x F b n R y e S B U e X B l P S J G a W x s T G F z d F V w Z G F 0 Z W Q i I F Z h b H V l P S J k M j A y M y 0 w O C 0 w N F Q w O T o x M T o z N S 4 0 M z I x M T M 3 W i I g L z 4 8 R W 5 0 c n k g V H l w Z T 0 i R m l s b E V y c m 9 y Q 2 9 k Z S I g V m F s d W U 9 I n N V b m t u b 3 d u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J U Q w J T l B J U Q w J U J C J U Q w J U I w J U Q x J T g x J U Q x J T g y J U Q w J U I 1 J U Q x J T g w J U Q x J T h C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Q i V E M C V C M C V E M S U 4 M S V E M S U 4 M i V E M C V C N S V E M S U 4 M C V E M S U 4 Q i 8 l R D A l O U Y l R D E l O D M l R D E l O D I l R D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k I l R D A l Q j A l R D E l O D E l R D E l O D I l R D A l Q j U l R D E l O D A l R D E l O E I v J U Q w J T l F J U Q w J U I x J U Q x J T h B J U Q w J U I 1 J U Q w J U J B J U Q x J T g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J C J U Q w J U I w J U Q x J T g x J U Q x J T g y J U Q w J U I 1 J U Q x J T g w J U Q x J T h C L y V E M C V B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Q i V E M C V C M C V E M S U 4 M S V E M S U 4 M i V E M C V C N S V E M S U 4 M C V E M S U 4 Q i 8 l R D A l Q T Q l R D A l Q j A l R D A l Q j k l R D A l Q k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k I l R D A l Q j A l R D E l O D E l R D E l O D I l R D A l Q j U l R D E l O D A l R D E l O E I v J U Q w J U E x J U Q x J T g y J U Q x J T g w J U Q w J U J F J U Q w J U J B J U Q w J U I 4 J T I w J U Q x J T g x J T I w J U Q w J U J G J U Q x J T g w J U Q w J U I 4 J U Q w J U J D J U Q w J U I 1 J U Q w J U J E J U Q w J U I 1 J U Q w J U J E J U Q w J U J E J U Q x J T h C J U Q w J U J D J T I w J U Q x J T g 0 J U Q w J U I 4 J U Q w J U J C J U Q x J T h D J U Q x J T g y J U Q x J T g w J U Q w J U J F J U Q w J U J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J C J U Q w J U I w J U Q x J T g x J U Q x J T g y J U Q w J U I 1 J U Q x J T g w J U Q x J T h C L y V E M C U 5 M i V E M S U 4 M S V E M S U 4 M i V E M C V C M C V E M C V C M i V E M C V C Q i V E M C V C N S V E M C V C R C V E M C V C R C V E M S U 4 Q i V E M C V C O S U y M C V E M S U 4 M i V E M C V C N S V E M C V C Q S V E M S U 4 M S V E M S U 4 M i U y M C V E M C V C R i V E M C V C R S V E M S U 4 M S V E M C V C Q i V E M C V C N S U y M C V E M S U 4 M C V E M C V C M C V E M C V C N y V E M C V C N C V E M C V C N S V E M C V C Q i V E M C V C O C V E M S U 4 M i V E M C V C N S V E M C V C Q i V E M S U 4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Q i V E M C V C M C V E M S U 4 M S V E M S U 4 M i V E M C V C N S V E M S U 4 M C V E M S U 4 Q i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Y l R D E l O D A l R D A l Q k U l R D A l Q j E l R D E l O E I v J U Q w J T l F J U Q w J U I x J U Q x J T h B J U Q w J U I 1 J U Q w J U I 0 J U Q w J U I 4 J U Q w J U J E J U Q w J U I 1 J U Q w J U J E J U Q w J U J E J U Q x J T h C J U Q w J U I 1 J T I w J U Q w J U I 3 J U Q w J U I w J U Q w J U J G J U Q x J T g w J U Q w J U J F J U Q x J T g x J U Q x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R i V E M S U 4 M C V E M C V C R S V E M C V C M S V E M S U 4 Q i 8 l R D A l Q T A l R D A l Q j A l R D A l Q j c l R D A l Q j I l R D A l Q j U l R D E l O D A l R D A l Q k Q l R D E l O D M l R D E l O D I l R D E l O E I l R D A l Q j k l M j A l R D E l O E Q l R D A l Q k I l R D A l Q j U l R D A l Q k M l R D A l Q j U l R D A l Q k Q l R D E l O D I l M j A l R D A l O U E l R D A l Q k I l R D A l Q j A l R D E l O D E l R D E l O D I l R D A l Q j U l R D E l O D A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k I l R D A l Q j A l R D E l O D E l R D E l O D I l R D A l Q j U l R D E l O D A l R D E l O E I y X z k 1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Q n d C w 0 L L Q u N C z 0 L D R h t C 4 0 Y 8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0 J r Q u 9 C w 0 Y H R g t C 1 0 Y D R i z J f O T U v 0 K H Q s t C 1 0 L T Q t d C 9 0 L 3 R i 9 C 5 I N G B 0 Y L Q v t C 7 0 L H Q t d G G L n t J R F A s M H 0 m c X V v d D s s J n F 1 b 3 Q 7 U 2 V j d G l v b j E v 0 J r Q u 9 C w 0 Y H R g t C 1 0 Y D R i z J f O T U v 0 K H Q s t C 1 0 L T Q t d C 9 0 L 3 R i 9 C 5 I N G B 0 Y L Q v t C 7 0 L H Q t d G G L n v Q v 9 C 7 0 L D Q t 9 C 8 0 L A s M X 0 m c X V v d D s s J n F 1 b 3 Q 7 U 2 V j d G l v b j E v 0 J r Q u 9 C w 0 Y H R g t C 1 0 Y D R i z J f O T U v 0 K H Q s t C 1 0 L T Q t d C 9 0 L 3 R i 9 C 5 I N G B 0 Y L Q v t C 7 0 L H Q t d G G L n v Q u 9 C 4 0 L r Q s t C + 0 Y A s M n 0 m c X V v d D s s J n F 1 b 3 Q 7 U 2 V j d G l v b j E v 0 J r Q u 9 C w 0 Y H R g t C 1 0 Y D R i z J f O T U v 0 J T Q v t C x 0 L D Q s t C 7 0 L X Q v S D Q v 9 C + 0 L v R j N C 3 0 L 7 Q s t C w 0 Y L Q t d C 7 0 Y z R g d C 6 0 L j Q u S D Q v t C x 0 Y r Q t d C 6 0 Y I u e 9 C g 0 L D Q t 9 C 9 0 Y v Q t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/ Q m t C 7 0 L D R g d G C 0 L X R g N G L M l 8 5 N S / Q o d C y 0 L X Q t N C 1 0 L 3 Q v d G L 0 L k g 0 Y H R g t C + 0 L v Q s d C 1 0 Y Y u e 0 l E U C w w f S Z x d W 9 0 O y w m c X V v d D t T Z W N 0 a W 9 u M S / Q m t C 7 0 L D R g d G C 0 L X R g N G L M l 8 5 N S / Q o d C y 0 L X Q t N C 1 0 L 3 Q v d G L 0 L k g 0 Y H R g t C + 0 L v Q s d C 1 0 Y Y u e 9 C / 0 L v Q s N C 3 0 L z Q s C w x f S Z x d W 9 0 O y w m c X V v d D t T Z W N 0 a W 9 u M S / Q m t C 7 0 L D R g d G C 0 L X R g N G L M l 8 5 N S / Q o d C y 0 L X Q t N C 1 0 L 3 Q v d G L 0 L k g 0 Y H R g t C + 0 L v Q s d C 1 0 Y Y u e 9 C 7 0 L j Q u t C y 0 L 7 R g C w y f S Z x d W 9 0 O y w m c X V v d D t T Z W N 0 a W 9 u M S / Q m t C 7 0 L D R g d G C 0 L X R g N G L M l 8 5 N S / Q l N C + 0 L H Q s N C y 0 L v Q t d C 9 I N C / 0 L 7 Q u 9 G M 0 L f Q v t C y 0 L D R g t C 1 0 L v R j N G B 0 L r Q u N C 5 I N C + 0 L H R i t C 1 0 L r R g i 5 7 0 K D Q s N C 3 0 L 3 R i 9 C 1 L D N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J R F A m c X V v d D s s J n F 1 b 3 Q 7 0 L / Q u 9 C w 0 L f Q v N C w J n F 1 b 3 Q 7 L C Z x d W 9 0 O 9 C 7 0 L j Q u t C y 0 L 7 R g C Z x d W 9 0 O y w m c X V v d D v Q o N C w 0 L f Q v d G L 0 L U m c X V v d D t d I i A v P j x F b n R y e S B U e X B l P S J G a W x s Q 2 9 s d W 1 u V H l w Z X M i I F Z h b H V l P S J z Q U F B Q U F B P T 0 i I C 8 + P E V u d H J 5 I F R 5 c G U 9 I k Z p b G x M Y X N 0 V X B k Y X R l Z C I g V m F s d W U 9 I m Q y M D I z L T A 4 L T A 0 V D A 5 O j I x O j U 1 L j k 1 M z I y O D Z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z O C I g L z 4 8 R W 5 0 c n k g V H l w Z T 0 i Q W R k Z W R U b 0 R h d G F N b 2 R l b C I g V m F s d W U 9 I m w w I i A v P j x F b n R y e S B U e X B l P S J S Z W N v d m V y e V R h c m d l d F N o Z W V 0 I i B W Y W x 1 Z T 0 i c 9 C a 0 L v Q s N G B 0 Y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U Y X J n Z X Q i I F Z h b H V l P S J z 0 J r Q u 9 C w 0 Y H R g t C 1 0 Y D R i z J f O T U i I C 8 + P E V u d H J 5 I F R 5 c G U 9 I l F 1 Z X J 5 S U Q i I F Z h b H V l P S J z M G F i M D I x N 2 U t Y j d j Z S 0 0 N G N i L T h m N j c t O D l l Z j Q 2 Z m Q 2 N z J h I i A v P j w v U 3 R h Y m x l R W 5 0 c m l l c z 4 8 L 0 l 0 Z W 0 + P E l 0 Z W 0 + P E l 0 Z W 1 M b 2 N h d G l v b j 4 8 S X R l b V R 5 c G U + R m 9 y b X V s Y T w v S X R l b V R 5 c G U + P E l 0 Z W 1 Q Y X R o P l N l Y 3 R p b 2 4 x L y V E M C U 5 Q S V E M C V C Q i V E M C V C M C V E M S U 4 M S V E M S U 4 M i V E M C V C N S V E M S U 4 M C V E M S U 4 Q j J f O T U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J C J U Q w J U I w J U Q x J T g x J U Q x J T g y J U Q w J U I 1 J U Q x J T g w J U Q x J T h C M l 8 5 N S 8 l R D A l O T Q l R D E l O D A l R D E l O D M l R D A l Q j M l R D A l Q j g l R D A l Q j U l M j A l R D E l O D M l R D A l Q j Q l R D A l Q j A l R D A l Q k I l R D A l Q j U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k I l R D A l Q j A l R D E l O D E l R D E l O D I l R D A l Q j U l R D E l O D A l R D E l O E I y X z k 1 L y V E M C V B M S V E M C V C M i V E M C V C N S V E M C V C N C V E M C V C N S V E M C V C R C V E M C V C R C V E M S U 4 Q i V E M C V C O S U y M C V E M S U 4 M S V E M S U 4 M i V E M C V C R S V E M C V C Q i V E M C V C M S V E M C V C N S V E M S U 4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Q i V E M C V C M C V E M S U 4 M S V E M S U 4 M i V E M C V C N S V E M S U 4 M C V E M S U 4 Q j J f O T U v J U Q w J T k 0 J U Q w J U J F J U Q w J U I x J U Q w J U I w J U Q w J U I y J U Q w J U J C J U Q w J U I 1 J U Q w J U J E J T I w J U Q w J U J G J U Q w J U J F J U Q w J U J C J U Q x J T h D J U Q w J U I 3 J U Q w J U J F J U Q w J U I y J U Q w J U I w J U Q x J T g y J U Q w J U I 1 J U Q w J U J C J U Q x J T h D J U Q x J T g x J U Q w J U J B J U Q w J U I 4 J U Q w J U I 5 J T I w J U Q w J U J F J U Q w J U I x J U Q x J T h B J U Q w J U I 1 J U Q w J U J B J U Q x J T g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G J U Q w J U I w J U Q x J T g 2 J U Q w J U I 4 J U Q w J U I 1 J U Q w J U J E J U Q x J T g y J U Q x J T h C L y V E M C U 5 R S V E M C V C M S V E M S U 4 Q S V E M C V C N S V E M C V C N C V E M C V C O C V E M C V C R C V E M C V C N S V E M C V C R C V E M C V C R C V E M S U 4 Q i V E M C V C N S U y M C V E M C V C N y V E M C V C M C V E M C V C R i V E M S U 4 M C V E M C V C R S V E M S U 4 M S V E M S U 4 Q j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Y l R D A l Q j A l R D E l O D Y l R D A l Q j g l R D A l Q j U l R D A l Q k Q l R D E l O D I l R D E l O E I v J U Q w J U E w J U Q w J U I w J U Q w J U I 3 J U Q w J U I y J U Q w J U I 1 J U Q x J T g w J U Q w J U J E J U Q x J T g z J U Q x J T g y J U Q x J T h C J U Q w J U I 5 J T I w J U Q x J T h E J U Q w J U J C J U Q w J U I 1 J U Q w J U J D J U Q w J U I 1 J U Q w J U J E J U Q x J T g y J T I w J U Q w J T l B J U Q w J U J C J U Q w J U I w J U Q x J T g x J U Q x J T g y J U Q w J U I 1 J U Q x J T g w J U Q x J T h C M l 8 5 N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e T 9 c + i u Y C Q r f T t g M h b C 8 Y A A A A A A I A A A A A A B B m A A A A A Q A A I A A A A A k R S 1 n u / o P w P d R c K L R g M 0 2 5 J Y 6 U j C h A H r h / z 2 0 b C 5 u 3 A A A A A A 6 A A A A A A g A A I A A A A P 0 G K b d l H y 7 G P C Z r Q X 2 Z F O i 6 O 4 a D z n 6 h D X Y O K u B B Y T L a U A A A A I 2 p M E 7 D j T p W l y y D l X Z t R H B 0 e Y q v L / b C Z / J J 2 g G x s z h E O J z C + 9 v r W R J E y u V t g F b 6 R 9 P n q + f s 7 R l t L h h y M m 5 J S h M a u j A r E i 7 t 9 g e U j E k p 3 U f + Q A A A A J P i y y d 4 y c K n c 7 W e M T M 3 1 F e l 7 1 P l a n Z Q I D h O I 1 5 4 c A C d G C K l p J i H N 8 Q Z Q k d h I h b x P F X z M b i 3 o 2 l l Q V 4 F J w u + T v I = < / D a t a M a s h u p > 
</file>

<file path=customXml/itemProps1.xml><?xml version="1.0" encoding="utf-8"?>
<ds:datastoreItem xmlns:ds="http://schemas.openxmlformats.org/officeDocument/2006/customXml" ds:itemID="{919CDF77-6E11-44C3-AC5C-0666AC05DFD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12</vt:i4>
      </vt:variant>
    </vt:vector>
  </HeadingPairs>
  <TitlesOfParts>
    <vt:vector size="12" baseType="lpstr">
      <vt:lpstr>S</vt:lpstr>
      <vt:lpstr>Stat2</vt:lpstr>
      <vt:lpstr>Stat</vt:lpstr>
      <vt:lpstr>Stat_res</vt:lpstr>
      <vt:lpstr>Лист2</vt:lpstr>
      <vt:lpstr>Пробы_</vt:lpstr>
      <vt:lpstr>Diag1</vt:lpstr>
      <vt:lpstr>Diagr2_</vt:lpstr>
      <vt:lpstr>Пациенты_</vt:lpstr>
      <vt:lpstr>Статистика</vt:lpstr>
      <vt:lpstr>Хи</vt:lpstr>
      <vt:lpstr>Класт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Питерский Михаил Валерьевич</dc:creator>
  <cp:lastModifiedBy>Питерский Михаил Валерьевич</cp:lastModifiedBy>
  <dcterms:created xsi:type="dcterms:W3CDTF">2023-07-24T03:08:21Z</dcterms:created>
  <dcterms:modified xsi:type="dcterms:W3CDTF">2023-09-11T05:42:55Z</dcterms:modified>
</cp:coreProperties>
</file>