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<sst xmlns="http://schemas.openxmlformats.org/spreadsheetml/2006/main" count="160" uniqueCount="135">
  <si>
    <t>Программа реализации услуги</t>
  </si>
  <si>
    <t>По годам реализации проекта</t>
  </si>
  <si>
    <t>Показатель</t>
  </si>
  <si>
    <t>Количество клиентов в год, орг.</t>
  </si>
  <si>
    <t>Выручка от одного клиента за размещение на платформе в год, р.</t>
  </si>
  <si>
    <t>Выручка за комиссию услуг, предлагаемых участникам, р.</t>
  </si>
  <si>
    <t>Процент за предоставленную услугу</t>
  </si>
  <si>
    <t>Общая выручка, р.</t>
  </si>
  <si>
    <t>Смета материально-технического снабжения</t>
  </si>
  <si>
    <t>Вид</t>
  </si>
  <si>
    <t>Кол-во ед., шт.</t>
  </si>
  <si>
    <t>Цена единицы, р.</t>
  </si>
  <si>
    <t>Стоимость всего, р.</t>
  </si>
  <si>
    <t>Стол компьютерный Marsel</t>
  </si>
  <si>
    <t>Стол рабочий</t>
  </si>
  <si>
    <t>Стол для переговорной</t>
  </si>
  <si>
    <t>Стул для переговорной</t>
  </si>
  <si>
    <t>Компьютерный стул</t>
  </si>
  <si>
    <t>Стол-бюро</t>
  </si>
  <si>
    <t>Пуф для посетителей</t>
  </si>
  <si>
    <t>Вешалка</t>
  </si>
  <si>
    <t>Шкаф-стеллаж</t>
  </si>
  <si>
    <t>Шкаф-стеллаж с дверьми</t>
  </si>
  <si>
    <t>Шкаф</t>
  </si>
  <si>
    <t>Урна</t>
  </si>
  <si>
    <t>Магнитная доска</t>
  </si>
  <si>
    <t>Светильник</t>
  </si>
  <si>
    <t>Охранное оборудование</t>
  </si>
  <si>
    <t>Жалюзи на окна</t>
  </si>
  <si>
    <t>Прочие затраты</t>
  </si>
  <si>
    <t>Итого</t>
  </si>
  <si>
    <t>Расчет затрат на оказание услуг</t>
  </si>
  <si>
    <t>Наименование показателя</t>
  </si>
  <si>
    <t>Среднесписочная численность, чел.</t>
  </si>
  <si>
    <t>Среднемесячная зарплата 1 работника, руб.</t>
  </si>
  <si>
    <t>Годовые расходы на оплату труда, руб.</t>
  </si>
  <si>
    <t>1 Персонал занятый основной деятельностью, всего</t>
  </si>
  <si>
    <t>Генеральный директор</t>
  </si>
  <si>
    <t>Секретарь</t>
  </si>
  <si>
    <t>Бухгалтер</t>
  </si>
  <si>
    <t>Инженер-программист</t>
  </si>
  <si>
    <t>Уборщица</t>
  </si>
  <si>
    <t>2 Отчисления на социальные нужды</t>
  </si>
  <si>
    <t>3 Итого расходов на оплату труда</t>
  </si>
  <si>
    <t>Расчет амортизационных отчислений</t>
  </si>
  <si>
    <t>Виды
внеоборотных
активов</t>
  </si>
  <si>
    <t>Стоимость
единицы, р.</t>
  </si>
  <si>
    <t>Общая
стоимость, р.</t>
  </si>
  <si>
    <t>Срок
полезного
использования,
лет</t>
  </si>
  <si>
    <t>Амортизация
, р.</t>
  </si>
  <si>
    <t>Прочее</t>
  </si>
  <si>
    <t>Смета затрат на оказание услуг, р.</t>
  </si>
  <si>
    <t>Элемент затрат</t>
  </si>
  <si>
    <t>Материальные 
затраты</t>
  </si>
  <si>
    <t>Расходы на 
оплату труда</t>
  </si>
  <si>
    <t>Отчисления на
социальные нужды</t>
  </si>
  <si>
    <t>Амортизация 
основных
средств и
нематериальных активов</t>
  </si>
  <si>
    <t>Всего затрат</t>
  </si>
  <si>
    <t>Инвестиционный план</t>
  </si>
  <si>
    <t>Виды затрат</t>
  </si>
  <si>
    <t>На единицу</t>
  </si>
  <si>
    <t>Общая сумма</t>
  </si>
  <si>
    <t>Инвестиции во внеоборотные активы</t>
  </si>
  <si>
    <t>Прочие внеоборотные активы</t>
  </si>
  <si>
    <t>Инвестиции в оборотные активы</t>
  </si>
  <si>
    <t>Собственные средства</t>
  </si>
  <si>
    <t>Заемные средства</t>
  </si>
  <si>
    <t>Прогнозирование финансово-хозяйственной деятельности</t>
  </si>
  <si>
    <t>Выручка от
реализации</t>
  </si>
  <si>
    <t>НДС</t>
  </si>
  <si>
    <t>Единый налог</t>
  </si>
  <si>
    <t>Выручка без косвенных налогов</t>
  </si>
  <si>
    <t>Себестоимость</t>
  </si>
  <si>
    <t>Прибыль от
реализации</t>
  </si>
  <si>
    <t>Общая прибыль</t>
  </si>
  <si>
    <t>Налоги из прибыли</t>
  </si>
  <si>
    <t>Чистая прибыль</t>
  </si>
  <si>
    <t>Выплачено
дивидендов</t>
  </si>
  <si>
    <t>Инвестировано во
внеоборотные активы</t>
  </si>
  <si>
    <t>Нераспределенная
прибыль</t>
  </si>
  <si>
    <t>Проектно-балансовая ведомость по организации, р.</t>
  </si>
  <si>
    <t>Внеоборотные активы</t>
  </si>
  <si>
    <t>Оборотные 
активы</t>
  </si>
  <si>
    <t>ИТОГО ПО АКТИВУ</t>
  </si>
  <si>
    <t>Капитал 
и резервы (собственные средства)</t>
  </si>
  <si>
    <t>уставный фонд</t>
  </si>
  <si>
    <t>нераспределенная прибыль</t>
  </si>
  <si>
    <t>прочие источники собственных средств</t>
  </si>
  <si>
    <t>Долгосрочные обязательства</t>
  </si>
  <si>
    <t>Краткосрочные обязательства</t>
  </si>
  <si>
    <t>ИТОГО ПО ПАССИВУ</t>
  </si>
  <si>
    <t>Расчет потока денежных средств по организации, р.</t>
  </si>
  <si>
    <t>Вид рекламы</t>
  </si>
  <si>
    <t>Стоимость в месяц</t>
  </si>
  <si>
    <t>Социальные сети 
(SMM/таргет)</t>
  </si>
  <si>
    <t>ведение соц-сетей - бесплатно, но если нанимать человека - 150 б.р.</t>
  </si>
  <si>
    <t>ПРИТОК СРЕДСТВ</t>
  </si>
  <si>
    <t>Контекстная и баннерная реклама</t>
  </si>
  <si>
    <t>150 б.р.</t>
  </si>
  <si>
    <t>Выручка</t>
  </si>
  <si>
    <t>Реклама в метро</t>
  </si>
  <si>
    <t>4 989.60 б.р.</t>
  </si>
  <si>
    <t>Вложение в уставный фонд</t>
  </si>
  <si>
    <t>5 289.60 б.р.</t>
  </si>
  <si>
    <t>ОТТОК СРЕДСТВ</t>
  </si>
  <si>
    <t>Оплата материальных ресурсов</t>
  </si>
  <si>
    <t>Выплата заработной платы</t>
  </si>
  <si>
    <t>Налоги и прочие выплаты из себестоимости</t>
  </si>
  <si>
    <t>Налоги из выручки</t>
  </si>
  <si>
    <t>Выплата дивидендов</t>
  </si>
  <si>
    <t>Прирост оборотных активов</t>
  </si>
  <si>
    <t>Покупка оборудования</t>
  </si>
  <si>
    <t>САЛЬДО</t>
  </si>
  <si>
    <t>Денежных средств на начало периода</t>
  </si>
  <si>
    <t>Денежных средств на конец периода</t>
  </si>
  <si>
    <t>Год реализации</t>
  </si>
  <si>
    <t>Амортизационные отчисления</t>
  </si>
  <si>
    <t>Чистый доход</t>
  </si>
  <si>
    <t>Размер инвестиционных затрат</t>
  </si>
  <si>
    <t>Ставка дисконта</t>
  </si>
  <si>
    <t>Чистый дисконтированный доход</t>
  </si>
  <si>
    <t>Расчет чистого дисконтированного дохода.</t>
  </si>
  <si>
    <t>Денежный поток</t>
  </si>
  <si>
    <t>Денежный поток с накоплением</t>
  </si>
  <si>
    <t>Коэффициент дисконтирования</t>
  </si>
  <si>
    <t>Дисконтированный денежный поток</t>
  </si>
  <si>
    <t>Дисконтированный денежный поток с накоплением</t>
  </si>
  <si>
    <t>ВНД</t>
  </si>
  <si>
    <t>ИР</t>
  </si>
  <si>
    <t>Рентабельность активов</t>
  </si>
  <si>
    <t>Рентабельность оборота</t>
  </si>
  <si>
    <t>Рентабельность продукции</t>
  </si>
  <si>
    <t>Точка безубыточности</t>
  </si>
  <si>
    <t>С одного клиента в год, р.</t>
  </si>
  <si>
    <t>Клиентов в год надо обслуживать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</si>
</sst>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sz val="18.0"/>
      <color rgb="FF000000"/>
      <name val="&quot;Times New Roman&quot;"/>
    </font>
    <font>
      <sz val="14.0"/>
      <color rgb="FF000000"/>
      <name val="&quot;Times New Roman&quot;"/>
    </font>
    <font/>
    <font>
      <b/>
      <sz val="14.0"/>
      <color rgb="FF000000"/>
      <name val="&quot;Times New Roman&quot;"/>
    </font>
    <font>
      <b/>
      <color theme="1"/>
      <name val="Arial"/>
      <scheme val="minor"/>
    </font>
    <font>
      <sz val="14.0"/>
      <color theme="1"/>
      <name val="Times New Roman"/>
    </font>
    <font>
      <b/>
      <sz val="14.0"/>
      <color theme="1"/>
      <name val="Times New Roman"/>
    </font>
    <font>
      <sz val="14.0"/>
      <color rgb="FF1A1A1A"/>
      <name val="Times New Roman"/>
    </font>
    <font>
      <sz val="14.0"/>
      <color rgb="FF000000"/>
      <name val="Times New Roman"/>
    </font>
    <font>
      <color rgb="FF3266D5"/>
      <name val="Inconsolata"/>
    </font>
    <font>
      <sz val="11.0"/>
      <color rgb="FF000000"/>
      <name val="Inconsolata"/>
    </font>
    <font>
      <u/>
      <sz val="11.0"/>
      <color rgb="FF000000"/>
      <name val="Inconsolata"/>
    </font>
    <font>
      <b/>
      <sz val="18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shrinkToFit="0" wrapText="1"/>
    </xf>
    <xf borderId="0" fillId="0" fontId="1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right" readingOrder="0" shrinkToFit="0" vertical="top" wrapText="1"/>
    </xf>
    <xf borderId="3" fillId="0" fontId="4" numFmtId="0" xfId="0" applyBorder="1" applyFont="1"/>
    <xf borderId="4" fillId="0" fontId="4" numFmtId="0" xfId="0" applyBorder="1" applyFont="1"/>
    <xf borderId="5" fillId="0" fontId="3" numFmtId="0" xfId="0" applyAlignment="1" applyBorder="1" applyFont="1">
      <alignment horizontal="left" readingOrder="0" shrinkToFit="0" vertical="top" wrapText="1"/>
    </xf>
    <xf borderId="6" fillId="0" fontId="3" numFmtId="0" xfId="0" applyAlignment="1" applyBorder="1" applyFont="1">
      <alignment horizontal="right" readingOrder="0" shrinkToFit="0" vertical="top" wrapText="1"/>
    </xf>
    <xf borderId="6" fillId="0" fontId="3" numFmtId="0" xfId="0" applyAlignment="1" applyBorder="1" applyFont="1">
      <alignment horizontal="left" readingOrder="0" shrinkToFit="0" vertical="top" wrapText="1"/>
    </xf>
    <xf borderId="6" fillId="0" fontId="3" numFmtId="1" xfId="0" applyAlignment="1" applyBorder="1" applyFont="1" applyNumberFormat="1">
      <alignment horizontal="right" readingOrder="0" shrinkToFit="0" wrapText="1"/>
    </xf>
    <xf borderId="6" fillId="0" fontId="3" numFmtId="4" xfId="0" applyAlignment="1" applyBorder="1" applyFont="1" applyNumberFormat="1">
      <alignment horizontal="right" readingOrder="0" shrinkToFit="0" wrapText="1"/>
    </xf>
    <xf borderId="0" fillId="0" fontId="1" numFmtId="3" xfId="0" applyAlignment="1" applyFont="1" applyNumberFormat="1">
      <alignment horizontal="right" shrinkToFit="0" wrapText="1"/>
    </xf>
    <xf borderId="6" fillId="0" fontId="3" numFmtId="164" xfId="0" applyAlignment="1" applyBorder="1" applyFont="1" applyNumberFormat="1">
      <alignment horizontal="right" readingOrder="0" shrinkToFit="0" wrapText="1"/>
    </xf>
    <xf borderId="6" fillId="0" fontId="3" numFmtId="9" xfId="0" applyAlignment="1" applyBorder="1" applyFont="1" applyNumberFormat="1">
      <alignment horizontal="right" readingOrder="0" shrinkToFit="0" wrapText="1"/>
    </xf>
    <xf borderId="6" fillId="0" fontId="3" numFmtId="0" xfId="0" applyAlignment="1" applyBorder="1" applyFont="1">
      <alignment horizontal="right" readingOrder="0" shrinkToFit="0" wrapText="1"/>
    </xf>
    <xf borderId="6" fillId="0" fontId="1" numFmtId="0" xfId="0" applyAlignment="1" applyBorder="1" applyFont="1">
      <alignment horizontal="right" shrinkToFit="0" vertical="top" wrapText="1"/>
    </xf>
    <xf borderId="6" fillId="0" fontId="1" numFmtId="4" xfId="0" applyAlignment="1" applyBorder="1" applyFont="1" applyNumberFormat="1">
      <alignment horizontal="right" shrinkToFit="0" vertical="top" wrapText="1"/>
    </xf>
    <xf borderId="6" fillId="0" fontId="5" numFmtId="0" xfId="0" applyAlignment="1" applyBorder="1" applyFont="1">
      <alignment horizontal="left" readingOrder="0" shrinkToFit="0" vertical="top" wrapText="1"/>
    </xf>
    <xf borderId="6" fillId="0" fontId="5" numFmtId="4" xfId="0" applyAlignment="1" applyBorder="1" applyFont="1" applyNumberFormat="1">
      <alignment horizontal="right" readingOrder="0" shrinkToFit="0" wrapText="1"/>
    </xf>
    <xf borderId="0" fillId="2" fontId="3" numFmtId="9" xfId="0" applyAlignment="1" applyFill="1" applyFont="1" applyNumberFormat="1">
      <alignment horizontal="right" readingOrder="0"/>
    </xf>
    <xf borderId="6" fillId="0" fontId="6" numFmtId="0" xfId="0" applyAlignment="1" applyBorder="1" applyFont="1">
      <alignment horizontal="right" shrinkToFit="0" vertical="top" wrapText="1"/>
    </xf>
    <xf borderId="6" fillId="0" fontId="3" numFmtId="0" xfId="0" applyAlignment="1" applyBorder="1" applyFont="1">
      <alignment horizontal="center" readingOrder="0" shrinkToFit="0" vertical="top" wrapText="1"/>
    </xf>
    <xf borderId="7" fillId="0" fontId="3" numFmtId="0" xfId="0" applyAlignment="1" applyBorder="1" applyFont="1">
      <alignment horizontal="left" readingOrder="0" shrinkToFit="0" vertical="top" wrapText="1"/>
    </xf>
    <xf borderId="8" fillId="0" fontId="4" numFmtId="0" xfId="0" applyBorder="1" applyFont="1"/>
    <xf borderId="0" fillId="0" fontId="7" numFmtId="9" xfId="0" applyAlignment="1" applyFont="1" applyNumberFormat="1">
      <alignment horizontal="right" readingOrder="0" shrinkToFit="0" wrapText="1"/>
    </xf>
    <xf borderId="6" fillId="0" fontId="1" numFmtId="0" xfId="0" applyAlignment="1" applyBorder="1" applyFont="1">
      <alignment horizontal="right" shrinkToFit="0" wrapText="1"/>
    </xf>
    <xf borderId="6" fillId="0" fontId="7" numFmtId="0" xfId="0" applyAlignment="1" applyBorder="1" applyFont="1">
      <alignment horizontal="right" readingOrder="0" shrinkToFit="0" wrapText="1"/>
    </xf>
    <xf borderId="7" fillId="0" fontId="1" numFmtId="0" xfId="0" applyAlignment="1" applyBorder="1" applyFont="1">
      <alignment horizontal="left" shrinkToFit="0" vertical="top" wrapText="1"/>
    </xf>
    <xf borderId="2" fillId="0" fontId="3" numFmtId="0" xfId="0" applyAlignment="1" applyBorder="1" applyFont="1">
      <alignment horizontal="center" readingOrder="0" shrinkToFit="0" wrapText="1"/>
    </xf>
    <xf borderId="6" fillId="0" fontId="3" numFmtId="0" xfId="0" applyAlignment="1" applyBorder="1" applyFont="1">
      <alignment horizontal="center" readingOrder="0" shrinkToFit="0" wrapText="1"/>
    </xf>
    <xf borderId="6" fillId="0" fontId="7" numFmtId="4" xfId="0" applyAlignment="1" applyBorder="1" applyFont="1" applyNumberFormat="1">
      <alignment horizontal="right" readingOrder="0" shrinkToFit="0" vertical="top" wrapText="1"/>
    </xf>
    <xf borderId="0" fillId="2" fontId="3" numFmtId="9" xfId="0" applyAlignment="1" applyFont="1" applyNumberFormat="1">
      <alignment horizontal="right" readingOrder="0" shrinkToFit="0" wrapText="1"/>
    </xf>
    <xf borderId="0" fillId="0" fontId="2" numFmtId="0" xfId="0" applyAlignment="1" applyFont="1">
      <alignment readingOrder="0" shrinkToFit="0" wrapText="1"/>
    </xf>
    <xf borderId="6" fillId="0" fontId="3" numFmtId="0" xfId="0" applyAlignment="1" applyBorder="1" applyFont="1">
      <alignment horizontal="left" readingOrder="0" shrinkToFit="0" wrapText="1"/>
    </xf>
    <xf borderId="6" fillId="0" fontId="5" numFmtId="0" xfId="0" applyAlignment="1" applyBorder="1" applyFont="1">
      <alignment horizontal="left" readingOrder="0" shrinkToFit="0" wrapText="1"/>
    </xf>
    <xf borderId="6" fillId="0" fontId="8" numFmtId="4" xfId="0" applyAlignment="1" applyBorder="1" applyFont="1" applyNumberFormat="1">
      <alignment horizontal="right" shrinkToFit="0" vertical="top" wrapText="1"/>
    </xf>
    <xf borderId="6" fillId="2" fontId="3" numFmtId="0" xfId="0" applyAlignment="1" applyBorder="1" applyFont="1">
      <alignment horizontal="left" readingOrder="0" shrinkToFit="0" wrapText="1"/>
    </xf>
    <xf borderId="6" fillId="0" fontId="1" numFmtId="0" xfId="0" applyAlignment="1" applyBorder="1" applyFont="1">
      <alignment horizontal="left" shrinkToFit="0" vertical="top" wrapText="1"/>
    </xf>
    <xf borderId="7" fillId="0" fontId="3" numFmtId="4" xfId="0" applyAlignment="1" applyBorder="1" applyFont="1" applyNumberFormat="1">
      <alignment horizontal="right" readingOrder="0" shrinkToFit="0" wrapText="1"/>
    </xf>
    <xf borderId="2" fillId="0" fontId="3" numFmtId="0" xfId="0" applyAlignment="1" applyBorder="1" applyFont="1">
      <alignment horizontal="left" readingOrder="0" shrinkToFit="0" wrapText="1"/>
    </xf>
    <xf borderId="6" fillId="2" fontId="3" numFmtId="4" xfId="0" applyAlignment="1" applyBorder="1" applyFont="1" applyNumberFormat="1">
      <alignment horizontal="right" readingOrder="0" shrinkToFit="0" wrapText="1"/>
    </xf>
    <xf borderId="8" fillId="0" fontId="3" numFmtId="4" xfId="0" applyAlignment="1" applyBorder="1" applyFont="1" applyNumberFormat="1">
      <alignment horizontal="right" readingOrder="0" shrinkToFit="0" wrapText="1"/>
    </xf>
    <xf borderId="0" fillId="0" fontId="1" numFmtId="0" xfId="0" applyAlignment="1" applyFont="1">
      <alignment shrinkToFit="0" wrapText="1"/>
    </xf>
    <xf borderId="9" fillId="0" fontId="7" numFmtId="0" xfId="0" applyAlignment="1" applyBorder="1" applyFont="1">
      <alignment horizontal="left" shrinkToFit="0" vertical="top" wrapText="1"/>
    </xf>
    <xf borderId="2" fillId="0" fontId="7" numFmtId="0" xfId="0" applyAlignment="1" applyBorder="1" applyFont="1">
      <alignment horizontal="center" readingOrder="0" shrinkToFit="0" wrapText="1"/>
    </xf>
    <xf borderId="10" fillId="0" fontId="4" numFmtId="0" xfId="0" applyBorder="1" applyFont="1"/>
    <xf borderId="6" fillId="0" fontId="7" numFmtId="0" xfId="0" applyAlignment="1" applyBorder="1" applyFont="1">
      <alignment readingOrder="0" shrinkToFit="0" wrapText="1"/>
    </xf>
    <xf borderId="0" fillId="0" fontId="1" numFmtId="0" xfId="0" applyAlignment="1" applyFont="1">
      <alignment horizontal="right" shrinkToFit="0" vertical="top" wrapText="1"/>
    </xf>
    <xf borderId="6" fillId="0" fontId="7" numFmtId="0" xfId="0" applyAlignment="1" applyBorder="1" applyFont="1">
      <alignment horizontal="left" readingOrder="0" shrinkToFit="0" vertical="top" wrapText="1"/>
    </xf>
    <xf borderId="6" fillId="0" fontId="7" numFmtId="4" xfId="0" applyAlignment="1" applyBorder="1" applyFont="1" applyNumberFormat="1">
      <alignment shrinkToFit="0" wrapText="1"/>
    </xf>
    <xf borderId="6" fillId="2" fontId="9" numFmtId="0" xfId="0" applyAlignment="1" applyBorder="1" applyFont="1">
      <alignment horizontal="left" readingOrder="0" shrinkToFit="0" vertical="top" wrapText="1"/>
    </xf>
    <xf borderId="6" fillId="0" fontId="7" numFmtId="0" xfId="0" applyAlignment="1" applyBorder="1" applyFont="1">
      <alignment readingOrder="0" shrinkToFit="0" vertical="top" wrapText="1"/>
    </xf>
    <xf borderId="6" fillId="0" fontId="7" numFmtId="9" xfId="0" applyAlignment="1" applyBorder="1" applyFont="1" applyNumberFormat="1">
      <alignment readingOrder="0" shrinkToFit="0" wrapText="1"/>
    </xf>
    <xf borderId="7" fillId="0" fontId="3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right" readingOrder="0" shrinkToFit="0" wrapText="1"/>
    </xf>
    <xf borderId="0" fillId="0" fontId="7" numFmtId="0" xfId="0" applyAlignment="1" applyFont="1">
      <alignment readingOrder="0"/>
    </xf>
    <xf borderId="0" fillId="0" fontId="10" numFmtId="4" xfId="0" applyAlignment="1" applyFont="1" applyNumberFormat="1">
      <alignment horizontal="right" readingOrder="0" shrinkToFit="0" wrapText="1"/>
    </xf>
    <xf borderId="0" fillId="2" fontId="11" numFmtId="0" xfId="0" applyAlignment="1" applyFont="1">
      <alignment horizontal="left" shrinkToFit="0" wrapText="0"/>
    </xf>
    <xf borderId="6" fillId="2" fontId="10" numFmtId="10" xfId="0" applyAlignment="1" applyBorder="1" applyFont="1" applyNumberFormat="1">
      <alignment horizontal="right" shrinkToFit="0" wrapText="1"/>
    </xf>
    <xf borderId="0" fillId="2" fontId="12" numFmtId="0" xfId="0" applyFont="1"/>
    <xf borderId="0" fillId="2" fontId="12" numFmtId="0" xfId="0" applyAlignment="1" applyFont="1">
      <alignment readingOrder="0"/>
    </xf>
    <xf borderId="6" fillId="0" fontId="7" numFmtId="4" xfId="0" applyAlignment="1" applyBorder="1" applyFont="1" applyNumberFormat="1">
      <alignment horizontal="right" shrinkToFit="0" wrapText="1"/>
    </xf>
    <xf borderId="0" fillId="2" fontId="13" numFmtId="0" xfId="0" applyAlignment="1" applyFont="1">
      <alignment readingOrder="0"/>
    </xf>
    <xf borderId="6" fillId="0" fontId="7" numFmtId="10" xfId="0" applyAlignment="1" applyBorder="1" applyFont="1" applyNumberFormat="1">
      <alignment horizontal="right" shrinkToFit="0" wrapText="1"/>
    </xf>
    <xf borderId="0" fillId="0" fontId="14" numFmtId="0" xfId="0" applyAlignment="1" applyFont="1">
      <alignment horizontal="left" readingOrder="0" shrinkToFit="0" vertical="top" wrapText="1"/>
    </xf>
    <xf borderId="6" fillId="2" fontId="10" numFmtId="4" xfId="0" applyBorder="1" applyFont="1" applyNumberFormat="1"/>
    <xf borderId="6" fillId="0" fontId="7" numFmtId="3" xfId="0" applyAlignment="1" applyBorder="1" applyFont="1" applyNumberForma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23.75"/>
    <col customWidth="1" min="3" max="8" width="13.13"/>
    <col customWidth="1" min="9" max="9" width="23.25"/>
    <col customWidth="1" min="10" max="10" width="27.13"/>
    <col customWidth="1" min="11" max="26" width="13.13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/>
      <c r="C3" s="5" t="s">
        <v>1</v>
      </c>
      <c r="D3" s="6"/>
      <c r="E3" s="6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8" t="s">
        <v>2</v>
      </c>
      <c r="C4" s="9">
        <v>1.0</v>
      </c>
      <c r="D4" s="9">
        <v>2.0</v>
      </c>
      <c r="E4" s="9">
        <v>3.0</v>
      </c>
      <c r="F4" s="9">
        <v>4.0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0" t="s">
        <v>3</v>
      </c>
      <c r="C5" s="11">
        <v>5.0</v>
      </c>
      <c r="D5" s="11">
        <v>10.0</v>
      </c>
      <c r="E5" s="11">
        <v>20.0</v>
      </c>
      <c r="F5" s="11">
        <v>40.0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0" t="s">
        <v>4</v>
      </c>
      <c r="C6" s="12">
        <v>1000.0</v>
      </c>
      <c r="D6" s="12">
        <v>1100.0</v>
      </c>
      <c r="E6" s="12">
        <v>1250.0</v>
      </c>
      <c r="F6" s="12">
        <v>1500.0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3"/>
    </row>
    <row r="7">
      <c r="A7" s="1"/>
      <c r="B7" s="10" t="s">
        <v>5</v>
      </c>
      <c r="C7" s="12">
        <f t="shared" ref="C7:F7" si="1">20.5*C8</f>
        <v>2.05</v>
      </c>
      <c r="D7" s="14">
        <f t="shared" si="1"/>
        <v>1.845</v>
      </c>
      <c r="E7" s="12">
        <f t="shared" si="1"/>
        <v>1.64</v>
      </c>
      <c r="F7" s="12">
        <f t="shared" si="1"/>
        <v>1.435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0" t="s">
        <v>6</v>
      </c>
      <c r="C8" s="15">
        <v>0.1</v>
      </c>
      <c r="D8" s="15">
        <v>0.09</v>
      </c>
      <c r="E8" s="15">
        <v>0.08</v>
      </c>
      <c r="F8" s="15">
        <v>0.07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0" t="s">
        <v>7</v>
      </c>
      <c r="C9" s="12">
        <f>C5*C6+C5*12*C7*365</f>
        <v>49895</v>
      </c>
      <c r="D9" s="12">
        <f t="shared" ref="D9:F9" si="2">(D5-C5)*D6+D5*12*D7*365</f>
        <v>86311</v>
      </c>
      <c r="E9" s="12">
        <f t="shared" si="2"/>
        <v>156164</v>
      </c>
      <c r="F9" s="12">
        <f t="shared" si="2"/>
        <v>281412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" t="s">
        <v>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0" t="s">
        <v>9</v>
      </c>
      <c r="C13" s="9" t="s">
        <v>10</v>
      </c>
      <c r="D13" s="9" t="s">
        <v>11</v>
      </c>
      <c r="E13" s="9" t="s">
        <v>12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0" t="s">
        <v>13</v>
      </c>
      <c r="C14" s="16">
        <v>4.0</v>
      </c>
      <c r="D14" s="12">
        <v>87.0</v>
      </c>
      <c r="E14" s="12">
        <f t="shared" ref="E14:E29" si="3">C14*D14</f>
        <v>348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0" t="s">
        <v>14</v>
      </c>
      <c r="C15" s="16">
        <v>1.0</v>
      </c>
      <c r="D15" s="12">
        <v>229.0</v>
      </c>
      <c r="E15" s="12">
        <f t="shared" si="3"/>
        <v>229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0" t="s">
        <v>15</v>
      </c>
      <c r="C16" s="16">
        <v>1.0</v>
      </c>
      <c r="D16" s="12">
        <v>524.0</v>
      </c>
      <c r="E16" s="12">
        <f t="shared" si="3"/>
        <v>524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0" t="s">
        <v>16</v>
      </c>
      <c r="C17" s="16">
        <v>4.0</v>
      </c>
      <c r="D17" s="12">
        <v>95.0</v>
      </c>
      <c r="E17" s="12">
        <f t="shared" si="3"/>
        <v>380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0" t="s">
        <v>17</v>
      </c>
      <c r="C18" s="16">
        <v>6.0</v>
      </c>
      <c r="D18" s="12">
        <v>345.0</v>
      </c>
      <c r="E18" s="12">
        <f t="shared" si="3"/>
        <v>2070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0" t="s">
        <v>18</v>
      </c>
      <c r="C19" s="16">
        <v>1.0</v>
      </c>
      <c r="D19" s="12">
        <v>52.0</v>
      </c>
      <c r="E19" s="12">
        <f t="shared" si="3"/>
        <v>52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0" t="s">
        <v>19</v>
      </c>
      <c r="C20" s="16">
        <v>1.0</v>
      </c>
      <c r="D20" s="12">
        <v>71.0</v>
      </c>
      <c r="E20" s="12">
        <f t="shared" si="3"/>
        <v>71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0" t="s">
        <v>20</v>
      </c>
      <c r="C21" s="16">
        <v>1.0</v>
      </c>
      <c r="D21" s="12">
        <v>55.0</v>
      </c>
      <c r="E21" s="12">
        <f t="shared" si="3"/>
        <v>55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0" t="s">
        <v>21</v>
      </c>
      <c r="C22" s="16">
        <v>2.0</v>
      </c>
      <c r="D22" s="12">
        <v>134.0</v>
      </c>
      <c r="E22" s="12">
        <f t="shared" si="3"/>
        <v>268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0" t="s">
        <v>22</v>
      </c>
      <c r="C23" s="16">
        <v>2.0</v>
      </c>
      <c r="D23" s="12">
        <v>166.0</v>
      </c>
      <c r="E23" s="12">
        <f t="shared" si="3"/>
        <v>332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0" t="s">
        <v>23</v>
      </c>
      <c r="C24" s="16">
        <v>1.0</v>
      </c>
      <c r="D24" s="12">
        <v>200.0</v>
      </c>
      <c r="E24" s="12">
        <f t="shared" si="3"/>
        <v>200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0" t="s">
        <v>24</v>
      </c>
      <c r="C25" s="16">
        <v>2.0</v>
      </c>
      <c r="D25" s="12">
        <v>10.0</v>
      </c>
      <c r="E25" s="12">
        <f t="shared" si="3"/>
        <v>20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0" t="s">
        <v>25</v>
      </c>
      <c r="C26" s="16">
        <v>1.0</v>
      </c>
      <c r="D26" s="12">
        <v>50.0</v>
      </c>
      <c r="E26" s="12">
        <f t="shared" si="3"/>
        <v>50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0" t="s">
        <v>26</v>
      </c>
      <c r="C27" s="16">
        <v>9.0</v>
      </c>
      <c r="D27" s="12">
        <v>45.0</v>
      </c>
      <c r="E27" s="12">
        <f t="shared" si="3"/>
        <v>405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0" t="s">
        <v>27</v>
      </c>
      <c r="C28" s="16">
        <v>1.0</v>
      </c>
      <c r="D28" s="12">
        <v>64.0</v>
      </c>
      <c r="E28" s="12">
        <f t="shared" si="3"/>
        <v>64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0" t="s">
        <v>28</v>
      </c>
      <c r="C29" s="16">
        <v>5.0</v>
      </c>
      <c r="D29" s="12">
        <v>22.7</v>
      </c>
      <c r="E29" s="12">
        <f t="shared" si="3"/>
        <v>113.5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0" t="s">
        <v>29</v>
      </c>
      <c r="C30" s="17"/>
      <c r="D30" s="18"/>
      <c r="E30" s="12">
        <v>1036.5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9" t="s">
        <v>30</v>
      </c>
      <c r="C31" s="17"/>
      <c r="D31" s="18"/>
      <c r="E31" s="20">
        <f>SUM(E14:E30)</f>
        <v>6218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3" t="s">
        <v>31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0" t="s">
        <v>32</v>
      </c>
      <c r="C35" s="9" t="s">
        <v>33</v>
      </c>
      <c r="D35" s="9" t="s">
        <v>34</v>
      </c>
      <c r="E35" s="9" t="s">
        <v>35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0" t="s">
        <v>36</v>
      </c>
      <c r="C36" s="16">
        <f>SUM(C37:C41)</f>
        <v>6</v>
      </c>
      <c r="D36" s="17"/>
      <c r="E36" s="12">
        <f>SUM(E37:E41)</f>
        <v>16150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0" t="s">
        <v>37</v>
      </c>
      <c r="C37" s="16">
        <v>1.0</v>
      </c>
      <c r="D37" s="16">
        <v>2500.0</v>
      </c>
      <c r="E37" s="12">
        <f t="shared" ref="E37:E41" si="4">C37*D37</f>
        <v>2500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0" t="s">
        <v>38</v>
      </c>
      <c r="C38" s="16">
        <v>1.0</v>
      </c>
      <c r="D38" s="16">
        <v>1500.0</v>
      </c>
      <c r="E38" s="12">
        <f t="shared" si="4"/>
        <v>1500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0" t="s">
        <v>39</v>
      </c>
      <c r="C39" s="16">
        <v>1.0</v>
      </c>
      <c r="D39" s="16">
        <v>1700.0</v>
      </c>
      <c r="E39" s="12">
        <f t="shared" si="4"/>
        <v>1700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0" t="s">
        <v>40</v>
      </c>
      <c r="C40" s="16">
        <v>2.0</v>
      </c>
      <c r="D40" s="16">
        <v>5000.0</v>
      </c>
      <c r="E40" s="12">
        <f t="shared" si="4"/>
        <v>10000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0" t="s">
        <v>41</v>
      </c>
      <c r="C41" s="16">
        <v>1.0</v>
      </c>
      <c r="D41" s="16">
        <v>450.0</v>
      </c>
      <c r="E41" s="12">
        <f t="shared" si="4"/>
        <v>450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0" t="s">
        <v>42</v>
      </c>
      <c r="C42" s="17"/>
      <c r="D42" s="17"/>
      <c r="E42" s="12">
        <f>E36*$F$42</f>
        <v>5652.5</v>
      </c>
      <c r="F42" s="21">
        <v>0.35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9" t="s">
        <v>43</v>
      </c>
      <c r="C43" s="22"/>
      <c r="D43" s="22"/>
      <c r="E43" s="20">
        <f>E42+E36</f>
        <v>21802.5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3" t="s">
        <v>44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0" t="s">
        <v>45</v>
      </c>
      <c r="C47" s="23" t="s">
        <v>46</v>
      </c>
      <c r="D47" s="23" t="s">
        <v>47</v>
      </c>
      <c r="E47" s="23" t="s">
        <v>48</v>
      </c>
      <c r="F47" s="23" t="s">
        <v>49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0" t="s">
        <v>13</v>
      </c>
      <c r="C48" s="16">
        <v>87.0</v>
      </c>
      <c r="D48" s="16">
        <v>348.0</v>
      </c>
      <c r="E48" s="16">
        <v>8.0</v>
      </c>
      <c r="F48" s="12">
        <f t="shared" ref="F48:F54" si="5">D48/E48</f>
        <v>43.5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0" t="s">
        <v>14</v>
      </c>
      <c r="C49" s="16">
        <v>229.0</v>
      </c>
      <c r="D49" s="16">
        <v>229.0</v>
      </c>
      <c r="E49" s="16">
        <v>8.0</v>
      </c>
      <c r="F49" s="12">
        <f t="shared" si="5"/>
        <v>28.625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0" t="s">
        <v>15</v>
      </c>
      <c r="C50" s="16">
        <v>524.0</v>
      </c>
      <c r="D50" s="16">
        <v>524.0</v>
      </c>
      <c r="E50" s="16">
        <v>8.0</v>
      </c>
      <c r="F50" s="12">
        <f t="shared" si="5"/>
        <v>65.5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0" t="s">
        <v>16</v>
      </c>
      <c r="C51" s="16">
        <v>95.0</v>
      </c>
      <c r="D51" s="16">
        <v>380.0</v>
      </c>
      <c r="E51" s="16">
        <v>5.0</v>
      </c>
      <c r="F51" s="12">
        <f t="shared" si="5"/>
        <v>76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0" t="s">
        <v>17</v>
      </c>
      <c r="C52" s="16">
        <v>345.0</v>
      </c>
      <c r="D52" s="16">
        <v>2070.0</v>
      </c>
      <c r="E52" s="16">
        <v>4.0</v>
      </c>
      <c r="F52" s="12">
        <f t="shared" si="5"/>
        <v>517.5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0" t="s">
        <v>19</v>
      </c>
      <c r="C53" s="16">
        <v>71.0</v>
      </c>
      <c r="D53" s="16">
        <v>71.0</v>
      </c>
      <c r="E53" s="16">
        <v>3.0</v>
      </c>
      <c r="F53" s="12">
        <f t="shared" si="5"/>
        <v>23.66666667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0" t="s">
        <v>27</v>
      </c>
      <c r="C54" s="16">
        <v>64.0</v>
      </c>
      <c r="D54" s="16">
        <v>64.0</v>
      </c>
      <c r="E54" s="16">
        <v>5.0</v>
      </c>
      <c r="F54" s="12">
        <f t="shared" si="5"/>
        <v>12.8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0" t="s">
        <v>50</v>
      </c>
      <c r="C55" s="17"/>
      <c r="D55" s="17"/>
      <c r="E55" s="17"/>
      <c r="F55" s="12">
        <v>138.23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9" t="s">
        <v>30</v>
      </c>
      <c r="C56" s="17"/>
      <c r="D56" s="17"/>
      <c r="E56" s="17"/>
      <c r="F56" s="20">
        <f>SUM(F48:F55)</f>
        <v>905.8216667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3" t="s">
        <v>51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24" t="s">
        <v>52</v>
      </c>
      <c r="C60" s="5" t="s">
        <v>1</v>
      </c>
      <c r="D60" s="6"/>
      <c r="E60" s="6"/>
      <c r="F60" s="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25"/>
      <c r="C61" s="16">
        <v>1.0</v>
      </c>
      <c r="D61" s="16">
        <v>2.0</v>
      </c>
      <c r="E61" s="16">
        <v>3.0</v>
      </c>
      <c r="F61" s="16">
        <v>4.0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0" t="s">
        <v>53</v>
      </c>
      <c r="C62" s="12">
        <f t="shared" ref="C62:F62" si="6">$E$31</f>
        <v>6218</v>
      </c>
      <c r="D62" s="12">
        <f t="shared" si="6"/>
        <v>6218</v>
      </c>
      <c r="E62" s="12">
        <f t="shared" si="6"/>
        <v>6218</v>
      </c>
      <c r="F62" s="12">
        <f t="shared" si="6"/>
        <v>6218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0" t="s">
        <v>54</v>
      </c>
      <c r="C63" s="12">
        <f t="shared" ref="C63:F63" si="7">$E$36</f>
        <v>16150</v>
      </c>
      <c r="D63" s="12">
        <f t="shared" si="7"/>
        <v>16150</v>
      </c>
      <c r="E63" s="12">
        <f t="shared" si="7"/>
        <v>16150</v>
      </c>
      <c r="F63" s="12">
        <f t="shared" si="7"/>
        <v>16150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0" t="s">
        <v>55</v>
      </c>
      <c r="C64" s="12">
        <f t="shared" ref="C64:F64" si="8">$E$42</f>
        <v>5652.5</v>
      </c>
      <c r="D64" s="12">
        <f t="shared" si="8"/>
        <v>5652.5</v>
      </c>
      <c r="E64" s="12">
        <f t="shared" si="8"/>
        <v>5652.5</v>
      </c>
      <c r="F64" s="12">
        <f t="shared" si="8"/>
        <v>5652.5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0" t="s">
        <v>56</v>
      </c>
      <c r="C65" s="12">
        <f t="shared" ref="C65:F65" si="9">$F$56</f>
        <v>905.8216667</v>
      </c>
      <c r="D65" s="12">
        <f t="shared" si="9"/>
        <v>905.8216667</v>
      </c>
      <c r="E65" s="12">
        <f t="shared" si="9"/>
        <v>905.8216667</v>
      </c>
      <c r="F65" s="12">
        <f t="shared" si="9"/>
        <v>905.8216667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0" t="s">
        <v>29</v>
      </c>
      <c r="C66" s="12">
        <f t="shared" ref="C66:F66" si="10">SUM(C62:C65)*$G$66</f>
        <v>2024.842517</v>
      </c>
      <c r="D66" s="12">
        <f t="shared" si="10"/>
        <v>2024.842517</v>
      </c>
      <c r="E66" s="12">
        <f t="shared" si="10"/>
        <v>2024.842517</v>
      </c>
      <c r="F66" s="12">
        <f t="shared" si="10"/>
        <v>2024.842517</v>
      </c>
      <c r="G66" s="26">
        <v>0.07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9" t="s">
        <v>57</v>
      </c>
      <c r="C67" s="20">
        <f t="shared" ref="C67:F67" si="11">SUM(C62:C66)</f>
        <v>30951.16418</v>
      </c>
      <c r="D67" s="20">
        <f t="shared" si="11"/>
        <v>30951.16418</v>
      </c>
      <c r="E67" s="20">
        <f t="shared" si="11"/>
        <v>30951.16418</v>
      </c>
      <c r="F67" s="20">
        <f t="shared" si="11"/>
        <v>30951.16418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3" t="s">
        <v>58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0" t="s">
        <v>59</v>
      </c>
      <c r="C71" s="23" t="s">
        <v>60</v>
      </c>
      <c r="D71" s="23" t="s">
        <v>10</v>
      </c>
      <c r="E71" s="23" t="s">
        <v>61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9" t="s">
        <v>62</v>
      </c>
      <c r="C72" s="17"/>
      <c r="D72" s="27"/>
      <c r="E72" s="12">
        <f>SUM(E73:E80)</f>
        <v>5160.4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0" t="s">
        <v>13</v>
      </c>
      <c r="C73" s="16">
        <v>87.0</v>
      </c>
      <c r="D73" s="28">
        <v>4.0</v>
      </c>
      <c r="E73" s="12">
        <f t="shared" ref="E73:E79" si="12">C73*D73</f>
        <v>348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0" t="s">
        <v>14</v>
      </c>
      <c r="C74" s="16">
        <v>229.0</v>
      </c>
      <c r="D74" s="28">
        <v>1.0</v>
      </c>
      <c r="E74" s="12">
        <f t="shared" si="12"/>
        <v>229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0" t="s">
        <v>15</v>
      </c>
      <c r="C75" s="16">
        <v>524.0</v>
      </c>
      <c r="D75" s="28">
        <v>1.0</v>
      </c>
      <c r="E75" s="12">
        <f t="shared" si="12"/>
        <v>524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0" t="s">
        <v>16</v>
      </c>
      <c r="C76" s="16">
        <v>95.0</v>
      </c>
      <c r="D76" s="28">
        <v>4.0</v>
      </c>
      <c r="E76" s="12">
        <f t="shared" si="12"/>
        <v>380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0" t="s">
        <v>17</v>
      </c>
      <c r="C77" s="16">
        <v>345.0</v>
      </c>
      <c r="D77" s="28">
        <v>6.0</v>
      </c>
      <c r="E77" s="12">
        <f t="shared" si="12"/>
        <v>2070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0" t="s">
        <v>19</v>
      </c>
      <c r="C78" s="16">
        <v>71.0</v>
      </c>
      <c r="D78" s="28">
        <v>1.0</v>
      </c>
      <c r="E78" s="12">
        <f t="shared" si="12"/>
        <v>71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0" t="s">
        <v>27</v>
      </c>
      <c r="C79" s="16">
        <v>64.0</v>
      </c>
      <c r="D79" s="28">
        <v>1.0</v>
      </c>
      <c r="E79" s="12">
        <f t="shared" si="12"/>
        <v>64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0" t="s">
        <v>63</v>
      </c>
      <c r="C80" s="17"/>
      <c r="D80" s="27"/>
      <c r="E80" s="12">
        <v>1474.4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9" t="s">
        <v>64</v>
      </c>
      <c r="C81" s="17"/>
      <c r="D81" s="27"/>
      <c r="E81" s="12">
        <v>20000.0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9" t="s">
        <v>30</v>
      </c>
      <c r="C82" s="17"/>
      <c r="D82" s="27"/>
      <c r="E82" s="20">
        <f>E72+E81</f>
        <v>25160.4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0" t="s">
        <v>65</v>
      </c>
      <c r="C83" s="17"/>
      <c r="D83" s="27"/>
      <c r="E83" s="20">
        <f>E82</f>
        <v>25160.4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0" t="s">
        <v>66</v>
      </c>
      <c r="C84" s="17"/>
      <c r="D84" s="27"/>
      <c r="E84" s="16">
        <v>0.0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3" t="s">
        <v>67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29"/>
      <c r="C88" s="30" t="s">
        <v>1</v>
      </c>
      <c r="D88" s="6"/>
      <c r="E88" s="6"/>
      <c r="F88" s="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25"/>
      <c r="C89" s="31">
        <v>1.0</v>
      </c>
      <c r="D89" s="31">
        <v>2.0</v>
      </c>
      <c r="E89" s="31">
        <v>3.0</v>
      </c>
      <c r="F89" s="31">
        <v>4.0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0" t="s">
        <v>68</v>
      </c>
      <c r="C90" s="32">
        <f t="shared" ref="C90:F90" si="13">C9</f>
        <v>49895</v>
      </c>
      <c r="D90" s="32">
        <f t="shared" si="13"/>
        <v>86311</v>
      </c>
      <c r="E90" s="32">
        <f t="shared" si="13"/>
        <v>156164</v>
      </c>
      <c r="F90" s="32">
        <f t="shared" si="13"/>
        <v>281412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0" t="s">
        <v>69</v>
      </c>
      <c r="C91" s="12">
        <f>(C5)*C6*$G$91</f>
        <v>1000</v>
      </c>
      <c r="D91" s="12">
        <f t="shared" ref="D91:F91" si="14">(D5-C5)*D6*$G$91</f>
        <v>1100</v>
      </c>
      <c r="E91" s="12">
        <f t="shared" si="14"/>
        <v>2500</v>
      </c>
      <c r="F91" s="12">
        <f t="shared" si="14"/>
        <v>6000</v>
      </c>
      <c r="G91" s="26">
        <v>0.2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0" t="s">
        <v>70</v>
      </c>
      <c r="C92" s="12">
        <f t="shared" ref="C92:F92" si="15">$E$36*$G$92</f>
        <v>2584</v>
      </c>
      <c r="D92" s="12">
        <f t="shared" si="15"/>
        <v>2584</v>
      </c>
      <c r="E92" s="12">
        <f t="shared" si="15"/>
        <v>2584</v>
      </c>
      <c r="F92" s="12">
        <f t="shared" si="15"/>
        <v>2584</v>
      </c>
      <c r="G92" s="33">
        <v>0.16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0" t="s">
        <v>71</v>
      </c>
      <c r="C93" s="12">
        <f t="shared" ref="C93:F93" si="16">C90-(C91+C92)</f>
        <v>46311</v>
      </c>
      <c r="D93" s="12">
        <f t="shared" si="16"/>
        <v>82627</v>
      </c>
      <c r="E93" s="12">
        <f t="shared" si="16"/>
        <v>151080</v>
      </c>
      <c r="F93" s="12">
        <f t="shared" si="16"/>
        <v>272828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0" t="s">
        <v>72</v>
      </c>
      <c r="C94" s="12">
        <f t="shared" ref="C94:F94" si="17">C$62</f>
        <v>6218</v>
      </c>
      <c r="D94" s="12">
        <f t="shared" si="17"/>
        <v>6218</v>
      </c>
      <c r="E94" s="12">
        <f t="shared" si="17"/>
        <v>6218</v>
      </c>
      <c r="F94" s="12">
        <f t="shared" si="17"/>
        <v>6218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0" t="s">
        <v>73</v>
      </c>
      <c r="C95" s="12">
        <f t="shared" ref="C95:F95" si="18">C90-C94</f>
        <v>43677</v>
      </c>
      <c r="D95" s="12">
        <f t="shared" si="18"/>
        <v>80093</v>
      </c>
      <c r="E95" s="12">
        <f t="shared" si="18"/>
        <v>149946</v>
      </c>
      <c r="F95" s="12">
        <f t="shared" si="18"/>
        <v>275194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0" t="s">
        <v>74</v>
      </c>
      <c r="C96" s="12">
        <f t="shared" ref="C96:F96" si="19">C95</f>
        <v>43677</v>
      </c>
      <c r="D96" s="12">
        <f t="shared" si="19"/>
        <v>80093</v>
      </c>
      <c r="E96" s="12">
        <f t="shared" si="19"/>
        <v>149946</v>
      </c>
      <c r="F96" s="12">
        <f t="shared" si="19"/>
        <v>275194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0" t="s">
        <v>75</v>
      </c>
      <c r="C97" s="12">
        <f t="shared" ref="C97:F97" si="20">C96*$G$97</f>
        <v>10482.48</v>
      </c>
      <c r="D97" s="12">
        <f t="shared" si="20"/>
        <v>19222.32</v>
      </c>
      <c r="E97" s="12">
        <f t="shared" si="20"/>
        <v>35987.04</v>
      </c>
      <c r="F97" s="12">
        <f t="shared" si="20"/>
        <v>66046.56</v>
      </c>
      <c r="G97" s="33">
        <v>0.24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0" t="s">
        <v>76</v>
      </c>
      <c r="C98" s="12">
        <f t="shared" ref="C98:F98" si="21">C96-C97</f>
        <v>33194.52</v>
      </c>
      <c r="D98" s="12">
        <f t="shared" si="21"/>
        <v>60870.68</v>
      </c>
      <c r="E98" s="12">
        <f t="shared" si="21"/>
        <v>113958.96</v>
      </c>
      <c r="F98" s="12">
        <f t="shared" si="21"/>
        <v>209147.44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0" t="s">
        <v>77</v>
      </c>
      <c r="C99" s="16">
        <v>0.0</v>
      </c>
      <c r="D99" s="16">
        <v>0.0</v>
      </c>
      <c r="E99" s="16">
        <v>0.0</v>
      </c>
      <c r="F99" s="16">
        <v>0.0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0" t="s">
        <v>78</v>
      </c>
      <c r="C100" s="16">
        <v>0.0</v>
      </c>
      <c r="D100" s="16">
        <v>0.0</v>
      </c>
      <c r="E100" s="16">
        <v>0.0</v>
      </c>
      <c r="F100" s="16">
        <v>0.0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0" t="s">
        <v>79</v>
      </c>
      <c r="C101" s="16">
        <v>0.0</v>
      </c>
      <c r="D101" s="16">
        <v>0.0</v>
      </c>
      <c r="E101" s="16">
        <v>0.0</v>
      </c>
      <c r="F101" s="16">
        <v>0.0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34" t="s">
        <v>80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29"/>
      <c r="C105" s="30" t="s">
        <v>1</v>
      </c>
      <c r="D105" s="6"/>
      <c r="E105" s="6"/>
      <c r="F105" s="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25"/>
      <c r="C106" s="31">
        <v>1.0</v>
      </c>
      <c r="D106" s="31">
        <v>2.0</v>
      </c>
      <c r="E106" s="31">
        <v>3.0</v>
      </c>
      <c r="F106" s="31">
        <v>4.0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35" t="s">
        <v>81</v>
      </c>
      <c r="C107" s="12">
        <f t="shared" ref="C107:F107" si="22">$E$72</f>
        <v>5160.4</v>
      </c>
      <c r="D107" s="12">
        <f t="shared" si="22"/>
        <v>5160.4</v>
      </c>
      <c r="E107" s="12">
        <f t="shared" si="22"/>
        <v>5160.4</v>
      </c>
      <c r="F107" s="12">
        <f t="shared" si="22"/>
        <v>5160.4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35" t="s">
        <v>82</v>
      </c>
      <c r="C108" s="12">
        <f t="shared" ref="C108:F108" si="23">$E$81</f>
        <v>20000</v>
      </c>
      <c r="D108" s="12">
        <f t="shared" si="23"/>
        <v>20000</v>
      </c>
      <c r="E108" s="12">
        <f t="shared" si="23"/>
        <v>20000</v>
      </c>
      <c r="F108" s="12">
        <f t="shared" si="23"/>
        <v>20000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35" t="s">
        <v>83</v>
      </c>
      <c r="C109" s="20">
        <f t="shared" ref="C109:F109" si="24">C107+C108</f>
        <v>25160.4</v>
      </c>
      <c r="D109" s="20">
        <f t="shared" si="24"/>
        <v>25160.4</v>
      </c>
      <c r="E109" s="20">
        <f t="shared" si="24"/>
        <v>25160.4</v>
      </c>
      <c r="F109" s="20">
        <f t="shared" si="24"/>
        <v>25160.4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35" t="s">
        <v>84</v>
      </c>
      <c r="C110" s="20">
        <f t="shared" ref="C110:F110" si="25">$E$83</f>
        <v>25160.4</v>
      </c>
      <c r="D110" s="20">
        <f t="shared" si="25"/>
        <v>25160.4</v>
      </c>
      <c r="E110" s="20">
        <f t="shared" si="25"/>
        <v>25160.4</v>
      </c>
      <c r="F110" s="20">
        <f t="shared" si="25"/>
        <v>25160.4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35" t="s">
        <v>85</v>
      </c>
      <c r="C111" s="20">
        <f t="shared" ref="C111:F111" si="26">$E$83</f>
        <v>25160.4</v>
      </c>
      <c r="D111" s="20">
        <f t="shared" si="26"/>
        <v>25160.4</v>
      </c>
      <c r="E111" s="20">
        <f t="shared" si="26"/>
        <v>25160.4</v>
      </c>
      <c r="F111" s="20">
        <f t="shared" si="26"/>
        <v>25160.4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35" t="s">
        <v>86</v>
      </c>
      <c r="C112" s="16">
        <v>0.0</v>
      </c>
      <c r="D112" s="16">
        <v>0.0</v>
      </c>
      <c r="E112" s="16">
        <v>0.0</v>
      </c>
      <c r="F112" s="16">
        <v>0.0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35" t="s">
        <v>87</v>
      </c>
      <c r="C113" s="16">
        <v>0.0</v>
      </c>
      <c r="D113" s="16">
        <v>0.0</v>
      </c>
      <c r="E113" s="16">
        <v>0.0</v>
      </c>
      <c r="F113" s="16">
        <v>0.0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35" t="s">
        <v>88</v>
      </c>
      <c r="C114" s="16">
        <v>0.0</v>
      </c>
      <c r="D114" s="16">
        <v>0.0</v>
      </c>
      <c r="E114" s="16">
        <v>0.0</v>
      </c>
      <c r="F114" s="16">
        <v>0.0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35" t="s">
        <v>89</v>
      </c>
      <c r="C115" s="16">
        <v>0.0</v>
      </c>
      <c r="D115" s="16">
        <v>0.0</v>
      </c>
      <c r="E115" s="16">
        <v>0.0</v>
      </c>
      <c r="F115" s="16">
        <v>0.0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36" t="s">
        <v>90</v>
      </c>
      <c r="C116" s="37">
        <f t="shared" ref="C116:F116" si="27">$E$83</f>
        <v>25160.4</v>
      </c>
      <c r="D116" s="37">
        <f t="shared" si="27"/>
        <v>25160.4</v>
      </c>
      <c r="E116" s="37">
        <f t="shared" si="27"/>
        <v>25160.4</v>
      </c>
      <c r="F116" s="37">
        <f t="shared" si="27"/>
        <v>25160.4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34" t="s">
        <v>91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29"/>
      <c r="C120" s="30" t="s">
        <v>1</v>
      </c>
      <c r="D120" s="6"/>
      <c r="E120" s="6"/>
      <c r="F120" s="7"/>
      <c r="G120" s="1"/>
      <c r="H120" s="1"/>
      <c r="I120" s="36" t="s">
        <v>92</v>
      </c>
      <c r="J120" s="36" t="s">
        <v>93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25"/>
      <c r="C121" s="31">
        <v>1.0</v>
      </c>
      <c r="D121" s="31">
        <v>2.0</v>
      </c>
      <c r="E121" s="31">
        <v>3.0</v>
      </c>
      <c r="F121" s="31">
        <v>4.0</v>
      </c>
      <c r="G121" s="1"/>
      <c r="H121" s="1"/>
      <c r="I121" s="35" t="s">
        <v>94</v>
      </c>
      <c r="J121" s="35" t="s">
        <v>95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35" t="s">
        <v>96</v>
      </c>
      <c r="C122" s="20">
        <f t="shared" ref="C122:F122" si="28">C123+C124</f>
        <v>75055.4</v>
      </c>
      <c r="D122" s="20">
        <f t="shared" si="28"/>
        <v>86311</v>
      </c>
      <c r="E122" s="20">
        <f t="shared" si="28"/>
        <v>156164</v>
      </c>
      <c r="F122" s="20">
        <f t="shared" si="28"/>
        <v>281412</v>
      </c>
      <c r="G122" s="1"/>
      <c r="H122" s="1"/>
      <c r="I122" s="35" t="s">
        <v>97</v>
      </c>
      <c r="J122" s="35" t="s">
        <v>98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35" t="s">
        <v>99</v>
      </c>
      <c r="C123" s="12">
        <f t="shared" ref="C123:F123" si="29">C9</f>
        <v>49895</v>
      </c>
      <c r="D123" s="12">
        <f t="shared" si="29"/>
        <v>86311</v>
      </c>
      <c r="E123" s="12">
        <f t="shared" si="29"/>
        <v>156164</v>
      </c>
      <c r="F123" s="12">
        <f t="shared" si="29"/>
        <v>281412</v>
      </c>
      <c r="G123" s="1"/>
      <c r="H123" s="1"/>
      <c r="I123" s="35" t="s">
        <v>100</v>
      </c>
      <c r="J123" s="38" t="s">
        <v>101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35" t="s">
        <v>102</v>
      </c>
      <c r="C124" s="20">
        <f>$E$83</f>
        <v>25160.4</v>
      </c>
      <c r="D124" s="39"/>
      <c r="E124" s="39"/>
      <c r="F124" s="39"/>
      <c r="G124" s="1"/>
      <c r="H124" s="1"/>
      <c r="I124" s="36" t="s">
        <v>30</v>
      </c>
      <c r="J124" s="35" t="s">
        <v>103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39"/>
      <c r="C125" s="39"/>
      <c r="D125" s="39"/>
      <c r="E125" s="39"/>
      <c r="F125" s="39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35" t="s">
        <v>104</v>
      </c>
      <c r="C126" s="12">
        <f t="shared" ref="C126:F126" si="30">SUM(C128:C133)</f>
        <v>49009.97252</v>
      </c>
      <c r="D126" s="12">
        <f t="shared" si="30"/>
        <v>61915.69</v>
      </c>
      <c r="E126" s="12">
        <f t="shared" si="30"/>
        <v>90555.42</v>
      </c>
      <c r="F126" s="12">
        <f t="shared" si="30"/>
        <v>141907.1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35"/>
      <c r="C127" s="16"/>
      <c r="D127" s="16"/>
      <c r="E127" s="16"/>
      <c r="F127" s="1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35" t="s">
        <v>105</v>
      </c>
      <c r="C128" s="12">
        <f t="shared" ref="C128:F128" si="31">C62</f>
        <v>6218</v>
      </c>
      <c r="D128" s="12">
        <f t="shared" si="31"/>
        <v>6218</v>
      </c>
      <c r="E128" s="12">
        <f t="shared" si="31"/>
        <v>6218</v>
      </c>
      <c r="F128" s="12">
        <f t="shared" si="31"/>
        <v>6218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35" t="s">
        <v>106</v>
      </c>
      <c r="C129" s="40">
        <f t="shared" ref="C129:F129" si="32">$E$36</f>
        <v>16150</v>
      </c>
      <c r="D129" s="40">
        <f t="shared" si="32"/>
        <v>16150</v>
      </c>
      <c r="E129" s="40">
        <f t="shared" si="32"/>
        <v>16150</v>
      </c>
      <c r="F129" s="40">
        <f t="shared" si="32"/>
        <v>16150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41" t="s">
        <v>107</v>
      </c>
      <c r="C130" s="42">
        <f>C64+C66</f>
        <v>7677.342517</v>
      </c>
      <c r="D130" s="42">
        <f t="shared" ref="D130:F130" si="33">$E$42</f>
        <v>5652.5</v>
      </c>
      <c r="E130" s="42">
        <f t="shared" si="33"/>
        <v>5652.5</v>
      </c>
      <c r="F130" s="42">
        <f t="shared" si="33"/>
        <v>5652.5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35" t="s">
        <v>75</v>
      </c>
      <c r="C131" s="43">
        <f t="shared" ref="C131:F131" si="34">C97</f>
        <v>10482.48</v>
      </c>
      <c r="D131" s="43">
        <f t="shared" si="34"/>
        <v>19222.32</v>
      </c>
      <c r="E131" s="43">
        <f t="shared" si="34"/>
        <v>35987.04</v>
      </c>
      <c r="F131" s="43">
        <f t="shared" si="34"/>
        <v>66046.56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35" t="s">
        <v>108</v>
      </c>
      <c r="C132" s="12">
        <f t="shared" ref="C132:F132" si="35">C123*$G$132</f>
        <v>8482.15</v>
      </c>
      <c r="D132" s="12">
        <f t="shared" si="35"/>
        <v>14672.87</v>
      </c>
      <c r="E132" s="12">
        <f t="shared" si="35"/>
        <v>26547.88</v>
      </c>
      <c r="F132" s="12">
        <f t="shared" si="35"/>
        <v>47840.04</v>
      </c>
      <c r="G132" s="26">
        <v>0.17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35" t="s">
        <v>109</v>
      </c>
      <c r="C133" s="16">
        <v>0.0</v>
      </c>
      <c r="D133" s="16">
        <v>0.0</v>
      </c>
      <c r="E133" s="16">
        <v>0.0</v>
      </c>
      <c r="F133" s="16">
        <v>0.0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35" t="s">
        <v>110</v>
      </c>
      <c r="C134" s="12">
        <f>E81</f>
        <v>20000</v>
      </c>
      <c r="D134" s="39"/>
      <c r="E134" s="39"/>
      <c r="F134" s="39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35" t="s">
        <v>111</v>
      </c>
      <c r="C135" s="12">
        <f>E72</f>
        <v>5160.4</v>
      </c>
      <c r="D135" s="39"/>
      <c r="E135" s="39"/>
      <c r="F135" s="39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39"/>
      <c r="C136" s="39"/>
      <c r="D136" s="39"/>
      <c r="E136" s="39"/>
      <c r="F136" s="39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35" t="s">
        <v>112</v>
      </c>
      <c r="C137" s="12">
        <f t="shared" ref="C137:F137" si="36">C122-C124-C126</f>
        <v>885.0274833</v>
      </c>
      <c r="D137" s="12">
        <f t="shared" si="36"/>
        <v>24395.31</v>
      </c>
      <c r="E137" s="12">
        <f t="shared" si="36"/>
        <v>65608.58</v>
      </c>
      <c r="F137" s="12">
        <f t="shared" si="36"/>
        <v>139504.9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39"/>
      <c r="C138" s="39"/>
      <c r="D138" s="39"/>
      <c r="E138" s="39"/>
      <c r="F138" s="39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35" t="s">
        <v>113</v>
      </c>
      <c r="C139" s="16">
        <v>0.0</v>
      </c>
      <c r="D139" s="12">
        <f t="shared" ref="D139:F139" si="37">C140</f>
        <v>26045.42748</v>
      </c>
      <c r="E139" s="12">
        <f t="shared" si="37"/>
        <v>50440.73748</v>
      </c>
      <c r="F139" s="12">
        <f t="shared" si="37"/>
        <v>116049.3175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35" t="s">
        <v>114</v>
      </c>
      <c r="C140" s="12">
        <f>C124+C137</f>
        <v>26045.42748</v>
      </c>
      <c r="D140" s="12">
        <f t="shared" ref="D140:F140" si="38">D137+D139</f>
        <v>50440.73748</v>
      </c>
      <c r="E140" s="12">
        <f t="shared" si="38"/>
        <v>116049.3175</v>
      </c>
      <c r="F140" s="12">
        <f t="shared" si="38"/>
        <v>255554.2175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44"/>
      <c r="C142" s="44"/>
      <c r="D142" s="44"/>
      <c r="E142" s="44"/>
      <c r="F142" s="4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45"/>
      <c r="C143" s="46" t="s">
        <v>115</v>
      </c>
      <c r="D143" s="6"/>
      <c r="E143" s="6"/>
      <c r="F143" s="7"/>
      <c r="G143" s="4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47"/>
      <c r="C144" s="48">
        <v>1.0</v>
      </c>
      <c r="D144" s="48">
        <v>2.0</v>
      </c>
      <c r="E144" s="48">
        <v>3.0</v>
      </c>
      <c r="F144" s="28">
        <v>4.0</v>
      </c>
      <c r="G144" s="4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40.5" customHeight="1">
      <c r="A145" s="49"/>
      <c r="B145" s="50" t="s">
        <v>76</v>
      </c>
      <c r="C145" s="51">
        <f t="shared" ref="C145:F145" si="39">C98</f>
        <v>33194.52</v>
      </c>
      <c r="D145" s="51">
        <f t="shared" si="39"/>
        <v>60870.68</v>
      </c>
      <c r="E145" s="51">
        <f t="shared" si="39"/>
        <v>113958.96</v>
      </c>
      <c r="F145" s="51">
        <f t="shared" si="39"/>
        <v>209147.44</v>
      </c>
      <c r="G145" s="4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49"/>
      <c r="B146" s="52" t="s">
        <v>116</v>
      </c>
      <c r="C146" s="51">
        <f t="shared" ref="C146:F146" si="40">C65</f>
        <v>905.8216667</v>
      </c>
      <c r="D146" s="51">
        <f t="shared" si="40"/>
        <v>905.8216667</v>
      </c>
      <c r="E146" s="51">
        <f t="shared" si="40"/>
        <v>905.8216667</v>
      </c>
      <c r="F146" s="51">
        <f t="shared" si="40"/>
        <v>905.8216667</v>
      </c>
      <c r="G146" s="4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49"/>
      <c r="B147" s="53" t="s">
        <v>117</v>
      </c>
      <c r="C147" s="51">
        <f t="shared" ref="C147:F147" si="41">C145+C146</f>
        <v>34100.34167</v>
      </c>
      <c r="D147" s="51">
        <f t="shared" si="41"/>
        <v>61776.50167</v>
      </c>
      <c r="E147" s="51">
        <f t="shared" si="41"/>
        <v>114864.7817</v>
      </c>
      <c r="F147" s="51">
        <f t="shared" si="41"/>
        <v>210053.2617</v>
      </c>
      <c r="G147" s="4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49"/>
      <c r="B148" s="52" t="s">
        <v>118</v>
      </c>
      <c r="C148" s="51">
        <f t="shared" ref="C148:F148" si="42">C110</f>
        <v>25160.4</v>
      </c>
      <c r="D148" s="51">
        <f t="shared" si="42"/>
        <v>25160.4</v>
      </c>
      <c r="E148" s="51">
        <f t="shared" si="42"/>
        <v>25160.4</v>
      </c>
      <c r="F148" s="51">
        <f t="shared" si="42"/>
        <v>25160.4</v>
      </c>
      <c r="G148" s="4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49"/>
      <c r="B149" s="53" t="s">
        <v>119</v>
      </c>
      <c r="C149" s="54">
        <v>0.1</v>
      </c>
      <c r="D149" s="54">
        <v>0.1</v>
      </c>
      <c r="E149" s="54">
        <v>0.1</v>
      </c>
      <c r="F149" s="54">
        <v>0.1</v>
      </c>
      <c r="G149" s="4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49"/>
      <c r="B150" s="53" t="s">
        <v>120</v>
      </c>
      <c r="C150" s="51">
        <f t="shared" ref="C150:F150" si="43">C147*C149</f>
        <v>3410.034167</v>
      </c>
      <c r="D150" s="51">
        <f t="shared" si="43"/>
        <v>6177.650167</v>
      </c>
      <c r="E150" s="51">
        <f t="shared" si="43"/>
        <v>11486.47817</v>
      </c>
      <c r="F150" s="51">
        <f t="shared" si="43"/>
        <v>21005.32617</v>
      </c>
      <c r="G150" s="4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44"/>
      <c r="C151" s="44"/>
      <c r="D151" s="44"/>
      <c r="E151" s="44"/>
      <c r="F151" s="4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34" t="s">
        <v>121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55" t="s">
        <v>122</v>
      </c>
      <c r="C154" s="31">
        <v>1.0</v>
      </c>
      <c r="D154" s="31">
        <v>2.0</v>
      </c>
      <c r="E154" s="31">
        <v>3.0</v>
      </c>
      <c r="F154" s="31">
        <v>4.0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25"/>
      <c r="C155" s="12">
        <f t="shared" ref="C155:F155" si="44">C$147-C$148</f>
        <v>8939.941667</v>
      </c>
      <c r="D155" s="12">
        <f t="shared" si="44"/>
        <v>36616.10167</v>
      </c>
      <c r="E155" s="12">
        <f t="shared" si="44"/>
        <v>89704.38167</v>
      </c>
      <c r="F155" s="12">
        <f t="shared" si="44"/>
        <v>184892.8617</v>
      </c>
      <c r="G155" s="56"/>
      <c r="H155" s="57"/>
      <c r="I155" s="58"/>
      <c r="J155" s="58"/>
      <c r="K155" s="58"/>
      <c r="L155" s="58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35" t="s">
        <v>123</v>
      </c>
      <c r="C156" s="12">
        <f>C155</f>
        <v>8939.941667</v>
      </c>
      <c r="D156" s="12">
        <f t="shared" ref="D156:F156" si="45">D155+C156</f>
        <v>45556.04333</v>
      </c>
      <c r="E156" s="12">
        <f t="shared" si="45"/>
        <v>135260.425</v>
      </c>
      <c r="F156" s="12">
        <f t="shared" si="45"/>
        <v>320153.2867</v>
      </c>
      <c r="G156" s="1"/>
      <c r="H156" s="1"/>
      <c r="I156" s="1"/>
      <c r="J156" s="1"/>
      <c r="K156" s="59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35" t="s">
        <v>124</v>
      </c>
      <c r="C157" s="12">
        <f t="shared" ref="C157:F157" si="46">1/(1+C149)^(C154-1)</f>
        <v>1</v>
      </c>
      <c r="D157" s="12">
        <f t="shared" si="46"/>
        <v>0.9090909091</v>
      </c>
      <c r="E157" s="12">
        <f t="shared" si="46"/>
        <v>0.826446281</v>
      </c>
      <c r="F157" s="12">
        <f t="shared" si="46"/>
        <v>0.7513148009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35" t="s">
        <v>125</v>
      </c>
      <c r="C158" s="12">
        <f t="shared" ref="C158:F158" si="47">C155*C157</f>
        <v>8939.941667</v>
      </c>
      <c r="D158" s="12">
        <f t="shared" si="47"/>
        <v>33287.36515</v>
      </c>
      <c r="E158" s="12">
        <f t="shared" si="47"/>
        <v>74135.85262</v>
      </c>
      <c r="F158" s="12">
        <f t="shared" si="47"/>
        <v>138912.7436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35" t="s">
        <v>126</v>
      </c>
      <c r="C159" s="12">
        <f>C158</f>
        <v>8939.941667</v>
      </c>
      <c r="D159" s="12">
        <f t="shared" ref="D159:F159" si="48">D158+C159</f>
        <v>42227.30682</v>
      </c>
      <c r="E159" s="12">
        <f t="shared" si="48"/>
        <v>116363.1594</v>
      </c>
      <c r="F159" s="12">
        <f t="shared" si="48"/>
        <v>255275.903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50" t="s">
        <v>127</v>
      </c>
      <c r="C162" s="60">
        <f>IFERROR(__xludf.DUMMYFUNCTION("IRR(IF(COUNTIF(C155:F155,""&lt;0""), C155:F155, FLATTEN(-E82,C155:F155)))"),1.287240230090055)</f>
        <v>1.28724023</v>
      </c>
      <c r="D162" s="1"/>
      <c r="E162" s="61"/>
      <c r="F162" s="62"/>
      <c r="G162" s="62"/>
      <c r="H162" s="62"/>
      <c r="I162" s="6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50" t="s">
        <v>128</v>
      </c>
      <c r="C163" s="63">
        <f>C145/C148</f>
        <v>1.319316068</v>
      </c>
      <c r="D163" s="1"/>
      <c r="E163" s="64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50" t="s">
        <v>129</v>
      </c>
      <c r="C164" s="65">
        <f>C145/E83</f>
        <v>1.319316068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50" t="s">
        <v>130</v>
      </c>
      <c r="C165" s="65">
        <f>C145/C90</f>
        <v>0.6652875038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50" t="s">
        <v>131</v>
      </c>
      <c r="C166" s="60">
        <f>C145/C67</f>
        <v>1.072480499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66" t="s">
        <v>132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50" t="s">
        <v>133</v>
      </c>
      <c r="C170" s="67">
        <f>AVERAGE(C8:F8)*12*365 + AVERAGE(C6:F6)</f>
        <v>1584.8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50" t="s">
        <v>134</v>
      </c>
      <c r="C171" s="68">
        <f>AVERAGE(C67:F67)/C170</f>
        <v>19.53001274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2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3">
    <mergeCell ref="B2:F2"/>
    <mergeCell ref="C3:F3"/>
    <mergeCell ref="B12:E12"/>
    <mergeCell ref="B34:E34"/>
    <mergeCell ref="B46:F46"/>
    <mergeCell ref="B59:F59"/>
    <mergeCell ref="C60:F60"/>
    <mergeCell ref="B60:B61"/>
    <mergeCell ref="B70:E70"/>
    <mergeCell ref="B87:F87"/>
    <mergeCell ref="B88:B89"/>
    <mergeCell ref="C88:F88"/>
    <mergeCell ref="B104:F104"/>
    <mergeCell ref="B105:B106"/>
    <mergeCell ref="B154:B155"/>
    <mergeCell ref="B169:C169"/>
    <mergeCell ref="C105:F105"/>
    <mergeCell ref="B119:F119"/>
    <mergeCell ref="B120:B121"/>
    <mergeCell ref="C120:F120"/>
    <mergeCell ref="B143:B144"/>
    <mergeCell ref="C143:F143"/>
    <mergeCell ref="B153:F153"/>
  </mergeCells>
  <drawing r:id="rId1"/>
</worksheet>
</file>