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/>
  </mc:AlternateContent>
  <xr:revisionPtr revIDLastSave="0" documentId="13_ncr:1_{DEADA22D-E279-4C95-970E-6122E1B71B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Начните здесь" sheetId="1" r:id="rId1"/>
    <sheet name="Итог" sheetId="2" r:id="rId2"/>
    <sheet name="Допущения" sheetId="3" r:id="rId3"/>
    <sheet name="Привлечение" sheetId="4" r:id="rId4"/>
    <sheet name="Подписка" sheetId="5" r:id="rId5"/>
    <sheet name="Деньги" sheetId="6" r:id="rId6"/>
  </sheets>
  <definedNames>
    <definedName name="_xlnm.Print_Area" localSheetId="5">Деньги!$A$1:$N$21</definedName>
    <definedName name="_xlnm.Print_Area" localSheetId="2">Допущения!$A$1:$N$54</definedName>
    <definedName name="_xlnm.Print_Area" localSheetId="1">Итог!$A$1:$H$43</definedName>
    <definedName name="_xlnm.Print_Area" localSheetId="0">'Начните здесь'!$A$1:$J$18</definedName>
    <definedName name="_xlnm.Print_Area" localSheetId="4">Подписка!$A$1:$M$50</definedName>
    <definedName name="_xlnm.Print_Area" localSheetId="3">Привлечение!$A$1:$N$44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8" i="6" l="1"/>
  <c r="I17" i="6"/>
  <c r="I16" i="6"/>
  <c r="I15" i="6"/>
  <c r="I14" i="6"/>
  <c r="I13" i="6"/>
  <c r="I12" i="6"/>
  <c r="I11" i="6"/>
  <c r="I10" i="6"/>
  <c r="I9" i="6"/>
  <c r="I8" i="6"/>
  <c r="I7" i="6"/>
  <c r="M6" i="6"/>
  <c r="J6" i="6"/>
  <c r="K6" i="6" s="1"/>
  <c r="L6" i="6" s="1"/>
  <c r="I6" i="6"/>
  <c r="H6" i="6"/>
  <c r="G6" i="6"/>
  <c r="F6" i="6"/>
  <c r="E6" i="6"/>
  <c r="D6" i="6"/>
  <c r="C6" i="6"/>
  <c r="B6" i="6"/>
  <c r="E3" i="6"/>
  <c r="B3" i="6"/>
  <c r="A50" i="5"/>
  <c r="C48" i="5"/>
  <c r="B48" i="5"/>
  <c r="A48" i="5"/>
  <c r="C47" i="5"/>
  <c r="B47" i="5"/>
  <c r="A47" i="5"/>
  <c r="C46" i="5"/>
  <c r="B46" i="5"/>
  <c r="A46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C8" i="5"/>
  <c r="B8" i="5"/>
  <c r="C7" i="5"/>
  <c r="B7" i="5"/>
  <c r="C6" i="5"/>
  <c r="B6" i="5"/>
  <c r="E3" i="5"/>
  <c r="B3" i="5"/>
  <c r="D41" i="4"/>
  <c r="B41" i="4"/>
  <c r="D40" i="4"/>
  <c r="B40" i="4"/>
  <c r="E39" i="4"/>
  <c r="D39" i="4"/>
  <c r="B39" i="4"/>
  <c r="D38" i="4"/>
  <c r="B38" i="4"/>
  <c r="E37" i="4"/>
  <c r="F37" i="4" s="1"/>
  <c r="D37" i="4"/>
  <c r="B37" i="4"/>
  <c r="D36" i="4"/>
  <c r="B36" i="4"/>
  <c r="E35" i="4"/>
  <c r="D35" i="4"/>
  <c r="B35" i="4"/>
  <c r="D34" i="4"/>
  <c r="C34" i="4"/>
  <c r="J34" i="4" s="1"/>
  <c r="K37" i="4" s="1"/>
  <c r="B34" i="4"/>
  <c r="D33" i="4"/>
  <c r="B33" i="4"/>
  <c r="E32" i="4"/>
  <c r="D32" i="4"/>
  <c r="G15" i="6" s="1"/>
  <c r="B32" i="4"/>
  <c r="D31" i="4"/>
  <c r="B31" i="4"/>
  <c r="D30" i="4"/>
  <c r="B30" i="4"/>
  <c r="D29" i="4"/>
  <c r="B29" i="4"/>
  <c r="D28" i="4"/>
  <c r="B28" i="4"/>
  <c r="E27" i="4"/>
  <c r="D27" i="4"/>
  <c r="G14" i="6" s="1"/>
  <c r="B27" i="4"/>
  <c r="D26" i="4"/>
  <c r="B26" i="4"/>
  <c r="E25" i="4"/>
  <c r="F25" i="4" s="1"/>
  <c r="D25" i="4"/>
  <c r="B25" i="4"/>
  <c r="D24" i="4"/>
  <c r="G13" i="6" s="1"/>
  <c r="B24" i="4"/>
  <c r="E23" i="4"/>
  <c r="D23" i="4"/>
  <c r="B23" i="4"/>
  <c r="D22" i="4"/>
  <c r="C22" i="4"/>
  <c r="J22" i="4" s="1"/>
  <c r="K25" i="4" s="1"/>
  <c r="B22" i="4"/>
  <c r="D21" i="4"/>
  <c r="B21" i="4"/>
  <c r="E20" i="4"/>
  <c r="D20" i="4"/>
  <c r="B20" i="4"/>
  <c r="D19" i="4"/>
  <c r="B19" i="4"/>
  <c r="D18" i="4"/>
  <c r="B18" i="4"/>
  <c r="D17" i="4"/>
  <c r="B17" i="4"/>
  <c r="D16" i="4"/>
  <c r="B16" i="4"/>
  <c r="E15" i="4"/>
  <c r="D15" i="4"/>
  <c r="B15" i="4"/>
  <c r="D14" i="4"/>
  <c r="B14" i="4"/>
  <c r="E13" i="4"/>
  <c r="F13" i="4" s="1"/>
  <c r="D13" i="4"/>
  <c r="B13" i="4"/>
  <c r="D12" i="4"/>
  <c r="G9" i="6" s="1"/>
  <c r="B12" i="4"/>
  <c r="E11" i="4"/>
  <c r="D11" i="4"/>
  <c r="B11" i="4"/>
  <c r="D10" i="4"/>
  <c r="C10" i="4"/>
  <c r="H10" i="4" s="1"/>
  <c r="I10" i="4" s="1"/>
  <c r="M10" i="4" s="1"/>
  <c r="N10" i="4" s="1"/>
  <c r="B10" i="4"/>
  <c r="D9" i="4"/>
  <c r="B9" i="4"/>
  <c r="K8" i="4"/>
  <c r="E8" i="4"/>
  <c r="F8" i="4" s="1"/>
  <c r="D8" i="4"/>
  <c r="B8" i="4"/>
  <c r="K7" i="4"/>
  <c r="E7" i="4"/>
  <c r="D7" i="4"/>
  <c r="F7" i="4" s="1"/>
  <c r="B7" i="4"/>
  <c r="K6" i="4"/>
  <c r="D6" i="4"/>
  <c r="G7" i="6" s="1"/>
  <c r="B6" i="4"/>
  <c r="E3" i="4"/>
  <c r="B3" i="4"/>
  <c r="N32" i="3"/>
  <c r="C17" i="4" s="1"/>
  <c r="N31" i="3"/>
  <c r="C31" i="4" s="1"/>
  <c r="N30" i="3"/>
  <c r="C39" i="4" s="1"/>
  <c r="B25" i="3"/>
  <c r="B24" i="3"/>
  <c r="B23" i="3"/>
  <c r="E34" i="4" s="1"/>
  <c r="E3" i="3"/>
  <c r="A26" i="2"/>
  <c r="B24" i="2"/>
  <c r="A24" i="2"/>
  <c r="B23" i="2"/>
  <c r="A23" i="2"/>
  <c r="B22" i="2"/>
  <c r="A22" i="2"/>
  <c r="E3" i="2"/>
  <c r="B3" i="2"/>
  <c r="F20" i="4" l="1"/>
  <c r="F27" i="4"/>
  <c r="E16" i="4"/>
  <c r="F16" i="4"/>
  <c r="C7" i="4"/>
  <c r="E9" i="4"/>
  <c r="C13" i="4"/>
  <c r="E21" i="4"/>
  <c r="C25" i="4"/>
  <c r="H25" i="4" s="1"/>
  <c r="I25" i="4" s="1"/>
  <c r="M25" i="4" s="1"/>
  <c r="N25" i="4" s="1"/>
  <c r="C29" i="4"/>
  <c r="G29" i="4" s="1"/>
  <c r="E33" i="4"/>
  <c r="F33" i="4" s="1"/>
  <c r="C37" i="4"/>
  <c r="G37" i="4" s="1"/>
  <c r="L37" i="4" s="1"/>
  <c r="F37" i="5" s="1"/>
  <c r="L37" i="5" s="1"/>
  <c r="C41" i="4"/>
  <c r="F15" i="4"/>
  <c r="F32" i="4"/>
  <c r="F39" i="4"/>
  <c r="F34" i="4"/>
  <c r="G11" i="6"/>
  <c r="H22" i="4"/>
  <c r="I22" i="4" s="1"/>
  <c r="M22" i="4" s="1"/>
  <c r="N22" i="4" s="1"/>
  <c r="H34" i="4"/>
  <c r="I34" i="4" s="1"/>
  <c r="M34" i="4" s="1"/>
  <c r="N34" i="4" s="1"/>
  <c r="J10" i="4"/>
  <c r="K13" i="4" s="1"/>
  <c r="C27" i="4"/>
  <c r="H27" i="4" s="1"/>
  <c r="I27" i="4" s="1"/>
  <c r="M27" i="4" s="1"/>
  <c r="N27" i="4" s="1"/>
  <c r="G17" i="6"/>
  <c r="D8" i="5"/>
  <c r="E8" i="5" s="1"/>
  <c r="D7" i="5"/>
  <c r="E7" i="5" s="1"/>
  <c r="D6" i="5"/>
  <c r="E6" i="5" s="1"/>
  <c r="D48" i="5"/>
  <c r="E48" i="5" s="1"/>
  <c r="G24" i="2" s="1"/>
  <c r="A54" i="3"/>
  <c r="A42" i="2" s="1"/>
  <c r="C36" i="4"/>
  <c r="C24" i="4"/>
  <c r="C12" i="4"/>
  <c r="C33" i="4"/>
  <c r="C21" i="4"/>
  <c r="C9" i="4"/>
  <c r="C30" i="4"/>
  <c r="D47" i="5"/>
  <c r="C32" i="4"/>
  <c r="C20" i="4"/>
  <c r="C8" i="4"/>
  <c r="C38" i="4"/>
  <c r="C26" i="4"/>
  <c r="C14" i="4"/>
  <c r="C11" i="4"/>
  <c r="G16" i="6"/>
  <c r="C35" i="4"/>
  <c r="G10" i="6"/>
  <c r="E47" i="5"/>
  <c r="G23" i="2" s="1"/>
  <c r="G17" i="4"/>
  <c r="G25" i="4"/>
  <c r="L25" i="4" s="1"/>
  <c r="F25" i="5" s="1"/>
  <c r="L25" i="5" s="1"/>
  <c r="F9" i="4"/>
  <c r="G8" i="6"/>
  <c r="H31" i="4"/>
  <c r="I31" i="4" s="1"/>
  <c r="M31" i="4" s="1"/>
  <c r="N31" i="4" s="1"/>
  <c r="J31" i="4"/>
  <c r="K34" i="4" s="1"/>
  <c r="F11" i="4"/>
  <c r="F35" i="4"/>
  <c r="H7" i="4"/>
  <c r="I7" i="4" s="1"/>
  <c r="M7" i="4" s="1"/>
  <c r="N7" i="4" s="1"/>
  <c r="J7" i="4"/>
  <c r="K10" i="4" s="1"/>
  <c r="F28" i="4"/>
  <c r="C18" i="4"/>
  <c r="G12" i="6"/>
  <c r="F21" i="4"/>
  <c r="H39" i="4"/>
  <c r="I39" i="4" s="1"/>
  <c r="M39" i="4" s="1"/>
  <c r="N39" i="4" s="1"/>
  <c r="G39" i="4"/>
  <c r="G18" i="6"/>
  <c r="C6" i="4"/>
  <c r="C23" i="4"/>
  <c r="J39" i="4"/>
  <c r="D46" i="5"/>
  <c r="E46" i="5" s="1"/>
  <c r="G22" i="2" s="1"/>
  <c r="N6" i="6"/>
  <c r="G41" i="4"/>
  <c r="G7" i="4"/>
  <c r="L7" i="4" s="1"/>
  <c r="F7" i="5" s="1"/>
  <c r="L7" i="5" s="1"/>
  <c r="G13" i="4"/>
  <c r="L13" i="4" s="1"/>
  <c r="F13" i="5" s="1"/>
  <c r="L13" i="5" s="1"/>
  <c r="C15" i="4"/>
  <c r="F23" i="4"/>
  <c r="G34" i="4"/>
  <c r="L34" i="4" s="1"/>
  <c r="F34" i="5" s="1"/>
  <c r="L34" i="5" s="1"/>
  <c r="E12" i="4"/>
  <c r="F12" i="4" s="1"/>
  <c r="E24" i="4"/>
  <c r="F24" i="4" s="1"/>
  <c r="E36" i="4"/>
  <c r="F36" i="4" s="1"/>
  <c r="E14" i="4"/>
  <c r="F14" i="4" s="1"/>
  <c r="C16" i="4"/>
  <c r="E26" i="4"/>
  <c r="F26" i="4" s="1"/>
  <c r="C28" i="4"/>
  <c r="E38" i="4"/>
  <c r="F38" i="4" s="1"/>
  <c r="C40" i="4"/>
  <c r="E28" i="4"/>
  <c r="E40" i="4"/>
  <c r="F40" i="4" s="1"/>
  <c r="E17" i="4"/>
  <c r="F17" i="4" s="1"/>
  <c r="H17" i="4" s="1"/>
  <c r="I17" i="4" s="1"/>
  <c r="C19" i="4"/>
  <c r="E29" i="4"/>
  <c r="F29" i="4" s="1"/>
  <c r="E41" i="4"/>
  <c r="F41" i="4" s="1"/>
  <c r="H41" i="4" s="1"/>
  <c r="I41" i="4" s="1"/>
  <c r="E6" i="4"/>
  <c r="F6" i="4" s="1"/>
  <c r="E18" i="4"/>
  <c r="E30" i="4"/>
  <c r="F30" i="4" s="1"/>
  <c r="F18" i="4"/>
  <c r="E19" i="4"/>
  <c r="F19" i="4" s="1"/>
  <c r="E31" i="4"/>
  <c r="F31" i="4" s="1"/>
  <c r="G31" i="4" s="1"/>
  <c r="E10" i="4"/>
  <c r="F10" i="4" s="1"/>
  <c r="G10" i="4" s="1"/>
  <c r="E22" i="4"/>
  <c r="F22" i="4" s="1"/>
  <c r="G22" i="4" s="1"/>
  <c r="J13" i="4" l="1"/>
  <c r="K16" i="4" s="1"/>
  <c r="H13" i="4"/>
  <c r="I13" i="4" s="1"/>
  <c r="M13" i="4" s="1"/>
  <c r="N13" i="4" s="1"/>
  <c r="H37" i="4"/>
  <c r="I37" i="4" s="1"/>
  <c r="M37" i="4" s="1"/>
  <c r="N37" i="4" s="1"/>
  <c r="J37" i="4"/>
  <c r="K40" i="4" s="1"/>
  <c r="J27" i="4"/>
  <c r="K30" i="4" s="1"/>
  <c r="H29" i="4"/>
  <c r="I29" i="4" s="1"/>
  <c r="G27" i="4"/>
  <c r="L10" i="4"/>
  <c r="F10" i="5" s="1"/>
  <c r="L10" i="5" s="1"/>
  <c r="J25" i="4"/>
  <c r="K28" i="4" s="1"/>
  <c r="M29" i="4"/>
  <c r="N29" i="4" s="1"/>
  <c r="H14" i="6" s="1"/>
  <c r="E36" i="2" s="1"/>
  <c r="J29" i="4"/>
  <c r="K32" i="4" s="1"/>
  <c r="M17" i="4"/>
  <c r="N17" i="4" s="1"/>
  <c r="J17" i="4"/>
  <c r="K20" i="4" s="1"/>
  <c r="M41" i="4"/>
  <c r="N41" i="4" s="1"/>
  <c r="J41" i="4"/>
  <c r="J12" i="4"/>
  <c r="K15" i="4" s="1"/>
  <c r="G12" i="4"/>
  <c r="H12" i="4"/>
  <c r="I12" i="4" s="1"/>
  <c r="M12" i="4" s="1"/>
  <c r="N12" i="4" s="1"/>
  <c r="G20" i="4"/>
  <c r="L20" i="4" s="1"/>
  <c r="F20" i="5" s="1"/>
  <c r="L20" i="5" s="1"/>
  <c r="H20" i="4"/>
  <c r="I20" i="4" s="1"/>
  <c r="M20" i="4" s="1"/>
  <c r="N20" i="4" s="1"/>
  <c r="J21" i="4"/>
  <c r="K24" i="4" s="1"/>
  <c r="H21" i="4"/>
  <c r="I21" i="4" s="1"/>
  <c r="M21" i="4" s="1"/>
  <c r="N21" i="4" s="1"/>
  <c r="H12" i="6" s="1"/>
  <c r="G21" i="4"/>
  <c r="H28" i="4"/>
  <c r="I28" i="4" s="1"/>
  <c r="M28" i="4" s="1"/>
  <c r="N28" i="4" s="1"/>
  <c r="G28" i="4"/>
  <c r="J28" i="4"/>
  <c r="K31" i="4" s="1"/>
  <c r="L31" i="4" s="1"/>
  <c r="F31" i="5" s="1"/>
  <c r="L31" i="5" s="1"/>
  <c r="G32" i="4"/>
  <c r="H32" i="4"/>
  <c r="I32" i="4" s="1"/>
  <c r="M32" i="4" s="1"/>
  <c r="N32" i="4" s="1"/>
  <c r="H16" i="4"/>
  <c r="I16" i="4" s="1"/>
  <c r="M16" i="4" s="1"/>
  <c r="N16" i="4" s="1"/>
  <c r="G16" i="4"/>
  <c r="L16" i="4" s="1"/>
  <c r="F16" i="5" s="1"/>
  <c r="L16" i="5" s="1"/>
  <c r="J16" i="4"/>
  <c r="K19" i="4" s="1"/>
  <c r="H18" i="6"/>
  <c r="E40" i="2" s="1"/>
  <c r="H35" i="4"/>
  <c r="I35" i="4" s="1"/>
  <c r="M35" i="4" s="1"/>
  <c r="N35" i="4" s="1"/>
  <c r="G35" i="4"/>
  <c r="J24" i="4"/>
  <c r="K27" i="4" s="1"/>
  <c r="L27" i="4" s="1"/>
  <c r="F27" i="5" s="1"/>
  <c r="G24" i="4"/>
  <c r="H24" i="4"/>
  <c r="I24" i="4" s="1"/>
  <c r="M24" i="4" s="1"/>
  <c r="N24" i="4" s="1"/>
  <c r="H15" i="4"/>
  <c r="I15" i="4" s="1"/>
  <c r="M15" i="4" s="1"/>
  <c r="N15" i="4" s="1"/>
  <c r="G15" i="4"/>
  <c r="J15" i="4"/>
  <c r="K18" i="4" s="1"/>
  <c r="J33" i="4"/>
  <c r="K36" i="4" s="1"/>
  <c r="H33" i="4"/>
  <c r="I33" i="4" s="1"/>
  <c r="M33" i="4" s="1"/>
  <c r="N33" i="4" s="1"/>
  <c r="G33" i="4"/>
  <c r="J36" i="4"/>
  <c r="K39" i="4" s="1"/>
  <c r="L39" i="4" s="1"/>
  <c r="F39" i="5" s="1"/>
  <c r="G36" i="4"/>
  <c r="H36" i="4"/>
  <c r="I36" i="4" s="1"/>
  <c r="M36" i="4" s="1"/>
  <c r="N36" i="4" s="1"/>
  <c r="E34" i="2"/>
  <c r="H11" i="4"/>
  <c r="I11" i="4" s="1"/>
  <c r="M11" i="4" s="1"/>
  <c r="N11" i="4" s="1"/>
  <c r="G11" i="4"/>
  <c r="H23" i="4"/>
  <c r="I23" i="4" s="1"/>
  <c r="M23" i="4" s="1"/>
  <c r="N23" i="4" s="1"/>
  <c r="G23" i="4"/>
  <c r="H26" i="4"/>
  <c r="I26" i="4" s="1"/>
  <c r="M26" i="4" s="1"/>
  <c r="N26" i="4" s="1"/>
  <c r="G26" i="4"/>
  <c r="G7" i="5"/>
  <c r="G18" i="4"/>
  <c r="L18" i="4" s="1"/>
  <c r="F18" i="5" s="1"/>
  <c r="J18" i="4"/>
  <c r="K21" i="4" s="1"/>
  <c r="H18" i="4"/>
  <c r="I18" i="4" s="1"/>
  <c r="M18" i="4" s="1"/>
  <c r="N18" i="4" s="1"/>
  <c r="H14" i="4"/>
  <c r="I14" i="4" s="1"/>
  <c r="M14" i="4" s="1"/>
  <c r="N14" i="4" s="1"/>
  <c r="G14" i="4"/>
  <c r="H38" i="4"/>
  <c r="I38" i="4" s="1"/>
  <c r="M38" i="4" s="1"/>
  <c r="N38" i="4" s="1"/>
  <c r="G38" i="4"/>
  <c r="J30" i="4"/>
  <c r="K33" i="4" s="1"/>
  <c r="H30" i="4"/>
  <c r="I30" i="4" s="1"/>
  <c r="M30" i="4" s="1"/>
  <c r="N30" i="4" s="1"/>
  <c r="G30" i="4"/>
  <c r="J6" i="4"/>
  <c r="K9" i="4" s="1"/>
  <c r="H6" i="4"/>
  <c r="I6" i="4" s="1"/>
  <c r="M6" i="4" s="1"/>
  <c r="N6" i="4" s="1"/>
  <c r="G6" i="4"/>
  <c r="L6" i="4" s="1"/>
  <c r="F6" i="5" s="1"/>
  <c r="G6" i="5" s="1"/>
  <c r="H19" i="4"/>
  <c r="I19" i="4" s="1"/>
  <c r="M19" i="4" s="1"/>
  <c r="N19" i="4" s="1"/>
  <c r="J19" i="4"/>
  <c r="K22" i="4" s="1"/>
  <c r="L22" i="4" s="1"/>
  <c r="F22" i="5" s="1"/>
  <c r="G19" i="4"/>
  <c r="H40" i="4"/>
  <c r="I40" i="4" s="1"/>
  <c r="M40" i="4" s="1"/>
  <c r="N40" i="4" s="1"/>
  <c r="G40" i="4"/>
  <c r="L40" i="4" s="1"/>
  <c r="F40" i="5" s="1"/>
  <c r="L40" i="5" s="1"/>
  <c r="J40" i="4"/>
  <c r="G8" i="4"/>
  <c r="L8" i="4" s="1"/>
  <c r="F8" i="5" s="1"/>
  <c r="H8" i="4"/>
  <c r="I8" i="4" s="1"/>
  <c r="M8" i="4" s="1"/>
  <c r="N8" i="4" s="1"/>
  <c r="J9" i="4"/>
  <c r="K12" i="4" s="1"/>
  <c r="H9" i="4"/>
  <c r="I9" i="4" s="1"/>
  <c r="M9" i="4" s="1"/>
  <c r="N9" i="4" s="1"/>
  <c r="H8" i="6" s="1"/>
  <c r="E30" i="2" s="1"/>
  <c r="G9" i="4"/>
  <c r="L9" i="4" s="1"/>
  <c r="F9" i="5" s="1"/>
  <c r="H9" i="6" l="1"/>
  <c r="E31" i="2" s="1"/>
  <c r="L30" i="4"/>
  <c r="F30" i="5" s="1"/>
  <c r="L32" i="4"/>
  <c r="F32" i="5" s="1"/>
  <c r="L32" i="5" s="1"/>
  <c r="H10" i="6"/>
  <c r="E32" i="2" s="1"/>
  <c r="J11" i="4"/>
  <c r="K14" i="4" s="1"/>
  <c r="L28" i="4"/>
  <c r="F28" i="5" s="1"/>
  <c r="L28" i="5" s="1"/>
  <c r="L19" i="4"/>
  <c r="F19" i="5" s="1"/>
  <c r="L19" i="5" s="1"/>
  <c r="L24" i="4"/>
  <c r="F24" i="5" s="1"/>
  <c r="L39" i="5"/>
  <c r="L22" i="5"/>
  <c r="D23" i="2"/>
  <c r="F23" i="2" s="1"/>
  <c r="H23" i="2" s="1"/>
  <c r="B14" i="6"/>
  <c r="B36" i="2" s="1"/>
  <c r="L27" i="5"/>
  <c r="J38" i="4"/>
  <c r="K41" i="4" s="1"/>
  <c r="L41" i="4" s="1"/>
  <c r="F41" i="5" s="1"/>
  <c r="L41" i="5" s="1"/>
  <c r="J26" i="4"/>
  <c r="K29" i="4" s="1"/>
  <c r="L29" i="4" s="1"/>
  <c r="F29" i="5" s="1"/>
  <c r="L29" i="5" s="1"/>
  <c r="L36" i="4"/>
  <c r="F36" i="5" s="1"/>
  <c r="L24" i="5"/>
  <c r="L12" i="4"/>
  <c r="F12" i="5" s="1"/>
  <c r="H17" i="6"/>
  <c r="E39" i="2" s="1"/>
  <c r="J32" i="4"/>
  <c r="K35" i="4" s="1"/>
  <c r="L14" i="4"/>
  <c r="F14" i="5" s="1"/>
  <c r="L14" i="5" s="1"/>
  <c r="B7" i="6"/>
  <c r="L6" i="5"/>
  <c r="L35" i="4"/>
  <c r="F35" i="5" s="1"/>
  <c r="L35" i="5" s="1"/>
  <c r="C9" i="5"/>
  <c r="K6" i="5"/>
  <c r="H6" i="5"/>
  <c r="J6" i="5"/>
  <c r="H13" i="6"/>
  <c r="E35" i="2" s="1"/>
  <c r="H7" i="6"/>
  <c r="E29" i="2" s="1"/>
  <c r="J14" i="4"/>
  <c r="K17" i="4" s="1"/>
  <c r="L17" i="4" s="1"/>
  <c r="F17" i="5" s="1"/>
  <c r="L17" i="5" s="1"/>
  <c r="L33" i="4"/>
  <c r="F33" i="5" s="1"/>
  <c r="L9" i="5"/>
  <c r="J8" i="4"/>
  <c r="K11" i="4" s="1"/>
  <c r="H11" i="6"/>
  <c r="E33" i="2" s="1"/>
  <c r="J23" i="4"/>
  <c r="K26" i="4" s="1"/>
  <c r="L26" i="4" s="1"/>
  <c r="F26" i="5" s="1"/>
  <c r="H16" i="6"/>
  <c r="E38" i="2" s="1"/>
  <c r="J35" i="4"/>
  <c r="K38" i="4" s="1"/>
  <c r="L38" i="4" s="1"/>
  <c r="F38" i="5" s="1"/>
  <c r="L38" i="5" s="1"/>
  <c r="L21" i="4"/>
  <c r="F21" i="5" s="1"/>
  <c r="B11" i="6"/>
  <c r="B33" i="2" s="1"/>
  <c r="L18" i="5"/>
  <c r="F11" i="6" s="1"/>
  <c r="B15" i="6"/>
  <c r="B37" i="2" s="1"/>
  <c r="L30" i="5"/>
  <c r="F15" i="6" s="1"/>
  <c r="L8" i="5"/>
  <c r="H15" i="6"/>
  <c r="E37" i="2" s="1"/>
  <c r="G8" i="5"/>
  <c r="C7" i="6" s="1"/>
  <c r="L11" i="4"/>
  <c r="F11" i="5" s="1"/>
  <c r="L11" i="5" s="1"/>
  <c r="C10" i="5"/>
  <c r="K7" i="5"/>
  <c r="J7" i="5"/>
  <c r="H7" i="5"/>
  <c r="L15" i="4"/>
  <c r="F15" i="5" s="1"/>
  <c r="J20" i="4"/>
  <c r="K23" i="4" s="1"/>
  <c r="L23" i="4" s="1"/>
  <c r="F23" i="5" s="1"/>
  <c r="L23" i="5" l="1"/>
  <c r="D24" i="2"/>
  <c r="F24" i="2" s="1"/>
  <c r="H24" i="2" s="1"/>
  <c r="L26" i="5"/>
  <c r="B13" i="6"/>
  <c r="B35" i="2" s="1"/>
  <c r="B9" i="6"/>
  <c r="B31" i="2" s="1"/>
  <c r="L12" i="5"/>
  <c r="F9" i="6" s="1"/>
  <c r="C11" i="5"/>
  <c r="K8" i="5"/>
  <c r="J8" i="5"/>
  <c r="H8" i="5"/>
  <c r="D7" i="6" s="1"/>
  <c r="D9" i="5"/>
  <c r="E9" i="5" s="1"/>
  <c r="G9" i="5" s="1"/>
  <c r="F13" i="6"/>
  <c r="B8" i="6"/>
  <c r="B30" i="2" s="1"/>
  <c r="B17" i="6"/>
  <c r="B39" i="2" s="1"/>
  <c r="L36" i="5"/>
  <c r="F17" i="6" s="1"/>
  <c r="F8" i="6"/>
  <c r="B16" i="6"/>
  <c r="B38" i="2" s="1"/>
  <c r="L33" i="5"/>
  <c r="F16" i="6" s="1"/>
  <c r="D22" i="2"/>
  <c r="F22" i="2" s="1"/>
  <c r="H22" i="2" s="1"/>
  <c r="L15" i="5"/>
  <c r="F10" i="6" s="1"/>
  <c r="B10" i="6"/>
  <c r="B32" i="2" s="1"/>
  <c r="F7" i="6"/>
  <c r="F14" i="6"/>
  <c r="B29" i="2"/>
  <c r="B12" i="6"/>
  <c r="B34" i="2" s="1"/>
  <c r="L21" i="5"/>
  <c r="F12" i="6" s="1"/>
  <c r="M7" i="5"/>
  <c r="I7" i="5"/>
  <c r="F18" i="6"/>
  <c r="D10" i="5"/>
  <c r="E10" i="5" s="1"/>
  <c r="G10" i="5" s="1"/>
  <c r="I6" i="5"/>
  <c r="M6" i="5" s="1"/>
  <c r="B18" i="6"/>
  <c r="B40" i="2" s="1"/>
  <c r="C12" i="5" l="1"/>
  <c r="K9" i="5"/>
  <c r="J9" i="5"/>
  <c r="H9" i="5"/>
  <c r="C13" i="5"/>
  <c r="K10" i="5"/>
  <c r="J10" i="5"/>
  <c r="H10" i="5"/>
  <c r="I8" i="5"/>
  <c r="M8" i="5" s="1"/>
  <c r="E7" i="6"/>
  <c r="J7" i="6" s="1"/>
  <c r="D29" i="2"/>
  <c r="B7" i="2"/>
  <c r="B11" i="2" s="1"/>
  <c r="D11" i="5"/>
  <c r="E11" i="5" s="1"/>
  <c r="G11" i="5" s="1"/>
  <c r="F29" i="2" l="1"/>
  <c r="M7" i="6"/>
  <c r="K7" i="6"/>
  <c r="C14" i="5"/>
  <c r="K11" i="5"/>
  <c r="J11" i="5"/>
  <c r="H11" i="5"/>
  <c r="D8" i="6" s="1"/>
  <c r="I10" i="5"/>
  <c r="M10" i="5" s="1"/>
  <c r="D13" i="5"/>
  <c r="E13" i="5" s="1"/>
  <c r="G13" i="5" s="1"/>
  <c r="I9" i="5"/>
  <c r="M9" i="5" s="1"/>
  <c r="C8" i="6"/>
  <c r="D12" i="5"/>
  <c r="E12" i="5" s="1"/>
  <c r="G12" i="5" s="1"/>
  <c r="C16" i="5" l="1"/>
  <c r="K13" i="5"/>
  <c r="J13" i="5"/>
  <c r="H13" i="5"/>
  <c r="C15" i="5"/>
  <c r="K12" i="5"/>
  <c r="J12" i="5"/>
  <c r="H12" i="5"/>
  <c r="D30" i="2"/>
  <c r="I11" i="5"/>
  <c r="M11" i="5" s="1"/>
  <c r="D14" i="5"/>
  <c r="E14" i="5" s="1"/>
  <c r="G14" i="5" s="1"/>
  <c r="L7" i="6"/>
  <c r="N7" i="6"/>
  <c r="G29" i="2"/>
  <c r="E8" i="6" l="1"/>
  <c r="J8" i="6" s="1"/>
  <c r="C17" i="5"/>
  <c r="K14" i="5"/>
  <c r="J14" i="5"/>
  <c r="H14" i="5"/>
  <c r="C9" i="6"/>
  <c r="M8" i="6"/>
  <c r="F30" i="2"/>
  <c r="K8" i="6"/>
  <c r="D9" i="6"/>
  <c r="I12" i="5"/>
  <c r="M12" i="5" s="1"/>
  <c r="H29" i="2"/>
  <c r="I13" i="5"/>
  <c r="M13" i="5" s="1"/>
  <c r="D15" i="5"/>
  <c r="E15" i="5" s="1"/>
  <c r="G15" i="5" s="1"/>
  <c r="D16" i="5"/>
  <c r="E16" i="5" s="1"/>
  <c r="G16" i="5" s="1"/>
  <c r="C19" i="5" l="1"/>
  <c r="K16" i="5"/>
  <c r="J16" i="5"/>
  <c r="H16" i="5"/>
  <c r="D31" i="2"/>
  <c r="N8" i="6"/>
  <c r="L8" i="6"/>
  <c r="G30" i="2"/>
  <c r="E9" i="6"/>
  <c r="J9" i="6" s="1"/>
  <c r="C18" i="5"/>
  <c r="K15" i="5"/>
  <c r="J15" i="5"/>
  <c r="H15" i="5"/>
  <c r="I14" i="5"/>
  <c r="M14" i="5" s="1"/>
  <c r="D17" i="5"/>
  <c r="E17" i="5" s="1"/>
  <c r="G17" i="5" s="1"/>
  <c r="F31" i="2" l="1"/>
  <c r="M9" i="6"/>
  <c r="K9" i="6"/>
  <c r="C20" i="5"/>
  <c r="K17" i="5"/>
  <c r="J17" i="5"/>
  <c r="H17" i="5"/>
  <c r="H30" i="2"/>
  <c r="D10" i="6"/>
  <c r="I15" i="5"/>
  <c r="M15" i="5" s="1"/>
  <c r="C10" i="6"/>
  <c r="D18" i="5"/>
  <c r="E18" i="5" s="1"/>
  <c r="G18" i="5" s="1"/>
  <c r="I16" i="5"/>
  <c r="M16" i="5" s="1"/>
  <c r="D19" i="5"/>
  <c r="E19" i="5" s="1"/>
  <c r="G19" i="5" s="1"/>
  <c r="C22" i="5" l="1"/>
  <c r="K19" i="5"/>
  <c r="J19" i="5"/>
  <c r="H19" i="5"/>
  <c r="C21" i="5"/>
  <c r="K18" i="5"/>
  <c r="J18" i="5"/>
  <c r="H18" i="5"/>
  <c r="I17" i="5"/>
  <c r="M17" i="5" s="1"/>
  <c r="D32" i="2"/>
  <c r="D20" i="5"/>
  <c r="E20" i="5" s="1"/>
  <c r="G20" i="5" s="1"/>
  <c r="N9" i="6"/>
  <c r="L9" i="6"/>
  <c r="G31" i="2"/>
  <c r="E10" i="6" l="1"/>
  <c r="J10" i="6" s="1"/>
  <c r="C23" i="5"/>
  <c r="K20" i="5"/>
  <c r="J20" i="5"/>
  <c r="H20" i="5"/>
  <c r="C11" i="6"/>
  <c r="M10" i="6"/>
  <c r="F32" i="2"/>
  <c r="H31" i="2"/>
  <c r="D11" i="6"/>
  <c r="I18" i="5"/>
  <c r="K10" i="6"/>
  <c r="D21" i="5"/>
  <c r="E21" i="5" s="1"/>
  <c r="G21" i="5" s="1"/>
  <c r="I19" i="5"/>
  <c r="M19" i="5" s="1"/>
  <c r="D22" i="5"/>
  <c r="E22" i="5" s="1"/>
  <c r="G22" i="5" s="1"/>
  <c r="C24" i="5" l="1"/>
  <c r="K21" i="5"/>
  <c r="J21" i="5"/>
  <c r="H21" i="5"/>
  <c r="C25" i="5"/>
  <c r="K22" i="5"/>
  <c r="J22" i="5"/>
  <c r="H22" i="5"/>
  <c r="D33" i="2"/>
  <c r="M18" i="5"/>
  <c r="I20" i="5"/>
  <c r="M20" i="5" s="1"/>
  <c r="N10" i="6"/>
  <c r="L10" i="6"/>
  <c r="H32" i="2" s="1"/>
  <c r="G32" i="2"/>
  <c r="D23" i="5"/>
  <c r="E23" i="5" s="1"/>
  <c r="G23" i="5" s="1"/>
  <c r="C26" i="5" l="1"/>
  <c r="K23" i="5"/>
  <c r="J23" i="5"/>
  <c r="H23" i="5"/>
  <c r="D12" i="6" s="1"/>
  <c r="C12" i="6"/>
  <c r="E11" i="6"/>
  <c r="J11" i="6" s="1"/>
  <c r="I22" i="5"/>
  <c r="M22" i="5" s="1"/>
  <c r="D25" i="5"/>
  <c r="E25" i="5" s="1"/>
  <c r="G25" i="5" s="1"/>
  <c r="I21" i="5"/>
  <c r="M21" i="5" s="1"/>
  <c r="D24" i="5"/>
  <c r="E24" i="5" s="1"/>
  <c r="G24" i="5" s="1"/>
  <c r="D34" i="2" l="1"/>
  <c r="C27" i="5"/>
  <c r="K24" i="5"/>
  <c r="J24" i="5"/>
  <c r="H24" i="5"/>
  <c r="C28" i="5"/>
  <c r="K25" i="5"/>
  <c r="J25" i="5"/>
  <c r="H25" i="5"/>
  <c r="F33" i="2"/>
  <c r="M11" i="6"/>
  <c r="K11" i="6"/>
  <c r="I23" i="5"/>
  <c r="M23" i="5" s="1"/>
  <c r="D26" i="5"/>
  <c r="E26" i="5" s="1"/>
  <c r="G26" i="5" s="1"/>
  <c r="C29" i="5" l="1"/>
  <c r="K26" i="5"/>
  <c r="J26" i="5"/>
  <c r="H26" i="5"/>
  <c r="C13" i="6"/>
  <c r="I25" i="5"/>
  <c r="M25" i="5" s="1"/>
  <c r="I24" i="5"/>
  <c r="M24" i="5" s="1"/>
  <c r="D13" i="6"/>
  <c r="D28" i="5"/>
  <c r="E28" i="5" s="1"/>
  <c r="G28" i="5" s="1"/>
  <c r="D27" i="5"/>
  <c r="E27" i="5" s="1"/>
  <c r="G27" i="5" s="1"/>
  <c r="N11" i="6"/>
  <c r="K12" i="6"/>
  <c r="L11" i="6"/>
  <c r="H33" i="2" s="1"/>
  <c r="G33" i="2"/>
  <c r="E12" i="6"/>
  <c r="J12" i="6" s="1"/>
  <c r="C30" i="5" l="1"/>
  <c r="K27" i="5"/>
  <c r="J27" i="5"/>
  <c r="H27" i="5"/>
  <c r="C31" i="5"/>
  <c r="K28" i="5"/>
  <c r="J28" i="5"/>
  <c r="H28" i="5"/>
  <c r="D35" i="2"/>
  <c r="M12" i="6"/>
  <c r="F34" i="2"/>
  <c r="N12" i="6"/>
  <c r="G34" i="2"/>
  <c r="L12" i="6"/>
  <c r="H34" i="2" s="1"/>
  <c r="I26" i="5"/>
  <c r="M26" i="5" s="1"/>
  <c r="D29" i="5"/>
  <c r="E29" i="5" s="1"/>
  <c r="G29" i="5" s="1"/>
  <c r="C32" i="5" l="1"/>
  <c r="K29" i="5"/>
  <c r="J29" i="5"/>
  <c r="H29" i="5"/>
  <c r="C14" i="6"/>
  <c r="E13" i="6"/>
  <c r="J13" i="6" s="1"/>
  <c r="I28" i="5"/>
  <c r="M28" i="5" s="1"/>
  <c r="D31" i="5"/>
  <c r="E31" i="5" s="1"/>
  <c r="G31" i="5" s="1"/>
  <c r="D14" i="6"/>
  <c r="I27" i="5"/>
  <c r="M27" i="5" s="1"/>
  <c r="D30" i="5"/>
  <c r="E30" i="5" s="1"/>
  <c r="G30" i="5" s="1"/>
  <c r="C34" i="5" l="1"/>
  <c r="K31" i="5"/>
  <c r="J31" i="5"/>
  <c r="H31" i="5"/>
  <c r="C33" i="5"/>
  <c r="K30" i="5"/>
  <c r="J30" i="5"/>
  <c r="H30" i="5"/>
  <c r="M13" i="6"/>
  <c r="F35" i="2"/>
  <c r="K13" i="6"/>
  <c r="D36" i="2"/>
  <c r="I29" i="5"/>
  <c r="M29" i="5" s="1"/>
  <c r="E14" i="6"/>
  <c r="J14" i="6" s="1"/>
  <c r="D32" i="5"/>
  <c r="E32" i="5" s="1"/>
  <c r="G32" i="5" s="1"/>
  <c r="M14" i="6" l="1"/>
  <c r="F36" i="2"/>
  <c r="C35" i="5"/>
  <c r="K32" i="5"/>
  <c r="J32" i="5"/>
  <c r="H32" i="5"/>
  <c r="C15" i="6"/>
  <c r="N13" i="6"/>
  <c r="K14" i="6"/>
  <c r="L13" i="6"/>
  <c r="H35" i="2" s="1"/>
  <c r="G35" i="2"/>
  <c r="D15" i="6"/>
  <c r="I30" i="5"/>
  <c r="D33" i="5"/>
  <c r="E33" i="5" s="1"/>
  <c r="G33" i="5" s="1"/>
  <c r="I31" i="5"/>
  <c r="M31" i="5" s="1"/>
  <c r="D34" i="5"/>
  <c r="E34" i="5" s="1"/>
  <c r="G34" i="5" s="1"/>
  <c r="C37" i="5" l="1"/>
  <c r="K34" i="5"/>
  <c r="J34" i="5"/>
  <c r="H34" i="5"/>
  <c r="C36" i="5"/>
  <c r="K33" i="5"/>
  <c r="J33" i="5"/>
  <c r="H33" i="5"/>
  <c r="N14" i="6"/>
  <c r="L14" i="6"/>
  <c r="H36" i="2" s="1"/>
  <c r="G36" i="2"/>
  <c r="D37" i="2"/>
  <c r="I32" i="5"/>
  <c r="M32" i="5" s="1"/>
  <c r="D35" i="5"/>
  <c r="E35" i="5" s="1"/>
  <c r="G35" i="5" s="1"/>
  <c r="E15" i="6"/>
  <c r="J15" i="6" s="1"/>
  <c r="M30" i="5"/>
  <c r="M15" i="6" l="1"/>
  <c r="F37" i="2"/>
  <c r="K15" i="6"/>
  <c r="C38" i="5"/>
  <c r="K35" i="5"/>
  <c r="J35" i="5"/>
  <c r="H35" i="5"/>
  <c r="C16" i="6"/>
  <c r="I33" i="5"/>
  <c r="D36" i="5"/>
  <c r="E36" i="5" s="1"/>
  <c r="G36" i="5" s="1"/>
  <c r="I34" i="5"/>
  <c r="M34" i="5" s="1"/>
  <c r="D37" i="5"/>
  <c r="E37" i="5" s="1"/>
  <c r="G37" i="5" s="1"/>
  <c r="C40" i="5" l="1"/>
  <c r="K37" i="5"/>
  <c r="J37" i="5"/>
  <c r="H37" i="5"/>
  <c r="C39" i="5"/>
  <c r="K36" i="5"/>
  <c r="J36" i="5"/>
  <c r="H36" i="5"/>
  <c r="E16" i="6"/>
  <c r="I35" i="5"/>
  <c r="M35" i="5" s="1"/>
  <c r="M33" i="5"/>
  <c r="D16" i="6"/>
  <c r="L15" i="6"/>
  <c r="H37" i="2" s="1"/>
  <c r="G37" i="2"/>
  <c r="N15" i="6"/>
  <c r="D38" i="5"/>
  <c r="E38" i="5" s="1"/>
  <c r="G38" i="5" s="1"/>
  <c r="C41" i="5" l="1"/>
  <c r="K38" i="5"/>
  <c r="J38" i="5"/>
  <c r="H38" i="5"/>
  <c r="D17" i="6" s="1"/>
  <c r="C17" i="6"/>
  <c r="I36" i="5"/>
  <c r="D39" i="5"/>
  <c r="E39" i="5" s="1"/>
  <c r="G39" i="5" s="1"/>
  <c r="I37" i="5"/>
  <c r="M37" i="5" s="1"/>
  <c r="J16" i="6"/>
  <c r="D38" i="2"/>
  <c r="D40" i="5"/>
  <c r="E40" i="5" s="1"/>
  <c r="G40" i="5" s="1"/>
  <c r="K40" i="5" l="1"/>
  <c r="J40" i="5"/>
  <c r="H40" i="5"/>
  <c r="E23" i="2"/>
  <c r="K39" i="5"/>
  <c r="J39" i="5"/>
  <c r="H39" i="5"/>
  <c r="E22" i="2"/>
  <c r="D39" i="2"/>
  <c r="E17" i="6"/>
  <c r="J17" i="6" s="1"/>
  <c r="M36" i="5"/>
  <c r="I38" i="5"/>
  <c r="M38" i="5" s="1"/>
  <c r="F38" i="2"/>
  <c r="M16" i="6"/>
  <c r="K16" i="6"/>
  <c r="D41" i="5"/>
  <c r="E41" i="5" s="1"/>
  <c r="G41" i="5" s="1"/>
  <c r="M17" i="6" l="1"/>
  <c r="F39" i="2"/>
  <c r="K41" i="5"/>
  <c r="E24" i="2"/>
  <c r="J41" i="5"/>
  <c r="H41" i="5"/>
  <c r="D18" i="6" s="1"/>
  <c r="C18" i="6"/>
  <c r="B8" i="2" s="1"/>
  <c r="I39" i="5"/>
  <c r="M39" i="5" s="1"/>
  <c r="N16" i="6"/>
  <c r="K17" i="6"/>
  <c r="L16" i="6"/>
  <c r="H38" i="2" s="1"/>
  <c r="G38" i="2"/>
  <c r="I40" i="5"/>
  <c r="M40" i="5" s="1"/>
  <c r="N17" i="6" l="1"/>
  <c r="L17" i="6"/>
  <c r="H39" i="2" s="1"/>
  <c r="G39" i="2"/>
  <c r="I41" i="5"/>
  <c r="E18" i="6" s="1"/>
  <c r="J18" i="6" s="1"/>
  <c r="B10" i="2"/>
  <c r="D40" i="2"/>
  <c r="B9" i="2"/>
  <c r="M18" i="6" l="1"/>
  <c r="B12" i="2" s="1"/>
  <c r="F40" i="2"/>
  <c r="K18" i="6"/>
  <c r="M41" i="5"/>
  <c r="N18" i="6" l="1"/>
  <c r="B13" i="2" s="1"/>
  <c r="L18" i="6"/>
  <c r="G40" i="2"/>
  <c r="B18" i="2"/>
  <c r="H40" i="2" l="1"/>
  <c r="B15" i="2"/>
  <c r="B16" i="2" l="1"/>
  <c r="B17" i="2" s="1"/>
</calcChain>
</file>

<file path=xl/sharedStrings.xml><?xml version="1.0" encoding="utf-8"?>
<sst xmlns="http://schemas.openxmlformats.org/spreadsheetml/2006/main" count="261" uniqueCount="141">
  <si>
    <t>B2B SaaS</t>
  </si>
  <si>
    <t>Елизавета Трибунская</t>
  </si>
  <si>
    <t>tribunska.ru</t>
  </si>
  <si>
    <t>Три тарифа, три сценария и ваш способ продажи. Посчитайте, сколько компаний нужно привлечь и какие деньги потребуются на запуск.</t>
  </si>
  <si>
    <t>Изменить параметры</t>
  </si>
  <si>
    <t>Посмотреть результат</t>
  </si>
  <si>
    <t>На листе «Допущения» выберите сценарий и способ продажи, замените цены и расходы в жёлтых ячейках. Результат — на листе «Итог».</t>
  </si>
  <si>
    <t>Инструкция для ИИ-агента</t>
  </si>
  <si>
    <t>1. Сначала расспроси владельца об идее, клиентах, географии, тарифах, способе продажи и расходах. Найди пробелы в данных. В книге три тарифа; сценарий экономики и способ продажи выбираются отдельно.
2. Проверь рекламу под эту аудиторию в Яндекс Директе, Google Ads, VK Рекламе и Facebook / Meta Ads там, где доступно размещение. Возьми из кабинетов прогноз цены клика, показов и кликов при выбранном бюджете. Поиск, рекламные сети, таргетинг и ретаргетинг оцени отдельно. Если доступа нет, попроси владельца прислать прогноз или выгрузку.
3. Приценивайся к тематическим блогерам и сообществам: запроси цену, средний охват рекламных публикаций, состав аудитории и доступные даты. Учитывай комиссии и налоги. Число подписчиков не подменяет охват рекламы.
4. Собери медиаплан по каналам, укажи источники, даты, географию и валюту. Отдели факты от прогнозов и гипотез. Используй прошлые кампании владельца, если они есть. Обнови бюджет и цену клика на основе медиаплана, сверяя клики с визитами. Конверсии без своих замеров оставь гипотезами для теста. Стартовые цифры книги не используй как рыночные.
5. Работай в копии. Меняй жёлтые ячейки, сохраняй формулы и авторство. Изменение логики или числа тарифов согласуй с владельцем. Разделяй выручку, вклад клиента и деньги на запуск; не считай часы менеджера и поддержки повторно в постоянном ФОТ.
6. Проверь формулы, нулевой бюджет, отток 0% и 100%, лаг демо и все способы продажи. Верни заполненный файл и объясни результат. Если Excel недоступен, посчитай в доступном инструменте и сделай сводку с картинкой. Запуск рекламы согласуй отдельно.</t>
  </si>
  <si>
    <t>Оплата помесячно за компанию. Стартовые цифры — модельные; годовой оплаты, налогов и переходов между тарифами здесь нет.</t>
  </si>
  <si>
    <t>Хороший расчёт начинается с разговора о вашем продукте, клиентах и способе продажи.</t>
  </si>
  <si>
    <t>Разобрать модель своего проекта → t.me/tribunska</t>
  </si>
  <si>
    <t>B2B SaaS • экономика запуска</t>
  </si>
  <si>
    <t>Сценарий:</t>
  </si>
  <si>
    <t>Продажи:</t>
  </si>
  <si>
    <t>За первые 12 месяцев</t>
  </si>
  <si>
    <t>Как читать цифры</t>
  </si>
  <si>
    <t>Новых платящих компаний</t>
  </si>
  <si>
    <t>Стоимость привлечения включает рекламу и часы менеджера. В конце периода часть демо ещё ждёт оплаты — эти компании в продажи не попадают.</t>
  </si>
  <si>
    <t>Активных к концу периода</t>
  </si>
  <si>
    <t>Выручка за 12 месяцев, ₽</t>
  </si>
  <si>
    <t>Выручка в 12-м месяце, ₽</t>
  </si>
  <si>
    <t>Средняя стоимость привлечения, ₽</t>
  </si>
  <si>
    <t>Сравните стоимость привлечения с вкладом клиента ниже. Затем проверьте, сколько денег потребует запуск: прибыльный тариф и запуск без кассового разрыва — разные вопросы.</t>
  </si>
  <si>
    <t>Первый месяц с положительным потоком</t>
  </si>
  <si>
    <t>Возврат вложенных денег</t>
  </si>
  <si>
    <t>Максимальный дефицит, ₽</t>
  </si>
  <si>
    <t>Запас на запуск, ₽</t>
  </si>
  <si>
    <t>Ожидаемые компании могут быть дробными. Сценарий меняет цену клика, конверсию оплаты и отток, но не переписывает ваши тарифы.</t>
  </si>
  <si>
    <t>Денег на запуск с запасом, ₽</t>
  </si>
  <si>
    <t>Накопленный поток к концу, ₽</t>
  </si>
  <si>
    <t>Тариф</t>
  </si>
  <si>
    <t>Цена / месяц, ₽</t>
  </si>
  <si>
    <t>Новых за год</t>
  </si>
  <si>
    <t>Активных в конце</t>
  </si>
  <si>
    <t>Привлечение, ₽</t>
  </si>
  <si>
    <t>Вклад клиента, ₽</t>
  </si>
  <si>
    <t>Вклад за вычетом привлечения, ₽</t>
  </si>
  <si>
    <t>Месяц</t>
  </si>
  <si>
    <t>Новых компаний</t>
  </si>
  <si>
    <t>Выручка, ₽</t>
  </si>
  <si>
    <t>Реклама + менеджер, ₽</t>
  </si>
  <si>
    <t>Поток, ₽</t>
  </si>
  <si>
    <t>Накопленно, ₽</t>
  </si>
  <si>
    <t>Дефицит, ₽</t>
  </si>
  <si>
    <t>Месяц 1</t>
  </si>
  <si>
    <t>Месяц 2</t>
  </si>
  <si>
    <t>Месяц 3</t>
  </si>
  <si>
    <t>Месяц 4</t>
  </si>
  <si>
    <t>Месяц 5</t>
  </si>
  <si>
    <t>Месяц 6</t>
  </si>
  <si>
    <t>Месяц 7</t>
  </si>
  <si>
    <t>Месяц 8</t>
  </si>
  <si>
    <t>Месяц 9</t>
  </si>
  <si>
    <t>Месяц 10</t>
  </si>
  <si>
    <t>Месяц 11</t>
  </si>
  <si>
    <t>Месяц 12</t>
  </si>
  <si>
    <t>Елизавета Трибунская • tribunska.ru</t>
  </si>
  <si>
    <t>Допущения • три тарифа</t>
  </si>
  <si>
    <t>Сценарий (1–3)</t>
  </si>
  <si>
    <t>Способ продажи (1–3)</t>
  </si>
  <si>
    <t>1 — самостоятельно; 2 — демо с менеджером; 3 — два младших тарифа самостоятельно, старший через демо.</t>
  </si>
  <si>
    <t>Сценарии: 1 — осторожный, 2 — базовый, 3 — сильный.</t>
  </si>
  <si>
    <t>Стоимость рабочего часа, ₽</t>
  </si>
  <si>
    <t>Часы менеджера, поддержки и подключения считаем отдельно от постоянной команды.</t>
  </si>
  <si>
    <t>Комиссия с оплат</t>
  </si>
  <si>
    <t>Запас к деньгам на запуск</t>
  </si>
  <si>
    <t>Разработка до запуска, ₽</t>
  </si>
  <si>
    <t>Все стартовые числа — авторские модельные допущения. Замените своими данными.</t>
  </si>
  <si>
    <t>Упаковка и материалы, ₽</t>
  </si>
  <si>
    <t>Исследование и подготовка, ₽</t>
  </si>
  <si>
    <t>Постоянная команда в месяц, ₽</t>
  </si>
  <si>
    <t>Постоянные расходы учитываются каждый месяц, стартовые — только до запуска.</t>
  </si>
  <si>
    <t>Постоянный маркетинг в месяц, ₽</t>
  </si>
  <si>
    <t>Прочие постоянные расходы, ₽/мес.</t>
  </si>
  <si>
    <t>Срок для оценки вклада клиента, мес.</t>
  </si>
  <si>
    <t>От демо до оплаты, полных месяцев</t>
  </si>
  <si>
    <t>Параметр сценария</t>
  </si>
  <si>
    <t>В расчёте</t>
  </si>
  <si>
    <t>Осторожный</t>
  </si>
  <si>
    <t>Базовый</t>
  </si>
  <si>
    <t>Сильный</t>
  </si>
  <si>
    <t>Цена клика: множитель</t>
  </si>
  <si>
    <t>Конверсия в оплату: множитель</t>
  </si>
  <si>
    <t>Отток: множитель</t>
  </si>
  <si>
    <t>Цена за месяц, ₽</t>
  </si>
  <si>
    <t>Доля бюджета</t>
  </si>
  <si>
    <t>Отток / мес.</t>
  </si>
  <si>
    <t>Хостинг / компания, ₽</t>
  </si>
  <si>
    <t>Поддержка, ч/мес.</t>
  </si>
  <si>
    <t>Подключение, ч</t>
  </si>
  <si>
    <t>Цена клика, ₽</t>
  </si>
  <si>
    <t>Визит → оплата</t>
  </si>
  <si>
    <t>Визит → заявка на демо</t>
  </si>
  <si>
    <t>Заявка → проведённое демо</t>
  </si>
  <si>
    <t>Демо → оплата</t>
  </si>
  <si>
    <t>Часов на демо</t>
  </si>
  <si>
    <t>Демо в расчёте</t>
  </si>
  <si>
    <t>Старт</t>
  </si>
  <si>
    <t>Команда</t>
  </si>
  <si>
    <t>Бизнес</t>
  </si>
  <si>
    <t>Доля бюджета — распределение расходов на трафик между тарифами; сумма — 100%.</t>
  </si>
  <si>
    <t>Множитель конверсии влияет на самостоятельную покупку и оплату после демо; верх воронки демо задаётся отдельно.</t>
  </si>
  <si>
    <t>Рекламный бюджет, ₽</t>
  </si>
  <si>
    <t>Привлечение • самостоятельно или через демо</t>
  </si>
  <si>
    <t>Через демо</t>
  </si>
  <si>
    <t>Трафик, ₽</t>
  </si>
  <si>
    <t>Визиты</t>
  </si>
  <si>
    <t>Покупки сами</t>
  </si>
  <si>
    <t>Заявки на демо</t>
  </si>
  <si>
    <t>Демо проведены</t>
  </si>
  <si>
    <t>Будущие оплаты с этих демо</t>
  </si>
  <si>
    <t>Оплаты прошлых демо</t>
  </si>
  <si>
    <t>Новые компании</t>
  </si>
  <si>
    <t>Часы менеджера</t>
  </si>
  <si>
    <t>Менеджер, ₽</t>
  </si>
  <si>
    <t>Менеджера оплачиваем в месяц демо. Покупка приходит через заданное число полных месяцев.</t>
  </si>
  <si>
    <t>Подписка • клиенты, выручка и обслуживание</t>
  </si>
  <si>
    <t>В начале месяца</t>
  </si>
  <si>
    <t>Ушли</t>
  </si>
  <si>
    <t>Продлили</t>
  </si>
  <si>
    <t>Активные компании</t>
  </si>
  <si>
    <t>Комиссия, ₽</t>
  </si>
  <si>
    <t>Хостинг, ₽</t>
  </si>
  <si>
    <t>Поддержка, ₽</t>
  </si>
  <si>
    <t>Подключение, ₽</t>
  </si>
  <si>
    <t>Вклад после переменных затрат, ₽</t>
  </si>
  <si>
    <t>Вклад / месяц, ₽</t>
  </si>
  <si>
    <t>Отток в расчёте</t>
  </si>
  <si>
    <t>Ожидаемый вклад клиента, ₽</t>
  </si>
  <si>
    <t>Деньги • сколько нужно на запуск</t>
  </si>
  <si>
    <t>Обслуживание и комиссия, ₽</t>
  </si>
  <si>
    <t>Реклама, ₽</t>
  </si>
  <si>
    <t>Постоянные расходы, ₽</t>
  </si>
  <si>
    <t>Поток за месяц, ₽</t>
  </si>
  <si>
    <t>Накопленный поток, ₽</t>
  </si>
  <si>
    <t>Макс. дефицит, ₽</t>
  </si>
  <si>
    <t>Месяц в плюсе</t>
  </si>
  <si>
    <t>Затраты вернулись</t>
  </si>
  <si>
    <t>До запуска</t>
  </si>
  <si>
    <t>Выручка = месячные оплаты. Поток — деньги после расходов, до налогов и финансирования.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</si>
</sst>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0&quot; ×&quot;"/>
    <numFmt numFmtId="166" formatCode="[=1]&quot;Да&quot;;[=0]&quot;Нет&quot;;General"/>
    <numFmt numFmtId="167" formatCode="0.0"/>
    <numFmt numFmtId="168" formatCode="#,##0;[Red]\(#,##0\);&quot;—&quot;"/>
    <numFmt numFmtId="169" formatCode="#,##0;[Red]\(#,##0\)"/>
  </numFmts>
  <fonts count="18">
    <font>
      <sz val="11"/>
      <name val="Carlito"/>
    </font>
    <font>
      <sz val="11"/>
      <color rgb="FF17243B"/>
      <name val="Arial"/>
    </font>
    <font>
      <b/>
      <sz val="23"/>
      <color rgb="FF17243B"/>
      <name val="Arial"/>
    </font>
    <font>
      <b/>
      <sz val="11"/>
      <color rgb="FF17243B"/>
      <name val="Arial"/>
    </font>
    <font>
      <b/>
      <sz val="14"/>
      <color rgb="FF17243B"/>
      <name val="Arial"/>
    </font>
    <font>
      <b/>
      <sz val="11"/>
      <color rgb="FF315F91"/>
      <name val="Arial"/>
    </font>
    <font>
      <b/>
      <sz val="16"/>
      <color rgb="FFFFFFFF"/>
      <name val="Arial"/>
    </font>
    <font>
      <sz val="11"/>
      <color rgb="FF315F91"/>
      <name val="Arial"/>
    </font>
    <font>
      <sz val="11"/>
      <color rgb="FF64748B"/>
      <name val="Arial"/>
    </font>
    <font>
      <b/>
      <sz val="11"/>
      <color rgb="FFFFFFFF"/>
      <name val="Arial"/>
    </font>
    <font>
      <i/>
      <sz val="11"/>
      <color rgb="FF64748B"/>
      <name val="Arial"/>
    </font>
    <font>
      <b/>
      <sz val="11"/>
      <color rgb="FFB3423B"/>
      <name val="Arial"/>
    </font>
    <font>
      <b/>
      <sz val="17"/>
      <color rgb="FF17243B"/>
      <name val="Arial"/>
    </font>
    <font>
      <b/>
      <sz val="11"/>
      <color rgb="FF6F927A"/>
      <name val="Arial"/>
    </font>
    <font>
      <sz val="11"/>
      <color rgb="FF6F927A"/>
      <name val="Arial"/>
    </font>
    <font>
      <i/>
      <sz val="11"/>
      <color rgb="FF6F927A"/>
      <name val="Arial"/>
    </font>
    <font>
      <sz val="11"/>
      <name val="Carlito"/>
    </font>
    <font>
      <u/>
      <sz val="11"/>
      <color theme="1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F6F0E6"/>
      </patternFill>
    </fill>
    <fill>
      <patternFill patternType="solid">
        <fgColor rgb="FFFFF2CC"/>
      </patternFill>
    </fill>
    <fill>
      <patternFill patternType="solid">
        <fgColor rgb="FFDCE9DF"/>
      </patternFill>
    </fill>
    <fill>
      <patternFill patternType="solid">
        <fgColor rgb="FFFFFDF8"/>
      </patternFill>
    </fill>
    <fill>
      <patternFill patternType="solid">
        <fgColor rgb="FFFFFFFF"/>
      </patternFill>
    </fill>
    <fill>
      <patternFill patternType="solid">
        <fgColor rgb="FF17243B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D96F47"/>
      </bottom>
      <diagonal/>
    </border>
    <border>
      <left style="thin">
        <color rgb="FFE5DDD1"/>
      </left>
      <right/>
      <top style="thin">
        <color rgb="FFE5DDD1"/>
      </top>
      <bottom style="thin">
        <color rgb="FFE5DDD1"/>
      </bottom>
      <diagonal/>
    </border>
    <border>
      <left/>
      <right/>
      <top style="thin">
        <color rgb="FFE5DDD1"/>
      </top>
      <bottom style="thin">
        <color rgb="FFE5DDD1"/>
      </bottom>
      <diagonal/>
    </border>
    <border>
      <left/>
      <right style="thin">
        <color rgb="FFE5DDD1"/>
      </right>
      <top style="thin">
        <color rgb="FFE5DDD1"/>
      </top>
      <bottom style="thin">
        <color rgb="FFE5DDD1"/>
      </bottom>
      <diagonal/>
    </border>
    <border>
      <left style="dashed">
        <color rgb="FF6F927A"/>
      </left>
      <right style="dashed">
        <color rgb="FF6F927A"/>
      </right>
      <top style="dashed">
        <color rgb="FF6F927A"/>
      </top>
      <bottom style="dashed">
        <color rgb="FF6F927A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3">
    <xf numFmtId="0" fontId="0" fillId="0" borderId="0"/>
    <xf numFmtId="0" fontId="16" fillId="0" borderId="0"/>
    <xf numFmtId="0" fontId="17" fillId="0" borderId="0" applyNumberFormat="0" applyFill="0" applyBorder="0" applyAlignment="0" applyProtection="0"/>
  </cellStyleXfs>
  <cellXfs count="75">
    <xf numFmtId="0" fontId="0" fillId="0" borderId="0" xfId="0"/>
    <xf numFmtId="0" fontId="1" fillId="2" borderId="0" xfId="1" applyFont="1" applyFill="1" applyAlignment="1">
      <alignment vertical="center"/>
    </xf>
    <xf numFmtId="0" fontId="1" fillId="4" borderId="0" xfId="1" applyFont="1" applyFill="1" applyAlignment="1">
      <alignment vertical="center"/>
    </xf>
    <xf numFmtId="0" fontId="1" fillId="6" borderId="0" xfId="1" applyFont="1" applyFill="1" applyAlignment="1">
      <alignment vertical="center"/>
    </xf>
    <xf numFmtId="0" fontId="6" fillId="7" borderId="0" xfId="1" applyFont="1" applyFill="1" applyAlignment="1">
      <alignment vertical="center"/>
    </xf>
    <xf numFmtId="0" fontId="3" fillId="4" borderId="5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right" vertical="center"/>
    </xf>
    <xf numFmtId="0" fontId="7" fillId="3" borderId="0" xfId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164" fontId="7" fillId="3" borderId="0" xfId="1" applyNumberFormat="1" applyFont="1" applyFill="1" applyAlignment="1">
      <alignment horizontal="right" vertical="center"/>
    </xf>
    <xf numFmtId="0" fontId="9" fillId="7" borderId="6" xfId="1" applyFont="1" applyFill="1" applyBorder="1" applyAlignment="1">
      <alignment horizontal="center" vertical="center" wrapText="1"/>
    </xf>
    <xf numFmtId="0" fontId="9" fillId="7" borderId="7" xfId="1" applyFont="1" applyFill="1" applyBorder="1" applyAlignment="1">
      <alignment horizontal="center" vertical="center" wrapText="1"/>
    </xf>
    <xf numFmtId="0" fontId="9" fillId="7" borderId="8" xfId="1" applyFont="1" applyFill="1" applyBorder="1" applyAlignment="1">
      <alignment horizontal="center" vertical="center" wrapText="1"/>
    </xf>
    <xf numFmtId="165" fontId="7" fillId="3" borderId="0" xfId="1" applyNumberFormat="1" applyFont="1" applyFill="1" applyAlignment="1">
      <alignment horizontal="right" vertical="center"/>
    </xf>
    <xf numFmtId="165" fontId="1" fillId="4" borderId="0" xfId="1" applyNumberFormat="1" applyFont="1" applyFill="1" applyAlignment="1">
      <alignment horizontal="right" vertical="center"/>
    </xf>
    <xf numFmtId="2" fontId="7" fillId="3" borderId="0" xfId="1" applyNumberFormat="1" applyFont="1" applyFill="1" applyAlignment="1">
      <alignment horizontal="right" vertical="center"/>
    </xf>
    <xf numFmtId="166" fontId="1" fillId="6" borderId="0" xfId="1" applyNumberFormat="1" applyFont="1" applyFill="1" applyAlignment="1">
      <alignment horizontal="right" vertical="center"/>
    </xf>
    <xf numFmtId="166" fontId="1" fillId="4" borderId="0" xfId="1" applyNumberFormat="1" applyFont="1" applyFill="1" applyAlignment="1">
      <alignment horizontal="right" vertical="center"/>
    </xf>
    <xf numFmtId="0" fontId="10" fillId="6" borderId="0" xfId="1" applyFont="1" applyFill="1" applyAlignment="1">
      <alignment vertical="center" wrapText="1"/>
    </xf>
    <xf numFmtId="166" fontId="1" fillId="2" borderId="0" xfId="1" applyNumberFormat="1" applyFont="1" applyFill="1" applyAlignment="1">
      <alignment horizontal="right" vertical="center"/>
    </xf>
    <xf numFmtId="3" fontId="1" fillId="2" borderId="0" xfId="1" applyNumberFormat="1" applyFont="1" applyFill="1" applyAlignment="1">
      <alignment horizontal="right" vertical="center"/>
    </xf>
    <xf numFmtId="3" fontId="1" fillId="6" borderId="0" xfId="1" applyNumberFormat="1" applyFont="1" applyFill="1" applyAlignment="1">
      <alignment horizontal="right" vertical="center"/>
    </xf>
    <xf numFmtId="167" fontId="1" fillId="2" borderId="0" xfId="1" applyNumberFormat="1" applyFont="1" applyFill="1" applyAlignment="1">
      <alignment horizontal="right" vertical="center"/>
    </xf>
    <xf numFmtId="167" fontId="1" fillId="6" borderId="0" xfId="1" applyNumberFormat="1" applyFont="1" applyFill="1" applyAlignment="1">
      <alignment horizontal="right" vertical="center"/>
    </xf>
    <xf numFmtId="168" fontId="1" fillId="2" borderId="0" xfId="1" applyNumberFormat="1" applyFont="1" applyFill="1" applyAlignment="1">
      <alignment horizontal="right" vertical="center"/>
    </xf>
    <xf numFmtId="168" fontId="1" fillId="6" borderId="0" xfId="1" applyNumberFormat="1" applyFont="1" applyFill="1" applyAlignment="1">
      <alignment horizontal="right" vertical="center"/>
    </xf>
    <xf numFmtId="0" fontId="12" fillId="6" borderId="1" xfId="1" applyFont="1" applyFill="1" applyBorder="1" applyAlignment="1">
      <alignment vertical="center"/>
    </xf>
    <xf numFmtId="0" fontId="3" fillId="2" borderId="0" xfId="1" applyFont="1" applyFill="1" applyAlignment="1">
      <alignment vertical="center"/>
    </xf>
    <xf numFmtId="169" fontId="1" fillId="6" borderId="0" xfId="1" applyNumberFormat="1" applyFont="1" applyFill="1" applyAlignment="1">
      <alignment horizontal="right" vertical="center"/>
    </xf>
    <xf numFmtId="3" fontId="3" fillId="4" borderId="0" xfId="1" applyNumberFormat="1" applyFont="1" applyFill="1" applyAlignment="1">
      <alignment horizontal="right" vertical="center" wrapText="1"/>
    </xf>
    <xf numFmtId="0" fontId="9" fillId="6" borderId="7" xfId="1" applyFont="1" applyFill="1" applyBorder="1" applyAlignment="1">
      <alignment horizontal="center" vertical="center" wrapText="1"/>
    </xf>
    <xf numFmtId="169" fontId="1" fillId="2" borderId="0" xfId="1" applyNumberFormat="1" applyFont="1" applyFill="1" applyAlignment="1">
      <alignment horizontal="right" vertical="center"/>
    </xf>
    <xf numFmtId="0" fontId="7" fillId="6" borderId="0" xfId="1" applyFont="1" applyFill="1" applyAlignment="1">
      <alignment vertical="center"/>
    </xf>
    <xf numFmtId="167" fontId="13" fillId="6" borderId="0" xfId="1" applyNumberFormat="1" applyFont="1" applyFill="1" applyAlignment="1">
      <alignment horizontal="right" vertical="center" wrapText="1"/>
    </xf>
    <xf numFmtId="3" fontId="13" fillId="6" borderId="0" xfId="1" applyNumberFormat="1" applyFont="1" applyFill="1" applyAlignment="1">
      <alignment horizontal="right" vertical="center" wrapText="1"/>
    </xf>
    <xf numFmtId="0" fontId="13" fillId="6" borderId="0" xfId="1" applyFont="1" applyFill="1" applyAlignment="1">
      <alignment horizontal="right" vertical="center" wrapText="1"/>
    </xf>
    <xf numFmtId="169" fontId="13" fillId="6" borderId="0" xfId="1" applyNumberFormat="1" applyFont="1" applyFill="1" applyAlignment="1">
      <alignment horizontal="right" vertical="center" wrapText="1"/>
    </xf>
    <xf numFmtId="0" fontId="14" fillId="2" borderId="0" xfId="1" applyFont="1" applyFill="1" applyAlignment="1">
      <alignment vertical="center"/>
    </xf>
    <xf numFmtId="3" fontId="14" fillId="2" borderId="0" xfId="1" applyNumberFormat="1" applyFont="1" applyFill="1" applyAlignment="1">
      <alignment horizontal="right" vertical="center"/>
    </xf>
    <xf numFmtId="167" fontId="14" fillId="2" borderId="0" xfId="1" applyNumberFormat="1" applyFont="1" applyFill="1" applyAlignment="1">
      <alignment horizontal="right" vertical="center"/>
    </xf>
    <xf numFmtId="169" fontId="14" fillId="2" borderId="0" xfId="1" applyNumberFormat="1" applyFont="1" applyFill="1" applyAlignment="1">
      <alignment horizontal="right" vertical="center"/>
    </xf>
    <xf numFmtId="0" fontId="14" fillId="6" borderId="0" xfId="1" applyFont="1" applyFill="1" applyAlignment="1">
      <alignment vertical="center"/>
    </xf>
    <xf numFmtId="3" fontId="14" fillId="6" borderId="0" xfId="1" applyNumberFormat="1" applyFont="1" applyFill="1" applyAlignment="1">
      <alignment horizontal="right" vertical="center"/>
    </xf>
    <xf numFmtId="167" fontId="14" fillId="6" borderId="0" xfId="1" applyNumberFormat="1" applyFont="1" applyFill="1" applyAlignment="1">
      <alignment horizontal="right" vertical="center"/>
    </xf>
    <xf numFmtId="169" fontId="14" fillId="6" borderId="0" xfId="1" applyNumberFormat="1" applyFont="1" applyFill="1" applyAlignment="1">
      <alignment horizontal="right" vertical="center"/>
    </xf>
    <xf numFmtId="168" fontId="14" fillId="2" borderId="0" xfId="1" applyNumberFormat="1" applyFont="1" applyFill="1" applyAlignment="1">
      <alignment horizontal="right" vertical="center"/>
    </xf>
    <xf numFmtId="168" fontId="14" fillId="6" borderId="0" xfId="1" applyNumberFormat="1" applyFont="1" applyFill="1" applyAlignment="1">
      <alignment horizontal="right" vertical="center"/>
    </xf>
    <xf numFmtId="166" fontId="14" fillId="2" borderId="0" xfId="1" applyNumberFormat="1" applyFont="1" applyFill="1" applyAlignment="1">
      <alignment horizontal="right" vertical="center"/>
    </xf>
    <xf numFmtId="166" fontId="14" fillId="6" borderId="0" xfId="1" applyNumberFormat="1" applyFont="1" applyFill="1" applyAlignment="1">
      <alignment horizontal="right" vertical="center"/>
    </xf>
    <xf numFmtId="164" fontId="14" fillId="6" borderId="0" xfId="1" applyNumberFormat="1" applyFont="1" applyFill="1" applyAlignment="1">
      <alignment horizontal="right" vertical="center"/>
    </xf>
    <xf numFmtId="0" fontId="2" fillId="2" borderId="0" xfId="1" applyFont="1" applyFill="1" applyAlignment="1">
      <alignment vertical="center"/>
    </xf>
    <xf numFmtId="0" fontId="1" fillId="2" borderId="0" xfId="1" applyFont="1" applyFill="1" applyAlignment="1">
      <alignment vertical="center"/>
    </xf>
    <xf numFmtId="0" fontId="1" fillId="2" borderId="0" xfId="1" applyFont="1" applyFill="1" applyAlignment="1">
      <alignment vertical="center" wrapText="1"/>
    </xf>
    <xf numFmtId="0" fontId="3" fillId="3" borderId="0" xfId="1" applyFont="1" applyFill="1" applyAlignment="1">
      <alignment vertical="center"/>
    </xf>
    <xf numFmtId="0" fontId="3" fillId="4" borderId="0" xfId="1" applyFont="1" applyFill="1" applyAlignment="1">
      <alignment vertical="center"/>
    </xf>
    <xf numFmtId="0" fontId="4" fillId="2" borderId="1" xfId="1" applyFont="1" applyFill="1" applyBorder="1" applyAlignment="1">
      <alignment vertical="center"/>
    </xf>
    <xf numFmtId="0" fontId="1" fillId="5" borderId="2" xfId="1" applyFont="1" applyFill="1" applyBorder="1" applyAlignment="1">
      <alignment vertical="top" wrapText="1"/>
    </xf>
    <xf numFmtId="0" fontId="1" fillId="5" borderId="3" xfId="1" applyFont="1" applyFill="1" applyBorder="1" applyAlignment="1">
      <alignment vertical="top" wrapText="1"/>
    </xf>
    <xf numFmtId="0" fontId="1" fillId="5" borderId="4" xfId="1" applyFont="1" applyFill="1" applyBorder="1" applyAlignment="1">
      <alignment vertical="top" wrapText="1"/>
    </xf>
    <xf numFmtId="0" fontId="8" fillId="2" borderId="0" xfId="1" applyFont="1" applyFill="1" applyAlignment="1">
      <alignment vertical="center" wrapText="1"/>
    </xf>
    <xf numFmtId="0" fontId="5" fillId="2" borderId="0" xfId="1" applyFont="1" applyFill="1" applyAlignment="1">
      <alignment vertical="center"/>
    </xf>
    <xf numFmtId="0" fontId="3" fillId="2" borderId="0" xfId="1" applyFont="1" applyFill="1" applyAlignment="1">
      <alignment vertical="center"/>
    </xf>
    <xf numFmtId="0" fontId="8" fillId="6" borderId="0" xfId="1" applyFont="1" applyFill="1" applyAlignment="1">
      <alignment vertical="top" wrapText="1"/>
    </xf>
    <xf numFmtId="0" fontId="15" fillId="6" borderId="0" xfId="1" applyFont="1" applyFill="1" applyAlignment="1">
      <alignment vertical="center" wrapText="1"/>
    </xf>
    <xf numFmtId="0" fontId="10" fillId="6" borderId="0" xfId="1" applyFont="1" applyFill="1" applyAlignment="1">
      <alignment vertical="center" wrapText="1"/>
    </xf>
    <xf numFmtId="0" fontId="13" fillId="6" borderId="0" xfId="1" applyFont="1" applyFill="1" applyAlignment="1">
      <alignment vertical="center" wrapText="1"/>
    </xf>
    <xf numFmtId="0" fontId="11" fillId="6" borderId="0" xfId="1" applyFont="1" applyFill="1" applyAlignment="1">
      <alignment vertical="center" wrapText="1"/>
    </xf>
    <xf numFmtId="0" fontId="1" fillId="6" borderId="0" xfId="1" applyFont="1" applyFill="1" applyAlignment="1">
      <alignment vertical="center" wrapText="1"/>
    </xf>
    <xf numFmtId="0" fontId="1" fillId="6" borderId="0" xfId="1" applyFont="1" applyFill="1" applyAlignment="1">
      <alignment vertical="center"/>
    </xf>
    <xf numFmtId="0" fontId="8" fillId="6" borderId="0" xfId="1" applyFont="1" applyFill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14" fillId="6" borderId="0" xfId="1" applyFont="1" applyFill="1" applyAlignment="1">
      <alignment vertical="center" wrapText="1"/>
    </xf>
    <xf numFmtId="0" fontId="17" fillId="2" borderId="0" xfId="2" applyFill="1" applyAlignment="1">
      <alignment vertical="center"/>
    </xf>
    <xf numFmtId="0" fontId="17" fillId="3" borderId="0" xfId="2" applyFill="1" applyAlignment="1">
      <alignment vertical="center"/>
    </xf>
    <xf numFmtId="0" fontId="17" fillId="4" borderId="0" xfId="2" applyFill="1" applyAlignment="1">
      <alignment vertical="center"/>
    </xf>
  </cellXfs>
  <cellStyles count="3">
    <cellStyle name="Normal" xfId="1" xr:uid="{00000000-0005-0000-0000-000000000000}"/>
    <cellStyle name="Гиперссылка" xfId="2" builtinId="8"/>
    <cellStyle name="Обычный" xfId="0" builtinId="0"/>
  </cellStyles>
  <dxfs count="19">
    <dxf>
      <font>
        <b/>
        <color rgb="FFB3423B"/>
      </font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  <dxf>
      <font>
        <b/>
        <color rgb="FFB3423B"/>
      </font>
      <fill>
        <patternFill patternType="solid">
          <bgColor rgb="FFF9E5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152400</xdr:rowOff>
    </xdr:from>
    <xdr:ext cx="952500" cy="431602"/>
    <xdr:pic>
      <xdr:nvPicPr>
        <xdr:cNvPr id="2" name="27fc9935-460a-424f-aca2-d95fe1366a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7</xdr:col>
      <xdr:colOff>0</xdr:colOff>
      <xdr:row>1</xdr:row>
      <xdr:rowOff>0</xdr:rowOff>
    </xdr:from>
    <xdr:ext cx="1381125" cy="1381125"/>
    <xdr:pic>
      <xdr:nvPicPr>
        <xdr:cNvPr id="3" name="765713b0-b81f-4c04-b1ce-ad9a1366d7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t.me/tribunska" TargetMode="External"/><Relationship Id="rId1" Type="http://schemas.openxmlformats.org/officeDocument/2006/relationships/hyperlink" Target="https://tribunska.ru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6F47"/>
    <pageSetUpPr fitToPage="1"/>
  </sheetPr>
  <dimension ref="A1:J19"/>
  <sheetViews>
    <sheetView showGridLines="0" tabSelected="1" zoomScale="85" zoomScaleNormal="85" workbookViewId="0"/>
  </sheetViews>
  <sheetFormatPr defaultRowHeight="14.25"/>
  <cols>
    <col min="1" max="1" width="3" customWidth="1"/>
    <col min="2" max="9" width="10.75" customWidth="1"/>
    <col min="10" max="10" width="3" customWidth="1"/>
  </cols>
  <sheetData>
    <row r="1" spans="1:10" ht="24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78" customHeight="1">
      <c r="A2" s="1"/>
      <c r="B2" s="1"/>
      <c r="C2" s="1"/>
      <c r="D2" s="50" t="s">
        <v>0</v>
      </c>
      <c r="E2" s="50"/>
      <c r="F2" s="50"/>
      <c r="G2" s="50"/>
      <c r="H2" s="1"/>
      <c r="I2" s="1"/>
      <c r="J2" s="1"/>
    </row>
    <row r="3" spans="1:10" ht="24" customHeight="1">
      <c r="A3" s="1"/>
      <c r="B3" s="51" t="s">
        <v>1</v>
      </c>
      <c r="C3" s="51"/>
      <c r="D3" s="51"/>
      <c r="E3" s="51"/>
      <c r="F3" s="72" t="s">
        <v>2</v>
      </c>
      <c r="G3" s="51"/>
      <c r="H3" s="1"/>
      <c r="I3" s="1"/>
      <c r="J3" s="1"/>
    </row>
    <row r="4" spans="1:10" ht="24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48" customHeight="1">
      <c r="A5" s="1"/>
      <c r="B5" s="52" t="s">
        <v>3</v>
      </c>
      <c r="C5" s="52"/>
      <c r="D5" s="52"/>
      <c r="E5" s="52"/>
      <c r="F5" s="52"/>
      <c r="G5" s="52"/>
      <c r="H5" s="52"/>
      <c r="I5" s="52"/>
      <c r="J5" s="1"/>
    </row>
    <row r="6" spans="1:10" ht="24" customHeight="1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33" customHeight="1">
      <c r="A7" s="1"/>
      <c r="B7" s="73" t="s">
        <v>4</v>
      </c>
      <c r="C7" s="53"/>
      <c r="D7" s="53"/>
      <c r="E7" s="53"/>
      <c r="F7" s="74" t="s">
        <v>5</v>
      </c>
      <c r="G7" s="54"/>
      <c r="H7" s="54"/>
      <c r="I7" s="54"/>
      <c r="J7" s="1"/>
    </row>
    <row r="8" spans="1:10" ht="24" customHeight="1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48" customHeight="1">
      <c r="A9" s="1"/>
      <c r="B9" s="52" t="s">
        <v>6</v>
      </c>
      <c r="C9" s="52"/>
      <c r="D9" s="52"/>
      <c r="E9" s="52"/>
      <c r="F9" s="52"/>
      <c r="G9" s="52"/>
      <c r="H9" s="52"/>
      <c r="I9" s="52"/>
      <c r="J9" s="1"/>
    </row>
    <row r="10" spans="1:10" ht="24" customHeight="1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30" customHeight="1">
      <c r="A11" s="1"/>
      <c r="B11" s="55" t="s">
        <v>7</v>
      </c>
      <c r="C11" s="55"/>
      <c r="D11" s="55"/>
      <c r="E11" s="55"/>
      <c r="F11" s="55"/>
      <c r="G11" s="55"/>
      <c r="H11" s="55"/>
      <c r="I11" s="55"/>
      <c r="J11" s="1"/>
    </row>
    <row r="12" spans="1:10" ht="390" customHeight="1">
      <c r="A12" s="1"/>
      <c r="B12" s="56" t="s">
        <v>8</v>
      </c>
      <c r="C12" s="57"/>
      <c r="D12" s="57"/>
      <c r="E12" s="57"/>
      <c r="F12" s="57"/>
      <c r="G12" s="57"/>
      <c r="H12" s="57"/>
      <c r="I12" s="58"/>
      <c r="J12" s="1"/>
    </row>
    <row r="13" spans="1:10" ht="24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ht="35.1" customHeight="1">
      <c r="A14" s="1"/>
      <c r="B14" s="59" t="s">
        <v>9</v>
      </c>
      <c r="C14" s="59"/>
      <c r="D14" s="59"/>
      <c r="E14" s="59"/>
      <c r="F14" s="59"/>
      <c r="G14" s="59"/>
      <c r="H14" s="59"/>
      <c r="I14" s="59"/>
      <c r="J14" s="1"/>
    </row>
    <row r="15" spans="1:10" ht="24" customHeight="1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ht="33.950000000000003" customHeight="1">
      <c r="A16" s="1"/>
      <c r="B16" s="52" t="s">
        <v>10</v>
      </c>
      <c r="C16" s="52"/>
      <c r="D16" s="52"/>
      <c r="E16" s="52"/>
      <c r="F16" s="52"/>
      <c r="G16" s="52"/>
      <c r="H16" s="52"/>
      <c r="I16" s="52"/>
      <c r="J16" s="1"/>
    </row>
    <row r="17" spans="1:10" ht="27.95" customHeight="1">
      <c r="A17" s="1"/>
      <c r="B17" s="72" t="s">
        <v>11</v>
      </c>
      <c r="C17" s="60"/>
      <c r="D17" s="60"/>
      <c r="E17" s="60"/>
      <c r="F17" s="60"/>
      <c r="G17" s="60"/>
      <c r="H17" s="60"/>
      <c r="I17" s="60"/>
      <c r="J17" s="1"/>
    </row>
    <row r="18" spans="1:10" ht="24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24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</sheetData>
  <mergeCells count="12">
    <mergeCell ref="B17:I17"/>
    <mergeCell ref="B9:I9"/>
    <mergeCell ref="B11:I11"/>
    <mergeCell ref="B12:I12"/>
    <mergeCell ref="B14:I14"/>
    <mergeCell ref="B16:I16"/>
    <mergeCell ref="D2:G2"/>
    <mergeCell ref="B3:E3"/>
    <mergeCell ref="F3:G3"/>
    <mergeCell ref="B5:I5"/>
    <mergeCell ref="B7:E7"/>
    <mergeCell ref="F7:I7"/>
  </mergeCells>
  <hyperlinks>
    <hyperlink ref="F3" r:id="rId1" display="https://tribunska.ru/" xr:uid="{FC17C1DC-0EA1-41F1-8685-0565CCB578F0}"/>
    <hyperlink ref="B17" r:id="rId2" display="https://t.me/tribunska" xr:uid="{7B28FAA1-764F-4FB9-96E5-A806010E50B9}"/>
    <hyperlink ref="B7" location="'Допущения'!A1" display="'Допущения'!A1" xr:uid="{FA4425DE-D388-4C0F-86D6-FF98146947FF}"/>
    <hyperlink ref="F7" location="'Итог'!A1" display="'Итог'!A1" xr:uid="{2810990F-7B1C-402E-B6DF-AFC7654DD71A}"/>
  </hyperlinks>
  <pageMargins left="0.7" right="0.7" top="0.75" bottom="0.75" header="0.3" footer="0.3"/>
  <pageSetup paperSize="9" scale="81" orientation="portrait" r:id="rId3"/>
  <headerFooter>
    <oddFooter>&amp;LЕлизавета Трибунская&amp;Ctribunska.ru&amp;R&amp;P / &amp;N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243B"/>
    <pageSetUpPr fitToPage="1"/>
  </sheetPr>
  <dimension ref="A1:H43"/>
  <sheetViews>
    <sheetView showGridLines="0" zoomScaleNormal="100" workbookViewId="0"/>
  </sheetViews>
  <sheetFormatPr defaultRowHeight="14.25"/>
  <cols>
    <col min="1" max="1" width="44.375" customWidth="1"/>
    <col min="2" max="2" width="21.875" customWidth="1"/>
    <col min="3" max="3" width="3" customWidth="1"/>
    <col min="4" max="5" width="18.125" customWidth="1"/>
    <col min="6" max="7" width="20" customWidth="1"/>
    <col min="8" max="8" width="21.25" customWidth="1"/>
  </cols>
  <sheetData>
    <row r="1" spans="1:8" ht="39.950000000000003" customHeight="1">
      <c r="A1" s="26" t="s">
        <v>12</v>
      </c>
      <c r="B1" s="26"/>
      <c r="C1" s="26"/>
      <c r="D1" s="26"/>
      <c r="E1" s="26"/>
      <c r="F1" s="26"/>
      <c r="G1" s="26"/>
      <c r="H1" s="26"/>
    </row>
    <row r="2" spans="1:8" ht="24" customHeight="1">
      <c r="A2" s="3"/>
      <c r="B2" s="3"/>
      <c r="C2" s="3"/>
      <c r="D2" s="3"/>
      <c r="E2" s="3"/>
      <c r="F2" s="3"/>
      <c r="G2" s="3"/>
      <c r="H2" s="3"/>
    </row>
    <row r="3" spans="1:8" ht="24" customHeight="1">
      <c r="A3" s="3" t="s">
        <v>13</v>
      </c>
      <c r="B3" s="5" t="str">
        <f>IFERROR(CHOOSE(Допущения!$B$3,"Осторожный","Базовый","Сильный"),"Проверьте выбор")</f>
        <v>Базовый</v>
      </c>
      <c r="C3" s="3"/>
      <c r="D3" s="3" t="s">
        <v>14</v>
      </c>
      <c r="E3" s="5" t="str">
        <f>IFERROR(CHOOSE(Допущения!$B$4,"Самостоятельно","Через демо","Смешанные"),"Проверьте выбор")</f>
        <v>Смешанные</v>
      </c>
      <c r="F3" s="3"/>
      <c r="G3" s="3"/>
      <c r="H3" s="3"/>
    </row>
    <row r="4" spans="1:8" ht="24" customHeight="1">
      <c r="A4" s="3"/>
      <c r="B4" s="3"/>
      <c r="C4" s="3"/>
      <c r="D4" s="3"/>
      <c r="E4" s="3"/>
      <c r="F4" s="3"/>
      <c r="G4" s="3"/>
      <c r="H4" s="3"/>
    </row>
    <row r="5" spans="1:8" ht="24" customHeight="1">
      <c r="A5" s="27" t="s">
        <v>15</v>
      </c>
      <c r="B5" s="27"/>
      <c r="C5" s="3"/>
      <c r="D5" s="61" t="s">
        <v>16</v>
      </c>
      <c r="E5" s="61"/>
      <c r="F5" s="61"/>
      <c r="G5" s="61"/>
      <c r="H5" s="61"/>
    </row>
    <row r="6" spans="1:8" ht="24" customHeight="1">
      <c r="A6" s="3"/>
      <c r="B6" s="3"/>
      <c r="C6" s="3"/>
      <c r="D6" s="3"/>
      <c r="E6" s="3"/>
      <c r="F6" s="3"/>
      <c r="G6" s="3"/>
      <c r="H6" s="3"/>
    </row>
    <row r="7" spans="1:8" ht="24" customHeight="1">
      <c r="A7" s="3" t="s">
        <v>17</v>
      </c>
      <c r="B7" s="33">
        <f>SUM(Деньги!B7:B18)</f>
        <v>537.29999999999984</v>
      </c>
      <c r="C7" s="3"/>
      <c r="D7" s="62" t="s">
        <v>18</v>
      </c>
      <c r="E7" s="62"/>
      <c r="F7" s="62"/>
      <c r="G7" s="62"/>
      <c r="H7" s="62"/>
    </row>
    <row r="8" spans="1:8" ht="24" customHeight="1">
      <c r="A8" s="3" t="s">
        <v>19</v>
      </c>
      <c r="B8" s="33">
        <f>Деньги!C18</f>
        <v>416.4701815136616</v>
      </c>
      <c r="C8" s="3"/>
      <c r="D8" s="62"/>
      <c r="E8" s="62"/>
      <c r="F8" s="62"/>
      <c r="G8" s="62"/>
      <c r="H8" s="62"/>
    </row>
    <row r="9" spans="1:8" ht="24" customHeight="1">
      <c r="A9" s="3" t="s">
        <v>20</v>
      </c>
      <c r="B9" s="34">
        <f>SUM(Деньги!D7:D18)</f>
        <v>22747109.077206153</v>
      </c>
      <c r="C9" s="3"/>
      <c r="D9" s="62"/>
      <c r="E9" s="62"/>
      <c r="F9" s="62"/>
      <c r="G9" s="62"/>
      <c r="H9" s="62"/>
    </row>
    <row r="10" spans="1:8" ht="24" customHeight="1">
      <c r="A10" s="3" t="s">
        <v>21</v>
      </c>
      <c r="B10" s="34">
        <f>Деньги!D18</f>
        <v>3745696.9185886611</v>
      </c>
      <c r="C10" s="3"/>
      <c r="D10" s="3"/>
      <c r="E10" s="3"/>
      <c r="F10" s="3"/>
      <c r="G10" s="3"/>
      <c r="H10" s="3"/>
    </row>
    <row r="11" spans="1:8" ht="24" customHeight="1">
      <c r="A11" s="3" t="s">
        <v>22</v>
      </c>
      <c r="B11" s="34">
        <f>IF(B7=0,"Нет оплат",(SUM(Деньги!G7:H18))/B7)</f>
        <v>4142.9369067560037</v>
      </c>
      <c r="C11" s="3"/>
      <c r="D11" s="62" t="s">
        <v>23</v>
      </c>
      <c r="E11" s="62"/>
      <c r="F11" s="62"/>
      <c r="G11" s="62"/>
      <c r="H11" s="62"/>
    </row>
    <row r="12" spans="1:8" ht="42" customHeight="1">
      <c r="A12" s="3" t="s">
        <v>24</v>
      </c>
      <c r="B12" s="35" t="str">
        <f>IF(COUNTIF(Деньги!M7:M18,1)=0,"За 12 месяцев не достигнут","Месяц "&amp;MATCH(1,Деньги!M7:M18,0))</f>
        <v>Месяц 4</v>
      </c>
      <c r="C12" s="3"/>
      <c r="D12" s="62"/>
      <c r="E12" s="62"/>
      <c r="F12" s="62"/>
      <c r="G12" s="62"/>
      <c r="H12" s="62"/>
    </row>
    <row r="13" spans="1:8" ht="42" customHeight="1">
      <c r="A13" s="3" t="s">
        <v>25</v>
      </c>
      <c r="B13" s="35" t="str">
        <f>IF(COUNTIF(Деньги!N7:N18,1)=0,"За 12 месяцев не достигнут","Месяц "&amp;MATCH(1,Деньги!N7:N18,0))</f>
        <v>Месяц 7</v>
      </c>
      <c r="C13" s="3"/>
      <c r="D13" s="62"/>
      <c r="E13" s="62"/>
      <c r="F13" s="62"/>
      <c r="G13" s="62"/>
      <c r="H13" s="62"/>
    </row>
    <row r="14" spans="1:8" ht="24" customHeight="1">
      <c r="A14" s="3"/>
      <c r="B14" s="3"/>
      <c r="C14" s="3"/>
      <c r="D14" s="62"/>
      <c r="E14" s="62"/>
      <c r="F14" s="62"/>
      <c r="G14" s="62"/>
      <c r="H14" s="62"/>
    </row>
    <row r="15" spans="1:8" ht="24" customHeight="1">
      <c r="A15" s="3" t="s">
        <v>26</v>
      </c>
      <c r="B15" s="34">
        <f>MAX(Деньги!L6:L18)</f>
        <v>2242686.7053999999</v>
      </c>
      <c r="C15" s="3"/>
      <c r="D15" s="3"/>
      <c r="E15" s="3"/>
      <c r="F15" s="3"/>
      <c r="G15" s="3"/>
      <c r="H15" s="3"/>
    </row>
    <row r="16" spans="1:8" ht="24" customHeight="1">
      <c r="A16" s="3" t="s">
        <v>27</v>
      </c>
      <c r="B16" s="34">
        <f>B15*IF(AND(ISNUMBER(Допущения!$B$9),Допущения!$B$9&gt;=0,Допущения!$B$9&lt;=1),Допущения!$B$9,NA())</f>
        <v>448537.34107999998</v>
      </c>
      <c r="C16" s="3"/>
      <c r="D16" s="62" t="s">
        <v>28</v>
      </c>
      <c r="E16" s="62"/>
      <c r="F16" s="62"/>
      <c r="G16" s="62"/>
      <c r="H16" s="62"/>
    </row>
    <row r="17" spans="1:8" ht="24" customHeight="1">
      <c r="A17" s="2" t="s">
        <v>29</v>
      </c>
      <c r="B17" s="29">
        <f>B15+B16</f>
        <v>2691224.04648</v>
      </c>
      <c r="C17" s="3"/>
      <c r="D17" s="62"/>
      <c r="E17" s="62"/>
      <c r="F17" s="62"/>
      <c r="G17" s="62"/>
      <c r="H17" s="62"/>
    </row>
    <row r="18" spans="1:8" ht="24" customHeight="1">
      <c r="A18" s="3" t="s">
        <v>30</v>
      </c>
      <c r="B18" s="36">
        <f>Деньги!K18</f>
        <v>10532932.263229782</v>
      </c>
      <c r="C18" s="3"/>
      <c r="D18" s="62"/>
      <c r="E18" s="62"/>
      <c r="F18" s="62"/>
      <c r="G18" s="62"/>
      <c r="H18" s="62"/>
    </row>
    <row r="19" spans="1:8" ht="24" customHeight="1">
      <c r="A19" s="3"/>
      <c r="B19" s="3"/>
      <c r="C19" s="3"/>
      <c r="D19" s="3"/>
      <c r="E19" s="3"/>
      <c r="F19" s="3"/>
      <c r="G19" s="3"/>
      <c r="H19" s="3"/>
    </row>
    <row r="20" spans="1:8" ht="24" customHeight="1">
      <c r="A20" s="3"/>
      <c r="B20" s="3"/>
      <c r="C20" s="3"/>
      <c r="D20" s="3"/>
      <c r="E20" s="3"/>
      <c r="F20" s="3"/>
      <c r="G20" s="3"/>
      <c r="H20" s="3"/>
    </row>
    <row r="21" spans="1:8" ht="66" customHeight="1">
      <c r="A21" s="10" t="s">
        <v>31</v>
      </c>
      <c r="B21" s="11" t="s">
        <v>32</v>
      </c>
      <c r="C21" s="30"/>
      <c r="D21" s="11" t="s">
        <v>33</v>
      </c>
      <c r="E21" s="11" t="s">
        <v>34</v>
      </c>
      <c r="F21" s="11" t="s">
        <v>35</v>
      </c>
      <c r="G21" s="11" t="s">
        <v>36</v>
      </c>
      <c r="H21" s="12" t="s">
        <v>37</v>
      </c>
    </row>
    <row r="22" spans="1:8" ht="24" customHeight="1">
      <c r="A22" s="37" t="str">
        <f>Допущения!$A$30</f>
        <v>Старт</v>
      </c>
      <c r="B22" s="38">
        <f>Допущения!$B$30</f>
        <v>4900</v>
      </c>
      <c r="C22" s="3"/>
      <c r="D22" s="39">
        <f>SUMIF(Подписка!$B$6:$B$41,A22,Подписка!$F$6:$F$41)</f>
        <v>419.99999999999994</v>
      </c>
      <c r="E22" s="39">
        <f>Подписка!G39</f>
        <v>317.69526026883739</v>
      </c>
      <c r="F22" s="40">
        <f>IF(D22=0,"Нет оплат",(SUMIF(Привлечение!$B$6:$B$41,A22,Привлечение!$D$6:$D$41)+SUMIF(Привлечение!$B$6:$B$41,A22,Привлечение!$N$6:$N$41))/D22)</f>
        <v>2500.0000000000005</v>
      </c>
      <c r="G22" s="40">
        <f>Подписка!E46</f>
        <v>21317.660902710406</v>
      </c>
      <c r="H22" s="31">
        <f>IF(ISNUMBER(F22),G22-F22,"Нет оплат")</f>
        <v>18817.660902710406</v>
      </c>
    </row>
    <row r="23" spans="1:8" ht="24" customHeight="1">
      <c r="A23" s="41" t="str">
        <f>Допущения!$A$31</f>
        <v>Команда</v>
      </c>
      <c r="B23" s="42">
        <f>Допущения!$B$31</f>
        <v>14900</v>
      </c>
      <c r="C23" s="3"/>
      <c r="D23" s="43">
        <f>SUMIF(Подписка!$B$6:$B$41,A23,Подписка!$F$6:$F$41)</f>
        <v>94.5</v>
      </c>
      <c r="E23" s="43">
        <f>Подписка!G40</f>
        <v>78.282240767010592</v>
      </c>
      <c r="F23" s="44">
        <f>IF(D23=0,"Нет оплат",(SUMIF(Привлечение!$B$6:$B$41,A23,Привлечение!$D$6:$D$41)+SUMIF(Привлечение!$B$6:$B$41,A23,Привлечение!$N$6:$N$41))/D23)</f>
        <v>7777.7777777777774</v>
      </c>
      <c r="G23" s="44">
        <f>Подписка!E47</f>
        <v>67251.385589657613</v>
      </c>
      <c r="H23" s="28">
        <f>IF(ISNUMBER(F23),G23-F23,"Нет оплат")</f>
        <v>59473.607811879832</v>
      </c>
    </row>
    <row r="24" spans="1:8" ht="24" customHeight="1">
      <c r="A24" s="37" t="str">
        <f>Допущения!$A$32</f>
        <v>Бизнес</v>
      </c>
      <c r="B24" s="38">
        <f>Допущения!$B$32</f>
        <v>49900</v>
      </c>
      <c r="C24" s="3"/>
      <c r="D24" s="39">
        <f>SUMIF(Подписка!$B$6:$B$41,A24,Подписка!$F$6:$F$41)</f>
        <v>22.799999999999997</v>
      </c>
      <c r="E24" s="39">
        <f>Подписка!G41</f>
        <v>20.492680477813632</v>
      </c>
      <c r="F24" s="40">
        <f>IF(D24=0,"Нет оплат",(SUMIF(Привлечение!$B$6:$B$41,A24,Привлечение!$D$6:$D$41)+SUMIF(Привлечение!$B$6:$B$41,A24,Привлечение!$N$6:$N$41))/D24)</f>
        <v>19342.105263157897</v>
      </c>
      <c r="G24" s="40">
        <f>Подписка!E48</f>
        <v>235844.43270838898</v>
      </c>
      <c r="H24" s="31">
        <f>IF(ISNUMBER(F24),G24-F24,"Нет оплат")</f>
        <v>216502.32744523109</v>
      </c>
    </row>
    <row r="25" spans="1:8" ht="24" customHeight="1">
      <c r="A25" s="3"/>
      <c r="B25" s="3"/>
      <c r="C25" s="3"/>
      <c r="D25" s="3"/>
      <c r="E25" s="3"/>
      <c r="F25" s="3"/>
      <c r="G25" s="3"/>
      <c r="H25" s="3"/>
    </row>
    <row r="26" spans="1:8" ht="42" customHeight="1">
      <c r="A26" s="63" t="str">
        <f>"Вклад клиента за "&amp;Допущения!B16&amp;" месяцев: выручка минус переменные затраты, с учётом оттока. Постоянные расходы — в общем потоке."</f>
        <v>Вклад клиента за 6 месяцев: выручка минус переменные затраты, с учётом оттока. Постоянные расходы — в общем потоке.</v>
      </c>
      <c r="B26" s="64"/>
      <c r="C26" s="64"/>
      <c r="D26" s="64"/>
      <c r="E26" s="64"/>
      <c r="F26" s="64"/>
      <c r="G26" s="64"/>
      <c r="H26" s="64"/>
    </row>
    <row r="27" spans="1:8" ht="24" customHeight="1">
      <c r="A27" s="3"/>
      <c r="B27" s="3"/>
      <c r="C27" s="3"/>
      <c r="D27" s="3"/>
      <c r="E27" s="3"/>
      <c r="F27" s="3"/>
      <c r="G27" s="3"/>
      <c r="H27" s="3"/>
    </row>
    <row r="28" spans="1:8" ht="66" customHeight="1">
      <c r="A28" s="10" t="s">
        <v>38</v>
      </c>
      <c r="B28" s="11" t="s">
        <v>39</v>
      </c>
      <c r="C28" s="30"/>
      <c r="D28" s="11" t="s">
        <v>40</v>
      </c>
      <c r="E28" s="11" t="s">
        <v>41</v>
      </c>
      <c r="F28" s="11" t="s">
        <v>42</v>
      </c>
      <c r="G28" s="11" t="s">
        <v>43</v>
      </c>
      <c r="H28" s="12" t="s">
        <v>44</v>
      </c>
    </row>
    <row r="29" spans="1:8" ht="24" customHeight="1">
      <c r="A29" s="1" t="s">
        <v>45</v>
      </c>
      <c r="B29" s="39">
        <f>Деньги!B7</f>
        <v>12.249999999999998</v>
      </c>
      <c r="C29" s="3"/>
      <c r="D29" s="45">
        <f>Деньги!D7</f>
        <v>82525</v>
      </c>
      <c r="E29" s="45">
        <f>SUM(Деньги!G7:H7)</f>
        <v>53000</v>
      </c>
      <c r="F29" s="45">
        <f>Деньги!J7</f>
        <v>-391600.25</v>
      </c>
      <c r="G29" s="45">
        <f>Деньги!K7</f>
        <v>-1841600.25</v>
      </c>
      <c r="H29" s="45">
        <f>Деньги!L7</f>
        <v>1841600.25</v>
      </c>
    </row>
    <row r="30" spans="1:8" ht="24" customHeight="1">
      <c r="A30" s="3" t="s">
        <v>46</v>
      </c>
      <c r="B30" s="43">
        <f>Деньги!B8</f>
        <v>25.099999999999998</v>
      </c>
      <c r="C30" s="3"/>
      <c r="D30" s="46">
        <f>Деньги!D8</f>
        <v>273234</v>
      </c>
      <c r="E30" s="46">
        <f>SUM(Деньги!G8:H8)</f>
        <v>106000</v>
      </c>
      <c r="F30" s="46">
        <f>Деньги!J8</f>
        <v>-293840.33999999997</v>
      </c>
      <c r="G30" s="46">
        <f>Деньги!K8</f>
        <v>-2135440.59</v>
      </c>
      <c r="H30" s="46">
        <f>Деньги!L8</f>
        <v>2135440.59</v>
      </c>
    </row>
    <row r="31" spans="1:8" ht="24" customHeight="1">
      <c r="A31" s="1" t="s">
        <v>47</v>
      </c>
      <c r="B31" s="39">
        <f>Деньги!B9</f>
        <v>37.950000000000003</v>
      </c>
      <c r="C31" s="3"/>
      <c r="D31" s="45">
        <f>Деньги!D9</f>
        <v>567327.53999999992</v>
      </c>
      <c r="E31" s="45">
        <f>SUM(Деньги!G9:H9)</f>
        <v>159000</v>
      </c>
      <c r="F31" s="45">
        <f>Деньги!J9</f>
        <v>-107246.11540000013</v>
      </c>
      <c r="G31" s="45">
        <f>Деньги!K9</f>
        <v>-2242686.7053999999</v>
      </c>
      <c r="H31" s="45">
        <f>Деньги!L9</f>
        <v>2242686.7053999999</v>
      </c>
    </row>
    <row r="32" spans="1:8" ht="24" customHeight="1">
      <c r="A32" s="3" t="s">
        <v>48</v>
      </c>
      <c r="B32" s="43">
        <f>Деньги!B10</f>
        <v>50.79999999999999</v>
      </c>
      <c r="C32" s="3"/>
      <c r="D32" s="46">
        <f>Деньги!D10</f>
        <v>960242.18290000001</v>
      </c>
      <c r="E32" s="46">
        <f>SUM(Деньги!G10:H10)</f>
        <v>212000</v>
      </c>
      <c r="F32" s="46">
        <f>Деньги!J10</f>
        <v>164259.57237100007</v>
      </c>
      <c r="G32" s="46">
        <f>Деньги!K10</f>
        <v>-2078427.1330289999</v>
      </c>
      <c r="H32" s="46">
        <f>Деньги!L10</f>
        <v>2242686.7053999999</v>
      </c>
    </row>
    <row r="33" spans="1:8" ht="24" customHeight="1">
      <c r="A33" s="1" t="s">
        <v>49</v>
      </c>
      <c r="B33" s="39">
        <f>Деньги!B11</f>
        <v>51.399999999999991</v>
      </c>
      <c r="C33" s="3"/>
      <c r="D33" s="45">
        <f>Деньги!D11</f>
        <v>1365113.0379514999</v>
      </c>
      <c r="E33" s="45">
        <f>SUM(Деньги!G11:H11)</f>
        <v>212000</v>
      </c>
      <c r="F33" s="45">
        <f>Деньги!J11</f>
        <v>508546.38064148487</v>
      </c>
      <c r="G33" s="45">
        <f>Деньги!K11</f>
        <v>-1569880.752387515</v>
      </c>
      <c r="H33" s="45">
        <f>Деньги!L11</f>
        <v>2242686.7053999999</v>
      </c>
    </row>
    <row r="34" spans="1:8" ht="24" customHeight="1">
      <c r="A34" s="3" t="s">
        <v>50</v>
      </c>
      <c r="B34" s="43">
        <f>Деньги!B12</f>
        <v>51.399999999999991</v>
      </c>
      <c r="C34" s="3"/>
      <c r="D34" s="46">
        <f>Деньги!D12</f>
        <v>1752152.9752329523</v>
      </c>
      <c r="E34" s="46">
        <f>SUM(Деньги!G12:H12)</f>
        <v>212000</v>
      </c>
      <c r="F34" s="46">
        <f>Деньги!J12</f>
        <v>841105.42506586527</v>
      </c>
      <c r="G34" s="46">
        <f>Деньги!K12</f>
        <v>-728775.32732164976</v>
      </c>
      <c r="H34" s="46">
        <f>Деньги!L12</f>
        <v>2242686.7053999999</v>
      </c>
    </row>
    <row r="35" spans="1:8" ht="24" customHeight="1">
      <c r="A35" s="1" t="s">
        <v>51</v>
      </c>
      <c r="B35" s="39">
        <f>Деньги!B13</f>
        <v>51.399999999999991</v>
      </c>
      <c r="C35" s="3"/>
      <c r="D35" s="45">
        <f>Деньги!D13</f>
        <v>2122233.951744887</v>
      </c>
      <c r="E35" s="45">
        <f>SUM(Деньги!G13:H13)</f>
        <v>212000</v>
      </c>
      <c r="F35" s="45">
        <f>Деньги!J13</f>
        <v>1159086.6154500367</v>
      </c>
      <c r="G35" s="45">
        <f>Деньги!K13</f>
        <v>430311.28812838695</v>
      </c>
      <c r="H35" s="45">
        <f>Деньги!L13</f>
        <v>2242686.7053999999</v>
      </c>
    </row>
    <row r="36" spans="1:8" ht="24" customHeight="1">
      <c r="A36" s="3" t="s">
        <v>52</v>
      </c>
      <c r="B36" s="43">
        <f>Деньги!B14</f>
        <v>51.399999999999991</v>
      </c>
      <c r="C36" s="3"/>
      <c r="D36" s="46">
        <f>Деньги!D14</f>
        <v>2476182.0091085373</v>
      </c>
      <c r="E36" s="46">
        <f>SUM(Деньги!G14:H14)</f>
        <v>212000</v>
      </c>
      <c r="F36" s="46">
        <f>Деньги!J14</f>
        <v>1463200.3557085074</v>
      </c>
      <c r="G36" s="46">
        <f>Деньги!K14</f>
        <v>1893511.6438368943</v>
      </c>
      <c r="H36" s="46">
        <f>Деньги!L14</f>
        <v>2242686.7053999999</v>
      </c>
    </row>
    <row r="37" spans="1:8" ht="24" customHeight="1">
      <c r="A37" s="1" t="s">
        <v>53</v>
      </c>
      <c r="B37" s="39">
        <f>Деньги!B15</f>
        <v>51.399999999999991</v>
      </c>
      <c r="C37" s="3"/>
      <c r="D37" s="45">
        <f>Деньги!D15</f>
        <v>2814779.810254016</v>
      </c>
      <c r="E37" s="45">
        <f>SUM(Деньги!G15:H15)</f>
        <v>212000</v>
      </c>
      <c r="F37" s="45">
        <f>Деньги!J15</f>
        <v>1754119.7272086027</v>
      </c>
      <c r="G37" s="45">
        <f>Деньги!K15</f>
        <v>3647631.3710454972</v>
      </c>
      <c r="H37" s="45">
        <f>Деньги!L15</f>
        <v>2242686.7053999999</v>
      </c>
    </row>
    <row r="38" spans="1:8" ht="24" customHeight="1">
      <c r="A38" s="3" t="s">
        <v>54</v>
      </c>
      <c r="B38" s="43">
        <f>Деньги!B16</f>
        <v>51.399999999999991</v>
      </c>
      <c r="C38" s="3"/>
      <c r="D38" s="46">
        <f>Деньги!D16</f>
        <v>3138769.0316904089</v>
      </c>
      <c r="E38" s="46">
        <f>SUM(Деньги!G16:H16)</f>
        <v>212000</v>
      </c>
      <c r="F38" s="46">
        <f>Деньги!J16</f>
        <v>2032482.5477809277</v>
      </c>
      <c r="G38" s="46">
        <f>Деньги!K16</f>
        <v>5680113.9188264254</v>
      </c>
      <c r="H38" s="46">
        <f>Деньги!L16</f>
        <v>2242686.7053999999</v>
      </c>
    </row>
    <row r="39" spans="1:8" ht="24" customHeight="1">
      <c r="A39" s="1" t="s">
        <v>55</v>
      </c>
      <c r="B39" s="39">
        <f>Деньги!B17</f>
        <v>51.399999999999991</v>
      </c>
      <c r="C39" s="3"/>
      <c r="D39" s="45">
        <f>Деньги!D17</f>
        <v>3448852.6197351916</v>
      </c>
      <c r="E39" s="45">
        <f>SUM(Деньги!G17:H17)</f>
        <v>212000</v>
      </c>
      <c r="F39" s="45">
        <f>Деньги!J17</f>
        <v>2298893.3136097593</v>
      </c>
      <c r="G39" s="45">
        <f>Деньги!K17</f>
        <v>7979007.2324361848</v>
      </c>
      <c r="H39" s="45">
        <f>Деньги!L17</f>
        <v>2242686.7053999999</v>
      </c>
    </row>
    <row r="40" spans="1:8" ht="24" customHeight="1">
      <c r="A40" s="3" t="s">
        <v>56</v>
      </c>
      <c r="B40" s="43">
        <f>Деньги!B18</f>
        <v>51.399999999999991</v>
      </c>
      <c r="C40" s="3"/>
      <c r="D40" s="46">
        <f>Деньги!D18</f>
        <v>3745696.9185886611</v>
      </c>
      <c r="E40" s="46">
        <f>SUM(Деньги!G18:H18)</f>
        <v>212000</v>
      </c>
      <c r="F40" s="46">
        <f>Деньги!J18</f>
        <v>2553925.030793597</v>
      </c>
      <c r="G40" s="46">
        <f>Деньги!K18</f>
        <v>10532932.263229782</v>
      </c>
      <c r="H40" s="46">
        <f>Деньги!L18</f>
        <v>2242686.7053999999</v>
      </c>
    </row>
    <row r="41" spans="1:8" ht="24" customHeight="1">
      <c r="A41" s="3"/>
      <c r="B41" s="3"/>
      <c r="C41" s="3"/>
      <c r="D41" s="3"/>
      <c r="E41" s="3"/>
      <c r="F41" s="3"/>
      <c r="G41" s="3"/>
      <c r="H41" s="3"/>
    </row>
    <row r="42" spans="1:8" ht="30" customHeight="1">
      <c r="A42" s="65" t="str">
        <f>Допущения!A54</f>
        <v/>
      </c>
      <c r="B42" s="66"/>
      <c r="C42" s="66"/>
      <c r="D42" s="66"/>
      <c r="E42" s="66"/>
      <c r="F42" s="66"/>
      <c r="G42" s="66"/>
      <c r="H42" s="66"/>
    </row>
    <row r="43" spans="1:8" ht="24" customHeight="1">
      <c r="A43" s="32" t="s">
        <v>57</v>
      </c>
      <c r="B43" s="32"/>
      <c r="C43" s="32"/>
      <c r="D43" s="32"/>
      <c r="E43" s="32"/>
      <c r="F43" s="32"/>
      <c r="G43" s="32"/>
      <c r="H43" s="32"/>
    </row>
  </sheetData>
  <mergeCells count="6">
    <mergeCell ref="A42:H42"/>
    <mergeCell ref="D5:H5"/>
    <mergeCell ref="D7:H9"/>
    <mergeCell ref="D11:H14"/>
    <mergeCell ref="D16:H18"/>
    <mergeCell ref="A26:H26"/>
  </mergeCells>
  <pageMargins left="0.25" right="0.25" top="0.25" bottom="0.34722222222222221" header="0.3" footer="0.3"/>
  <pageSetup paperSize="8" scale="78" orientation="portrait" r:id="rId1"/>
  <headerFooter>
    <oddFooter>&amp;LЕлизавета Трибунская&amp;Ctribunska.ru&amp;R&amp;P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5F91"/>
    <pageSetUpPr fitToPage="1"/>
  </sheetPr>
  <dimension ref="A1:N5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25"/>
  <cols>
    <col min="1" max="1" width="47.5" customWidth="1"/>
    <col min="2" max="2" width="14.375" customWidth="1"/>
    <col min="3" max="3" width="16.5" customWidth="1"/>
    <col min="4" max="4" width="16.875" customWidth="1"/>
    <col min="5" max="5" width="16.25" customWidth="1"/>
    <col min="6" max="6" width="16.875" customWidth="1"/>
    <col min="7" max="7" width="15.625" customWidth="1"/>
    <col min="8" max="8" width="15" customWidth="1"/>
    <col min="9" max="10" width="16" customWidth="1"/>
    <col min="11" max="12" width="15.625" customWidth="1"/>
    <col min="13" max="13" width="15" customWidth="1"/>
    <col min="14" max="14" width="16" customWidth="1"/>
  </cols>
  <sheetData>
    <row r="1" spans="1:14" ht="33.950000000000003" customHeight="1">
      <c r="A1" s="4" t="s">
        <v>58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4" customHeight="1">
      <c r="A3" s="3" t="s">
        <v>59</v>
      </c>
      <c r="B3" s="6">
        <v>2</v>
      </c>
      <c r="C3" s="3"/>
      <c r="D3" s="3" t="s">
        <v>14</v>
      </c>
      <c r="E3" s="5" t="str">
        <f>IFERROR(CHOOSE(Допущения!$B$4,"Самостоятельно","Через демо","Смешанные"),"Проверьте выбор")</f>
        <v>Смешанные</v>
      </c>
      <c r="F3" s="3"/>
      <c r="G3" s="3"/>
      <c r="H3" s="3"/>
      <c r="I3" s="3"/>
      <c r="J3" s="3"/>
      <c r="K3" s="3"/>
      <c r="L3" s="3"/>
      <c r="M3" s="3"/>
      <c r="N3" s="3"/>
    </row>
    <row r="4" spans="1:14" ht="24" customHeight="1">
      <c r="A4" s="3" t="s">
        <v>60</v>
      </c>
      <c r="B4" s="7">
        <v>3</v>
      </c>
      <c r="C4" s="3"/>
      <c r="D4" s="67" t="s">
        <v>61</v>
      </c>
      <c r="E4" s="67"/>
      <c r="F4" s="67"/>
      <c r="G4" s="67"/>
      <c r="H4" s="67"/>
      <c r="I4" s="67"/>
      <c r="J4" s="67"/>
      <c r="K4" s="67"/>
      <c r="L4" s="67"/>
      <c r="M4" s="67"/>
      <c r="N4" s="67"/>
    </row>
    <row r="5" spans="1:14" ht="24" customHeight="1">
      <c r="A5" s="3"/>
      <c r="B5" s="3"/>
      <c r="C5" s="3"/>
      <c r="D5" s="68" t="s">
        <v>62</v>
      </c>
      <c r="E5" s="68"/>
      <c r="F5" s="68"/>
      <c r="G5" s="68"/>
      <c r="H5" s="68"/>
      <c r="I5" s="68"/>
      <c r="J5" s="68"/>
      <c r="K5" s="68"/>
      <c r="L5" s="68"/>
      <c r="M5" s="68"/>
      <c r="N5" s="68"/>
    </row>
    <row r="6" spans="1:14" ht="24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4" customHeight="1">
      <c r="A7" s="3" t="s">
        <v>63</v>
      </c>
      <c r="B7" s="8">
        <v>1000</v>
      </c>
      <c r="C7" s="3"/>
      <c r="D7" s="69" t="s">
        <v>64</v>
      </c>
      <c r="E7" s="69"/>
      <c r="F7" s="69"/>
      <c r="G7" s="69"/>
      <c r="H7" s="69"/>
      <c r="I7" s="3"/>
      <c r="J7" s="3"/>
      <c r="K7" s="3"/>
      <c r="L7" s="3"/>
      <c r="M7" s="3"/>
      <c r="N7" s="3"/>
    </row>
    <row r="8" spans="1:14" ht="24" customHeight="1">
      <c r="A8" s="3" t="s">
        <v>65</v>
      </c>
      <c r="B8" s="9">
        <v>0.01</v>
      </c>
      <c r="C8" s="3"/>
      <c r="D8" s="69"/>
      <c r="E8" s="69"/>
      <c r="F8" s="69"/>
      <c r="G8" s="69"/>
      <c r="H8" s="69"/>
      <c r="I8" s="3"/>
      <c r="J8" s="3"/>
      <c r="K8" s="3"/>
      <c r="L8" s="3"/>
      <c r="M8" s="3"/>
      <c r="N8" s="3"/>
    </row>
    <row r="9" spans="1:14" ht="24" customHeight="1">
      <c r="A9" s="3" t="s">
        <v>66</v>
      </c>
      <c r="B9" s="9">
        <v>0.2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24" customHeight="1">
      <c r="A10" s="3" t="s">
        <v>67</v>
      </c>
      <c r="B10" s="8">
        <v>1200000</v>
      </c>
      <c r="C10" s="3"/>
      <c r="D10" s="69" t="s">
        <v>68</v>
      </c>
      <c r="E10" s="69"/>
      <c r="F10" s="69"/>
      <c r="G10" s="69"/>
      <c r="H10" s="69"/>
      <c r="I10" s="3"/>
      <c r="J10" s="3"/>
      <c r="K10" s="3"/>
      <c r="L10" s="3"/>
      <c r="M10" s="3"/>
      <c r="N10" s="3"/>
    </row>
    <row r="11" spans="1:14" ht="24" customHeight="1">
      <c r="A11" s="3" t="s">
        <v>69</v>
      </c>
      <c r="B11" s="8">
        <v>150000</v>
      </c>
      <c r="C11" s="3"/>
      <c r="D11" s="69"/>
      <c r="E11" s="69"/>
      <c r="F11" s="69"/>
      <c r="G11" s="69"/>
      <c r="H11" s="69"/>
      <c r="I11" s="3"/>
      <c r="J11" s="3"/>
      <c r="K11" s="3"/>
      <c r="L11" s="3"/>
      <c r="M11" s="3"/>
      <c r="N11" s="3"/>
    </row>
    <row r="12" spans="1:14" ht="24" customHeight="1">
      <c r="A12" s="3" t="s">
        <v>70</v>
      </c>
      <c r="B12" s="8">
        <v>100000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24" customHeight="1">
      <c r="A13" s="3" t="s">
        <v>71</v>
      </c>
      <c r="B13" s="8">
        <v>300000</v>
      </c>
      <c r="C13" s="3"/>
      <c r="D13" s="69" t="s">
        <v>72</v>
      </c>
      <c r="E13" s="69"/>
      <c r="F13" s="69"/>
      <c r="G13" s="69"/>
      <c r="H13" s="69"/>
      <c r="I13" s="3"/>
      <c r="J13" s="3"/>
      <c r="K13" s="3"/>
      <c r="L13" s="3"/>
      <c r="M13" s="3"/>
      <c r="N13" s="3"/>
    </row>
    <row r="14" spans="1:14" ht="24" customHeight="1">
      <c r="A14" s="3" t="s">
        <v>73</v>
      </c>
      <c r="B14" s="8">
        <v>70000</v>
      </c>
      <c r="C14" s="3"/>
      <c r="D14" s="69"/>
      <c r="E14" s="69"/>
      <c r="F14" s="69"/>
      <c r="G14" s="69"/>
      <c r="H14" s="69"/>
      <c r="I14" s="3"/>
      <c r="J14" s="3"/>
      <c r="K14" s="3"/>
      <c r="L14" s="3"/>
      <c r="M14" s="3"/>
      <c r="N14" s="3"/>
    </row>
    <row r="15" spans="1:14" ht="24" customHeight="1">
      <c r="A15" s="3" t="s">
        <v>74</v>
      </c>
      <c r="B15" s="8">
        <v>30000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ht="24" customHeight="1">
      <c r="A16" s="3" t="s">
        <v>75</v>
      </c>
      <c r="B16" s="8">
        <v>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ht="24" customHeight="1">
      <c r="A17" s="3" t="s">
        <v>76</v>
      </c>
      <c r="B17" s="8">
        <v>1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ht="24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ht="24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24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ht="24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ht="66" customHeight="1">
      <c r="A22" s="10" t="s">
        <v>77</v>
      </c>
      <c r="B22" s="11" t="s">
        <v>78</v>
      </c>
      <c r="C22" s="11" t="s">
        <v>79</v>
      </c>
      <c r="D22" s="11" t="s">
        <v>80</v>
      </c>
      <c r="E22" s="12" t="s">
        <v>81</v>
      </c>
      <c r="F22" s="3"/>
      <c r="G22" s="3"/>
      <c r="H22" s="3"/>
      <c r="I22" s="3"/>
      <c r="J22" s="3"/>
      <c r="K22" s="3"/>
      <c r="L22" s="3"/>
      <c r="M22" s="3"/>
      <c r="N22" s="3"/>
    </row>
    <row r="23" spans="1:14" ht="24" customHeight="1">
      <c r="A23" s="3" t="s">
        <v>82</v>
      </c>
      <c r="B23" s="14">
        <f>IF(AND(ISNUMBER($B$3),$B$3=INT($B$3),$B$3&gt;=1,$B$3&lt;=3,COUNT(INDEX(C23:E23,1,$B$3))=1,INDEX(C23:E23,1,$B$3)&gt;0),INDEX(C23:E23,1,$B$3),NA())</f>
        <v>1</v>
      </c>
      <c r="C23" s="13">
        <v>1.25</v>
      </c>
      <c r="D23" s="13">
        <v>1</v>
      </c>
      <c r="E23" s="13">
        <v>0.85</v>
      </c>
      <c r="F23" s="3"/>
      <c r="G23" s="3"/>
      <c r="H23" s="3"/>
      <c r="I23" s="3"/>
      <c r="J23" s="3"/>
      <c r="K23" s="3"/>
      <c r="L23" s="3"/>
      <c r="M23" s="3"/>
      <c r="N23" s="3"/>
    </row>
    <row r="24" spans="1:14" ht="24" customHeight="1">
      <c r="A24" s="3" t="s">
        <v>83</v>
      </c>
      <c r="B24" s="14">
        <f>IF(AND(ISNUMBER($B$3),$B$3=INT($B$3),$B$3&gt;=1,$B$3&lt;=3,COUNT(INDEX(C24:E24,1,$B$3))=1,INDEX(C24:E24,1,$B$3)&gt;=0),INDEX(C24:E24,1,$B$3),NA())</f>
        <v>1</v>
      </c>
      <c r="C24" s="13">
        <v>0.65</v>
      </c>
      <c r="D24" s="13">
        <v>1</v>
      </c>
      <c r="E24" s="13">
        <v>1.25</v>
      </c>
      <c r="F24" s="3"/>
      <c r="G24" s="3"/>
      <c r="H24" s="3"/>
      <c r="I24" s="3"/>
      <c r="J24" s="3"/>
      <c r="K24" s="3"/>
      <c r="L24" s="3"/>
      <c r="M24" s="3"/>
      <c r="N24" s="3"/>
    </row>
    <row r="25" spans="1:14" ht="24" customHeight="1">
      <c r="A25" s="3" t="s">
        <v>84</v>
      </c>
      <c r="B25" s="14">
        <f>IF(AND(ISNUMBER($B$3),$B$3=INT($B$3),$B$3&gt;=1,$B$3&lt;=3,COUNT(INDEX(C25:E25,1,$B$3))=1,INDEX(C25:E25,1,$B$3)&gt;=0),INDEX(C25:E25,1,$B$3),NA())</f>
        <v>1</v>
      </c>
      <c r="C25" s="13">
        <v>1.3</v>
      </c>
      <c r="D25" s="13">
        <v>1</v>
      </c>
      <c r="E25" s="13">
        <v>0.8</v>
      </c>
      <c r="F25" s="3"/>
      <c r="G25" s="3"/>
      <c r="H25" s="3"/>
      <c r="I25" s="3"/>
      <c r="J25" s="3"/>
      <c r="K25" s="3"/>
      <c r="L25" s="3"/>
      <c r="M25" s="3"/>
      <c r="N25" s="3"/>
    </row>
    <row r="26" spans="1:14" ht="24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ht="24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ht="24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ht="66" customHeight="1">
      <c r="A29" s="10" t="s">
        <v>31</v>
      </c>
      <c r="B29" s="11" t="s">
        <v>85</v>
      </c>
      <c r="C29" s="11" t="s">
        <v>86</v>
      </c>
      <c r="D29" s="11" t="s">
        <v>87</v>
      </c>
      <c r="E29" s="11" t="s">
        <v>88</v>
      </c>
      <c r="F29" s="11" t="s">
        <v>89</v>
      </c>
      <c r="G29" s="11" t="s">
        <v>90</v>
      </c>
      <c r="H29" s="11" t="s">
        <v>91</v>
      </c>
      <c r="I29" s="11" t="s">
        <v>92</v>
      </c>
      <c r="J29" s="11" t="s">
        <v>93</v>
      </c>
      <c r="K29" s="11" t="s">
        <v>94</v>
      </c>
      <c r="L29" s="11" t="s">
        <v>95</v>
      </c>
      <c r="M29" s="11" t="s">
        <v>96</v>
      </c>
      <c r="N29" s="12" t="s">
        <v>97</v>
      </c>
    </row>
    <row r="30" spans="1:14" ht="24" customHeight="1">
      <c r="A30" s="3" t="s">
        <v>98</v>
      </c>
      <c r="B30" s="8">
        <v>4900</v>
      </c>
      <c r="C30" s="9">
        <v>0.5</v>
      </c>
      <c r="D30" s="9">
        <v>0.06</v>
      </c>
      <c r="E30" s="8">
        <v>300</v>
      </c>
      <c r="F30" s="15">
        <v>0.33</v>
      </c>
      <c r="G30" s="15">
        <v>0.5</v>
      </c>
      <c r="H30" s="8">
        <v>45</v>
      </c>
      <c r="I30" s="9">
        <v>1.7999999999999999E-2</v>
      </c>
      <c r="J30" s="9">
        <v>0.06</v>
      </c>
      <c r="K30" s="9">
        <v>0.7</v>
      </c>
      <c r="L30" s="9">
        <v>0.2</v>
      </c>
      <c r="M30" s="15">
        <v>0.75</v>
      </c>
      <c r="N30" s="17">
        <f>IF(AND(ISNUMBER($B$4),$B$4=INT($B$4),$B$4&gt;=1,$B$4&lt;=3),IF($B$4=1,0,IF($B$4=2,1,0)),NA())</f>
        <v>0</v>
      </c>
    </row>
    <row r="31" spans="1:14" ht="24" customHeight="1">
      <c r="A31" s="3" t="s">
        <v>99</v>
      </c>
      <c r="B31" s="8">
        <v>14900</v>
      </c>
      <c r="C31" s="9">
        <v>0.35</v>
      </c>
      <c r="D31" s="9">
        <v>0.04</v>
      </c>
      <c r="E31" s="8">
        <v>1000</v>
      </c>
      <c r="F31" s="15">
        <v>1</v>
      </c>
      <c r="G31" s="15">
        <v>2</v>
      </c>
      <c r="H31" s="8">
        <v>70</v>
      </c>
      <c r="I31" s="9">
        <v>8.9999999999999993E-3</v>
      </c>
      <c r="J31" s="9">
        <v>0.05</v>
      </c>
      <c r="K31" s="9">
        <v>0.75</v>
      </c>
      <c r="L31" s="9">
        <v>0.25</v>
      </c>
      <c r="M31" s="15">
        <v>1</v>
      </c>
      <c r="N31" s="17">
        <f>IF(AND(ISNUMBER($B$4),$B$4=INT($B$4),$B$4&gt;=1,$B$4&lt;=3),IF($B$4=1,0,IF($B$4=2,1,0)),NA())</f>
        <v>0</v>
      </c>
    </row>
    <row r="32" spans="1:14" ht="24" customHeight="1">
      <c r="A32" s="3" t="s">
        <v>100</v>
      </c>
      <c r="B32" s="8">
        <v>49900</v>
      </c>
      <c r="C32" s="9">
        <v>0.15</v>
      </c>
      <c r="D32" s="9">
        <v>2.5000000000000001E-2</v>
      </c>
      <c r="E32" s="8">
        <v>3500</v>
      </c>
      <c r="F32" s="15">
        <v>3</v>
      </c>
      <c r="G32" s="15">
        <v>6</v>
      </c>
      <c r="H32" s="8">
        <v>120</v>
      </c>
      <c r="I32" s="9">
        <v>4.0000000000000001E-3</v>
      </c>
      <c r="J32" s="9">
        <v>0.04</v>
      </c>
      <c r="K32" s="9">
        <v>0.8</v>
      </c>
      <c r="L32" s="9">
        <v>0.3</v>
      </c>
      <c r="M32" s="15">
        <v>1.5</v>
      </c>
      <c r="N32" s="17">
        <f>IF(AND(ISNUMBER($B$4),$B$4=INT($B$4),$B$4&gt;=1,$B$4&lt;=3),IF($B$4=1,0,IF($B$4=2,1,1)),NA())</f>
        <v>1</v>
      </c>
    </row>
    <row r="33" spans="1:14" ht="24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ht="24.95" customHeight="1">
      <c r="A34" s="64" t="s">
        <v>101</v>
      </c>
      <c r="B34" s="64"/>
      <c r="C34" s="64"/>
      <c r="D34" s="64"/>
      <c r="E34" s="64"/>
      <c r="F34" s="64"/>
      <c r="G34" s="64"/>
      <c r="H34" s="18"/>
      <c r="I34" s="18"/>
      <c r="J34" s="18"/>
      <c r="K34" s="18"/>
      <c r="L34" s="18"/>
      <c r="M34" s="18"/>
      <c r="N34" s="18"/>
    </row>
    <row r="35" spans="1:14" ht="24.95" customHeight="1">
      <c r="A35" s="64" t="s">
        <v>102</v>
      </c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</row>
    <row r="36" spans="1:14" ht="24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ht="24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ht="24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ht="66" customHeight="1">
      <c r="A39" s="10" t="s">
        <v>38</v>
      </c>
      <c r="B39" s="12" t="s">
        <v>103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ht="24" customHeight="1">
      <c r="A40" s="3" t="s">
        <v>45</v>
      </c>
      <c r="B40" s="8">
        <v>50000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ht="24" customHeight="1">
      <c r="A41" s="3" t="s">
        <v>46</v>
      </c>
      <c r="B41" s="8">
        <v>100000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 ht="24" customHeight="1">
      <c r="A42" s="3" t="s">
        <v>47</v>
      </c>
      <c r="B42" s="8">
        <v>150000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24" customHeight="1">
      <c r="A43" s="3" t="s">
        <v>48</v>
      </c>
      <c r="B43" s="8">
        <v>200000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 ht="24" customHeight="1">
      <c r="A44" s="3" t="s">
        <v>49</v>
      </c>
      <c r="B44" s="8">
        <v>200000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 ht="24" customHeight="1">
      <c r="A45" s="3" t="s">
        <v>50</v>
      </c>
      <c r="B45" s="8">
        <v>200000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 ht="24" customHeight="1">
      <c r="A46" s="3" t="s">
        <v>51</v>
      </c>
      <c r="B46" s="8">
        <v>200000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 ht="24" customHeight="1">
      <c r="A47" s="3" t="s">
        <v>52</v>
      </c>
      <c r="B47" s="8">
        <v>200000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24" customHeight="1">
      <c r="A48" s="3" t="s">
        <v>53</v>
      </c>
      <c r="B48" s="8">
        <v>200000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 ht="24" customHeight="1">
      <c r="A49" s="3" t="s">
        <v>54</v>
      </c>
      <c r="B49" s="8">
        <v>200000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 ht="24" customHeight="1">
      <c r="A50" s="3" t="s">
        <v>55</v>
      </c>
      <c r="B50" s="8">
        <v>200000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 ht="24" customHeight="1">
      <c r="A51" s="3" t="s">
        <v>56</v>
      </c>
      <c r="B51" s="8">
        <v>200000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ht="24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ht="24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spans="1:14" ht="24" customHeight="1">
      <c r="A54" s="70" t="str">
        <f>IF(IFERROR(AND(AND(ISNUMBER(B3),B3&gt;0,B3=INT(B3),B3&lt;=3),AND(ISNUMBER(B4),B4&gt;0,B4=INT(B4),B4&lt;=3),AND(ISNUMBER(B7),B7&gt;=0),AND(ISNUMBER(B8),B8&gt;=0,B8&lt;=1),AND(ISNUMBER(B9),B9&gt;=0,B9&lt;=1),AND(ISNUMBER(B10),B10&gt;=0),AND(ISNUMBER(B11),B11&gt;=0),AND(ISNUMBER(B12),B12&gt;=0),AND(ISNUMBER(B13),B13&gt;=0),AND(ISNUMBER(B14),B14&gt;=0),AND(ISNUMBER(B15),B15&gt;=0),AND(ISNUMBER(B16),B16&gt;0,B16=INT(B16),B16&lt;=120),AND(ISNUMBER(B17),B17&gt;=0,B17=INT(B17),B17&lt;=12),AND(ISNUMBER(C23),C23&gt;0),AND(ISNUMBER(D23),D23&gt;0),AND(ISNUMBER(E23),E23&gt;0),AND(ISNUMBER(C24),C24&gt;=0),AND(ISNUMBER(D24),D24&gt;=0),AND(ISNUMBER(E24),E24&gt;=0),AND(ISNUMBER(C25),C25&gt;=0),AND(ISNUMBER(D25),D25&gt;=0),AND(ISNUMBER(E25),E25&gt;=0),AND(ISNUMBER(B30),B30&gt;0),AND(ISNUMBER(C30),C30&gt;=0,C30&lt;=1),AND(ISNUMBER(D30),D30&gt;=0,D30&lt;=1),AND(ISNUMBER(E30),E30&gt;=0),AND(ISNUMBER(F30),F30&gt;=0),AND(ISNUMBER(G30),G30&gt;=0),AND(ISNUMBER(H30),H30&gt;0),AND(ISNUMBER(I30),I30&gt;=0,I30&lt;=1),AND(ISNUMBER(J30),J30&gt;=0,J30&lt;=1),AND(ISNUMBER(K30),K30&gt;=0,K30&lt;=1),AND(ISNUMBER(L30),L30&gt;=0,L30&lt;=1),AND(ISNUMBER(M30),M30&gt;=0),AND(ISNUMBER(B31),B31&gt;0),AND(ISNUMBER(C31),C31&gt;=0,C31&lt;=1),AND(ISNUMBER(D31),D31&gt;=0,D31&lt;=1),AND(ISNUMBER(E31),E31&gt;=0),AND(ISNUMBER(F31),F31&gt;=0),AND(ISNUMBER(G31),G31&gt;=0),AND(ISNUMBER(H31),H31&gt;0),AND(ISNUMBER(I31),I31&gt;=0,I31&lt;=1),AND(ISNUMBER(J31),J31&gt;=0,J31&lt;=1),AND(ISNUMBER(K31),K31&gt;=0,K31&lt;=1),AND(ISNUMBER(L31),L31&gt;=0,L31&lt;=1),AND(ISNUMBER(M31),M31&gt;=0),AND(ISNUMBER(B32),B32&gt;0),AND(ISNUMBER(C32),C32&gt;=0,C32&lt;=1),AND(ISNUMBER(D32),D32&gt;=0,D32&lt;=1),AND(ISNUMBER(E32),E32&gt;=0),AND(ISNUMBER(F32),F32&gt;=0),AND(ISNUMBER(G32),G32&gt;=0),AND(ISNUMBER(H32),H32&gt;0),AND(ISNUMBER(I32),I32&gt;=0,I32&lt;=1),AND(ISNUMBER(J32),J32&gt;=0,J32&lt;=1),AND(ISNUMBER(K32),K32&gt;=0,K32&lt;=1),AND(ISNUMBER(L32),L32&gt;=0,L32&lt;=1),AND(ISNUMBER(M32),M32&gt;=0),AND(ISNUMBER(B40),B40&gt;=0),AND(ISNUMBER(B41),B41&gt;=0),AND(ISNUMBER(B42),B42&gt;=0),AND(ISNUMBER(B43),B43&gt;=0),AND(ISNUMBER(B44),B44&gt;=0),AND(ISNUMBER(B45),B45&gt;=0),AND(ISNUMBER(B46),B46&gt;=0),AND(ISNUMBER(B47),B47&gt;=0),AND(ISNUMBER(B48),B48&gt;=0),AND(ISNUMBER(B49),B49&gt;=0),AND(ISNUMBER(B50),B50&gt;=0),AND(ISNUMBER(B51),B51&gt;=0),ABS(SUM(C30:C32)-1)&lt;0.00000001,MAX(D30:D32)*B25&lt;=1,MAX(I30:I32)*B24&lt;=1,MAX(L30:L32)*B24&lt;=1),FALSE),"","Проверьте вводные: красные ячейки, доли бюджета и конверсии с множителями.")</f>
        <v/>
      </c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</row>
  </sheetData>
  <mergeCells count="8">
    <mergeCell ref="A34:G34"/>
    <mergeCell ref="A35:N35"/>
    <mergeCell ref="A54:N54"/>
    <mergeCell ref="D4:N4"/>
    <mergeCell ref="D5:N5"/>
    <mergeCell ref="D7:H8"/>
    <mergeCell ref="D10:H11"/>
    <mergeCell ref="D13:H14"/>
  </mergeCells>
  <conditionalFormatting sqref="B3:B4">
    <cfRule type="expression" dxfId="18" priority="1">
      <formula>NOT(IFERROR(AND(ISNUMBER(B3),B3&gt;0,B3=INT(B3),B3&lt;=3),FALSE))</formula>
    </cfRule>
  </conditionalFormatting>
  <conditionalFormatting sqref="B7">
    <cfRule type="expression" dxfId="17" priority="3">
      <formula>NOT(IFERROR(AND(ISNUMBER(B7),B7&gt;=0),FALSE))</formula>
    </cfRule>
  </conditionalFormatting>
  <conditionalFormatting sqref="B8:B9">
    <cfRule type="expression" dxfId="16" priority="4">
      <formula>NOT(IFERROR(AND(ISNUMBER(B8),B8&gt;=0,B8&lt;=1),FALSE))</formula>
    </cfRule>
  </conditionalFormatting>
  <conditionalFormatting sqref="B10:B15">
    <cfRule type="expression" dxfId="15" priority="6">
      <formula>NOT(IFERROR(AND(ISNUMBER(B10),B10&gt;=0),FALSE))</formula>
    </cfRule>
  </conditionalFormatting>
  <conditionalFormatting sqref="B16">
    <cfRule type="expression" dxfId="14" priority="12">
      <formula>NOT(IFERROR(AND(ISNUMBER(B16),B16&gt;0,B16=INT(B16),B16&lt;=120),FALSE))</formula>
    </cfRule>
  </conditionalFormatting>
  <conditionalFormatting sqref="B17">
    <cfRule type="expression" dxfId="13" priority="13">
      <formula>NOT(IFERROR(AND(ISNUMBER(B17),B17&gt;=0,B17=INT(B17),B17&lt;=12),FALSE))</formula>
    </cfRule>
  </conditionalFormatting>
  <conditionalFormatting sqref="B30:B32">
    <cfRule type="expression" dxfId="12" priority="23">
      <formula>NOT(IFERROR(AND(ISNUMBER(B30),B30&gt;0),FALSE))</formula>
    </cfRule>
  </conditionalFormatting>
  <conditionalFormatting sqref="B40:B51">
    <cfRule type="expression" dxfId="11" priority="59">
      <formula>NOT(IFERROR(AND(ISNUMBER(B40),B40&gt;=0),FALSE))</formula>
    </cfRule>
  </conditionalFormatting>
  <conditionalFormatting sqref="C30:C32">
    <cfRule type="expression" dxfId="10" priority="71">
      <formula>OR(COUNT($C$30:$C$32)&lt;&gt;3,ABS(SUM($C$30:$C$32)-1)&gt;=0.00000001)</formula>
    </cfRule>
  </conditionalFormatting>
  <conditionalFormatting sqref="C30:D32">
    <cfRule type="expression" dxfId="9" priority="24">
      <formula>NOT(IFERROR(AND(ISNUMBER(C30),C30&gt;=0,C30&lt;=1),FALSE))</formula>
    </cfRule>
  </conditionalFormatting>
  <conditionalFormatting sqref="C23:E23">
    <cfRule type="expression" dxfId="8" priority="14">
      <formula>NOT(IFERROR(AND(ISNUMBER(C23),C23&gt;0),FALSE))</formula>
    </cfRule>
  </conditionalFormatting>
  <conditionalFormatting sqref="C24:E25">
    <cfRule type="expression" dxfId="7" priority="17">
      <formula>NOT(IFERROR(AND(ISNUMBER(C24),C24&gt;=0),FALSE))</formula>
    </cfRule>
  </conditionalFormatting>
  <conditionalFormatting sqref="D30:D32">
    <cfRule type="expression" dxfId="6" priority="72">
      <formula>IFERROR(D30*$B$25&gt;1,TRUE)</formula>
    </cfRule>
  </conditionalFormatting>
  <conditionalFormatting sqref="E30:G32">
    <cfRule type="expression" dxfId="5" priority="26">
      <formula>NOT(IFERROR(AND(ISNUMBER(E30),E30&gt;=0),FALSE))</formula>
    </cfRule>
  </conditionalFormatting>
  <conditionalFormatting sqref="H30:H32">
    <cfRule type="expression" dxfId="4" priority="29">
      <formula>NOT(IFERROR(AND(ISNUMBER(H30),H30&gt;0),FALSE))</formula>
    </cfRule>
  </conditionalFormatting>
  <conditionalFormatting sqref="I30:I32">
    <cfRule type="expression" dxfId="3" priority="73">
      <formula>IFERROR(I30*$B$24&gt;1,TRUE)</formula>
    </cfRule>
  </conditionalFormatting>
  <conditionalFormatting sqref="I30:L32">
    <cfRule type="expression" dxfId="2" priority="30">
      <formula>NOT(IFERROR(AND(ISNUMBER(I30),I30&gt;=0,I30&lt;=1),FALSE))</formula>
    </cfRule>
  </conditionalFormatting>
  <conditionalFormatting sqref="L30:L32">
    <cfRule type="expression" dxfId="1" priority="74">
      <formula>IFERROR(L30*$B$24&gt;1,TRUE)</formula>
    </cfRule>
  </conditionalFormatting>
  <conditionalFormatting sqref="M30:M32">
    <cfRule type="expression" dxfId="0" priority="34">
      <formula>NOT(IFERROR(AND(ISNUMBER(M30),M30&gt;=0),FALSE))</formula>
    </cfRule>
  </conditionalFormatting>
  <dataValidations count="70">
    <dataValidation type="list" showInputMessage="1" showErrorMessage="1" errorTitle="Проверьте значение" error="1 — самостоятельно, 2 — через демо, 3 — смешанный путь." promptTitle="Как заполнить" prompt="1 — самостоятельно, 2 — через демо, 3 — смешанный путь." sqref="B4" xr:uid="{00000000-0002-0000-0200-000000000000}">
      <formula1>"1,2,3"</formula1>
    </dataValidation>
    <dataValidation type="list" showInputMessage="1" showErrorMessage="1" errorTitle="Проверьте значение" error="1 — осторожный, 2 — базовый, 3 — сильный." promptTitle="Как заполнить" prompt="1 — осторожный, 2 — базовый, 3 — сильный." sqref="B3" xr:uid="{517248D5-EF15-4346-8C5D-AFC8005E412D}">
      <formula1>"1,2,3"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7" xr:uid="{78D242AC-ADBE-47AE-AE79-B5510D9B87EF}">
      <formula1>AND(ISNUMBER(B7),B7&gt;=0)</formula1>
    </dataValidation>
    <dataValidation type="custom" showInputMessage="1" showErrorMessage="1" errorTitle="Проверьте значение" error="Укажите процент от 0% до 100%." promptTitle="Как заполнить" prompt="Укажите процент от 0% до 100%." sqref="B8" xr:uid="{646BB4BB-08A0-4367-882C-19508EFD25C2}">
      <formula1>AND(ISNUMBER(B8),B8&gt;=0,B8&lt;=1)</formula1>
    </dataValidation>
    <dataValidation type="custom" showInputMessage="1" showErrorMessage="1" errorTitle="Проверьте значение" error="Укажите процент от 0% до 100%." promptTitle="Как заполнить" prompt="Укажите процент от 0% до 100%." sqref="B9" xr:uid="{4F5B1EF7-AEAD-4EAB-9CA0-221726BFFF95}">
      <formula1>AND(ISNUMBER(B9),B9&gt;=0,B9&lt;=1)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0" xr:uid="{C3780290-94A4-48BB-8D2A-518DFD943D5C}">
      <formula1>AND(ISNUMBER(B10),B10&gt;=0)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1" xr:uid="{F1460EEA-503E-4659-9F6A-604C087FA408}">
      <formula1>AND(ISNUMBER(B11),B11&gt;=0)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2" xr:uid="{CF63C265-8412-4B09-8700-5A481512AD56}">
      <formula1>AND(ISNUMBER(B12),B12&gt;=0)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3" xr:uid="{6D8FBE9B-812E-4A3E-BCF0-48F66C1E64A3}">
      <formula1>AND(ISNUMBER(B13),B13&gt;=0)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4" xr:uid="{C15CD0CF-4D40-42D6-9C10-17EAA4109884}">
      <formula1>AND(ISNUMBER(B14),B14&gt;=0)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15" xr:uid="{5BF3B9F1-D39B-433C-8B42-9C0867D9D37D}">
      <formula1>AND(ISNUMBER(B15),B15&gt;=0)</formula1>
    </dataValidation>
    <dataValidation type="custom" showInputMessage="1" showErrorMessage="1" errorTitle="Проверьте значение" error="Целое число от 1 до 120 месяцев." promptTitle="Как заполнить" prompt="Целое число от 1 до 120 месяцев." sqref="B16" xr:uid="{297E698F-95BF-4C5B-87EE-7925A376477B}">
      <formula1>AND(ISNUMBER(B16),B16&gt;0,B16=INT(B16),B16&lt;=120)</formula1>
    </dataValidation>
    <dataValidation type="custom" showInputMessage="1" showErrorMessage="1" errorTitle="Проверьте значение" error="Целое число от 0 до 12 месяцев." promptTitle="Как заполнить" prompt="Целое число от 0 до 12 месяцев." sqref="B17" xr:uid="{680F4194-3857-4F93-A274-E84AB35C9760}">
      <formula1>AND(ISNUMBER(B17),B17&gt;=0,B17=INT(B17),B17&lt;=12)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C23" xr:uid="{32AF4129-F831-4B63-A6F8-BD7EE22A18A6}">
      <formula1>AND(ISNUMBER(C23),C23&gt;0)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D23" xr:uid="{D6AC5054-5E6E-4D13-8AA7-7287F9F79D81}">
      <formula1>AND(ISNUMBER(D23),D23&gt;0)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E23" xr:uid="{DFEDD257-01EC-4CE5-9056-E2B3B15ABD60}">
      <formula1>AND(ISNUMBER(E23),E23&gt;0)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C24" xr:uid="{064C9601-F544-4A71-BA5F-7B3FA6A611EB}">
      <formula1>AND(ISNUMBER(C24),C24&gt;=0)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D24" xr:uid="{3BCD6165-5B4D-4F48-996B-61843851A874}">
      <formula1>AND(ISNUMBER(D24),D24&gt;=0)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E24" xr:uid="{0AC38FE2-9F66-446A-9F39-B10C2F6412F0}">
      <formula1>AND(ISNUMBER(E24),E24&gt;=0)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C25" xr:uid="{BCEE8EE0-F13C-4210-BE73-0974811B0229}">
      <formula1>AND(ISNUMBER(C25),C25&gt;=0)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D25" xr:uid="{7E7835A2-1BF8-439E-B4C5-B115F6D99E8B}">
      <formula1>AND(ISNUMBER(D25),D25&gt;=0)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E25" xr:uid="{45924E82-2682-4134-9AC7-8B43A82D9C93}">
      <formula1>AND(ISNUMBER(E25),E25&gt;=0)</formula1>
    </dataValidation>
    <dataValidation type="custom" showInputMessage="1" showErrorMessage="1" errorTitle="Проверьте значение" error="Число больше нуля." promptTitle="Как заполнить" prompt="Число больше нуля." sqref="B30" xr:uid="{74F85058-B591-4DC9-A21D-986DD8E0A637}">
      <formula1>AND(ISNUMBER(B30),B30&gt;0)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C30" xr:uid="{0FDD29CD-B93D-4C6A-B386-E9289BF30DDE}">
      <formula1>AND(ISNUMBER(C30),C30&gt;=0,C30&lt;=1)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D30" xr:uid="{8E8C8DB4-4D6E-494B-B1FC-91E6D7310545}">
      <formula1>AND(ISNUMBER(D30),D30&gt;=0,D30&lt;=1)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E30" xr:uid="{D1A3D18E-931D-4982-AB5E-EFA65A6D366C}">
      <formula1>AND(ISNUMBER(E30),E30&gt;=0)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F30" xr:uid="{3BA940A5-8E59-45DA-A8E9-F15DF7C1E46D}">
      <formula1>AND(ISNUMBER(F30),F30&gt;=0)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G30" xr:uid="{151C15F2-AD82-4944-A132-96A8465C5ECE}">
      <formula1>AND(ISNUMBER(G30),G30&gt;=0)</formula1>
    </dataValidation>
    <dataValidation type="custom" showInputMessage="1" showErrorMessage="1" errorTitle="Проверьте значение" error="Число больше нуля." promptTitle="Как заполнить" prompt="Число больше нуля." sqref="H30" xr:uid="{9301CD92-868D-4375-A7B8-9D96A15249AA}">
      <formula1>AND(ISNUMBER(H30),H30&gt;0)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I30" xr:uid="{F60AD7FD-C68B-4716-AC2B-C31CA7B902FF}">
      <formula1>AND(ISNUMBER(I30),I30&gt;=0,I30&lt;=1)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J30" xr:uid="{2C8C16F8-2E49-450E-82B6-E19C3B9D3429}">
      <formula1>AND(ISNUMBER(J30),J30&gt;=0,J30&lt;=1)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K30" xr:uid="{6AFA37B9-CB19-4542-A253-BECB667BF08A}">
      <formula1>AND(ISNUMBER(K30),K30&gt;=0,K30&lt;=1)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L30" xr:uid="{5064F03C-FFAB-400E-8354-A54067A8EE62}">
      <formula1>AND(ISNUMBER(L30),L30&gt;=0,L30&lt;=1)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M30" xr:uid="{2A5E680D-FB19-477F-8378-5471EA11C346}">
      <formula1>AND(ISNUMBER(M30),M30&gt;=0)</formula1>
    </dataValidation>
    <dataValidation type="custom" showInputMessage="1" showErrorMessage="1" errorTitle="Проверьте значение" error="Число больше нуля." promptTitle="Как заполнить" prompt="Число больше нуля." sqref="B31" xr:uid="{7897ECBE-FE11-41B5-AB8A-C85F913078F4}">
      <formula1>AND(ISNUMBER(B31),B31&gt;0)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C31" xr:uid="{D4341D39-FA27-4D8E-9C24-B207037E0D43}">
      <formula1>AND(ISNUMBER(C31),C31&gt;=0,C31&lt;=1)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D31" xr:uid="{BF28DAE8-79DF-47AF-8D77-404F28B0733B}">
      <formula1>AND(ISNUMBER(D31),D31&gt;=0,D31&lt;=1)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E31" xr:uid="{8FF3B7D1-4711-4B03-AF37-D7D2C0A70006}">
      <formula1>AND(ISNUMBER(E31),E31&gt;=0)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F31" xr:uid="{BA00F841-EE2F-448F-AC9B-1DCB43AFD0BD}">
      <formula1>AND(ISNUMBER(F31),F31&gt;=0)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G31" xr:uid="{717A1E98-B4F7-4542-855A-8F5C3A75418C}">
      <formula1>AND(ISNUMBER(G31),G31&gt;=0)</formula1>
    </dataValidation>
    <dataValidation type="custom" showInputMessage="1" showErrorMessage="1" errorTitle="Проверьте значение" error="Число больше нуля." promptTitle="Как заполнить" prompt="Число больше нуля." sqref="H31" xr:uid="{FBA956C1-860D-45C4-B29A-0281DFDEB910}">
      <formula1>AND(ISNUMBER(H31),H31&gt;0)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I31" xr:uid="{4F50E5EA-03A1-45DE-B0D3-0F2845B81A17}">
      <formula1>AND(ISNUMBER(I31),I31&gt;=0,I31&lt;=1)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J31" xr:uid="{37CF0F29-0115-4653-A765-A05F279E021D}">
      <formula1>AND(ISNUMBER(J31),J31&gt;=0,J31&lt;=1)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K31" xr:uid="{67BADC94-FB7E-4FAC-809B-D7509A04EE33}">
      <formula1>AND(ISNUMBER(K31),K31&gt;=0,K31&lt;=1)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L31" xr:uid="{11A1759E-DBF0-4188-9F56-634DB9319B56}">
      <formula1>AND(ISNUMBER(L31),L31&gt;=0,L31&lt;=1)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M31" xr:uid="{417D533C-BE63-4A89-9281-2D84CC9D8965}">
      <formula1>AND(ISNUMBER(M31),M31&gt;=0)</formula1>
    </dataValidation>
    <dataValidation type="custom" showInputMessage="1" showErrorMessage="1" errorTitle="Проверьте значение" error="Число больше нуля." promptTitle="Как заполнить" prompt="Число больше нуля." sqref="B32" xr:uid="{54E72732-B54B-4A7A-BDC3-477519DD7FA5}">
      <formula1>AND(ISNUMBER(B32),B32&gt;0)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C32" xr:uid="{E3E07BFD-46E6-498E-9288-BBD0325311FA}">
      <formula1>AND(ISNUMBER(C32),C32&gt;=0,C32&lt;=1)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D32" xr:uid="{6B84038A-7613-46F8-8FC9-7EEE53F46A27}">
      <formula1>AND(ISNUMBER(D32),D32&gt;=0,D32&lt;=1)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E32" xr:uid="{7E612BDA-B054-437F-BFF7-BCAB6EA7255F}">
      <formula1>AND(ISNUMBER(E32),E32&gt;=0)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F32" xr:uid="{F7078030-736C-4FE3-8A83-E30EC230663F}">
      <formula1>AND(ISNUMBER(F32),F32&gt;=0)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G32" xr:uid="{6C07C195-4115-4699-896B-E675FA75A9D8}">
      <formula1>AND(ISNUMBER(G32),G32&gt;=0)</formula1>
    </dataValidation>
    <dataValidation type="custom" showInputMessage="1" showErrorMessage="1" errorTitle="Проверьте значение" error="Число больше нуля." promptTitle="Как заполнить" prompt="Число больше нуля." sqref="H32" xr:uid="{05BA4569-0921-47C3-B8E0-D16CA60F8BC0}">
      <formula1>AND(ISNUMBER(H32),H32&gt;0)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I32" xr:uid="{A7CB0AFB-3C07-45FA-BAFD-FA507017FB85}">
      <formula1>AND(ISNUMBER(I32),I32&gt;=0,I32&lt;=1)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J32" xr:uid="{C535D660-FC83-42B9-A6CD-54F689D80A34}">
      <formula1>AND(ISNUMBER(J32),J32&gt;=0,J32&lt;=1)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K32" xr:uid="{9A34E1FF-C7DC-4661-8797-CA83081580A6}">
      <formula1>AND(ISNUMBER(K32),K32&gt;=0,K32&lt;=1)</formula1>
    </dataValidation>
    <dataValidation type="custom" showInputMessage="1" showErrorMessage="1" errorTitle="Проверьте значение" error="Процент от 0% до 100%." promptTitle="Как заполнить" prompt="Процент от 0% до 100%." sqref="L32" xr:uid="{B59535B0-E213-4F4A-9C85-DC7EB796F443}">
      <formula1>AND(ISNUMBER(L32),L32&gt;=0,L32&lt;=1)</formula1>
    </dataValidation>
    <dataValidation type="custom" showInputMessage="1" showErrorMessage="1" errorTitle="Проверьте значение" error="Число от нуля и выше." promptTitle="Как заполнить" prompt="Число от нуля и выше." sqref="M32" xr:uid="{AA1DA350-ED0C-4218-845D-3FD9CADED7FF}">
      <formula1>AND(ISNUMBER(M32),M32&gt;=0)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40" xr:uid="{A290441D-4335-4210-A451-B55245BE8AF5}">
      <formula1>AND(ISNUMBER(B40),B40&gt;=0)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41" xr:uid="{BD753E79-974A-415B-B3A4-3E219C2CA90F}">
      <formula1>AND(ISNUMBER(B41),B41&gt;=0)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42" xr:uid="{73C0FE4E-8340-4BDB-BA83-754387A91D33}">
      <formula1>AND(ISNUMBER(B42),B42&gt;=0)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43" xr:uid="{0BEA43B2-C21B-4532-9134-2507CECFA698}">
      <formula1>AND(ISNUMBER(B43),B43&gt;=0)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44" xr:uid="{7C5811B5-4325-4D70-8285-DA17B5851EF0}">
      <formula1>AND(ISNUMBER(B44),B44&gt;=0)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45" xr:uid="{0B56D183-63CA-47BD-A7AC-69A414F23CB6}">
      <formula1>AND(ISNUMBER(B45),B45&gt;=0)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46" xr:uid="{DC488F72-A9B2-4FCD-BB4A-FE3603138EDB}">
      <formula1>AND(ISNUMBER(B46),B46&gt;=0)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47" xr:uid="{BD9ADBA5-5100-4F3B-8CCB-676F5D72150C}">
      <formula1>AND(ISNUMBER(B47),B47&gt;=0)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48" xr:uid="{3E3AAFD8-5A02-447B-98DE-319C274E93A1}">
      <formula1>AND(ISNUMBER(B48),B48&gt;=0)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49" xr:uid="{8D9D9E25-258C-457E-8E90-4B676E116419}">
      <formula1>AND(ISNUMBER(B49),B49&gt;=0)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50" xr:uid="{B12589BF-BFC5-4E9D-ACBF-2060E00B3BE4}">
      <formula1>AND(ISNUMBER(B50),B50&gt;=0)</formula1>
    </dataValidation>
    <dataValidation type="custom" showInputMessage="1" showErrorMessage="1" errorTitle="Проверьте значение" error="Укажите число от нуля и выше." promptTitle="Как заполнить" prompt="Укажите число от нуля и выше." sqref="B51" xr:uid="{95C67E95-0762-4212-9466-A2BD0F518AA0}">
      <formula1>AND(ISNUMBER(B51),B51&gt;=0)</formula1>
    </dataValidation>
  </dataValidations>
  <pageMargins left="0.25" right="0.25" top="0.25" bottom="0.34722222222222221" header="0.3" footer="0.3"/>
  <pageSetup paperSize="8" scale="58" orientation="landscape" r:id="rId1"/>
  <headerFooter>
    <oddFooter>&amp;LЕлизавета Трибунская&amp;Ctribunska.ru&amp;R&amp;P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FF"/>
    <pageSetUpPr fitToPage="1"/>
  </sheetPr>
  <dimension ref="A1:N44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25"/>
  <cols>
    <col min="1" max="1" width="13.125" customWidth="1"/>
    <col min="2" max="2" width="16.25" customWidth="1"/>
    <col min="3" max="3" width="14.375" customWidth="1"/>
    <col min="4" max="4" width="17.5" customWidth="1"/>
    <col min="5" max="5" width="16.25" customWidth="1"/>
    <col min="6" max="6" width="16.875" customWidth="1"/>
    <col min="7" max="7" width="18.75" customWidth="1"/>
    <col min="8" max="9" width="16.875" customWidth="1"/>
    <col min="10" max="11" width="18.125" customWidth="1"/>
    <col min="12" max="13" width="17.5" customWidth="1"/>
    <col min="14" max="14" width="18.125" customWidth="1"/>
  </cols>
  <sheetData>
    <row r="1" spans="1:14" ht="33.950000000000003" customHeight="1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4" customHeight="1">
      <c r="A3" s="3" t="s">
        <v>13</v>
      </c>
      <c r="B3" s="5" t="str">
        <f>IFERROR(CHOOSE(Допущения!$B$3,"Осторожный","Базовый","Сильный"),"Проверьте выбор")</f>
        <v>Базовый</v>
      </c>
      <c r="C3" s="3"/>
      <c r="D3" s="3" t="s">
        <v>14</v>
      </c>
      <c r="E3" s="5" t="str">
        <f>IFERROR(CHOOSE(Допущения!$B$4,"Самостоятельно","Через демо","Смешанные"),"Проверьте выбор")</f>
        <v>Смешанные</v>
      </c>
      <c r="F3" s="3"/>
      <c r="G3" s="3"/>
      <c r="H3" s="3"/>
      <c r="I3" s="3"/>
      <c r="J3" s="3"/>
      <c r="K3" s="3"/>
      <c r="L3" s="3"/>
      <c r="M3" s="3"/>
      <c r="N3" s="3"/>
    </row>
    <row r="4" spans="1:14" ht="24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66" customHeight="1">
      <c r="A5" s="10" t="s">
        <v>38</v>
      </c>
      <c r="B5" s="11" t="s">
        <v>31</v>
      </c>
      <c r="C5" s="11" t="s">
        <v>105</v>
      </c>
      <c r="D5" s="11" t="s">
        <v>106</v>
      </c>
      <c r="E5" s="11" t="s">
        <v>91</v>
      </c>
      <c r="F5" s="11" t="s">
        <v>107</v>
      </c>
      <c r="G5" s="11" t="s">
        <v>108</v>
      </c>
      <c r="H5" s="11" t="s">
        <v>109</v>
      </c>
      <c r="I5" s="11" t="s">
        <v>110</v>
      </c>
      <c r="J5" s="11" t="s">
        <v>111</v>
      </c>
      <c r="K5" s="11" t="s">
        <v>112</v>
      </c>
      <c r="L5" s="11" t="s">
        <v>113</v>
      </c>
      <c r="M5" s="11" t="s">
        <v>114</v>
      </c>
      <c r="N5" s="12" t="s">
        <v>115</v>
      </c>
    </row>
    <row r="6" spans="1:14" ht="24" customHeight="1">
      <c r="A6" s="1" t="s">
        <v>45</v>
      </c>
      <c r="B6" s="37" t="str">
        <f>Допущения!$A$30</f>
        <v>Старт</v>
      </c>
      <c r="C6" s="47">
        <f>Допущения!$N$30</f>
        <v>0</v>
      </c>
      <c r="D6" s="38">
        <f>IF(AND(COUNT(Допущения!$C$30:$C$32)=3,MIN(Допущения!$C$30:$C$32)&gt;=0,MAX(Допущения!$C$30:$C$32)&lt;=1,ABS(SUM(Допущения!$C$30:$C$32)-1)&lt;0.00000001),IF(AND(ISNUMBER(Допущения!$B$40),Допущения!$B$40&gt;=0),Допущения!$B$40,NA())*Допущения!$C$30,NA())</f>
        <v>25000</v>
      </c>
      <c r="E6" s="38">
        <f>IF(AND(ISNUMBER(Допущения!$H$30),Допущения!$H$30&gt;0),Допущения!$H$30,NA())*Допущения!$B$23</f>
        <v>45</v>
      </c>
      <c r="F6" s="20">
        <f t="shared" ref="F6:F41" si="0">D6/E6</f>
        <v>555.55555555555554</v>
      </c>
      <c r="G6" s="39">
        <f>IF(C6=1,0,IF(IF(AND(ISNUMBER(Допущения!$I$30),Допущения!$I$30&gt;=0,Допущения!$I$30&lt;=1),Допущения!$I$30,NA())*Допущения!$B$24&lt;=1,F6*IF(AND(ISNUMBER(Допущения!$I$30),Допущения!$I$30&gt;=0,Допущения!$I$30&lt;=1),Допущения!$I$30,NA())*Допущения!$B$24,NA()))</f>
        <v>9.9999999999999982</v>
      </c>
      <c r="H6" s="39">
        <f>IF(C6=0,0,F6*IF(AND(ISNUMBER(Допущения!$J$30),Допущения!$J$30&gt;=0,Допущения!$J$30&lt;=1),Допущения!$J$30,NA()))</f>
        <v>0</v>
      </c>
      <c r="I6" s="39">
        <f>H6*IF(AND(ISNUMBER(Допущения!$K$30),Допущения!$K$30&gt;=0,Допущения!$K$30&lt;=1),Допущения!$K$30,NA())</f>
        <v>0</v>
      </c>
      <c r="J6" s="39">
        <f>IF(C6=0,0,IF(IF(AND(ISNUMBER(Допущения!$L$30),Допущения!$L$30&gt;=0,Допущения!$L$30&lt;=1),Допущения!$L$30,NA())*Допущения!$B$24&lt;=1,I6*IF(AND(ISNUMBER(Допущения!$L$30),Допущения!$L$30&gt;=0,Допущения!$L$30&lt;=1),Допущения!$L$30,NA())*Допущения!$B$24,NA()))</f>
        <v>0</v>
      </c>
      <c r="K6" s="39">
        <f>IF(1&lt;=IF(AND(ISNUMBER(Допущения!$B$17),Допущения!$B$17&gt;=0,Допущения!$B$17=INT(Допущения!$B$17),Допущения!$B$17&lt;=12),Допущения!$B$17,NA()),0,INDEX($J$6:$J$41,(1-IF(AND(ISNUMBER(Допущения!$B$17),Допущения!$B$17&gt;=0,Допущения!$B$17=INT(Допущения!$B$17),Допущения!$B$17&lt;=12),Допущения!$B$17,NA())-1)*3+1))</f>
        <v>0</v>
      </c>
      <c r="L6" s="22">
        <f t="shared" ref="L6:L41" si="1">G6+K6</f>
        <v>9.9999999999999982</v>
      </c>
      <c r="M6" s="39">
        <f>I6*IF(AND(ISNUMBER(Допущения!$M$30),Допущения!$M$30&gt;=0),Допущения!$M$30,NA())</f>
        <v>0</v>
      </c>
      <c r="N6" s="38">
        <f>M6*IF(AND(ISNUMBER(Допущения!$B$7),Допущения!$B$7&gt;=0),Допущения!$B$7,NA())</f>
        <v>0</v>
      </c>
    </row>
    <row r="7" spans="1:14" ht="24" customHeight="1">
      <c r="A7" s="3" t="s">
        <v>45</v>
      </c>
      <c r="B7" s="41" t="str">
        <f>Допущения!$A$31</f>
        <v>Команда</v>
      </c>
      <c r="C7" s="48">
        <f>Допущения!$N$31</f>
        <v>0</v>
      </c>
      <c r="D7" s="42">
        <f>IF(AND(COUNT(Допущения!$C$30:$C$32)=3,MIN(Допущения!$C$30:$C$32)&gt;=0,MAX(Допущения!$C$30:$C$32)&lt;=1,ABS(SUM(Допущения!$C$30:$C$32)-1)&lt;0.00000001),IF(AND(ISNUMBER(Допущения!$B$40),Допущения!$B$40&gt;=0),Допущения!$B$40,NA())*Допущения!$C$31,NA())</f>
        <v>17500</v>
      </c>
      <c r="E7" s="42">
        <f>IF(AND(ISNUMBER(Допущения!$H$31),Допущения!$H$31&gt;0),Допущения!$H$31,NA())*Допущения!$B$23</f>
        <v>70</v>
      </c>
      <c r="F7" s="21">
        <f t="shared" si="0"/>
        <v>250</v>
      </c>
      <c r="G7" s="43">
        <f>IF(C7=1,0,IF(IF(AND(ISNUMBER(Допущения!$I$31),Допущения!$I$31&gt;=0,Допущения!$I$31&lt;=1),Допущения!$I$31,NA())*Допущения!$B$24&lt;=1,F7*IF(AND(ISNUMBER(Допущения!$I$31),Допущения!$I$31&gt;=0,Допущения!$I$31&lt;=1),Допущения!$I$31,NA())*Допущения!$B$24,NA()))</f>
        <v>2.25</v>
      </c>
      <c r="H7" s="43">
        <f>IF(C7=0,0,F7*IF(AND(ISNUMBER(Допущения!$J$31),Допущения!$J$31&gt;=0,Допущения!$J$31&lt;=1),Допущения!$J$31,NA()))</f>
        <v>0</v>
      </c>
      <c r="I7" s="43">
        <f>H7*IF(AND(ISNUMBER(Допущения!$K$31),Допущения!$K$31&gt;=0,Допущения!$K$31&lt;=1),Допущения!$K$31,NA())</f>
        <v>0</v>
      </c>
      <c r="J7" s="43">
        <f>IF(C7=0,0,IF(IF(AND(ISNUMBER(Допущения!$L$31),Допущения!$L$31&gt;=0,Допущения!$L$31&lt;=1),Допущения!$L$31,NA())*Допущения!$B$24&lt;=1,I7*IF(AND(ISNUMBER(Допущения!$L$31),Допущения!$L$31&gt;=0,Допущения!$L$31&lt;=1),Допущения!$L$31,NA())*Допущения!$B$24,NA()))</f>
        <v>0</v>
      </c>
      <c r="K7" s="43">
        <f>IF(1&lt;=IF(AND(ISNUMBER(Допущения!$B$17),Допущения!$B$17&gt;=0,Допущения!$B$17=INT(Допущения!$B$17),Допущения!$B$17&lt;=12),Допущения!$B$17,NA()),0,INDEX($J$6:$J$41,(1-IF(AND(ISNUMBER(Допущения!$B$17),Допущения!$B$17&gt;=0,Допущения!$B$17=INT(Допущения!$B$17),Допущения!$B$17&lt;=12),Допущения!$B$17,NA())-1)*3+2))</f>
        <v>0</v>
      </c>
      <c r="L7" s="23">
        <f t="shared" si="1"/>
        <v>2.25</v>
      </c>
      <c r="M7" s="43">
        <f>I7*IF(AND(ISNUMBER(Допущения!$M$31),Допущения!$M$31&gt;=0),Допущения!$M$31,NA())</f>
        <v>0</v>
      </c>
      <c r="N7" s="42">
        <f>M7*IF(AND(ISNUMBER(Допущения!$B$7),Допущения!$B$7&gt;=0),Допущения!$B$7,NA())</f>
        <v>0</v>
      </c>
    </row>
    <row r="8" spans="1:14" ht="24" customHeight="1">
      <c r="A8" s="1" t="s">
        <v>45</v>
      </c>
      <c r="B8" s="37" t="str">
        <f>Допущения!$A$32</f>
        <v>Бизнес</v>
      </c>
      <c r="C8" s="47">
        <f>Допущения!$N$32</f>
        <v>1</v>
      </c>
      <c r="D8" s="38">
        <f>IF(AND(COUNT(Допущения!$C$30:$C$32)=3,MIN(Допущения!$C$30:$C$32)&gt;=0,MAX(Допущения!$C$30:$C$32)&lt;=1,ABS(SUM(Допущения!$C$30:$C$32)-1)&lt;0.00000001),IF(AND(ISNUMBER(Допущения!$B$40),Допущения!$B$40&gt;=0),Допущения!$B$40,NA())*Допущения!$C$32,NA())</f>
        <v>7500</v>
      </c>
      <c r="E8" s="38">
        <f>IF(AND(ISNUMBER(Допущения!$H$32),Допущения!$H$32&gt;0),Допущения!$H$32,NA())*Допущения!$B$23</f>
        <v>120</v>
      </c>
      <c r="F8" s="20">
        <f t="shared" si="0"/>
        <v>62.5</v>
      </c>
      <c r="G8" s="39">
        <f>IF(C8=1,0,IF(IF(AND(ISNUMBER(Допущения!$I$32),Допущения!$I$32&gt;=0,Допущения!$I$32&lt;=1),Допущения!$I$32,NA())*Допущения!$B$24&lt;=1,F8*IF(AND(ISNUMBER(Допущения!$I$32),Допущения!$I$32&gt;=0,Допущения!$I$32&lt;=1),Допущения!$I$32,NA())*Допущения!$B$24,NA()))</f>
        <v>0</v>
      </c>
      <c r="H8" s="39">
        <f>IF(C8=0,0,F8*IF(AND(ISNUMBER(Допущения!$J$32),Допущения!$J$32&gt;=0,Допущения!$J$32&lt;=1),Допущения!$J$32,NA()))</f>
        <v>2.5</v>
      </c>
      <c r="I8" s="39">
        <f>H8*IF(AND(ISNUMBER(Допущения!$K$32),Допущения!$K$32&gt;=0,Допущения!$K$32&lt;=1),Допущения!$K$32,NA())</f>
        <v>2</v>
      </c>
      <c r="J8" s="39">
        <f>IF(C8=0,0,IF(IF(AND(ISNUMBER(Допущения!$L$32),Допущения!$L$32&gt;=0,Допущения!$L$32&lt;=1),Допущения!$L$32,NA())*Допущения!$B$24&lt;=1,I8*IF(AND(ISNUMBER(Допущения!$L$32),Допущения!$L$32&gt;=0,Допущения!$L$32&lt;=1),Допущения!$L$32,NA())*Допущения!$B$24,NA()))</f>
        <v>0.6</v>
      </c>
      <c r="K8" s="39">
        <f>IF(1&lt;=IF(AND(ISNUMBER(Допущения!$B$17),Допущения!$B$17&gt;=0,Допущения!$B$17=INT(Допущения!$B$17),Допущения!$B$17&lt;=12),Допущения!$B$17,NA()),0,INDEX($J$6:$J$41,(1-IF(AND(ISNUMBER(Допущения!$B$17),Допущения!$B$17&gt;=0,Допущения!$B$17=INT(Допущения!$B$17),Допущения!$B$17&lt;=12),Допущения!$B$17,NA())-1)*3+3))</f>
        <v>0</v>
      </c>
      <c r="L8" s="22">
        <f t="shared" si="1"/>
        <v>0</v>
      </c>
      <c r="M8" s="39">
        <f>I8*IF(AND(ISNUMBER(Допущения!$M$32),Допущения!$M$32&gt;=0),Допущения!$M$32,NA())</f>
        <v>3</v>
      </c>
      <c r="N8" s="38">
        <f>M8*IF(AND(ISNUMBER(Допущения!$B$7),Допущения!$B$7&gt;=0),Допущения!$B$7,NA())</f>
        <v>3000</v>
      </c>
    </row>
    <row r="9" spans="1:14" ht="24" customHeight="1">
      <c r="A9" s="3" t="s">
        <v>46</v>
      </c>
      <c r="B9" s="41" t="str">
        <f>Допущения!$A$30</f>
        <v>Старт</v>
      </c>
      <c r="C9" s="48">
        <f>Допущения!$N$30</f>
        <v>0</v>
      </c>
      <c r="D9" s="42">
        <f>IF(AND(COUNT(Допущения!$C$30:$C$32)=3,MIN(Допущения!$C$30:$C$32)&gt;=0,MAX(Допущения!$C$30:$C$32)&lt;=1,ABS(SUM(Допущения!$C$30:$C$32)-1)&lt;0.00000001),IF(AND(ISNUMBER(Допущения!$B$41),Допущения!$B$41&gt;=0),Допущения!$B$41,NA())*Допущения!$C$30,NA())</f>
        <v>50000</v>
      </c>
      <c r="E9" s="42">
        <f>IF(AND(ISNUMBER(Допущения!$H$30),Допущения!$H$30&gt;0),Допущения!$H$30,NA())*Допущения!$B$23</f>
        <v>45</v>
      </c>
      <c r="F9" s="21">
        <f t="shared" si="0"/>
        <v>1111.1111111111111</v>
      </c>
      <c r="G9" s="43">
        <f>IF(C9=1,0,IF(IF(AND(ISNUMBER(Допущения!$I$30),Допущения!$I$30&gt;=0,Допущения!$I$30&lt;=1),Допущения!$I$30,NA())*Допущения!$B$24&lt;=1,F9*IF(AND(ISNUMBER(Допущения!$I$30),Допущения!$I$30&gt;=0,Допущения!$I$30&lt;=1),Допущения!$I$30,NA())*Допущения!$B$24,NA()))</f>
        <v>19.999999999999996</v>
      </c>
      <c r="H9" s="43">
        <f>IF(C9=0,0,F9*IF(AND(ISNUMBER(Допущения!$J$30),Допущения!$J$30&gt;=0,Допущения!$J$30&lt;=1),Допущения!$J$30,NA()))</f>
        <v>0</v>
      </c>
      <c r="I9" s="43">
        <f>H9*IF(AND(ISNUMBER(Допущения!$K$30),Допущения!$K$30&gt;=0,Допущения!$K$30&lt;=1),Допущения!$K$30,NA())</f>
        <v>0</v>
      </c>
      <c r="J9" s="43">
        <f>IF(C9=0,0,IF(IF(AND(ISNUMBER(Допущения!$L$30),Допущения!$L$30&gt;=0,Допущения!$L$30&lt;=1),Допущения!$L$30,NA())*Допущения!$B$24&lt;=1,I9*IF(AND(ISNUMBER(Допущения!$L$30),Допущения!$L$30&gt;=0,Допущения!$L$30&lt;=1),Допущения!$L$30,NA())*Допущения!$B$24,NA()))</f>
        <v>0</v>
      </c>
      <c r="K9" s="43">
        <f>IF(2&lt;=IF(AND(ISNUMBER(Допущения!$B$17),Допущения!$B$17&gt;=0,Допущения!$B$17=INT(Допущения!$B$17),Допущения!$B$17&lt;=12),Допущения!$B$17,NA()),0,INDEX($J$6:$J$41,(2-IF(AND(ISNUMBER(Допущения!$B$17),Допущения!$B$17&gt;=0,Допущения!$B$17=INT(Допущения!$B$17),Допущения!$B$17&lt;=12),Допущения!$B$17,NA())-1)*3+1))</f>
        <v>0</v>
      </c>
      <c r="L9" s="23">
        <f t="shared" si="1"/>
        <v>19.999999999999996</v>
      </c>
      <c r="M9" s="43">
        <f>I9*IF(AND(ISNUMBER(Допущения!$M$30),Допущения!$M$30&gt;=0),Допущения!$M$30,NA())</f>
        <v>0</v>
      </c>
      <c r="N9" s="42">
        <f>M9*IF(AND(ISNUMBER(Допущения!$B$7),Допущения!$B$7&gt;=0),Допущения!$B$7,NA())</f>
        <v>0</v>
      </c>
    </row>
    <row r="10" spans="1:14" ht="24" customHeight="1">
      <c r="A10" s="1" t="s">
        <v>46</v>
      </c>
      <c r="B10" s="37" t="str">
        <f>Допущения!$A$31</f>
        <v>Команда</v>
      </c>
      <c r="C10" s="47">
        <f>Допущения!$N$31</f>
        <v>0</v>
      </c>
      <c r="D10" s="38">
        <f>IF(AND(COUNT(Допущения!$C$30:$C$32)=3,MIN(Допущения!$C$30:$C$32)&gt;=0,MAX(Допущения!$C$30:$C$32)&lt;=1,ABS(SUM(Допущения!$C$30:$C$32)-1)&lt;0.00000001),IF(AND(ISNUMBER(Допущения!$B$41),Допущения!$B$41&gt;=0),Допущения!$B$41,NA())*Допущения!$C$31,NA())</f>
        <v>35000</v>
      </c>
      <c r="E10" s="38">
        <f>IF(AND(ISNUMBER(Допущения!$H$31),Допущения!$H$31&gt;0),Допущения!$H$31,NA())*Допущения!$B$23</f>
        <v>70</v>
      </c>
      <c r="F10" s="20">
        <f t="shared" si="0"/>
        <v>500</v>
      </c>
      <c r="G10" s="39">
        <f>IF(C10=1,0,IF(IF(AND(ISNUMBER(Допущения!$I$31),Допущения!$I$31&gt;=0,Допущения!$I$31&lt;=1),Допущения!$I$31,NA())*Допущения!$B$24&lt;=1,F10*IF(AND(ISNUMBER(Допущения!$I$31),Допущения!$I$31&gt;=0,Допущения!$I$31&lt;=1),Допущения!$I$31,NA())*Допущения!$B$24,NA()))</f>
        <v>4.5</v>
      </c>
      <c r="H10" s="39">
        <f>IF(C10=0,0,F10*IF(AND(ISNUMBER(Допущения!$J$31),Допущения!$J$31&gt;=0,Допущения!$J$31&lt;=1),Допущения!$J$31,NA()))</f>
        <v>0</v>
      </c>
      <c r="I10" s="39">
        <f>H10*IF(AND(ISNUMBER(Допущения!$K$31),Допущения!$K$31&gt;=0,Допущения!$K$31&lt;=1),Допущения!$K$31,NA())</f>
        <v>0</v>
      </c>
      <c r="J10" s="39">
        <f>IF(C10=0,0,IF(IF(AND(ISNUMBER(Допущения!$L$31),Допущения!$L$31&gt;=0,Допущения!$L$31&lt;=1),Допущения!$L$31,NA())*Допущения!$B$24&lt;=1,I10*IF(AND(ISNUMBER(Допущения!$L$31),Допущения!$L$31&gt;=0,Допущения!$L$31&lt;=1),Допущения!$L$31,NA())*Допущения!$B$24,NA()))</f>
        <v>0</v>
      </c>
      <c r="K10" s="39">
        <f>IF(2&lt;=IF(AND(ISNUMBER(Допущения!$B$17),Допущения!$B$17&gt;=0,Допущения!$B$17=INT(Допущения!$B$17),Допущения!$B$17&lt;=12),Допущения!$B$17,NA()),0,INDEX($J$6:$J$41,(2-IF(AND(ISNUMBER(Допущения!$B$17),Допущения!$B$17&gt;=0,Допущения!$B$17=INT(Допущения!$B$17),Допущения!$B$17&lt;=12),Допущения!$B$17,NA())-1)*3+2))</f>
        <v>0</v>
      </c>
      <c r="L10" s="22">
        <f t="shared" si="1"/>
        <v>4.5</v>
      </c>
      <c r="M10" s="39">
        <f>I10*IF(AND(ISNUMBER(Допущения!$M$31),Допущения!$M$31&gt;=0),Допущения!$M$31,NA())</f>
        <v>0</v>
      </c>
      <c r="N10" s="38">
        <f>M10*IF(AND(ISNUMBER(Допущения!$B$7),Допущения!$B$7&gt;=0),Допущения!$B$7,NA())</f>
        <v>0</v>
      </c>
    </row>
    <row r="11" spans="1:14" ht="24" customHeight="1">
      <c r="A11" s="3" t="s">
        <v>46</v>
      </c>
      <c r="B11" s="41" t="str">
        <f>Допущения!$A$32</f>
        <v>Бизнес</v>
      </c>
      <c r="C11" s="48">
        <f>Допущения!$N$32</f>
        <v>1</v>
      </c>
      <c r="D11" s="42">
        <f>IF(AND(COUNT(Допущения!$C$30:$C$32)=3,MIN(Допущения!$C$30:$C$32)&gt;=0,MAX(Допущения!$C$30:$C$32)&lt;=1,ABS(SUM(Допущения!$C$30:$C$32)-1)&lt;0.00000001),IF(AND(ISNUMBER(Допущения!$B$41),Допущения!$B$41&gt;=0),Допущения!$B$41,NA())*Допущения!$C$32,NA())</f>
        <v>15000</v>
      </c>
      <c r="E11" s="42">
        <f>IF(AND(ISNUMBER(Допущения!$H$32),Допущения!$H$32&gt;0),Допущения!$H$32,NA())*Допущения!$B$23</f>
        <v>120</v>
      </c>
      <c r="F11" s="21">
        <f t="shared" si="0"/>
        <v>125</v>
      </c>
      <c r="G11" s="43">
        <f>IF(C11=1,0,IF(IF(AND(ISNUMBER(Допущения!$I$32),Допущения!$I$32&gt;=0,Допущения!$I$32&lt;=1),Допущения!$I$32,NA())*Допущения!$B$24&lt;=1,F11*IF(AND(ISNUMBER(Допущения!$I$32),Допущения!$I$32&gt;=0,Допущения!$I$32&lt;=1),Допущения!$I$32,NA())*Допущения!$B$24,NA()))</f>
        <v>0</v>
      </c>
      <c r="H11" s="43">
        <f>IF(C11=0,0,F11*IF(AND(ISNUMBER(Допущения!$J$32),Допущения!$J$32&gt;=0,Допущения!$J$32&lt;=1),Допущения!$J$32,NA()))</f>
        <v>5</v>
      </c>
      <c r="I11" s="43">
        <f>H11*IF(AND(ISNUMBER(Допущения!$K$32),Допущения!$K$32&gt;=0,Допущения!$K$32&lt;=1),Допущения!$K$32,NA())</f>
        <v>4</v>
      </c>
      <c r="J11" s="43">
        <f>IF(C11=0,0,IF(IF(AND(ISNUMBER(Допущения!$L$32),Допущения!$L$32&gt;=0,Допущения!$L$32&lt;=1),Допущения!$L$32,NA())*Допущения!$B$24&lt;=1,I11*IF(AND(ISNUMBER(Допущения!$L$32),Допущения!$L$32&gt;=0,Допущения!$L$32&lt;=1),Допущения!$L$32,NA())*Допущения!$B$24,NA()))</f>
        <v>1.2</v>
      </c>
      <c r="K11" s="43">
        <f>IF(2&lt;=IF(AND(ISNUMBER(Допущения!$B$17),Допущения!$B$17&gt;=0,Допущения!$B$17=INT(Допущения!$B$17),Допущения!$B$17&lt;=12),Допущения!$B$17,NA()),0,INDEX($J$6:$J$41,(2-IF(AND(ISNUMBER(Допущения!$B$17),Допущения!$B$17&gt;=0,Допущения!$B$17=INT(Допущения!$B$17),Допущения!$B$17&lt;=12),Допущения!$B$17,NA())-1)*3+3))</f>
        <v>0.6</v>
      </c>
      <c r="L11" s="23">
        <f t="shared" si="1"/>
        <v>0.6</v>
      </c>
      <c r="M11" s="43">
        <f>I11*IF(AND(ISNUMBER(Допущения!$M$32),Допущения!$M$32&gt;=0),Допущения!$M$32,NA())</f>
        <v>6</v>
      </c>
      <c r="N11" s="42">
        <f>M11*IF(AND(ISNUMBER(Допущения!$B$7),Допущения!$B$7&gt;=0),Допущения!$B$7,NA())</f>
        <v>6000</v>
      </c>
    </row>
    <row r="12" spans="1:14" ht="24" customHeight="1">
      <c r="A12" s="1" t="s">
        <v>47</v>
      </c>
      <c r="B12" s="37" t="str">
        <f>Допущения!$A$30</f>
        <v>Старт</v>
      </c>
      <c r="C12" s="47">
        <f>Допущения!$N$30</f>
        <v>0</v>
      </c>
      <c r="D12" s="38">
        <f>IF(AND(COUNT(Допущения!$C$30:$C$32)=3,MIN(Допущения!$C$30:$C$32)&gt;=0,MAX(Допущения!$C$30:$C$32)&lt;=1,ABS(SUM(Допущения!$C$30:$C$32)-1)&lt;0.00000001),IF(AND(ISNUMBER(Допущения!$B$42),Допущения!$B$42&gt;=0),Допущения!$B$42,NA())*Допущения!$C$30,NA())</f>
        <v>75000</v>
      </c>
      <c r="E12" s="38">
        <f>IF(AND(ISNUMBER(Допущения!$H$30),Допущения!$H$30&gt;0),Допущения!$H$30,NA())*Допущения!$B$23</f>
        <v>45</v>
      </c>
      <c r="F12" s="20">
        <f t="shared" si="0"/>
        <v>1666.6666666666667</v>
      </c>
      <c r="G12" s="39">
        <f>IF(C12=1,0,IF(IF(AND(ISNUMBER(Допущения!$I$30),Допущения!$I$30&gt;=0,Допущения!$I$30&lt;=1),Допущения!$I$30,NA())*Допущения!$B$24&lt;=1,F12*IF(AND(ISNUMBER(Допущения!$I$30),Допущения!$I$30&gt;=0,Допущения!$I$30&lt;=1),Допущения!$I$30,NA())*Допущения!$B$24,NA()))</f>
        <v>30</v>
      </c>
      <c r="H12" s="39">
        <f>IF(C12=0,0,F12*IF(AND(ISNUMBER(Допущения!$J$30),Допущения!$J$30&gt;=0,Допущения!$J$30&lt;=1),Допущения!$J$30,NA()))</f>
        <v>0</v>
      </c>
      <c r="I12" s="39">
        <f>H12*IF(AND(ISNUMBER(Допущения!$K$30),Допущения!$K$30&gt;=0,Допущения!$K$30&lt;=1),Допущения!$K$30,NA())</f>
        <v>0</v>
      </c>
      <c r="J12" s="39">
        <f>IF(C12=0,0,IF(IF(AND(ISNUMBER(Допущения!$L$30),Допущения!$L$30&gt;=0,Допущения!$L$30&lt;=1),Допущения!$L$30,NA())*Допущения!$B$24&lt;=1,I12*IF(AND(ISNUMBER(Допущения!$L$30),Допущения!$L$30&gt;=0,Допущения!$L$30&lt;=1),Допущения!$L$30,NA())*Допущения!$B$24,NA()))</f>
        <v>0</v>
      </c>
      <c r="K12" s="39">
        <f>IF(3&lt;=IF(AND(ISNUMBER(Допущения!$B$17),Допущения!$B$17&gt;=0,Допущения!$B$17=INT(Допущения!$B$17),Допущения!$B$17&lt;=12),Допущения!$B$17,NA()),0,INDEX($J$6:$J$41,(3-IF(AND(ISNUMBER(Допущения!$B$17),Допущения!$B$17&gt;=0,Допущения!$B$17=INT(Допущения!$B$17),Допущения!$B$17&lt;=12),Допущения!$B$17,NA())-1)*3+1))</f>
        <v>0</v>
      </c>
      <c r="L12" s="22">
        <f t="shared" si="1"/>
        <v>30</v>
      </c>
      <c r="M12" s="39">
        <f>I12*IF(AND(ISNUMBER(Допущения!$M$30),Допущения!$M$30&gt;=0),Допущения!$M$30,NA())</f>
        <v>0</v>
      </c>
      <c r="N12" s="38">
        <f>M12*IF(AND(ISNUMBER(Допущения!$B$7),Допущения!$B$7&gt;=0),Допущения!$B$7,NA())</f>
        <v>0</v>
      </c>
    </row>
    <row r="13" spans="1:14" ht="24" customHeight="1">
      <c r="A13" s="3" t="s">
        <v>47</v>
      </c>
      <c r="B13" s="41" t="str">
        <f>Допущения!$A$31</f>
        <v>Команда</v>
      </c>
      <c r="C13" s="48">
        <f>Допущения!$N$31</f>
        <v>0</v>
      </c>
      <c r="D13" s="42">
        <f>IF(AND(COUNT(Допущения!$C$30:$C$32)=3,MIN(Допущения!$C$30:$C$32)&gt;=0,MAX(Допущения!$C$30:$C$32)&lt;=1,ABS(SUM(Допущения!$C$30:$C$32)-1)&lt;0.00000001),IF(AND(ISNUMBER(Допущения!$B$42),Допущения!$B$42&gt;=0),Допущения!$B$42,NA())*Допущения!$C$31,NA())</f>
        <v>52500</v>
      </c>
      <c r="E13" s="42">
        <f>IF(AND(ISNUMBER(Допущения!$H$31),Допущения!$H$31&gt;0),Допущения!$H$31,NA())*Допущения!$B$23</f>
        <v>70</v>
      </c>
      <c r="F13" s="21">
        <f t="shared" si="0"/>
        <v>750</v>
      </c>
      <c r="G13" s="43">
        <f>IF(C13=1,0,IF(IF(AND(ISNUMBER(Допущения!$I$31),Допущения!$I$31&gt;=0,Допущения!$I$31&lt;=1),Допущения!$I$31,NA())*Допущения!$B$24&lt;=1,F13*IF(AND(ISNUMBER(Допущения!$I$31),Допущения!$I$31&gt;=0,Допущения!$I$31&lt;=1),Допущения!$I$31,NA())*Допущения!$B$24,NA()))</f>
        <v>6.7499999999999991</v>
      </c>
      <c r="H13" s="43">
        <f>IF(C13=0,0,F13*IF(AND(ISNUMBER(Допущения!$J$31),Допущения!$J$31&gt;=0,Допущения!$J$31&lt;=1),Допущения!$J$31,NA()))</f>
        <v>0</v>
      </c>
      <c r="I13" s="43">
        <f>H13*IF(AND(ISNUMBER(Допущения!$K$31),Допущения!$K$31&gt;=0,Допущения!$K$31&lt;=1),Допущения!$K$31,NA())</f>
        <v>0</v>
      </c>
      <c r="J13" s="43">
        <f>IF(C13=0,0,IF(IF(AND(ISNUMBER(Допущения!$L$31),Допущения!$L$31&gt;=0,Допущения!$L$31&lt;=1),Допущения!$L$31,NA())*Допущения!$B$24&lt;=1,I13*IF(AND(ISNUMBER(Допущения!$L$31),Допущения!$L$31&gt;=0,Допущения!$L$31&lt;=1),Допущения!$L$31,NA())*Допущения!$B$24,NA()))</f>
        <v>0</v>
      </c>
      <c r="K13" s="43">
        <f>IF(3&lt;=IF(AND(ISNUMBER(Допущения!$B$17),Допущения!$B$17&gt;=0,Допущения!$B$17=INT(Допущения!$B$17),Допущения!$B$17&lt;=12),Допущения!$B$17,NA()),0,INDEX($J$6:$J$41,(3-IF(AND(ISNUMBER(Допущения!$B$17),Допущения!$B$17&gt;=0,Допущения!$B$17=INT(Допущения!$B$17),Допущения!$B$17&lt;=12),Допущения!$B$17,NA())-1)*3+2))</f>
        <v>0</v>
      </c>
      <c r="L13" s="23">
        <f t="shared" si="1"/>
        <v>6.7499999999999991</v>
      </c>
      <c r="M13" s="43">
        <f>I13*IF(AND(ISNUMBER(Допущения!$M$31),Допущения!$M$31&gt;=0),Допущения!$M$31,NA())</f>
        <v>0</v>
      </c>
      <c r="N13" s="42">
        <f>M13*IF(AND(ISNUMBER(Допущения!$B$7),Допущения!$B$7&gt;=0),Допущения!$B$7,NA())</f>
        <v>0</v>
      </c>
    </row>
    <row r="14" spans="1:14" ht="24" customHeight="1">
      <c r="A14" s="1" t="s">
        <v>47</v>
      </c>
      <c r="B14" s="37" t="str">
        <f>Допущения!$A$32</f>
        <v>Бизнес</v>
      </c>
      <c r="C14" s="47">
        <f>Допущения!$N$32</f>
        <v>1</v>
      </c>
      <c r="D14" s="38">
        <f>IF(AND(COUNT(Допущения!$C$30:$C$32)=3,MIN(Допущения!$C$30:$C$32)&gt;=0,MAX(Допущения!$C$30:$C$32)&lt;=1,ABS(SUM(Допущения!$C$30:$C$32)-1)&lt;0.00000001),IF(AND(ISNUMBER(Допущения!$B$42),Допущения!$B$42&gt;=0),Допущения!$B$42,NA())*Допущения!$C$32,NA())</f>
        <v>22500</v>
      </c>
      <c r="E14" s="38">
        <f>IF(AND(ISNUMBER(Допущения!$H$32),Допущения!$H$32&gt;0),Допущения!$H$32,NA())*Допущения!$B$23</f>
        <v>120</v>
      </c>
      <c r="F14" s="20">
        <f t="shared" si="0"/>
        <v>187.5</v>
      </c>
      <c r="G14" s="39">
        <f>IF(C14=1,0,IF(IF(AND(ISNUMBER(Допущения!$I$32),Допущения!$I$32&gt;=0,Допущения!$I$32&lt;=1),Допущения!$I$32,NA())*Допущения!$B$24&lt;=1,F14*IF(AND(ISNUMBER(Допущения!$I$32),Допущения!$I$32&gt;=0,Допущения!$I$32&lt;=1),Допущения!$I$32,NA())*Допущения!$B$24,NA()))</f>
        <v>0</v>
      </c>
      <c r="H14" s="39">
        <f>IF(C14=0,0,F14*IF(AND(ISNUMBER(Допущения!$J$32),Допущения!$J$32&gt;=0,Допущения!$J$32&lt;=1),Допущения!$J$32,NA()))</f>
        <v>7.5</v>
      </c>
      <c r="I14" s="39">
        <f>H14*IF(AND(ISNUMBER(Допущения!$K$32),Допущения!$K$32&gt;=0,Допущения!$K$32&lt;=1),Допущения!$K$32,NA())</f>
        <v>6</v>
      </c>
      <c r="J14" s="39">
        <f>IF(C14=0,0,IF(IF(AND(ISNUMBER(Допущения!$L$32),Допущения!$L$32&gt;=0,Допущения!$L$32&lt;=1),Допущения!$L$32,NA())*Допущения!$B$24&lt;=1,I14*IF(AND(ISNUMBER(Допущения!$L$32),Допущения!$L$32&gt;=0,Допущения!$L$32&lt;=1),Допущения!$L$32,NA())*Допущения!$B$24,NA()))</f>
        <v>1.7999999999999998</v>
      </c>
      <c r="K14" s="39">
        <f>IF(3&lt;=IF(AND(ISNUMBER(Допущения!$B$17),Допущения!$B$17&gt;=0,Допущения!$B$17=INT(Допущения!$B$17),Допущения!$B$17&lt;=12),Допущения!$B$17,NA()),0,INDEX($J$6:$J$41,(3-IF(AND(ISNUMBER(Допущения!$B$17),Допущения!$B$17&gt;=0,Допущения!$B$17=INT(Допущения!$B$17),Допущения!$B$17&lt;=12),Допущения!$B$17,NA())-1)*3+3))</f>
        <v>1.2</v>
      </c>
      <c r="L14" s="22">
        <f t="shared" si="1"/>
        <v>1.2</v>
      </c>
      <c r="M14" s="39">
        <f>I14*IF(AND(ISNUMBER(Допущения!$M$32),Допущения!$M$32&gt;=0),Допущения!$M$32,NA())</f>
        <v>9</v>
      </c>
      <c r="N14" s="38">
        <f>M14*IF(AND(ISNUMBER(Допущения!$B$7),Допущения!$B$7&gt;=0),Допущения!$B$7,NA())</f>
        <v>9000</v>
      </c>
    </row>
    <row r="15" spans="1:14" ht="24" customHeight="1">
      <c r="A15" s="3" t="s">
        <v>48</v>
      </c>
      <c r="B15" s="41" t="str">
        <f>Допущения!$A$30</f>
        <v>Старт</v>
      </c>
      <c r="C15" s="48">
        <f>Допущения!$N$30</f>
        <v>0</v>
      </c>
      <c r="D15" s="42">
        <f>IF(AND(COUNT(Допущения!$C$30:$C$32)=3,MIN(Допущения!$C$30:$C$32)&gt;=0,MAX(Допущения!$C$30:$C$32)&lt;=1,ABS(SUM(Допущения!$C$30:$C$32)-1)&lt;0.00000001),IF(AND(ISNUMBER(Допущения!$B$43),Допущения!$B$43&gt;=0),Допущения!$B$43,NA())*Допущения!$C$30,NA())</f>
        <v>100000</v>
      </c>
      <c r="E15" s="42">
        <f>IF(AND(ISNUMBER(Допущения!$H$30),Допущения!$H$30&gt;0),Допущения!$H$30,NA())*Допущения!$B$23</f>
        <v>45</v>
      </c>
      <c r="F15" s="21">
        <f t="shared" si="0"/>
        <v>2222.2222222222222</v>
      </c>
      <c r="G15" s="43">
        <f>IF(C15=1,0,IF(IF(AND(ISNUMBER(Допущения!$I$30),Допущения!$I$30&gt;=0,Допущения!$I$30&lt;=1),Допущения!$I$30,NA())*Допущения!$B$24&lt;=1,F15*IF(AND(ISNUMBER(Допущения!$I$30),Допущения!$I$30&gt;=0,Допущения!$I$30&lt;=1),Допущения!$I$30,NA())*Допущения!$B$24,NA()))</f>
        <v>39.999999999999993</v>
      </c>
      <c r="H15" s="43">
        <f>IF(C15=0,0,F15*IF(AND(ISNUMBER(Допущения!$J$30),Допущения!$J$30&gt;=0,Допущения!$J$30&lt;=1),Допущения!$J$30,NA()))</f>
        <v>0</v>
      </c>
      <c r="I15" s="43">
        <f>H15*IF(AND(ISNUMBER(Допущения!$K$30),Допущения!$K$30&gt;=0,Допущения!$K$30&lt;=1),Допущения!$K$30,NA())</f>
        <v>0</v>
      </c>
      <c r="J15" s="43">
        <f>IF(C15=0,0,IF(IF(AND(ISNUMBER(Допущения!$L$30),Допущения!$L$30&gt;=0,Допущения!$L$30&lt;=1),Допущения!$L$30,NA())*Допущения!$B$24&lt;=1,I15*IF(AND(ISNUMBER(Допущения!$L$30),Допущения!$L$30&gt;=0,Допущения!$L$30&lt;=1),Допущения!$L$30,NA())*Допущения!$B$24,NA()))</f>
        <v>0</v>
      </c>
      <c r="K15" s="43">
        <f>IF(4&lt;=IF(AND(ISNUMBER(Допущения!$B$17),Допущения!$B$17&gt;=0,Допущения!$B$17=INT(Допущения!$B$17),Допущения!$B$17&lt;=12),Допущения!$B$17,NA()),0,INDEX($J$6:$J$41,(4-IF(AND(ISNUMBER(Допущения!$B$17),Допущения!$B$17&gt;=0,Допущения!$B$17=INT(Допущения!$B$17),Допущения!$B$17&lt;=12),Допущения!$B$17,NA())-1)*3+1))</f>
        <v>0</v>
      </c>
      <c r="L15" s="23">
        <f t="shared" si="1"/>
        <v>39.999999999999993</v>
      </c>
      <c r="M15" s="43">
        <f>I15*IF(AND(ISNUMBER(Допущения!$M$30),Допущения!$M$30&gt;=0),Допущения!$M$30,NA())</f>
        <v>0</v>
      </c>
      <c r="N15" s="42">
        <f>M15*IF(AND(ISNUMBER(Допущения!$B$7),Допущения!$B$7&gt;=0),Допущения!$B$7,NA())</f>
        <v>0</v>
      </c>
    </row>
    <row r="16" spans="1:14" ht="24" customHeight="1">
      <c r="A16" s="1" t="s">
        <v>48</v>
      </c>
      <c r="B16" s="37" t="str">
        <f>Допущения!$A$31</f>
        <v>Команда</v>
      </c>
      <c r="C16" s="47">
        <f>Допущения!$N$31</f>
        <v>0</v>
      </c>
      <c r="D16" s="38">
        <f>IF(AND(COUNT(Допущения!$C$30:$C$32)=3,MIN(Допущения!$C$30:$C$32)&gt;=0,MAX(Допущения!$C$30:$C$32)&lt;=1,ABS(SUM(Допущения!$C$30:$C$32)-1)&lt;0.00000001),IF(AND(ISNUMBER(Допущения!$B$43),Допущения!$B$43&gt;=0),Допущения!$B$43,NA())*Допущения!$C$31,NA())</f>
        <v>70000</v>
      </c>
      <c r="E16" s="38">
        <f>IF(AND(ISNUMBER(Допущения!$H$31),Допущения!$H$31&gt;0),Допущения!$H$31,NA())*Допущения!$B$23</f>
        <v>70</v>
      </c>
      <c r="F16" s="20">
        <f t="shared" si="0"/>
        <v>1000</v>
      </c>
      <c r="G16" s="39">
        <f>IF(C16=1,0,IF(IF(AND(ISNUMBER(Допущения!$I$31),Допущения!$I$31&gt;=0,Допущения!$I$31&lt;=1),Допущения!$I$31,NA())*Допущения!$B$24&lt;=1,F16*IF(AND(ISNUMBER(Допущения!$I$31),Допущения!$I$31&gt;=0,Допущения!$I$31&lt;=1),Допущения!$I$31,NA())*Допущения!$B$24,NA()))</f>
        <v>9</v>
      </c>
      <c r="H16" s="39">
        <f>IF(C16=0,0,F16*IF(AND(ISNUMBER(Допущения!$J$31),Допущения!$J$31&gt;=0,Допущения!$J$31&lt;=1),Допущения!$J$31,NA()))</f>
        <v>0</v>
      </c>
      <c r="I16" s="39">
        <f>H16*IF(AND(ISNUMBER(Допущения!$K$31),Допущения!$K$31&gt;=0,Допущения!$K$31&lt;=1),Допущения!$K$31,NA())</f>
        <v>0</v>
      </c>
      <c r="J16" s="39">
        <f>IF(C16=0,0,IF(IF(AND(ISNUMBER(Допущения!$L$31),Допущения!$L$31&gt;=0,Допущения!$L$31&lt;=1),Допущения!$L$31,NA())*Допущения!$B$24&lt;=1,I16*IF(AND(ISNUMBER(Допущения!$L$31),Допущения!$L$31&gt;=0,Допущения!$L$31&lt;=1),Допущения!$L$31,NA())*Допущения!$B$24,NA()))</f>
        <v>0</v>
      </c>
      <c r="K16" s="39">
        <f>IF(4&lt;=IF(AND(ISNUMBER(Допущения!$B$17),Допущения!$B$17&gt;=0,Допущения!$B$17=INT(Допущения!$B$17),Допущения!$B$17&lt;=12),Допущения!$B$17,NA()),0,INDEX($J$6:$J$41,(4-IF(AND(ISNUMBER(Допущения!$B$17),Допущения!$B$17&gt;=0,Допущения!$B$17=INT(Допущения!$B$17),Допущения!$B$17&lt;=12),Допущения!$B$17,NA())-1)*3+2))</f>
        <v>0</v>
      </c>
      <c r="L16" s="22">
        <f t="shared" si="1"/>
        <v>9</v>
      </c>
      <c r="M16" s="39">
        <f>I16*IF(AND(ISNUMBER(Допущения!$M$31),Допущения!$M$31&gt;=0),Допущения!$M$31,NA())</f>
        <v>0</v>
      </c>
      <c r="N16" s="38">
        <f>M16*IF(AND(ISNUMBER(Допущения!$B$7),Допущения!$B$7&gt;=0),Допущения!$B$7,NA())</f>
        <v>0</v>
      </c>
    </row>
    <row r="17" spans="1:14" ht="24" customHeight="1">
      <c r="A17" s="3" t="s">
        <v>48</v>
      </c>
      <c r="B17" s="41" t="str">
        <f>Допущения!$A$32</f>
        <v>Бизнес</v>
      </c>
      <c r="C17" s="48">
        <f>Допущения!$N$32</f>
        <v>1</v>
      </c>
      <c r="D17" s="42">
        <f>IF(AND(COUNT(Допущения!$C$30:$C$32)=3,MIN(Допущения!$C$30:$C$32)&gt;=0,MAX(Допущения!$C$30:$C$32)&lt;=1,ABS(SUM(Допущения!$C$30:$C$32)-1)&lt;0.00000001),IF(AND(ISNUMBER(Допущения!$B$43),Допущения!$B$43&gt;=0),Допущения!$B$43,NA())*Допущения!$C$32,NA())</f>
        <v>30000</v>
      </c>
      <c r="E17" s="42">
        <f>IF(AND(ISNUMBER(Допущения!$H$32),Допущения!$H$32&gt;0),Допущения!$H$32,NA())*Допущения!$B$23</f>
        <v>120</v>
      </c>
      <c r="F17" s="21">
        <f t="shared" si="0"/>
        <v>250</v>
      </c>
      <c r="G17" s="43">
        <f>IF(C17=1,0,IF(IF(AND(ISNUMBER(Допущения!$I$32),Допущения!$I$32&gt;=0,Допущения!$I$32&lt;=1),Допущения!$I$32,NA())*Допущения!$B$24&lt;=1,F17*IF(AND(ISNUMBER(Допущения!$I$32),Допущения!$I$32&gt;=0,Допущения!$I$32&lt;=1),Допущения!$I$32,NA())*Допущения!$B$24,NA()))</f>
        <v>0</v>
      </c>
      <c r="H17" s="43">
        <f>IF(C17=0,0,F17*IF(AND(ISNUMBER(Допущения!$J$32),Допущения!$J$32&gt;=0,Допущения!$J$32&lt;=1),Допущения!$J$32,NA()))</f>
        <v>10</v>
      </c>
      <c r="I17" s="43">
        <f>H17*IF(AND(ISNUMBER(Допущения!$K$32),Допущения!$K$32&gt;=0,Допущения!$K$32&lt;=1),Допущения!$K$32,NA())</f>
        <v>8</v>
      </c>
      <c r="J17" s="43">
        <f>IF(C17=0,0,IF(IF(AND(ISNUMBER(Допущения!$L$32),Допущения!$L$32&gt;=0,Допущения!$L$32&lt;=1),Допущения!$L$32,NA())*Допущения!$B$24&lt;=1,I17*IF(AND(ISNUMBER(Допущения!$L$32),Допущения!$L$32&gt;=0,Допущения!$L$32&lt;=1),Допущения!$L$32,NA())*Допущения!$B$24,NA()))</f>
        <v>2.4</v>
      </c>
      <c r="K17" s="43">
        <f>IF(4&lt;=IF(AND(ISNUMBER(Допущения!$B$17),Допущения!$B$17&gt;=0,Допущения!$B$17=INT(Допущения!$B$17),Допущения!$B$17&lt;=12),Допущения!$B$17,NA()),0,INDEX($J$6:$J$41,(4-IF(AND(ISNUMBER(Допущения!$B$17),Допущения!$B$17&gt;=0,Допущения!$B$17=INT(Допущения!$B$17),Допущения!$B$17&lt;=12),Допущения!$B$17,NA())-1)*3+3))</f>
        <v>1.7999999999999998</v>
      </c>
      <c r="L17" s="23">
        <f t="shared" si="1"/>
        <v>1.7999999999999998</v>
      </c>
      <c r="M17" s="43">
        <f>I17*IF(AND(ISNUMBER(Допущения!$M$32),Допущения!$M$32&gt;=0),Допущения!$M$32,NA())</f>
        <v>12</v>
      </c>
      <c r="N17" s="42">
        <f>M17*IF(AND(ISNUMBER(Допущения!$B$7),Допущения!$B$7&gt;=0),Допущения!$B$7,NA())</f>
        <v>12000</v>
      </c>
    </row>
    <row r="18" spans="1:14" ht="24" customHeight="1">
      <c r="A18" s="1" t="s">
        <v>49</v>
      </c>
      <c r="B18" s="37" t="str">
        <f>Допущения!$A$30</f>
        <v>Старт</v>
      </c>
      <c r="C18" s="47">
        <f>Допущения!$N$30</f>
        <v>0</v>
      </c>
      <c r="D18" s="38">
        <f>IF(AND(COUNT(Допущения!$C$30:$C$32)=3,MIN(Допущения!$C$30:$C$32)&gt;=0,MAX(Допущения!$C$30:$C$32)&lt;=1,ABS(SUM(Допущения!$C$30:$C$32)-1)&lt;0.00000001),IF(AND(ISNUMBER(Допущения!$B$44),Допущения!$B$44&gt;=0),Допущения!$B$44,NA())*Допущения!$C$30,NA())</f>
        <v>100000</v>
      </c>
      <c r="E18" s="38">
        <f>IF(AND(ISNUMBER(Допущения!$H$30),Допущения!$H$30&gt;0),Допущения!$H$30,NA())*Допущения!$B$23</f>
        <v>45</v>
      </c>
      <c r="F18" s="20">
        <f t="shared" si="0"/>
        <v>2222.2222222222222</v>
      </c>
      <c r="G18" s="39">
        <f>IF(C18=1,0,IF(IF(AND(ISNUMBER(Допущения!$I$30),Допущения!$I$30&gt;=0,Допущения!$I$30&lt;=1),Допущения!$I$30,NA())*Допущения!$B$24&lt;=1,F18*IF(AND(ISNUMBER(Допущения!$I$30),Допущения!$I$30&gt;=0,Допущения!$I$30&lt;=1),Допущения!$I$30,NA())*Допущения!$B$24,NA()))</f>
        <v>39.999999999999993</v>
      </c>
      <c r="H18" s="39">
        <f>IF(C18=0,0,F18*IF(AND(ISNUMBER(Допущения!$J$30),Допущения!$J$30&gt;=0,Допущения!$J$30&lt;=1),Допущения!$J$30,NA()))</f>
        <v>0</v>
      </c>
      <c r="I18" s="39">
        <f>H18*IF(AND(ISNUMBER(Допущения!$K$30),Допущения!$K$30&gt;=0,Допущения!$K$30&lt;=1),Допущения!$K$30,NA())</f>
        <v>0</v>
      </c>
      <c r="J18" s="39">
        <f>IF(C18=0,0,IF(IF(AND(ISNUMBER(Допущения!$L$30),Допущения!$L$30&gt;=0,Допущения!$L$30&lt;=1),Допущения!$L$30,NA())*Допущения!$B$24&lt;=1,I18*IF(AND(ISNUMBER(Допущения!$L$30),Допущения!$L$30&gt;=0,Допущения!$L$30&lt;=1),Допущения!$L$30,NA())*Допущения!$B$24,NA()))</f>
        <v>0</v>
      </c>
      <c r="K18" s="39">
        <f>IF(5&lt;=IF(AND(ISNUMBER(Допущения!$B$17),Допущения!$B$17&gt;=0,Допущения!$B$17=INT(Допущения!$B$17),Допущения!$B$17&lt;=12),Допущения!$B$17,NA()),0,INDEX($J$6:$J$41,(5-IF(AND(ISNUMBER(Допущения!$B$17),Допущения!$B$17&gt;=0,Допущения!$B$17=INT(Допущения!$B$17),Допущения!$B$17&lt;=12),Допущения!$B$17,NA())-1)*3+1))</f>
        <v>0</v>
      </c>
      <c r="L18" s="22">
        <f t="shared" si="1"/>
        <v>39.999999999999993</v>
      </c>
      <c r="M18" s="39">
        <f>I18*IF(AND(ISNUMBER(Допущения!$M$30),Допущения!$M$30&gt;=0),Допущения!$M$30,NA())</f>
        <v>0</v>
      </c>
      <c r="N18" s="38">
        <f>M18*IF(AND(ISNUMBER(Допущения!$B$7),Допущения!$B$7&gt;=0),Допущения!$B$7,NA())</f>
        <v>0</v>
      </c>
    </row>
    <row r="19" spans="1:14" ht="24" customHeight="1">
      <c r="A19" s="3" t="s">
        <v>49</v>
      </c>
      <c r="B19" s="41" t="str">
        <f>Допущения!$A$31</f>
        <v>Команда</v>
      </c>
      <c r="C19" s="48">
        <f>Допущения!$N$31</f>
        <v>0</v>
      </c>
      <c r="D19" s="42">
        <f>IF(AND(COUNT(Допущения!$C$30:$C$32)=3,MIN(Допущения!$C$30:$C$32)&gt;=0,MAX(Допущения!$C$30:$C$32)&lt;=1,ABS(SUM(Допущения!$C$30:$C$32)-1)&lt;0.00000001),IF(AND(ISNUMBER(Допущения!$B$44),Допущения!$B$44&gt;=0),Допущения!$B$44,NA())*Допущения!$C$31,NA())</f>
        <v>70000</v>
      </c>
      <c r="E19" s="42">
        <f>IF(AND(ISNUMBER(Допущения!$H$31),Допущения!$H$31&gt;0),Допущения!$H$31,NA())*Допущения!$B$23</f>
        <v>70</v>
      </c>
      <c r="F19" s="21">
        <f t="shared" si="0"/>
        <v>1000</v>
      </c>
      <c r="G19" s="43">
        <f>IF(C19=1,0,IF(IF(AND(ISNUMBER(Допущения!$I$31),Допущения!$I$31&gt;=0,Допущения!$I$31&lt;=1),Допущения!$I$31,NA())*Допущения!$B$24&lt;=1,F19*IF(AND(ISNUMBER(Допущения!$I$31),Допущения!$I$31&gt;=0,Допущения!$I$31&lt;=1),Допущения!$I$31,NA())*Допущения!$B$24,NA()))</f>
        <v>9</v>
      </c>
      <c r="H19" s="43">
        <f>IF(C19=0,0,F19*IF(AND(ISNUMBER(Допущения!$J$31),Допущения!$J$31&gt;=0,Допущения!$J$31&lt;=1),Допущения!$J$31,NA()))</f>
        <v>0</v>
      </c>
      <c r="I19" s="43">
        <f>H19*IF(AND(ISNUMBER(Допущения!$K$31),Допущения!$K$31&gt;=0,Допущения!$K$31&lt;=1),Допущения!$K$31,NA())</f>
        <v>0</v>
      </c>
      <c r="J19" s="43">
        <f>IF(C19=0,0,IF(IF(AND(ISNUMBER(Допущения!$L$31),Допущения!$L$31&gt;=0,Допущения!$L$31&lt;=1),Допущения!$L$31,NA())*Допущения!$B$24&lt;=1,I19*IF(AND(ISNUMBER(Допущения!$L$31),Допущения!$L$31&gt;=0,Допущения!$L$31&lt;=1),Допущения!$L$31,NA())*Допущения!$B$24,NA()))</f>
        <v>0</v>
      </c>
      <c r="K19" s="43">
        <f>IF(5&lt;=IF(AND(ISNUMBER(Допущения!$B$17),Допущения!$B$17&gt;=0,Допущения!$B$17=INT(Допущения!$B$17),Допущения!$B$17&lt;=12),Допущения!$B$17,NA()),0,INDEX($J$6:$J$41,(5-IF(AND(ISNUMBER(Допущения!$B$17),Допущения!$B$17&gt;=0,Допущения!$B$17=INT(Допущения!$B$17),Допущения!$B$17&lt;=12),Допущения!$B$17,NA())-1)*3+2))</f>
        <v>0</v>
      </c>
      <c r="L19" s="23">
        <f t="shared" si="1"/>
        <v>9</v>
      </c>
      <c r="M19" s="43">
        <f>I19*IF(AND(ISNUMBER(Допущения!$M$31),Допущения!$M$31&gt;=0),Допущения!$M$31,NA())</f>
        <v>0</v>
      </c>
      <c r="N19" s="42">
        <f>M19*IF(AND(ISNUMBER(Допущения!$B$7),Допущения!$B$7&gt;=0),Допущения!$B$7,NA())</f>
        <v>0</v>
      </c>
    </row>
    <row r="20" spans="1:14" ht="24" customHeight="1">
      <c r="A20" s="1" t="s">
        <v>49</v>
      </c>
      <c r="B20" s="37" t="str">
        <f>Допущения!$A$32</f>
        <v>Бизнес</v>
      </c>
      <c r="C20" s="47">
        <f>Допущения!$N$32</f>
        <v>1</v>
      </c>
      <c r="D20" s="38">
        <f>IF(AND(COUNT(Допущения!$C$30:$C$32)=3,MIN(Допущения!$C$30:$C$32)&gt;=0,MAX(Допущения!$C$30:$C$32)&lt;=1,ABS(SUM(Допущения!$C$30:$C$32)-1)&lt;0.00000001),IF(AND(ISNUMBER(Допущения!$B$44),Допущения!$B$44&gt;=0),Допущения!$B$44,NA())*Допущения!$C$32,NA())</f>
        <v>30000</v>
      </c>
      <c r="E20" s="38">
        <f>IF(AND(ISNUMBER(Допущения!$H$32),Допущения!$H$32&gt;0),Допущения!$H$32,NA())*Допущения!$B$23</f>
        <v>120</v>
      </c>
      <c r="F20" s="20">
        <f t="shared" si="0"/>
        <v>250</v>
      </c>
      <c r="G20" s="39">
        <f>IF(C20=1,0,IF(IF(AND(ISNUMBER(Допущения!$I$32),Допущения!$I$32&gt;=0,Допущения!$I$32&lt;=1),Допущения!$I$32,NA())*Допущения!$B$24&lt;=1,F20*IF(AND(ISNUMBER(Допущения!$I$32),Допущения!$I$32&gt;=0,Допущения!$I$32&lt;=1),Допущения!$I$32,NA())*Допущения!$B$24,NA()))</f>
        <v>0</v>
      </c>
      <c r="H20" s="39">
        <f>IF(C20=0,0,F20*IF(AND(ISNUMBER(Допущения!$J$32),Допущения!$J$32&gt;=0,Допущения!$J$32&lt;=1),Допущения!$J$32,NA()))</f>
        <v>10</v>
      </c>
      <c r="I20" s="39">
        <f>H20*IF(AND(ISNUMBER(Допущения!$K$32),Допущения!$K$32&gt;=0,Допущения!$K$32&lt;=1),Допущения!$K$32,NA())</f>
        <v>8</v>
      </c>
      <c r="J20" s="39">
        <f>IF(C20=0,0,IF(IF(AND(ISNUMBER(Допущения!$L$32),Допущения!$L$32&gt;=0,Допущения!$L$32&lt;=1),Допущения!$L$32,NA())*Допущения!$B$24&lt;=1,I20*IF(AND(ISNUMBER(Допущения!$L$32),Допущения!$L$32&gt;=0,Допущения!$L$32&lt;=1),Допущения!$L$32,NA())*Допущения!$B$24,NA()))</f>
        <v>2.4</v>
      </c>
      <c r="K20" s="39">
        <f>IF(5&lt;=IF(AND(ISNUMBER(Допущения!$B$17),Допущения!$B$17&gt;=0,Допущения!$B$17=INT(Допущения!$B$17),Допущения!$B$17&lt;=12),Допущения!$B$17,NA()),0,INDEX($J$6:$J$41,(5-IF(AND(ISNUMBER(Допущения!$B$17),Допущения!$B$17&gt;=0,Допущения!$B$17=INT(Допущения!$B$17),Допущения!$B$17&lt;=12),Допущения!$B$17,NA())-1)*3+3))</f>
        <v>2.4</v>
      </c>
      <c r="L20" s="22">
        <f t="shared" si="1"/>
        <v>2.4</v>
      </c>
      <c r="M20" s="39">
        <f>I20*IF(AND(ISNUMBER(Допущения!$M$32),Допущения!$M$32&gt;=0),Допущения!$M$32,NA())</f>
        <v>12</v>
      </c>
      <c r="N20" s="38">
        <f>M20*IF(AND(ISNUMBER(Допущения!$B$7),Допущения!$B$7&gt;=0),Допущения!$B$7,NA())</f>
        <v>12000</v>
      </c>
    </row>
    <row r="21" spans="1:14" ht="24" customHeight="1">
      <c r="A21" s="3" t="s">
        <v>50</v>
      </c>
      <c r="B21" s="41" t="str">
        <f>Допущения!$A$30</f>
        <v>Старт</v>
      </c>
      <c r="C21" s="48">
        <f>Допущения!$N$30</f>
        <v>0</v>
      </c>
      <c r="D21" s="42">
        <f>IF(AND(COUNT(Допущения!$C$30:$C$32)=3,MIN(Допущения!$C$30:$C$32)&gt;=0,MAX(Допущения!$C$30:$C$32)&lt;=1,ABS(SUM(Допущения!$C$30:$C$32)-1)&lt;0.00000001),IF(AND(ISNUMBER(Допущения!$B$45),Допущения!$B$45&gt;=0),Допущения!$B$45,NA())*Допущения!$C$30,NA())</f>
        <v>100000</v>
      </c>
      <c r="E21" s="42">
        <f>IF(AND(ISNUMBER(Допущения!$H$30),Допущения!$H$30&gt;0),Допущения!$H$30,NA())*Допущения!$B$23</f>
        <v>45</v>
      </c>
      <c r="F21" s="21">
        <f t="shared" si="0"/>
        <v>2222.2222222222222</v>
      </c>
      <c r="G21" s="43">
        <f>IF(C21=1,0,IF(IF(AND(ISNUMBER(Допущения!$I$30),Допущения!$I$30&gt;=0,Допущения!$I$30&lt;=1),Допущения!$I$30,NA())*Допущения!$B$24&lt;=1,F21*IF(AND(ISNUMBER(Допущения!$I$30),Допущения!$I$30&gt;=0,Допущения!$I$30&lt;=1),Допущения!$I$30,NA())*Допущения!$B$24,NA()))</f>
        <v>39.999999999999993</v>
      </c>
      <c r="H21" s="43">
        <f>IF(C21=0,0,F21*IF(AND(ISNUMBER(Допущения!$J$30),Допущения!$J$30&gt;=0,Допущения!$J$30&lt;=1),Допущения!$J$30,NA()))</f>
        <v>0</v>
      </c>
      <c r="I21" s="43">
        <f>H21*IF(AND(ISNUMBER(Допущения!$K$30),Допущения!$K$30&gt;=0,Допущения!$K$30&lt;=1),Допущения!$K$30,NA())</f>
        <v>0</v>
      </c>
      <c r="J21" s="43">
        <f>IF(C21=0,0,IF(IF(AND(ISNUMBER(Допущения!$L$30),Допущения!$L$30&gt;=0,Допущения!$L$30&lt;=1),Допущения!$L$30,NA())*Допущения!$B$24&lt;=1,I21*IF(AND(ISNUMBER(Допущения!$L$30),Допущения!$L$30&gt;=0,Допущения!$L$30&lt;=1),Допущения!$L$30,NA())*Допущения!$B$24,NA()))</f>
        <v>0</v>
      </c>
      <c r="K21" s="43">
        <f>IF(6&lt;=IF(AND(ISNUMBER(Допущения!$B$17),Допущения!$B$17&gt;=0,Допущения!$B$17=INT(Допущения!$B$17),Допущения!$B$17&lt;=12),Допущения!$B$17,NA()),0,INDEX($J$6:$J$41,(6-IF(AND(ISNUMBER(Допущения!$B$17),Допущения!$B$17&gt;=0,Допущения!$B$17=INT(Допущения!$B$17),Допущения!$B$17&lt;=12),Допущения!$B$17,NA())-1)*3+1))</f>
        <v>0</v>
      </c>
      <c r="L21" s="23">
        <f t="shared" si="1"/>
        <v>39.999999999999993</v>
      </c>
      <c r="M21" s="43">
        <f>I21*IF(AND(ISNUMBER(Допущения!$M$30),Допущения!$M$30&gt;=0),Допущения!$M$30,NA())</f>
        <v>0</v>
      </c>
      <c r="N21" s="42">
        <f>M21*IF(AND(ISNUMBER(Допущения!$B$7),Допущения!$B$7&gt;=0),Допущения!$B$7,NA())</f>
        <v>0</v>
      </c>
    </row>
    <row r="22" spans="1:14" ht="24" customHeight="1">
      <c r="A22" s="1" t="s">
        <v>50</v>
      </c>
      <c r="B22" s="37" t="str">
        <f>Допущения!$A$31</f>
        <v>Команда</v>
      </c>
      <c r="C22" s="47">
        <f>Допущения!$N$31</f>
        <v>0</v>
      </c>
      <c r="D22" s="38">
        <f>IF(AND(COUNT(Допущения!$C$30:$C$32)=3,MIN(Допущения!$C$30:$C$32)&gt;=0,MAX(Допущения!$C$30:$C$32)&lt;=1,ABS(SUM(Допущения!$C$30:$C$32)-1)&lt;0.00000001),IF(AND(ISNUMBER(Допущения!$B$45),Допущения!$B$45&gt;=0),Допущения!$B$45,NA())*Допущения!$C$31,NA())</f>
        <v>70000</v>
      </c>
      <c r="E22" s="38">
        <f>IF(AND(ISNUMBER(Допущения!$H$31),Допущения!$H$31&gt;0),Допущения!$H$31,NA())*Допущения!$B$23</f>
        <v>70</v>
      </c>
      <c r="F22" s="20">
        <f t="shared" si="0"/>
        <v>1000</v>
      </c>
      <c r="G22" s="39">
        <f>IF(C22=1,0,IF(IF(AND(ISNUMBER(Допущения!$I$31),Допущения!$I$31&gt;=0,Допущения!$I$31&lt;=1),Допущения!$I$31,NA())*Допущения!$B$24&lt;=1,F22*IF(AND(ISNUMBER(Допущения!$I$31),Допущения!$I$31&gt;=0,Допущения!$I$31&lt;=1),Допущения!$I$31,NA())*Допущения!$B$24,NA()))</f>
        <v>9</v>
      </c>
      <c r="H22" s="39">
        <f>IF(C22=0,0,F22*IF(AND(ISNUMBER(Допущения!$J$31),Допущения!$J$31&gt;=0,Допущения!$J$31&lt;=1),Допущения!$J$31,NA()))</f>
        <v>0</v>
      </c>
      <c r="I22" s="39">
        <f>H22*IF(AND(ISNUMBER(Допущения!$K$31),Допущения!$K$31&gt;=0,Допущения!$K$31&lt;=1),Допущения!$K$31,NA())</f>
        <v>0</v>
      </c>
      <c r="J22" s="39">
        <f>IF(C22=0,0,IF(IF(AND(ISNUMBER(Допущения!$L$31),Допущения!$L$31&gt;=0,Допущения!$L$31&lt;=1),Допущения!$L$31,NA())*Допущения!$B$24&lt;=1,I22*IF(AND(ISNUMBER(Допущения!$L$31),Допущения!$L$31&gt;=0,Допущения!$L$31&lt;=1),Допущения!$L$31,NA())*Допущения!$B$24,NA()))</f>
        <v>0</v>
      </c>
      <c r="K22" s="39">
        <f>IF(6&lt;=IF(AND(ISNUMBER(Допущения!$B$17),Допущения!$B$17&gt;=0,Допущения!$B$17=INT(Допущения!$B$17),Допущения!$B$17&lt;=12),Допущения!$B$17,NA()),0,INDEX($J$6:$J$41,(6-IF(AND(ISNUMBER(Допущения!$B$17),Допущения!$B$17&gt;=0,Допущения!$B$17=INT(Допущения!$B$17),Допущения!$B$17&lt;=12),Допущения!$B$17,NA())-1)*3+2))</f>
        <v>0</v>
      </c>
      <c r="L22" s="22">
        <f t="shared" si="1"/>
        <v>9</v>
      </c>
      <c r="M22" s="39">
        <f>I22*IF(AND(ISNUMBER(Допущения!$M$31),Допущения!$M$31&gt;=0),Допущения!$M$31,NA())</f>
        <v>0</v>
      </c>
      <c r="N22" s="38">
        <f>M22*IF(AND(ISNUMBER(Допущения!$B$7),Допущения!$B$7&gt;=0),Допущения!$B$7,NA())</f>
        <v>0</v>
      </c>
    </row>
    <row r="23" spans="1:14" ht="24" customHeight="1">
      <c r="A23" s="3" t="s">
        <v>50</v>
      </c>
      <c r="B23" s="41" t="str">
        <f>Допущения!$A$32</f>
        <v>Бизнес</v>
      </c>
      <c r="C23" s="48">
        <f>Допущения!$N$32</f>
        <v>1</v>
      </c>
      <c r="D23" s="42">
        <f>IF(AND(COUNT(Допущения!$C$30:$C$32)=3,MIN(Допущения!$C$30:$C$32)&gt;=0,MAX(Допущения!$C$30:$C$32)&lt;=1,ABS(SUM(Допущения!$C$30:$C$32)-1)&lt;0.00000001),IF(AND(ISNUMBER(Допущения!$B$45),Допущения!$B$45&gt;=0),Допущения!$B$45,NA())*Допущения!$C$32,NA())</f>
        <v>30000</v>
      </c>
      <c r="E23" s="42">
        <f>IF(AND(ISNUMBER(Допущения!$H$32),Допущения!$H$32&gt;0),Допущения!$H$32,NA())*Допущения!$B$23</f>
        <v>120</v>
      </c>
      <c r="F23" s="21">
        <f t="shared" si="0"/>
        <v>250</v>
      </c>
      <c r="G23" s="43">
        <f>IF(C23=1,0,IF(IF(AND(ISNUMBER(Допущения!$I$32),Допущения!$I$32&gt;=0,Допущения!$I$32&lt;=1),Допущения!$I$32,NA())*Допущения!$B$24&lt;=1,F23*IF(AND(ISNUMBER(Допущения!$I$32),Допущения!$I$32&gt;=0,Допущения!$I$32&lt;=1),Допущения!$I$32,NA())*Допущения!$B$24,NA()))</f>
        <v>0</v>
      </c>
      <c r="H23" s="43">
        <f>IF(C23=0,0,F23*IF(AND(ISNUMBER(Допущения!$J$32),Допущения!$J$32&gt;=0,Допущения!$J$32&lt;=1),Допущения!$J$32,NA()))</f>
        <v>10</v>
      </c>
      <c r="I23" s="43">
        <f>H23*IF(AND(ISNUMBER(Допущения!$K$32),Допущения!$K$32&gt;=0,Допущения!$K$32&lt;=1),Допущения!$K$32,NA())</f>
        <v>8</v>
      </c>
      <c r="J23" s="43">
        <f>IF(C23=0,0,IF(IF(AND(ISNUMBER(Допущения!$L$32),Допущения!$L$32&gt;=0,Допущения!$L$32&lt;=1),Допущения!$L$32,NA())*Допущения!$B$24&lt;=1,I23*IF(AND(ISNUMBER(Допущения!$L$32),Допущения!$L$32&gt;=0,Допущения!$L$32&lt;=1),Допущения!$L$32,NA())*Допущения!$B$24,NA()))</f>
        <v>2.4</v>
      </c>
      <c r="K23" s="43">
        <f>IF(6&lt;=IF(AND(ISNUMBER(Допущения!$B$17),Допущения!$B$17&gt;=0,Допущения!$B$17=INT(Допущения!$B$17),Допущения!$B$17&lt;=12),Допущения!$B$17,NA()),0,INDEX($J$6:$J$41,(6-IF(AND(ISNUMBER(Допущения!$B$17),Допущения!$B$17&gt;=0,Допущения!$B$17=INT(Допущения!$B$17),Допущения!$B$17&lt;=12),Допущения!$B$17,NA())-1)*3+3))</f>
        <v>2.4</v>
      </c>
      <c r="L23" s="23">
        <f t="shared" si="1"/>
        <v>2.4</v>
      </c>
      <c r="M23" s="43">
        <f>I23*IF(AND(ISNUMBER(Допущения!$M$32),Допущения!$M$32&gt;=0),Допущения!$M$32,NA())</f>
        <v>12</v>
      </c>
      <c r="N23" s="42">
        <f>M23*IF(AND(ISNUMBER(Допущения!$B$7),Допущения!$B$7&gt;=0),Допущения!$B$7,NA())</f>
        <v>12000</v>
      </c>
    </row>
    <row r="24" spans="1:14" ht="24" customHeight="1">
      <c r="A24" s="1" t="s">
        <v>51</v>
      </c>
      <c r="B24" s="37" t="str">
        <f>Допущения!$A$30</f>
        <v>Старт</v>
      </c>
      <c r="C24" s="47">
        <f>Допущения!$N$30</f>
        <v>0</v>
      </c>
      <c r="D24" s="38">
        <f>IF(AND(COUNT(Допущения!$C$30:$C$32)=3,MIN(Допущения!$C$30:$C$32)&gt;=0,MAX(Допущения!$C$30:$C$32)&lt;=1,ABS(SUM(Допущения!$C$30:$C$32)-1)&lt;0.00000001),IF(AND(ISNUMBER(Допущения!$B$46),Допущения!$B$46&gt;=0),Допущения!$B$46,NA())*Допущения!$C$30,NA())</f>
        <v>100000</v>
      </c>
      <c r="E24" s="38">
        <f>IF(AND(ISNUMBER(Допущения!$H$30),Допущения!$H$30&gt;0),Допущения!$H$30,NA())*Допущения!$B$23</f>
        <v>45</v>
      </c>
      <c r="F24" s="20">
        <f t="shared" si="0"/>
        <v>2222.2222222222222</v>
      </c>
      <c r="G24" s="39">
        <f>IF(C24=1,0,IF(IF(AND(ISNUMBER(Допущения!$I$30),Допущения!$I$30&gt;=0,Допущения!$I$30&lt;=1),Допущения!$I$30,NA())*Допущения!$B$24&lt;=1,F24*IF(AND(ISNUMBER(Допущения!$I$30),Допущения!$I$30&gt;=0,Допущения!$I$30&lt;=1),Допущения!$I$30,NA())*Допущения!$B$24,NA()))</f>
        <v>39.999999999999993</v>
      </c>
      <c r="H24" s="39">
        <f>IF(C24=0,0,F24*IF(AND(ISNUMBER(Допущения!$J$30),Допущения!$J$30&gt;=0,Допущения!$J$30&lt;=1),Допущения!$J$30,NA()))</f>
        <v>0</v>
      </c>
      <c r="I24" s="39">
        <f>H24*IF(AND(ISNUMBER(Допущения!$K$30),Допущения!$K$30&gt;=0,Допущения!$K$30&lt;=1),Допущения!$K$30,NA())</f>
        <v>0</v>
      </c>
      <c r="J24" s="39">
        <f>IF(C24=0,0,IF(IF(AND(ISNUMBER(Допущения!$L$30),Допущения!$L$30&gt;=0,Допущения!$L$30&lt;=1),Допущения!$L$30,NA())*Допущения!$B$24&lt;=1,I24*IF(AND(ISNUMBER(Допущения!$L$30),Допущения!$L$30&gt;=0,Допущения!$L$30&lt;=1),Допущения!$L$30,NA())*Допущения!$B$24,NA()))</f>
        <v>0</v>
      </c>
      <c r="K24" s="39">
        <f>IF(7&lt;=IF(AND(ISNUMBER(Допущения!$B$17),Допущения!$B$17&gt;=0,Допущения!$B$17=INT(Допущения!$B$17),Допущения!$B$17&lt;=12),Допущения!$B$17,NA()),0,INDEX($J$6:$J$41,(7-IF(AND(ISNUMBER(Допущения!$B$17),Допущения!$B$17&gt;=0,Допущения!$B$17=INT(Допущения!$B$17),Допущения!$B$17&lt;=12),Допущения!$B$17,NA())-1)*3+1))</f>
        <v>0</v>
      </c>
      <c r="L24" s="22">
        <f t="shared" si="1"/>
        <v>39.999999999999993</v>
      </c>
      <c r="M24" s="39">
        <f>I24*IF(AND(ISNUMBER(Допущения!$M$30),Допущения!$M$30&gt;=0),Допущения!$M$30,NA())</f>
        <v>0</v>
      </c>
      <c r="N24" s="38">
        <f>M24*IF(AND(ISNUMBER(Допущения!$B$7),Допущения!$B$7&gt;=0),Допущения!$B$7,NA())</f>
        <v>0</v>
      </c>
    </row>
    <row r="25" spans="1:14" ht="24" customHeight="1">
      <c r="A25" s="3" t="s">
        <v>51</v>
      </c>
      <c r="B25" s="41" t="str">
        <f>Допущения!$A$31</f>
        <v>Команда</v>
      </c>
      <c r="C25" s="48">
        <f>Допущения!$N$31</f>
        <v>0</v>
      </c>
      <c r="D25" s="42">
        <f>IF(AND(COUNT(Допущения!$C$30:$C$32)=3,MIN(Допущения!$C$30:$C$32)&gt;=0,MAX(Допущения!$C$30:$C$32)&lt;=1,ABS(SUM(Допущения!$C$30:$C$32)-1)&lt;0.00000001),IF(AND(ISNUMBER(Допущения!$B$46),Допущения!$B$46&gt;=0),Допущения!$B$46,NA())*Допущения!$C$31,NA())</f>
        <v>70000</v>
      </c>
      <c r="E25" s="42">
        <f>IF(AND(ISNUMBER(Допущения!$H$31),Допущения!$H$31&gt;0),Допущения!$H$31,NA())*Допущения!$B$23</f>
        <v>70</v>
      </c>
      <c r="F25" s="21">
        <f t="shared" si="0"/>
        <v>1000</v>
      </c>
      <c r="G25" s="43">
        <f>IF(C25=1,0,IF(IF(AND(ISNUMBER(Допущения!$I$31),Допущения!$I$31&gt;=0,Допущения!$I$31&lt;=1),Допущения!$I$31,NA())*Допущения!$B$24&lt;=1,F25*IF(AND(ISNUMBER(Допущения!$I$31),Допущения!$I$31&gt;=0,Допущения!$I$31&lt;=1),Допущения!$I$31,NA())*Допущения!$B$24,NA()))</f>
        <v>9</v>
      </c>
      <c r="H25" s="43">
        <f>IF(C25=0,0,F25*IF(AND(ISNUMBER(Допущения!$J$31),Допущения!$J$31&gt;=0,Допущения!$J$31&lt;=1),Допущения!$J$31,NA()))</f>
        <v>0</v>
      </c>
      <c r="I25" s="43">
        <f>H25*IF(AND(ISNUMBER(Допущения!$K$31),Допущения!$K$31&gt;=0,Допущения!$K$31&lt;=1),Допущения!$K$31,NA())</f>
        <v>0</v>
      </c>
      <c r="J25" s="43">
        <f>IF(C25=0,0,IF(IF(AND(ISNUMBER(Допущения!$L$31),Допущения!$L$31&gt;=0,Допущения!$L$31&lt;=1),Допущения!$L$31,NA())*Допущения!$B$24&lt;=1,I25*IF(AND(ISNUMBER(Допущения!$L$31),Допущения!$L$31&gt;=0,Допущения!$L$31&lt;=1),Допущения!$L$31,NA())*Допущения!$B$24,NA()))</f>
        <v>0</v>
      </c>
      <c r="K25" s="43">
        <f>IF(7&lt;=IF(AND(ISNUMBER(Допущения!$B$17),Допущения!$B$17&gt;=0,Допущения!$B$17=INT(Допущения!$B$17),Допущения!$B$17&lt;=12),Допущения!$B$17,NA()),0,INDEX($J$6:$J$41,(7-IF(AND(ISNUMBER(Допущения!$B$17),Допущения!$B$17&gt;=0,Допущения!$B$17=INT(Допущения!$B$17),Допущения!$B$17&lt;=12),Допущения!$B$17,NA())-1)*3+2))</f>
        <v>0</v>
      </c>
      <c r="L25" s="23">
        <f t="shared" si="1"/>
        <v>9</v>
      </c>
      <c r="M25" s="43">
        <f>I25*IF(AND(ISNUMBER(Допущения!$M$31),Допущения!$M$31&gt;=0),Допущения!$M$31,NA())</f>
        <v>0</v>
      </c>
      <c r="N25" s="42">
        <f>M25*IF(AND(ISNUMBER(Допущения!$B$7),Допущения!$B$7&gt;=0),Допущения!$B$7,NA())</f>
        <v>0</v>
      </c>
    </row>
    <row r="26" spans="1:14" ht="24" customHeight="1">
      <c r="A26" s="1" t="s">
        <v>51</v>
      </c>
      <c r="B26" s="37" t="str">
        <f>Допущения!$A$32</f>
        <v>Бизнес</v>
      </c>
      <c r="C26" s="47">
        <f>Допущения!$N$32</f>
        <v>1</v>
      </c>
      <c r="D26" s="38">
        <f>IF(AND(COUNT(Допущения!$C$30:$C$32)=3,MIN(Допущения!$C$30:$C$32)&gt;=0,MAX(Допущения!$C$30:$C$32)&lt;=1,ABS(SUM(Допущения!$C$30:$C$32)-1)&lt;0.00000001),IF(AND(ISNUMBER(Допущения!$B$46),Допущения!$B$46&gt;=0),Допущения!$B$46,NA())*Допущения!$C$32,NA())</f>
        <v>30000</v>
      </c>
      <c r="E26" s="38">
        <f>IF(AND(ISNUMBER(Допущения!$H$32),Допущения!$H$32&gt;0),Допущения!$H$32,NA())*Допущения!$B$23</f>
        <v>120</v>
      </c>
      <c r="F26" s="20">
        <f t="shared" si="0"/>
        <v>250</v>
      </c>
      <c r="G26" s="39">
        <f>IF(C26=1,0,IF(IF(AND(ISNUMBER(Допущения!$I$32),Допущения!$I$32&gt;=0,Допущения!$I$32&lt;=1),Допущения!$I$32,NA())*Допущения!$B$24&lt;=1,F26*IF(AND(ISNUMBER(Допущения!$I$32),Допущения!$I$32&gt;=0,Допущения!$I$32&lt;=1),Допущения!$I$32,NA())*Допущения!$B$24,NA()))</f>
        <v>0</v>
      </c>
      <c r="H26" s="39">
        <f>IF(C26=0,0,F26*IF(AND(ISNUMBER(Допущения!$J$32),Допущения!$J$32&gt;=0,Допущения!$J$32&lt;=1),Допущения!$J$32,NA()))</f>
        <v>10</v>
      </c>
      <c r="I26" s="39">
        <f>H26*IF(AND(ISNUMBER(Допущения!$K$32),Допущения!$K$32&gt;=0,Допущения!$K$32&lt;=1),Допущения!$K$32,NA())</f>
        <v>8</v>
      </c>
      <c r="J26" s="39">
        <f>IF(C26=0,0,IF(IF(AND(ISNUMBER(Допущения!$L$32),Допущения!$L$32&gt;=0,Допущения!$L$32&lt;=1),Допущения!$L$32,NA())*Допущения!$B$24&lt;=1,I26*IF(AND(ISNUMBER(Допущения!$L$32),Допущения!$L$32&gt;=0,Допущения!$L$32&lt;=1),Допущения!$L$32,NA())*Допущения!$B$24,NA()))</f>
        <v>2.4</v>
      </c>
      <c r="K26" s="39">
        <f>IF(7&lt;=IF(AND(ISNUMBER(Допущения!$B$17),Допущения!$B$17&gt;=0,Допущения!$B$17=INT(Допущения!$B$17),Допущения!$B$17&lt;=12),Допущения!$B$17,NA()),0,INDEX($J$6:$J$41,(7-IF(AND(ISNUMBER(Допущения!$B$17),Допущения!$B$17&gt;=0,Допущения!$B$17=INT(Допущения!$B$17),Допущения!$B$17&lt;=12),Допущения!$B$17,NA())-1)*3+3))</f>
        <v>2.4</v>
      </c>
      <c r="L26" s="22">
        <f t="shared" si="1"/>
        <v>2.4</v>
      </c>
      <c r="M26" s="39">
        <f>I26*IF(AND(ISNUMBER(Допущения!$M$32),Допущения!$M$32&gt;=0),Допущения!$M$32,NA())</f>
        <v>12</v>
      </c>
      <c r="N26" s="38">
        <f>M26*IF(AND(ISNUMBER(Допущения!$B$7),Допущения!$B$7&gt;=0),Допущения!$B$7,NA())</f>
        <v>12000</v>
      </c>
    </row>
    <row r="27" spans="1:14" ht="24" customHeight="1">
      <c r="A27" s="3" t="s">
        <v>52</v>
      </c>
      <c r="B27" s="41" t="str">
        <f>Допущения!$A$30</f>
        <v>Старт</v>
      </c>
      <c r="C27" s="48">
        <f>Допущения!$N$30</f>
        <v>0</v>
      </c>
      <c r="D27" s="42">
        <f>IF(AND(COUNT(Допущения!$C$30:$C$32)=3,MIN(Допущения!$C$30:$C$32)&gt;=0,MAX(Допущения!$C$30:$C$32)&lt;=1,ABS(SUM(Допущения!$C$30:$C$32)-1)&lt;0.00000001),IF(AND(ISNUMBER(Допущения!$B$47),Допущения!$B$47&gt;=0),Допущения!$B$47,NA())*Допущения!$C$30,NA())</f>
        <v>100000</v>
      </c>
      <c r="E27" s="42">
        <f>IF(AND(ISNUMBER(Допущения!$H$30),Допущения!$H$30&gt;0),Допущения!$H$30,NA())*Допущения!$B$23</f>
        <v>45</v>
      </c>
      <c r="F27" s="21">
        <f t="shared" si="0"/>
        <v>2222.2222222222222</v>
      </c>
      <c r="G27" s="43">
        <f>IF(C27=1,0,IF(IF(AND(ISNUMBER(Допущения!$I$30),Допущения!$I$30&gt;=0,Допущения!$I$30&lt;=1),Допущения!$I$30,NA())*Допущения!$B$24&lt;=1,F27*IF(AND(ISNUMBER(Допущения!$I$30),Допущения!$I$30&gt;=0,Допущения!$I$30&lt;=1),Допущения!$I$30,NA())*Допущения!$B$24,NA()))</f>
        <v>39.999999999999993</v>
      </c>
      <c r="H27" s="43">
        <f>IF(C27=0,0,F27*IF(AND(ISNUMBER(Допущения!$J$30),Допущения!$J$30&gt;=0,Допущения!$J$30&lt;=1),Допущения!$J$30,NA()))</f>
        <v>0</v>
      </c>
      <c r="I27" s="43">
        <f>H27*IF(AND(ISNUMBER(Допущения!$K$30),Допущения!$K$30&gt;=0,Допущения!$K$30&lt;=1),Допущения!$K$30,NA())</f>
        <v>0</v>
      </c>
      <c r="J27" s="43">
        <f>IF(C27=0,0,IF(IF(AND(ISNUMBER(Допущения!$L$30),Допущения!$L$30&gt;=0,Допущения!$L$30&lt;=1),Допущения!$L$30,NA())*Допущения!$B$24&lt;=1,I27*IF(AND(ISNUMBER(Допущения!$L$30),Допущения!$L$30&gt;=0,Допущения!$L$30&lt;=1),Допущения!$L$30,NA())*Допущения!$B$24,NA()))</f>
        <v>0</v>
      </c>
      <c r="K27" s="43">
        <f>IF(8&lt;=IF(AND(ISNUMBER(Допущения!$B$17),Допущения!$B$17&gt;=0,Допущения!$B$17=INT(Допущения!$B$17),Допущения!$B$17&lt;=12),Допущения!$B$17,NA()),0,INDEX($J$6:$J$41,(8-IF(AND(ISNUMBER(Допущения!$B$17),Допущения!$B$17&gt;=0,Допущения!$B$17=INT(Допущения!$B$17),Допущения!$B$17&lt;=12),Допущения!$B$17,NA())-1)*3+1))</f>
        <v>0</v>
      </c>
      <c r="L27" s="23">
        <f t="shared" si="1"/>
        <v>39.999999999999993</v>
      </c>
      <c r="M27" s="43">
        <f>I27*IF(AND(ISNUMBER(Допущения!$M$30),Допущения!$M$30&gt;=0),Допущения!$M$30,NA())</f>
        <v>0</v>
      </c>
      <c r="N27" s="42">
        <f>M27*IF(AND(ISNUMBER(Допущения!$B$7),Допущения!$B$7&gt;=0),Допущения!$B$7,NA())</f>
        <v>0</v>
      </c>
    </row>
    <row r="28" spans="1:14" ht="24" customHeight="1">
      <c r="A28" s="1" t="s">
        <v>52</v>
      </c>
      <c r="B28" s="37" t="str">
        <f>Допущения!$A$31</f>
        <v>Команда</v>
      </c>
      <c r="C28" s="47">
        <f>Допущения!$N$31</f>
        <v>0</v>
      </c>
      <c r="D28" s="38">
        <f>IF(AND(COUNT(Допущения!$C$30:$C$32)=3,MIN(Допущения!$C$30:$C$32)&gt;=0,MAX(Допущения!$C$30:$C$32)&lt;=1,ABS(SUM(Допущения!$C$30:$C$32)-1)&lt;0.00000001),IF(AND(ISNUMBER(Допущения!$B$47),Допущения!$B$47&gt;=0),Допущения!$B$47,NA())*Допущения!$C$31,NA())</f>
        <v>70000</v>
      </c>
      <c r="E28" s="38">
        <f>IF(AND(ISNUMBER(Допущения!$H$31),Допущения!$H$31&gt;0),Допущения!$H$31,NA())*Допущения!$B$23</f>
        <v>70</v>
      </c>
      <c r="F28" s="20">
        <f t="shared" si="0"/>
        <v>1000</v>
      </c>
      <c r="G28" s="39">
        <f>IF(C28=1,0,IF(IF(AND(ISNUMBER(Допущения!$I$31),Допущения!$I$31&gt;=0,Допущения!$I$31&lt;=1),Допущения!$I$31,NA())*Допущения!$B$24&lt;=1,F28*IF(AND(ISNUMBER(Допущения!$I$31),Допущения!$I$31&gt;=0,Допущения!$I$31&lt;=1),Допущения!$I$31,NA())*Допущения!$B$24,NA()))</f>
        <v>9</v>
      </c>
      <c r="H28" s="39">
        <f>IF(C28=0,0,F28*IF(AND(ISNUMBER(Допущения!$J$31),Допущения!$J$31&gt;=0,Допущения!$J$31&lt;=1),Допущения!$J$31,NA()))</f>
        <v>0</v>
      </c>
      <c r="I28" s="39">
        <f>H28*IF(AND(ISNUMBER(Допущения!$K$31),Допущения!$K$31&gt;=0,Допущения!$K$31&lt;=1),Допущения!$K$31,NA())</f>
        <v>0</v>
      </c>
      <c r="J28" s="39">
        <f>IF(C28=0,0,IF(IF(AND(ISNUMBER(Допущения!$L$31),Допущения!$L$31&gt;=0,Допущения!$L$31&lt;=1),Допущения!$L$31,NA())*Допущения!$B$24&lt;=1,I28*IF(AND(ISNUMBER(Допущения!$L$31),Допущения!$L$31&gt;=0,Допущения!$L$31&lt;=1),Допущения!$L$31,NA())*Допущения!$B$24,NA()))</f>
        <v>0</v>
      </c>
      <c r="K28" s="39">
        <f>IF(8&lt;=IF(AND(ISNUMBER(Допущения!$B$17),Допущения!$B$17&gt;=0,Допущения!$B$17=INT(Допущения!$B$17),Допущения!$B$17&lt;=12),Допущения!$B$17,NA()),0,INDEX($J$6:$J$41,(8-IF(AND(ISNUMBER(Допущения!$B$17),Допущения!$B$17&gt;=0,Допущения!$B$17=INT(Допущения!$B$17),Допущения!$B$17&lt;=12),Допущения!$B$17,NA())-1)*3+2))</f>
        <v>0</v>
      </c>
      <c r="L28" s="22">
        <f t="shared" si="1"/>
        <v>9</v>
      </c>
      <c r="M28" s="39">
        <f>I28*IF(AND(ISNUMBER(Допущения!$M$31),Допущения!$M$31&gt;=0),Допущения!$M$31,NA())</f>
        <v>0</v>
      </c>
      <c r="N28" s="38">
        <f>M28*IF(AND(ISNUMBER(Допущения!$B$7),Допущения!$B$7&gt;=0),Допущения!$B$7,NA())</f>
        <v>0</v>
      </c>
    </row>
    <row r="29" spans="1:14" ht="24" customHeight="1">
      <c r="A29" s="3" t="s">
        <v>52</v>
      </c>
      <c r="B29" s="41" t="str">
        <f>Допущения!$A$32</f>
        <v>Бизнес</v>
      </c>
      <c r="C29" s="48">
        <f>Допущения!$N$32</f>
        <v>1</v>
      </c>
      <c r="D29" s="42">
        <f>IF(AND(COUNT(Допущения!$C$30:$C$32)=3,MIN(Допущения!$C$30:$C$32)&gt;=0,MAX(Допущения!$C$30:$C$32)&lt;=1,ABS(SUM(Допущения!$C$30:$C$32)-1)&lt;0.00000001),IF(AND(ISNUMBER(Допущения!$B$47),Допущения!$B$47&gt;=0),Допущения!$B$47,NA())*Допущения!$C$32,NA())</f>
        <v>30000</v>
      </c>
      <c r="E29" s="42">
        <f>IF(AND(ISNUMBER(Допущения!$H$32),Допущения!$H$32&gt;0),Допущения!$H$32,NA())*Допущения!$B$23</f>
        <v>120</v>
      </c>
      <c r="F29" s="21">
        <f t="shared" si="0"/>
        <v>250</v>
      </c>
      <c r="G29" s="43">
        <f>IF(C29=1,0,IF(IF(AND(ISNUMBER(Допущения!$I$32),Допущения!$I$32&gt;=0,Допущения!$I$32&lt;=1),Допущения!$I$32,NA())*Допущения!$B$24&lt;=1,F29*IF(AND(ISNUMBER(Допущения!$I$32),Допущения!$I$32&gt;=0,Допущения!$I$32&lt;=1),Допущения!$I$32,NA())*Допущения!$B$24,NA()))</f>
        <v>0</v>
      </c>
      <c r="H29" s="43">
        <f>IF(C29=0,0,F29*IF(AND(ISNUMBER(Допущения!$J$32),Допущения!$J$32&gt;=0,Допущения!$J$32&lt;=1),Допущения!$J$32,NA()))</f>
        <v>10</v>
      </c>
      <c r="I29" s="43">
        <f>H29*IF(AND(ISNUMBER(Допущения!$K$32),Допущения!$K$32&gt;=0,Допущения!$K$32&lt;=1),Допущения!$K$32,NA())</f>
        <v>8</v>
      </c>
      <c r="J29" s="43">
        <f>IF(C29=0,0,IF(IF(AND(ISNUMBER(Допущения!$L$32),Допущения!$L$32&gt;=0,Допущения!$L$32&lt;=1),Допущения!$L$32,NA())*Допущения!$B$24&lt;=1,I29*IF(AND(ISNUMBER(Допущения!$L$32),Допущения!$L$32&gt;=0,Допущения!$L$32&lt;=1),Допущения!$L$32,NA())*Допущения!$B$24,NA()))</f>
        <v>2.4</v>
      </c>
      <c r="K29" s="43">
        <f>IF(8&lt;=IF(AND(ISNUMBER(Допущения!$B$17),Допущения!$B$17&gt;=0,Допущения!$B$17=INT(Допущения!$B$17),Допущения!$B$17&lt;=12),Допущения!$B$17,NA()),0,INDEX($J$6:$J$41,(8-IF(AND(ISNUMBER(Допущения!$B$17),Допущения!$B$17&gt;=0,Допущения!$B$17=INT(Допущения!$B$17),Допущения!$B$17&lt;=12),Допущения!$B$17,NA())-1)*3+3))</f>
        <v>2.4</v>
      </c>
      <c r="L29" s="23">
        <f t="shared" si="1"/>
        <v>2.4</v>
      </c>
      <c r="M29" s="43">
        <f>I29*IF(AND(ISNUMBER(Допущения!$M$32),Допущения!$M$32&gt;=0),Допущения!$M$32,NA())</f>
        <v>12</v>
      </c>
      <c r="N29" s="42">
        <f>M29*IF(AND(ISNUMBER(Допущения!$B$7),Допущения!$B$7&gt;=0),Допущения!$B$7,NA())</f>
        <v>12000</v>
      </c>
    </row>
    <row r="30" spans="1:14" ht="24" customHeight="1">
      <c r="A30" s="1" t="s">
        <v>53</v>
      </c>
      <c r="B30" s="37" t="str">
        <f>Допущения!$A$30</f>
        <v>Старт</v>
      </c>
      <c r="C30" s="47">
        <f>Допущения!$N$30</f>
        <v>0</v>
      </c>
      <c r="D30" s="38">
        <f>IF(AND(COUNT(Допущения!$C$30:$C$32)=3,MIN(Допущения!$C$30:$C$32)&gt;=0,MAX(Допущения!$C$30:$C$32)&lt;=1,ABS(SUM(Допущения!$C$30:$C$32)-1)&lt;0.00000001),IF(AND(ISNUMBER(Допущения!$B$48),Допущения!$B$48&gt;=0),Допущения!$B$48,NA())*Допущения!$C$30,NA())</f>
        <v>100000</v>
      </c>
      <c r="E30" s="38">
        <f>IF(AND(ISNUMBER(Допущения!$H$30),Допущения!$H$30&gt;0),Допущения!$H$30,NA())*Допущения!$B$23</f>
        <v>45</v>
      </c>
      <c r="F30" s="20">
        <f t="shared" si="0"/>
        <v>2222.2222222222222</v>
      </c>
      <c r="G30" s="39">
        <f>IF(C30=1,0,IF(IF(AND(ISNUMBER(Допущения!$I$30),Допущения!$I$30&gt;=0,Допущения!$I$30&lt;=1),Допущения!$I$30,NA())*Допущения!$B$24&lt;=1,F30*IF(AND(ISNUMBER(Допущения!$I$30),Допущения!$I$30&gt;=0,Допущения!$I$30&lt;=1),Допущения!$I$30,NA())*Допущения!$B$24,NA()))</f>
        <v>39.999999999999993</v>
      </c>
      <c r="H30" s="39">
        <f>IF(C30=0,0,F30*IF(AND(ISNUMBER(Допущения!$J$30),Допущения!$J$30&gt;=0,Допущения!$J$30&lt;=1),Допущения!$J$30,NA()))</f>
        <v>0</v>
      </c>
      <c r="I30" s="39">
        <f>H30*IF(AND(ISNUMBER(Допущения!$K$30),Допущения!$K$30&gt;=0,Допущения!$K$30&lt;=1),Допущения!$K$30,NA())</f>
        <v>0</v>
      </c>
      <c r="J30" s="39">
        <f>IF(C30=0,0,IF(IF(AND(ISNUMBER(Допущения!$L$30),Допущения!$L$30&gt;=0,Допущения!$L$30&lt;=1),Допущения!$L$30,NA())*Допущения!$B$24&lt;=1,I30*IF(AND(ISNUMBER(Допущения!$L$30),Допущения!$L$30&gt;=0,Допущения!$L$30&lt;=1),Допущения!$L$30,NA())*Допущения!$B$24,NA()))</f>
        <v>0</v>
      </c>
      <c r="K30" s="39">
        <f>IF(9&lt;=IF(AND(ISNUMBER(Допущения!$B$17),Допущения!$B$17&gt;=0,Допущения!$B$17=INT(Допущения!$B$17),Допущения!$B$17&lt;=12),Допущения!$B$17,NA()),0,INDEX($J$6:$J$41,(9-IF(AND(ISNUMBER(Допущения!$B$17),Допущения!$B$17&gt;=0,Допущения!$B$17=INT(Допущения!$B$17),Допущения!$B$17&lt;=12),Допущения!$B$17,NA())-1)*3+1))</f>
        <v>0</v>
      </c>
      <c r="L30" s="22">
        <f t="shared" si="1"/>
        <v>39.999999999999993</v>
      </c>
      <c r="M30" s="39">
        <f>I30*IF(AND(ISNUMBER(Допущения!$M$30),Допущения!$M$30&gt;=0),Допущения!$M$30,NA())</f>
        <v>0</v>
      </c>
      <c r="N30" s="38">
        <f>M30*IF(AND(ISNUMBER(Допущения!$B$7),Допущения!$B$7&gt;=0),Допущения!$B$7,NA())</f>
        <v>0</v>
      </c>
    </row>
    <row r="31" spans="1:14" ht="24" customHeight="1">
      <c r="A31" s="3" t="s">
        <v>53</v>
      </c>
      <c r="B31" s="41" t="str">
        <f>Допущения!$A$31</f>
        <v>Команда</v>
      </c>
      <c r="C31" s="48">
        <f>Допущения!$N$31</f>
        <v>0</v>
      </c>
      <c r="D31" s="42">
        <f>IF(AND(COUNT(Допущения!$C$30:$C$32)=3,MIN(Допущения!$C$30:$C$32)&gt;=0,MAX(Допущения!$C$30:$C$32)&lt;=1,ABS(SUM(Допущения!$C$30:$C$32)-1)&lt;0.00000001),IF(AND(ISNUMBER(Допущения!$B$48),Допущения!$B$48&gt;=0),Допущения!$B$48,NA())*Допущения!$C$31,NA())</f>
        <v>70000</v>
      </c>
      <c r="E31" s="42">
        <f>IF(AND(ISNUMBER(Допущения!$H$31),Допущения!$H$31&gt;0),Допущения!$H$31,NA())*Допущения!$B$23</f>
        <v>70</v>
      </c>
      <c r="F31" s="21">
        <f t="shared" si="0"/>
        <v>1000</v>
      </c>
      <c r="G31" s="43">
        <f>IF(C31=1,0,IF(IF(AND(ISNUMBER(Допущения!$I$31),Допущения!$I$31&gt;=0,Допущения!$I$31&lt;=1),Допущения!$I$31,NA())*Допущения!$B$24&lt;=1,F31*IF(AND(ISNUMBER(Допущения!$I$31),Допущения!$I$31&gt;=0,Допущения!$I$31&lt;=1),Допущения!$I$31,NA())*Допущения!$B$24,NA()))</f>
        <v>9</v>
      </c>
      <c r="H31" s="43">
        <f>IF(C31=0,0,F31*IF(AND(ISNUMBER(Допущения!$J$31),Допущения!$J$31&gt;=0,Допущения!$J$31&lt;=1),Допущения!$J$31,NA()))</f>
        <v>0</v>
      </c>
      <c r="I31" s="43">
        <f>H31*IF(AND(ISNUMBER(Допущения!$K$31),Допущения!$K$31&gt;=0,Допущения!$K$31&lt;=1),Допущения!$K$31,NA())</f>
        <v>0</v>
      </c>
      <c r="J31" s="43">
        <f>IF(C31=0,0,IF(IF(AND(ISNUMBER(Допущения!$L$31),Допущения!$L$31&gt;=0,Допущения!$L$31&lt;=1),Допущения!$L$31,NA())*Допущения!$B$24&lt;=1,I31*IF(AND(ISNUMBER(Допущения!$L$31),Допущения!$L$31&gt;=0,Допущения!$L$31&lt;=1),Допущения!$L$31,NA())*Допущения!$B$24,NA()))</f>
        <v>0</v>
      </c>
      <c r="K31" s="43">
        <f>IF(9&lt;=IF(AND(ISNUMBER(Допущения!$B$17),Допущения!$B$17&gt;=0,Допущения!$B$17=INT(Допущения!$B$17),Допущения!$B$17&lt;=12),Допущения!$B$17,NA()),0,INDEX($J$6:$J$41,(9-IF(AND(ISNUMBER(Допущения!$B$17),Допущения!$B$17&gt;=0,Допущения!$B$17=INT(Допущения!$B$17),Допущения!$B$17&lt;=12),Допущения!$B$17,NA())-1)*3+2))</f>
        <v>0</v>
      </c>
      <c r="L31" s="23">
        <f t="shared" si="1"/>
        <v>9</v>
      </c>
      <c r="M31" s="43">
        <f>I31*IF(AND(ISNUMBER(Допущения!$M$31),Допущения!$M$31&gt;=0),Допущения!$M$31,NA())</f>
        <v>0</v>
      </c>
      <c r="N31" s="42">
        <f>M31*IF(AND(ISNUMBER(Допущения!$B$7),Допущения!$B$7&gt;=0),Допущения!$B$7,NA())</f>
        <v>0</v>
      </c>
    </row>
    <row r="32" spans="1:14" ht="24" customHeight="1">
      <c r="A32" s="1" t="s">
        <v>53</v>
      </c>
      <c r="B32" s="37" t="str">
        <f>Допущения!$A$32</f>
        <v>Бизнес</v>
      </c>
      <c r="C32" s="47">
        <f>Допущения!$N$32</f>
        <v>1</v>
      </c>
      <c r="D32" s="38">
        <f>IF(AND(COUNT(Допущения!$C$30:$C$32)=3,MIN(Допущения!$C$30:$C$32)&gt;=0,MAX(Допущения!$C$30:$C$32)&lt;=1,ABS(SUM(Допущения!$C$30:$C$32)-1)&lt;0.00000001),IF(AND(ISNUMBER(Допущения!$B$48),Допущения!$B$48&gt;=0),Допущения!$B$48,NA())*Допущения!$C$32,NA())</f>
        <v>30000</v>
      </c>
      <c r="E32" s="38">
        <f>IF(AND(ISNUMBER(Допущения!$H$32),Допущения!$H$32&gt;0),Допущения!$H$32,NA())*Допущения!$B$23</f>
        <v>120</v>
      </c>
      <c r="F32" s="20">
        <f t="shared" si="0"/>
        <v>250</v>
      </c>
      <c r="G32" s="39">
        <f>IF(C32=1,0,IF(IF(AND(ISNUMBER(Допущения!$I$32),Допущения!$I$32&gt;=0,Допущения!$I$32&lt;=1),Допущения!$I$32,NA())*Допущения!$B$24&lt;=1,F32*IF(AND(ISNUMBER(Допущения!$I$32),Допущения!$I$32&gt;=0,Допущения!$I$32&lt;=1),Допущения!$I$32,NA())*Допущения!$B$24,NA()))</f>
        <v>0</v>
      </c>
      <c r="H32" s="39">
        <f>IF(C32=0,0,F32*IF(AND(ISNUMBER(Допущения!$J$32),Допущения!$J$32&gt;=0,Допущения!$J$32&lt;=1),Допущения!$J$32,NA()))</f>
        <v>10</v>
      </c>
      <c r="I32" s="39">
        <f>H32*IF(AND(ISNUMBER(Допущения!$K$32),Допущения!$K$32&gt;=0,Допущения!$K$32&lt;=1),Допущения!$K$32,NA())</f>
        <v>8</v>
      </c>
      <c r="J32" s="39">
        <f>IF(C32=0,0,IF(IF(AND(ISNUMBER(Допущения!$L$32),Допущения!$L$32&gt;=0,Допущения!$L$32&lt;=1),Допущения!$L$32,NA())*Допущения!$B$24&lt;=1,I32*IF(AND(ISNUMBER(Допущения!$L$32),Допущения!$L$32&gt;=0,Допущения!$L$32&lt;=1),Допущения!$L$32,NA())*Допущения!$B$24,NA()))</f>
        <v>2.4</v>
      </c>
      <c r="K32" s="39">
        <f>IF(9&lt;=IF(AND(ISNUMBER(Допущения!$B$17),Допущения!$B$17&gt;=0,Допущения!$B$17=INT(Допущения!$B$17),Допущения!$B$17&lt;=12),Допущения!$B$17,NA()),0,INDEX($J$6:$J$41,(9-IF(AND(ISNUMBER(Допущения!$B$17),Допущения!$B$17&gt;=0,Допущения!$B$17=INT(Допущения!$B$17),Допущения!$B$17&lt;=12),Допущения!$B$17,NA())-1)*3+3))</f>
        <v>2.4</v>
      </c>
      <c r="L32" s="22">
        <f t="shared" si="1"/>
        <v>2.4</v>
      </c>
      <c r="M32" s="39">
        <f>I32*IF(AND(ISNUMBER(Допущения!$M$32),Допущения!$M$32&gt;=0),Допущения!$M$32,NA())</f>
        <v>12</v>
      </c>
      <c r="N32" s="38">
        <f>M32*IF(AND(ISNUMBER(Допущения!$B$7),Допущения!$B$7&gt;=0),Допущения!$B$7,NA())</f>
        <v>12000</v>
      </c>
    </row>
    <row r="33" spans="1:14" ht="24" customHeight="1">
      <c r="A33" s="3" t="s">
        <v>54</v>
      </c>
      <c r="B33" s="41" t="str">
        <f>Допущения!$A$30</f>
        <v>Старт</v>
      </c>
      <c r="C33" s="48">
        <f>Допущения!$N$30</f>
        <v>0</v>
      </c>
      <c r="D33" s="42">
        <f>IF(AND(COUNT(Допущения!$C$30:$C$32)=3,MIN(Допущения!$C$30:$C$32)&gt;=0,MAX(Допущения!$C$30:$C$32)&lt;=1,ABS(SUM(Допущения!$C$30:$C$32)-1)&lt;0.00000001),IF(AND(ISNUMBER(Допущения!$B$49),Допущения!$B$49&gt;=0),Допущения!$B$49,NA())*Допущения!$C$30,NA())</f>
        <v>100000</v>
      </c>
      <c r="E33" s="42">
        <f>IF(AND(ISNUMBER(Допущения!$H$30),Допущения!$H$30&gt;0),Допущения!$H$30,NA())*Допущения!$B$23</f>
        <v>45</v>
      </c>
      <c r="F33" s="21">
        <f t="shared" si="0"/>
        <v>2222.2222222222222</v>
      </c>
      <c r="G33" s="43">
        <f>IF(C33=1,0,IF(IF(AND(ISNUMBER(Допущения!$I$30),Допущения!$I$30&gt;=0,Допущения!$I$30&lt;=1),Допущения!$I$30,NA())*Допущения!$B$24&lt;=1,F33*IF(AND(ISNUMBER(Допущения!$I$30),Допущения!$I$30&gt;=0,Допущения!$I$30&lt;=1),Допущения!$I$30,NA())*Допущения!$B$24,NA()))</f>
        <v>39.999999999999993</v>
      </c>
      <c r="H33" s="43">
        <f>IF(C33=0,0,F33*IF(AND(ISNUMBER(Допущения!$J$30),Допущения!$J$30&gt;=0,Допущения!$J$30&lt;=1),Допущения!$J$30,NA()))</f>
        <v>0</v>
      </c>
      <c r="I33" s="43">
        <f>H33*IF(AND(ISNUMBER(Допущения!$K$30),Допущения!$K$30&gt;=0,Допущения!$K$30&lt;=1),Допущения!$K$30,NA())</f>
        <v>0</v>
      </c>
      <c r="J33" s="43">
        <f>IF(C33=0,0,IF(IF(AND(ISNUMBER(Допущения!$L$30),Допущения!$L$30&gt;=0,Допущения!$L$30&lt;=1),Допущения!$L$30,NA())*Допущения!$B$24&lt;=1,I33*IF(AND(ISNUMBER(Допущения!$L$30),Допущения!$L$30&gt;=0,Допущения!$L$30&lt;=1),Допущения!$L$30,NA())*Допущения!$B$24,NA()))</f>
        <v>0</v>
      </c>
      <c r="K33" s="43">
        <f>IF(10&lt;=IF(AND(ISNUMBER(Допущения!$B$17),Допущения!$B$17&gt;=0,Допущения!$B$17=INT(Допущения!$B$17),Допущения!$B$17&lt;=12),Допущения!$B$17,NA()),0,INDEX($J$6:$J$41,(10-IF(AND(ISNUMBER(Допущения!$B$17),Допущения!$B$17&gt;=0,Допущения!$B$17=INT(Допущения!$B$17),Допущения!$B$17&lt;=12),Допущения!$B$17,NA())-1)*3+1))</f>
        <v>0</v>
      </c>
      <c r="L33" s="23">
        <f t="shared" si="1"/>
        <v>39.999999999999993</v>
      </c>
      <c r="M33" s="43">
        <f>I33*IF(AND(ISNUMBER(Допущения!$M$30),Допущения!$M$30&gt;=0),Допущения!$M$30,NA())</f>
        <v>0</v>
      </c>
      <c r="N33" s="42">
        <f>M33*IF(AND(ISNUMBER(Допущения!$B$7),Допущения!$B$7&gt;=0),Допущения!$B$7,NA())</f>
        <v>0</v>
      </c>
    </row>
    <row r="34" spans="1:14" ht="24" customHeight="1">
      <c r="A34" s="1" t="s">
        <v>54</v>
      </c>
      <c r="B34" s="37" t="str">
        <f>Допущения!$A$31</f>
        <v>Команда</v>
      </c>
      <c r="C34" s="47">
        <f>Допущения!$N$31</f>
        <v>0</v>
      </c>
      <c r="D34" s="38">
        <f>IF(AND(COUNT(Допущения!$C$30:$C$32)=3,MIN(Допущения!$C$30:$C$32)&gt;=0,MAX(Допущения!$C$30:$C$32)&lt;=1,ABS(SUM(Допущения!$C$30:$C$32)-1)&lt;0.00000001),IF(AND(ISNUMBER(Допущения!$B$49),Допущения!$B$49&gt;=0),Допущения!$B$49,NA())*Допущения!$C$31,NA())</f>
        <v>70000</v>
      </c>
      <c r="E34" s="38">
        <f>IF(AND(ISNUMBER(Допущения!$H$31),Допущения!$H$31&gt;0),Допущения!$H$31,NA())*Допущения!$B$23</f>
        <v>70</v>
      </c>
      <c r="F34" s="20">
        <f t="shared" si="0"/>
        <v>1000</v>
      </c>
      <c r="G34" s="39">
        <f>IF(C34=1,0,IF(IF(AND(ISNUMBER(Допущения!$I$31),Допущения!$I$31&gt;=0,Допущения!$I$31&lt;=1),Допущения!$I$31,NA())*Допущения!$B$24&lt;=1,F34*IF(AND(ISNUMBER(Допущения!$I$31),Допущения!$I$31&gt;=0,Допущения!$I$31&lt;=1),Допущения!$I$31,NA())*Допущения!$B$24,NA()))</f>
        <v>9</v>
      </c>
      <c r="H34" s="39">
        <f>IF(C34=0,0,F34*IF(AND(ISNUMBER(Допущения!$J$31),Допущения!$J$31&gt;=0,Допущения!$J$31&lt;=1),Допущения!$J$31,NA()))</f>
        <v>0</v>
      </c>
      <c r="I34" s="39">
        <f>H34*IF(AND(ISNUMBER(Допущения!$K$31),Допущения!$K$31&gt;=0,Допущения!$K$31&lt;=1),Допущения!$K$31,NA())</f>
        <v>0</v>
      </c>
      <c r="J34" s="39">
        <f>IF(C34=0,0,IF(IF(AND(ISNUMBER(Допущения!$L$31),Допущения!$L$31&gt;=0,Допущения!$L$31&lt;=1),Допущения!$L$31,NA())*Допущения!$B$24&lt;=1,I34*IF(AND(ISNUMBER(Допущения!$L$31),Допущения!$L$31&gt;=0,Допущения!$L$31&lt;=1),Допущения!$L$31,NA())*Допущения!$B$24,NA()))</f>
        <v>0</v>
      </c>
      <c r="K34" s="39">
        <f>IF(10&lt;=IF(AND(ISNUMBER(Допущения!$B$17),Допущения!$B$17&gt;=0,Допущения!$B$17=INT(Допущения!$B$17),Допущения!$B$17&lt;=12),Допущения!$B$17,NA()),0,INDEX($J$6:$J$41,(10-IF(AND(ISNUMBER(Допущения!$B$17),Допущения!$B$17&gt;=0,Допущения!$B$17=INT(Допущения!$B$17),Допущения!$B$17&lt;=12),Допущения!$B$17,NA())-1)*3+2))</f>
        <v>0</v>
      </c>
      <c r="L34" s="22">
        <f t="shared" si="1"/>
        <v>9</v>
      </c>
      <c r="M34" s="39">
        <f>I34*IF(AND(ISNUMBER(Допущения!$M$31),Допущения!$M$31&gt;=0),Допущения!$M$31,NA())</f>
        <v>0</v>
      </c>
      <c r="N34" s="38">
        <f>M34*IF(AND(ISNUMBER(Допущения!$B$7),Допущения!$B$7&gt;=0),Допущения!$B$7,NA())</f>
        <v>0</v>
      </c>
    </row>
    <row r="35" spans="1:14" ht="24" customHeight="1">
      <c r="A35" s="3" t="s">
        <v>54</v>
      </c>
      <c r="B35" s="41" t="str">
        <f>Допущения!$A$32</f>
        <v>Бизнес</v>
      </c>
      <c r="C35" s="48">
        <f>Допущения!$N$32</f>
        <v>1</v>
      </c>
      <c r="D35" s="42">
        <f>IF(AND(COUNT(Допущения!$C$30:$C$32)=3,MIN(Допущения!$C$30:$C$32)&gt;=0,MAX(Допущения!$C$30:$C$32)&lt;=1,ABS(SUM(Допущения!$C$30:$C$32)-1)&lt;0.00000001),IF(AND(ISNUMBER(Допущения!$B$49),Допущения!$B$49&gt;=0),Допущения!$B$49,NA())*Допущения!$C$32,NA())</f>
        <v>30000</v>
      </c>
      <c r="E35" s="42">
        <f>IF(AND(ISNUMBER(Допущения!$H$32),Допущения!$H$32&gt;0),Допущения!$H$32,NA())*Допущения!$B$23</f>
        <v>120</v>
      </c>
      <c r="F35" s="21">
        <f t="shared" si="0"/>
        <v>250</v>
      </c>
      <c r="G35" s="43">
        <f>IF(C35=1,0,IF(IF(AND(ISNUMBER(Допущения!$I$32),Допущения!$I$32&gt;=0,Допущения!$I$32&lt;=1),Допущения!$I$32,NA())*Допущения!$B$24&lt;=1,F35*IF(AND(ISNUMBER(Допущения!$I$32),Допущения!$I$32&gt;=0,Допущения!$I$32&lt;=1),Допущения!$I$32,NA())*Допущения!$B$24,NA()))</f>
        <v>0</v>
      </c>
      <c r="H35" s="43">
        <f>IF(C35=0,0,F35*IF(AND(ISNUMBER(Допущения!$J$32),Допущения!$J$32&gt;=0,Допущения!$J$32&lt;=1),Допущения!$J$32,NA()))</f>
        <v>10</v>
      </c>
      <c r="I35" s="43">
        <f>H35*IF(AND(ISNUMBER(Допущения!$K$32),Допущения!$K$32&gt;=0,Допущения!$K$32&lt;=1),Допущения!$K$32,NA())</f>
        <v>8</v>
      </c>
      <c r="J35" s="43">
        <f>IF(C35=0,0,IF(IF(AND(ISNUMBER(Допущения!$L$32),Допущения!$L$32&gt;=0,Допущения!$L$32&lt;=1),Допущения!$L$32,NA())*Допущения!$B$24&lt;=1,I35*IF(AND(ISNUMBER(Допущения!$L$32),Допущения!$L$32&gt;=0,Допущения!$L$32&lt;=1),Допущения!$L$32,NA())*Допущения!$B$24,NA()))</f>
        <v>2.4</v>
      </c>
      <c r="K35" s="43">
        <f>IF(10&lt;=IF(AND(ISNUMBER(Допущения!$B$17),Допущения!$B$17&gt;=0,Допущения!$B$17=INT(Допущения!$B$17),Допущения!$B$17&lt;=12),Допущения!$B$17,NA()),0,INDEX($J$6:$J$41,(10-IF(AND(ISNUMBER(Допущения!$B$17),Допущения!$B$17&gt;=0,Допущения!$B$17=INT(Допущения!$B$17),Допущения!$B$17&lt;=12),Допущения!$B$17,NA())-1)*3+3))</f>
        <v>2.4</v>
      </c>
      <c r="L35" s="23">
        <f t="shared" si="1"/>
        <v>2.4</v>
      </c>
      <c r="M35" s="43">
        <f>I35*IF(AND(ISNUMBER(Допущения!$M$32),Допущения!$M$32&gt;=0),Допущения!$M$32,NA())</f>
        <v>12</v>
      </c>
      <c r="N35" s="42">
        <f>M35*IF(AND(ISNUMBER(Допущения!$B$7),Допущения!$B$7&gt;=0),Допущения!$B$7,NA())</f>
        <v>12000</v>
      </c>
    </row>
    <row r="36" spans="1:14" ht="24" customHeight="1">
      <c r="A36" s="1" t="s">
        <v>55</v>
      </c>
      <c r="B36" s="37" t="str">
        <f>Допущения!$A$30</f>
        <v>Старт</v>
      </c>
      <c r="C36" s="47">
        <f>Допущения!$N$30</f>
        <v>0</v>
      </c>
      <c r="D36" s="38">
        <f>IF(AND(COUNT(Допущения!$C$30:$C$32)=3,MIN(Допущения!$C$30:$C$32)&gt;=0,MAX(Допущения!$C$30:$C$32)&lt;=1,ABS(SUM(Допущения!$C$30:$C$32)-1)&lt;0.00000001),IF(AND(ISNUMBER(Допущения!$B$50),Допущения!$B$50&gt;=0),Допущения!$B$50,NA())*Допущения!$C$30,NA())</f>
        <v>100000</v>
      </c>
      <c r="E36" s="38">
        <f>IF(AND(ISNUMBER(Допущения!$H$30),Допущения!$H$30&gt;0),Допущения!$H$30,NA())*Допущения!$B$23</f>
        <v>45</v>
      </c>
      <c r="F36" s="20">
        <f t="shared" si="0"/>
        <v>2222.2222222222222</v>
      </c>
      <c r="G36" s="39">
        <f>IF(C36=1,0,IF(IF(AND(ISNUMBER(Допущения!$I$30),Допущения!$I$30&gt;=0,Допущения!$I$30&lt;=1),Допущения!$I$30,NA())*Допущения!$B$24&lt;=1,F36*IF(AND(ISNUMBER(Допущения!$I$30),Допущения!$I$30&gt;=0,Допущения!$I$30&lt;=1),Допущения!$I$30,NA())*Допущения!$B$24,NA()))</f>
        <v>39.999999999999993</v>
      </c>
      <c r="H36" s="39">
        <f>IF(C36=0,0,F36*IF(AND(ISNUMBER(Допущения!$J$30),Допущения!$J$30&gt;=0,Допущения!$J$30&lt;=1),Допущения!$J$30,NA()))</f>
        <v>0</v>
      </c>
      <c r="I36" s="39">
        <f>H36*IF(AND(ISNUMBER(Допущения!$K$30),Допущения!$K$30&gt;=0,Допущения!$K$30&lt;=1),Допущения!$K$30,NA())</f>
        <v>0</v>
      </c>
      <c r="J36" s="39">
        <f>IF(C36=0,0,IF(IF(AND(ISNUMBER(Допущения!$L$30),Допущения!$L$30&gt;=0,Допущения!$L$30&lt;=1),Допущения!$L$30,NA())*Допущения!$B$24&lt;=1,I36*IF(AND(ISNUMBER(Допущения!$L$30),Допущения!$L$30&gt;=0,Допущения!$L$30&lt;=1),Допущения!$L$30,NA())*Допущения!$B$24,NA()))</f>
        <v>0</v>
      </c>
      <c r="K36" s="39">
        <f>IF(11&lt;=IF(AND(ISNUMBER(Допущения!$B$17),Допущения!$B$17&gt;=0,Допущения!$B$17=INT(Допущения!$B$17),Допущения!$B$17&lt;=12),Допущения!$B$17,NA()),0,INDEX($J$6:$J$41,(11-IF(AND(ISNUMBER(Допущения!$B$17),Допущения!$B$17&gt;=0,Допущения!$B$17=INT(Допущения!$B$17),Допущения!$B$17&lt;=12),Допущения!$B$17,NA())-1)*3+1))</f>
        <v>0</v>
      </c>
      <c r="L36" s="22">
        <f t="shared" si="1"/>
        <v>39.999999999999993</v>
      </c>
      <c r="M36" s="39">
        <f>I36*IF(AND(ISNUMBER(Допущения!$M$30),Допущения!$M$30&gt;=0),Допущения!$M$30,NA())</f>
        <v>0</v>
      </c>
      <c r="N36" s="38">
        <f>M36*IF(AND(ISNUMBER(Допущения!$B$7),Допущения!$B$7&gt;=0),Допущения!$B$7,NA())</f>
        <v>0</v>
      </c>
    </row>
    <row r="37" spans="1:14" ht="24" customHeight="1">
      <c r="A37" s="3" t="s">
        <v>55</v>
      </c>
      <c r="B37" s="41" t="str">
        <f>Допущения!$A$31</f>
        <v>Команда</v>
      </c>
      <c r="C37" s="48">
        <f>Допущения!$N$31</f>
        <v>0</v>
      </c>
      <c r="D37" s="42">
        <f>IF(AND(COUNT(Допущения!$C$30:$C$32)=3,MIN(Допущения!$C$30:$C$32)&gt;=0,MAX(Допущения!$C$30:$C$32)&lt;=1,ABS(SUM(Допущения!$C$30:$C$32)-1)&lt;0.00000001),IF(AND(ISNUMBER(Допущения!$B$50),Допущения!$B$50&gt;=0),Допущения!$B$50,NA())*Допущения!$C$31,NA())</f>
        <v>70000</v>
      </c>
      <c r="E37" s="42">
        <f>IF(AND(ISNUMBER(Допущения!$H$31),Допущения!$H$31&gt;0),Допущения!$H$31,NA())*Допущения!$B$23</f>
        <v>70</v>
      </c>
      <c r="F37" s="21">
        <f t="shared" si="0"/>
        <v>1000</v>
      </c>
      <c r="G37" s="43">
        <f>IF(C37=1,0,IF(IF(AND(ISNUMBER(Допущения!$I$31),Допущения!$I$31&gt;=0,Допущения!$I$31&lt;=1),Допущения!$I$31,NA())*Допущения!$B$24&lt;=1,F37*IF(AND(ISNUMBER(Допущения!$I$31),Допущения!$I$31&gt;=0,Допущения!$I$31&lt;=1),Допущения!$I$31,NA())*Допущения!$B$24,NA()))</f>
        <v>9</v>
      </c>
      <c r="H37" s="43">
        <f>IF(C37=0,0,F37*IF(AND(ISNUMBER(Допущения!$J$31),Допущения!$J$31&gt;=0,Допущения!$J$31&lt;=1),Допущения!$J$31,NA()))</f>
        <v>0</v>
      </c>
      <c r="I37" s="43">
        <f>H37*IF(AND(ISNUMBER(Допущения!$K$31),Допущения!$K$31&gt;=0,Допущения!$K$31&lt;=1),Допущения!$K$31,NA())</f>
        <v>0</v>
      </c>
      <c r="J37" s="43">
        <f>IF(C37=0,0,IF(IF(AND(ISNUMBER(Допущения!$L$31),Допущения!$L$31&gt;=0,Допущения!$L$31&lt;=1),Допущения!$L$31,NA())*Допущения!$B$24&lt;=1,I37*IF(AND(ISNUMBER(Допущения!$L$31),Допущения!$L$31&gt;=0,Допущения!$L$31&lt;=1),Допущения!$L$31,NA())*Допущения!$B$24,NA()))</f>
        <v>0</v>
      </c>
      <c r="K37" s="43">
        <f>IF(11&lt;=IF(AND(ISNUMBER(Допущения!$B$17),Допущения!$B$17&gt;=0,Допущения!$B$17=INT(Допущения!$B$17),Допущения!$B$17&lt;=12),Допущения!$B$17,NA()),0,INDEX($J$6:$J$41,(11-IF(AND(ISNUMBER(Допущения!$B$17),Допущения!$B$17&gt;=0,Допущения!$B$17=INT(Допущения!$B$17),Допущения!$B$17&lt;=12),Допущения!$B$17,NA())-1)*3+2))</f>
        <v>0</v>
      </c>
      <c r="L37" s="23">
        <f t="shared" si="1"/>
        <v>9</v>
      </c>
      <c r="M37" s="43">
        <f>I37*IF(AND(ISNUMBER(Допущения!$M$31),Допущения!$M$31&gt;=0),Допущения!$M$31,NA())</f>
        <v>0</v>
      </c>
      <c r="N37" s="42">
        <f>M37*IF(AND(ISNUMBER(Допущения!$B$7),Допущения!$B$7&gt;=0),Допущения!$B$7,NA())</f>
        <v>0</v>
      </c>
    </row>
    <row r="38" spans="1:14" ht="24" customHeight="1">
      <c r="A38" s="1" t="s">
        <v>55</v>
      </c>
      <c r="B38" s="37" t="str">
        <f>Допущения!$A$32</f>
        <v>Бизнес</v>
      </c>
      <c r="C38" s="47">
        <f>Допущения!$N$32</f>
        <v>1</v>
      </c>
      <c r="D38" s="38">
        <f>IF(AND(COUNT(Допущения!$C$30:$C$32)=3,MIN(Допущения!$C$30:$C$32)&gt;=0,MAX(Допущения!$C$30:$C$32)&lt;=1,ABS(SUM(Допущения!$C$30:$C$32)-1)&lt;0.00000001),IF(AND(ISNUMBER(Допущения!$B$50),Допущения!$B$50&gt;=0),Допущения!$B$50,NA())*Допущения!$C$32,NA())</f>
        <v>30000</v>
      </c>
      <c r="E38" s="38">
        <f>IF(AND(ISNUMBER(Допущения!$H$32),Допущения!$H$32&gt;0),Допущения!$H$32,NA())*Допущения!$B$23</f>
        <v>120</v>
      </c>
      <c r="F38" s="20">
        <f t="shared" si="0"/>
        <v>250</v>
      </c>
      <c r="G38" s="39">
        <f>IF(C38=1,0,IF(IF(AND(ISNUMBER(Допущения!$I$32),Допущения!$I$32&gt;=0,Допущения!$I$32&lt;=1),Допущения!$I$32,NA())*Допущения!$B$24&lt;=1,F38*IF(AND(ISNUMBER(Допущения!$I$32),Допущения!$I$32&gt;=0,Допущения!$I$32&lt;=1),Допущения!$I$32,NA())*Допущения!$B$24,NA()))</f>
        <v>0</v>
      </c>
      <c r="H38" s="39">
        <f>IF(C38=0,0,F38*IF(AND(ISNUMBER(Допущения!$J$32),Допущения!$J$32&gt;=0,Допущения!$J$32&lt;=1),Допущения!$J$32,NA()))</f>
        <v>10</v>
      </c>
      <c r="I38" s="39">
        <f>H38*IF(AND(ISNUMBER(Допущения!$K$32),Допущения!$K$32&gt;=0,Допущения!$K$32&lt;=1),Допущения!$K$32,NA())</f>
        <v>8</v>
      </c>
      <c r="J38" s="39">
        <f>IF(C38=0,0,IF(IF(AND(ISNUMBER(Допущения!$L$32),Допущения!$L$32&gt;=0,Допущения!$L$32&lt;=1),Допущения!$L$32,NA())*Допущения!$B$24&lt;=1,I38*IF(AND(ISNUMBER(Допущения!$L$32),Допущения!$L$32&gt;=0,Допущения!$L$32&lt;=1),Допущения!$L$32,NA())*Допущения!$B$24,NA()))</f>
        <v>2.4</v>
      </c>
      <c r="K38" s="39">
        <f>IF(11&lt;=IF(AND(ISNUMBER(Допущения!$B$17),Допущения!$B$17&gt;=0,Допущения!$B$17=INT(Допущения!$B$17),Допущения!$B$17&lt;=12),Допущения!$B$17,NA()),0,INDEX($J$6:$J$41,(11-IF(AND(ISNUMBER(Допущения!$B$17),Допущения!$B$17&gt;=0,Допущения!$B$17=INT(Допущения!$B$17),Допущения!$B$17&lt;=12),Допущения!$B$17,NA())-1)*3+3))</f>
        <v>2.4</v>
      </c>
      <c r="L38" s="22">
        <f t="shared" si="1"/>
        <v>2.4</v>
      </c>
      <c r="M38" s="39">
        <f>I38*IF(AND(ISNUMBER(Допущения!$M$32),Допущения!$M$32&gt;=0),Допущения!$M$32,NA())</f>
        <v>12</v>
      </c>
      <c r="N38" s="38">
        <f>M38*IF(AND(ISNUMBER(Допущения!$B$7),Допущения!$B$7&gt;=0),Допущения!$B$7,NA())</f>
        <v>12000</v>
      </c>
    </row>
    <row r="39" spans="1:14" ht="24" customHeight="1">
      <c r="A39" s="3" t="s">
        <v>56</v>
      </c>
      <c r="B39" s="41" t="str">
        <f>Допущения!$A$30</f>
        <v>Старт</v>
      </c>
      <c r="C39" s="48">
        <f>Допущения!$N$30</f>
        <v>0</v>
      </c>
      <c r="D39" s="42">
        <f>IF(AND(COUNT(Допущения!$C$30:$C$32)=3,MIN(Допущения!$C$30:$C$32)&gt;=0,MAX(Допущения!$C$30:$C$32)&lt;=1,ABS(SUM(Допущения!$C$30:$C$32)-1)&lt;0.00000001),IF(AND(ISNUMBER(Допущения!$B$51),Допущения!$B$51&gt;=0),Допущения!$B$51,NA())*Допущения!$C$30,NA())</f>
        <v>100000</v>
      </c>
      <c r="E39" s="42">
        <f>IF(AND(ISNUMBER(Допущения!$H$30),Допущения!$H$30&gt;0),Допущения!$H$30,NA())*Допущения!$B$23</f>
        <v>45</v>
      </c>
      <c r="F39" s="21">
        <f t="shared" si="0"/>
        <v>2222.2222222222222</v>
      </c>
      <c r="G39" s="43">
        <f>IF(C39=1,0,IF(IF(AND(ISNUMBER(Допущения!$I$30),Допущения!$I$30&gt;=0,Допущения!$I$30&lt;=1),Допущения!$I$30,NA())*Допущения!$B$24&lt;=1,F39*IF(AND(ISNUMBER(Допущения!$I$30),Допущения!$I$30&gt;=0,Допущения!$I$30&lt;=1),Допущения!$I$30,NA())*Допущения!$B$24,NA()))</f>
        <v>39.999999999999993</v>
      </c>
      <c r="H39" s="43">
        <f>IF(C39=0,0,F39*IF(AND(ISNUMBER(Допущения!$J$30),Допущения!$J$30&gt;=0,Допущения!$J$30&lt;=1),Допущения!$J$30,NA()))</f>
        <v>0</v>
      </c>
      <c r="I39" s="43">
        <f>H39*IF(AND(ISNUMBER(Допущения!$K$30),Допущения!$K$30&gt;=0,Допущения!$K$30&lt;=1),Допущения!$K$30,NA())</f>
        <v>0</v>
      </c>
      <c r="J39" s="43">
        <f>IF(C39=0,0,IF(IF(AND(ISNUMBER(Допущения!$L$30),Допущения!$L$30&gt;=0,Допущения!$L$30&lt;=1),Допущения!$L$30,NA())*Допущения!$B$24&lt;=1,I39*IF(AND(ISNUMBER(Допущения!$L$30),Допущения!$L$30&gt;=0,Допущения!$L$30&lt;=1),Допущения!$L$30,NA())*Допущения!$B$24,NA()))</f>
        <v>0</v>
      </c>
      <c r="K39" s="43">
        <f>IF(12&lt;=IF(AND(ISNUMBER(Допущения!$B$17),Допущения!$B$17&gt;=0,Допущения!$B$17=INT(Допущения!$B$17),Допущения!$B$17&lt;=12),Допущения!$B$17,NA()),0,INDEX($J$6:$J$41,(12-IF(AND(ISNUMBER(Допущения!$B$17),Допущения!$B$17&gt;=0,Допущения!$B$17=INT(Допущения!$B$17),Допущения!$B$17&lt;=12),Допущения!$B$17,NA())-1)*3+1))</f>
        <v>0</v>
      </c>
      <c r="L39" s="23">
        <f t="shared" si="1"/>
        <v>39.999999999999993</v>
      </c>
      <c r="M39" s="43">
        <f>I39*IF(AND(ISNUMBER(Допущения!$M$30),Допущения!$M$30&gt;=0),Допущения!$M$30,NA())</f>
        <v>0</v>
      </c>
      <c r="N39" s="42">
        <f>M39*IF(AND(ISNUMBER(Допущения!$B$7),Допущения!$B$7&gt;=0),Допущения!$B$7,NA())</f>
        <v>0</v>
      </c>
    </row>
    <row r="40" spans="1:14" ht="24" customHeight="1">
      <c r="A40" s="1" t="s">
        <v>56</v>
      </c>
      <c r="B40" s="37" t="str">
        <f>Допущения!$A$31</f>
        <v>Команда</v>
      </c>
      <c r="C40" s="47">
        <f>Допущения!$N$31</f>
        <v>0</v>
      </c>
      <c r="D40" s="38">
        <f>IF(AND(COUNT(Допущения!$C$30:$C$32)=3,MIN(Допущения!$C$30:$C$32)&gt;=0,MAX(Допущения!$C$30:$C$32)&lt;=1,ABS(SUM(Допущения!$C$30:$C$32)-1)&lt;0.00000001),IF(AND(ISNUMBER(Допущения!$B$51),Допущения!$B$51&gt;=0),Допущения!$B$51,NA())*Допущения!$C$31,NA())</f>
        <v>70000</v>
      </c>
      <c r="E40" s="38">
        <f>IF(AND(ISNUMBER(Допущения!$H$31),Допущения!$H$31&gt;0),Допущения!$H$31,NA())*Допущения!$B$23</f>
        <v>70</v>
      </c>
      <c r="F40" s="20">
        <f t="shared" si="0"/>
        <v>1000</v>
      </c>
      <c r="G40" s="39">
        <f>IF(C40=1,0,IF(IF(AND(ISNUMBER(Допущения!$I$31),Допущения!$I$31&gt;=0,Допущения!$I$31&lt;=1),Допущения!$I$31,NA())*Допущения!$B$24&lt;=1,F40*IF(AND(ISNUMBER(Допущения!$I$31),Допущения!$I$31&gt;=0,Допущения!$I$31&lt;=1),Допущения!$I$31,NA())*Допущения!$B$24,NA()))</f>
        <v>9</v>
      </c>
      <c r="H40" s="39">
        <f>IF(C40=0,0,F40*IF(AND(ISNUMBER(Допущения!$J$31),Допущения!$J$31&gt;=0,Допущения!$J$31&lt;=1),Допущения!$J$31,NA()))</f>
        <v>0</v>
      </c>
      <c r="I40" s="39">
        <f>H40*IF(AND(ISNUMBER(Допущения!$K$31),Допущения!$K$31&gt;=0,Допущения!$K$31&lt;=1),Допущения!$K$31,NA())</f>
        <v>0</v>
      </c>
      <c r="J40" s="39">
        <f>IF(C40=0,0,IF(IF(AND(ISNUMBER(Допущения!$L$31),Допущения!$L$31&gt;=0,Допущения!$L$31&lt;=1),Допущения!$L$31,NA())*Допущения!$B$24&lt;=1,I40*IF(AND(ISNUMBER(Допущения!$L$31),Допущения!$L$31&gt;=0,Допущения!$L$31&lt;=1),Допущения!$L$31,NA())*Допущения!$B$24,NA()))</f>
        <v>0</v>
      </c>
      <c r="K40" s="39">
        <f>IF(12&lt;=IF(AND(ISNUMBER(Допущения!$B$17),Допущения!$B$17&gt;=0,Допущения!$B$17=INT(Допущения!$B$17),Допущения!$B$17&lt;=12),Допущения!$B$17,NA()),0,INDEX($J$6:$J$41,(12-IF(AND(ISNUMBER(Допущения!$B$17),Допущения!$B$17&gt;=0,Допущения!$B$17=INT(Допущения!$B$17),Допущения!$B$17&lt;=12),Допущения!$B$17,NA())-1)*3+2))</f>
        <v>0</v>
      </c>
      <c r="L40" s="22">
        <f t="shared" si="1"/>
        <v>9</v>
      </c>
      <c r="M40" s="39">
        <f>I40*IF(AND(ISNUMBER(Допущения!$M$31),Допущения!$M$31&gt;=0),Допущения!$M$31,NA())</f>
        <v>0</v>
      </c>
      <c r="N40" s="38">
        <f>M40*IF(AND(ISNUMBER(Допущения!$B$7),Допущения!$B$7&gt;=0),Допущения!$B$7,NA())</f>
        <v>0</v>
      </c>
    </row>
    <row r="41" spans="1:14" ht="24" customHeight="1">
      <c r="A41" s="3" t="s">
        <v>56</v>
      </c>
      <c r="B41" s="41" t="str">
        <f>Допущения!$A$32</f>
        <v>Бизнес</v>
      </c>
      <c r="C41" s="48">
        <f>Допущения!$N$32</f>
        <v>1</v>
      </c>
      <c r="D41" s="42">
        <f>IF(AND(COUNT(Допущения!$C$30:$C$32)=3,MIN(Допущения!$C$30:$C$32)&gt;=0,MAX(Допущения!$C$30:$C$32)&lt;=1,ABS(SUM(Допущения!$C$30:$C$32)-1)&lt;0.00000001),IF(AND(ISNUMBER(Допущения!$B$51),Допущения!$B$51&gt;=0),Допущения!$B$51,NA())*Допущения!$C$32,NA())</f>
        <v>30000</v>
      </c>
      <c r="E41" s="42">
        <f>IF(AND(ISNUMBER(Допущения!$H$32),Допущения!$H$32&gt;0),Допущения!$H$32,NA())*Допущения!$B$23</f>
        <v>120</v>
      </c>
      <c r="F41" s="21">
        <f t="shared" si="0"/>
        <v>250</v>
      </c>
      <c r="G41" s="43">
        <f>IF(C41=1,0,IF(IF(AND(ISNUMBER(Допущения!$I$32),Допущения!$I$32&gt;=0,Допущения!$I$32&lt;=1),Допущения!$I$32,NA())*Допущения!$B$24&lt;=1,F41*IF(AND(ISNUMBER(Допущения!$I$32),Допущения!$I$32&gt;=0,Допущения!$I$32&lt;=1),Допущения!$I$32,NA())*Допущения!$B$24,NA()))</f>
        <v>0</v>
      </c>
      <c r="H41" s="43">
        <f>IF(C41=0,0,F41*IF(AND(ISNUMBER(Допущения!$J$32),Допущения!$J$32&gt;=0,Допущения!$J$32&lt;=1),Допущения!$J$32,NA()))</f>
        <v>10</v>
      </c>
      <c r="I41" s="43">
        <f>H41*IF(AND(ISNUMBER(Допущения!$K$32),Допущения!$K$32&gt;=0,Допущения!$K$32&lt;=1),Допущения!$K$32,NA())</f>
        <v>8</v>
      </c>
      <c r="J41" s="43">
        <f>IF(C41=0,0,IF(IF(AND(ISNUMBER(Допущения!$L$32),Допущения!$L$32&gt;=0,Допущения!$L$32&lt;=1),Допущения!$L$32,NA())*Допущения!$B$24&lt;=1,I41*IF(AND(ISNUMBER(Допущения!$L$32),Допущения!$L$32&gt;=0,Допущения!$L$32&lt;=1),Допущения!$L$32,NA())*Допущения!$B$24,NA()))</f>
        <v>2.4</v>
      </c>
      <c r="K41" s="43">
        <f>IF(12&lt;=IF(AND(ISNUMBER(Допущения!$B$17),Допущения!$B$17&gt;=0,Допущения!$B$17=INT(Допущения!$B$17),Допущения!$B$17&lt;=12),Допущения!$B$17,NA()),0,INDEX($J$6:$J$41,(12-IF(AND(ISNUMBER(Допущения!$B$17),Допущения!$B$17&gt;=0,Допущения!$B$17=INT(Допущения!$B$17),Допущения!$B$17&lt;=12),Допущения!$B$17,NA())-1)*3+3))</f>
        <v>2.4</v>
      </c>
      <c r="L41" s="23">
        <f t="shared" si="1"/>
        <v>2.4</v>
      </c>
      <c r="M41" s="43">
        <f>I41*IF(AND(ISNUMBER(Допущения!$M$32),Допущения!$M$32&gt;=0),Допущения!$M$32,NA())</f>
        <v>12</v>
      </c>
      <c r="N41" s="42">
        <f>M41*IF(AND(ISNUMBER(Допущения!$B$7),Допущения!$B$7&gt;=0),Допущения!$B$7,NA())</f>
        <v>12000</v>
      </c>
    </row>
    <row r="42" spans="1:14" ht="24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 ht="24" customHeight="1">
      <c r="A43" s="64" t="s">
        <v>116</v>
      </c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</row>
    <row r="44" spans="1:14" ht="24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</sheetData>
  <mergeCells count="1">
    <mergeCell ref="A43:N43"/>
  </mergeCells>
  <pageMargins left="0.25" right="0.25" top="0.25" bottom="0.34722222222222221" header="0.3" footer="0.3"/>
  <pageSetup paperSize="8" scale="75" orientation="landscape" r:id="rId1"/>
  <headerFooter>
    <oddFooter>&amp;LЕлизавета Трибунская&amp;Ctribunska.ru&amp;R&amp;P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FF"/>
    <pageSetUpPr fitToPage="1"/>
  </sheetPr>
  <dimension ref="A1:M5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25"/>
  <cols>
    <col min="1" max="1" width="13.125" customWidth="1"/>
    <col min="2" max="2" width="16.25" customWidth="1"/>
    <col min="3" max="3" width="16.875" customWidth="1"/>
    <col min="4" max="4" width="16.25" customWidth="1"/>
    <col min="5" max="5" width="16.875" customWidth="1"/>
    <col min="6" max="6" width="16.25" customWidth="1"/>
    <col min="7" max="7" width="16.875" customWidth="1"/>
    <col min="8" max="8" width="18.125" customWidth="1"/>
    <col min="9" max="10" width="16.25" customWidth="1"/>
    <col min="11" max="12" width="17.5" customWidth="1"/>
    <col min="13" max="13" width="18.75" customWidth="1"/>
  </cols>
  <sheetData>
    <row r="1" spans="1:13" ht="33.950000000000003" customHeight="1">
      <c r="A1" s="4" t="s">
        <v>117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24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24" customHeight="1">
      <c r="A3" s="3" t="s">
        <v>13</v>
      </c>
      <c r="B3" s="5" t="str">
        <f>IFERROR(CHOOSE(Допущения!$B$3,"Осторожный","Базовый","Сильный"),"Проверьте выбор")</f>
        <v>Базовый</v>
      </c>
      <c r="C3" s="3"/>
      <c r="D3" s="3" t="s">
        <v>14</v>
      </c>
      <c r="E3" s="5" t="str">
        <f>IFERROR(CHOOSE(Допущения!$B$4,"Самостоятельно","Через демо","Смешанные"),"Проверьте выбор")</f>
        <v>Смешанные</v>
      </c>
      <c r="F3" s="3"/>
      <c r="G3" s="3"/>
      <c r="H3" s="3"/>
      <c r="I3" s="3"/>
      <c r="J3" s="3"/>
      <c r="K3" s="3"/>
      <c r="L3" s="3"/>
      <c r="M3" s="3"/>
    </row>
    <row r="4" spans="1:13" ht="24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66" customHeight="1">
      <c r="A5" s="10" t="s">
        <v>38</v>
      </c>
      <c r="B5" s="11" t="s">
        <v>31</v>
      </c>
      <c r="C5" s="11" t="s">
        <v>118</v>
      </c>
      <c r="D5" s="11" t="s">
        <v>119</v>
      </c>
      <c r="E5" s="11" t="s">
        <v>120</v>
      </c>
      <c r="F5" s="11" t="s">
        <v>113</v>
      </c>
      <c r="G5" s="11" t="s">
        <v>121</v>
      </c>
      <c r="H5" s="11" t="s">
        <v>40</v>
      </c>
      <c r="I5" s="11" t="s">
        <v>122</v>
      </c>
      <c r="J5" s="11" t="s">
        <v>123</v>
      </c>
      <c r="K5" s="11" t="s">
        <v>124</v>
      </c>
      <c r="L5" s="11" t="s">
        <v>125</v>
      </c>
      <c r="M5" s="12" t="s">
        <v>126</v>
      </c>
    </row>
    <row r="6" spans="1:13" ht="24" customHeight="1">
      <c r="A6" s="1" t="s">
        <v>45</v>
      </c>
      <c r="B6" s="37" t="str">
        <f>Допущения!$A$30</f>
        <v>Старт</v>
      </c>
      <c r="C6" s="22">
        <f>0</f>
        <v>0</v>
      </c>
      <c r="D6" s="39">
        <f>IF(IF(AND(ISNUMBER(Допущения!$D$30),Допущения!$D$30&gt;=0,Допущения!$D$30&lt;=1),Допущения!$D$30,NA())*Допущения!$B$25&lt;=1,C6*IF(AND(ISNUMBER(Допущения!$D$30),Допущения!$D$30&gt;=0,Допущения!$D$30&lt;=1),Допущения!$D$30,NA())*Допущения!$B$25,NA())</f>
        <v>0</v>
      </c>
      <c r="E6" s="22">
        <f t="shared" ref="E6:E41" si="0">C6-D6</f>
        <v>0</v>
      </c>
      <c r="F6" s="39">
        <f>Привлечение!L6</f>
        <v>9.9999999999999982</v>
      </c>
      <c r="G6" s="22">
        <f t="shared" ref="G6:G41" si="1">E6+F6</f>
        <v>9.9999999999999982</v>
      </c>
      <c r="H6" s="38">
        <f>G6*IF(AND(ISNUMBER(Допущения!$B$30),Допущения!$B$30&gt;0),Допущения!$B$30,NA())</f>
        <v>48999.999999999993</v>
      </c>
      <c r="I6" s="38">
        <f>H6*IF(AND(ISNUMBER(Допущения!$B$8),Допущения!$B$8&gt;=0,Допущения!$B$8&lt;=1),Допущения!$B$8,NA())</f>
        <v>489.99999999999994</v>
      </c>
      <c r="J6" s="38">
        <f>G6*IF(AND(ISNUMBER(Допущения!$E$30),Допущения!$E$30&gt;=0),Допущения!$E$30,NA())</f>
        <v>2999.9999999999995</v>
      </c>
      <c r="K6" s="38">
        <f>G6*IF(AND(ISNUMBER(Допущения!$F$30),Допущения!$F$30&gt;=0),Допущения!$F$30,NA())*IF(AND(ISNUMBER(Допущения!$B$7),Допущения!$B$7&gt;=0),Допущения!$B$7,NA())</f>
        <v>3299.9999999999995</v>
      </c>
      <c r="L6" s="38">
        <f>F6*IF(AND(ISNUMBER(Допущения!$G$30),Допущения!$G$30&gt;=0),Допущения!$G$30,NA())*IF(AND(ISNUMBER(Допущения!$B$7),Допущения!$B$7&gt;=0),Допущения!$B$7,NA())</f>
        <v>4999.9999999999991</v>
      </c>
      <c r="M6" s="20">
        <f t="shared" ref="M6:M41" si="2">H6-SUM(I6:L6)</f>
        <v>37209.999999999993</v>
      </c>
    </row>
    <row r="7" spans="1:13" ht="24" customHeight="1">
      <c r="A7" s="3" t="s">
        <v>45</v>
      </c>
      <c r="B7" s="41" t="str">
        <f>Допущения!$A$31</f>
        <v>Команда</v>
      </c>
      <c r="C7" s="23">
        <f>0</f>
        <v>0</v>
      </c>
      <c r="D7" s="43">
        <f>IF(IF(AND(ISNUMBER(Допущения!$D$31),Допущения!$D$31&gt;=0,Допущения!$D$31&lt;=1),Допущения!$D$31,NA())*Допущения!$B$25&lt;=1,C7*IF(AND(ISNUMBER(Допущения!$D$31),Допущения!$D$31&gt;=0,Допущения!$D$31&lt;=1),Допущения!$D$31,NA())*Допущения!$B$25,NA())</f>
        <v>0</v>
      </c>
      <c r="E7" s="23">
        <f t="shared" si="0"/>
        <v>0</v>
      </c>
      <c r="F7" s="43">
        <f>Привлечение!L7</f>
        <v>2.25</v>
      </c>
      <c r="G7" s="23">
        <f t="shared" si="1"/>
        <v>2.25</v>
      </c>
      <c r="H7" s="42">
        <f>G7*IF(AND(ISNUMBER(Допущения!$B$31),Допущения!$B$31&gt;0),Допущения!$B$31,NA())</f>
        <v>33525</v>
      </c>
      <c r="I7" s="42">
        <f>H7*IF(AND(ISNUMBER(Допущения!$B$8),Допущения!$B$8&gt;=0,Допущения!$B$8&lt;=1),Допущения!$B$8,NA())</f>
        <v>335.25</v>
      </c>
      <c r="J7" s="42">
        <f>G7*IF(AND(ISNUMBER(Допущения!$E$31),Допущения!$E$31&gt;=0),Допущения!$E$31,NA())</f>
        <v>2250</v>
      </c>
      <c r="K7" s="42">
        <f>G7*IF(AND(ISNUMBER(Допущения!$F$31),Допущения!$F$31&gt;=0),Допущения!$F$31,NA())*IF(AND(ISNUMBER(Допущения!$B$7),Допущения!$B$7&gt;=0),Допущения!$B$7,NA())</f>
        <v>2250</v>
      </c>
      <c r="L7" s="42">
        <f>F7*IF(AND(ISNUMBER(Допущения!$G$31),Допущения!$G$31&gt;=0),Допущения!$G$31,NA())*IF(AND(ISNUMBER(Допущения!$B$7),Допущения!$B$7&gt;=0),Допущения!$B$7,NA())</f>
        <v>4500</v>
      </c>
      <c r="M7" s="21">
        <f t="shared" si="2"/>
        <v>24189.75</v>
      </c>
    </row>
    <row r="8" spans="1:13" ht="24" customHeight="1">
      <c r="A8" s="1" t="s">
        <v>45</v>
      </c>
      <c r="B8" s="37" t="str">
        <f>Допущения!$A$32</f>
        <v>Бизнес</v>
      </c>
      <c r="C8" s="22">
        <f>0</f>
        <v>0</v>
      </c>
      <c r="D8" s="39">
        <f>IF(IF(AND(ISNUMBER(Допущения!$D$32),Допущения!$D$32&gt;=0,Допущения!$D$32&lt;=1),Допущения!$D$32,NA())*Допущения!$B$25&lt;=1,C8*IF(AND(ISNUMBER(Допущения!$D$32),Допущения!$D$32&gt;=0,Допущения!$D$32&lt;=1),Допущения!$D$32,NA())*Допущения!$B$25,NA())</f>
        <v>0</v>
      </c>
      <c r="E8" s="22">
        <f t="shared" si="0"/>
        <v>0</v>
      </c>
      <c r="F8" s="39">
        <f>Привлечение!L8</f>
        <v>0</v>
      </c>
      <c r="G8" s="22">
        <f t="shared" si="1"/>
        <v>0</v>
      </c>
      <c r="H8" s="38">
        <f>G8*IF(AND(ISNUMBER(Допущения!$B$32),Допущения!$B$32&gt;0),Допущения!$B$32,NA())</f>
        <v>0</v>
      </c>
      <c r="I8" s="38">
        <f>H8*IF(AND(ISNUMBER(Допущения!$B$8),Допущения!$B$8&gt;=0,Допущения!$B$8&lt;=1),Допущения!$B$8,NA())</f>
        <v>0</v>
      </c>
      <c r="J8" s="38">
        <f>G8*IF(AND(ISNUMBER(Допущения!$E$32),Допущения!$E$32&gt;=0),Допущения!$E$32,NA())</f>
        <v>0</v>
      </c>
      <c r="K8" s="38">
        <f>G8*IF(AND(ISNUMBER(Допущения!$F$32),Допущения!$F$32&gt;=0),Допущения!$F$32,NA())*IF(AND(ISNUMBER(Допущения!$B$7),Допущения!$B$7&gt;=0),Допущения!$B$7,NA())</f>
        <v>0</v>
      </c>
      <c r="L8" s="38">
        <f>F8*IF(AND(ISNUMBER(Допущения!$G$32),Допущения!$G$32&gt;=0),Допущения!$G$32,NA())*IF(AND(ISNUMBER(Допущения!$B$7),Допущения!$B$7&gt;=0),Допущения!$B$7,NA())</f>
        <v>0</v>
      </c>
      <c r="M8" s="20">
        <f t="shared" si="2"/>
        <v>0</v>
      </c>
    </row>
    <row r="9" spans="1:13" ht="24" customHeight="1">
      <c r="A9" s="3" t="s">
        <v>46</v>
      </c>
      <c r="B9" s="41" t="str">
        <f>Допущения!$A$30</f>
        <v>Старт</v>
      </c>
      <c r="C9" s="23">
        <f t="shared" ref="C9:C41" si="3">G6</f>
        <v>9.9999999999999982</v>
      </c>
      <c r="D9" s="43">
        <f>IF(IF(AND(ISNUMBER(Допущения!$D$30),Допущения!$D$30&gt;=0,Допущения!$D$30&lt;=1),Допущения!$D$30,NA())*Допущения!$B$25&lt;=1,C9*IF(AND(ISNUMBER(Допущения!$D$30),Допущения!$D$30&gt;=0,Допущения!$D$30&lt;=1),Допущения!$D$30,NA())*Допущения!$B$25,NA())</f>
        <v>0.59999999999999987</v>
      </c>
      <c r="E9" s="23">
        <f t="shared" si="0"/>
        <v>9.3999999999999986</v>
      </c>
      <c r="F9" s="43">
        <f>Привлечение!L9</f>
        <v>19.999999999999996</v>
      </c>
      <c r="G9" s="23">
        <f t="shared" si="1"/>
        <v>29.399999999999995</v>
      </c>
      <c r="H9" s="42">
        <f>G9*IF(AND(ISNUMBER(Допущения!$B$30),Допущения!$B$30&gt;0),Допущения!$B$30,NA())</f>
        <v>144059.99999999997</v>
      </c>
      <c r="I9" s="42">
        <f>H9*IF(AND(ISNUMBER(Допущения!$B$8),Допущения!$B$8&gt;=0,Допущения!$B$8&lt;=1),Допущения!$B$8,NA())</f>
        <v>1440.5999999999997</v>
      </c>
      <c r="J9" s="42">
        <f>G9*IF(AND(ISNUMBER(Допущения!$E$30),Допущения!$E$30&gt;=0),Допущения!$E$30,NA())</f>
        <v>8819.9999999999982</v>
      </c>
      <c r="K9" s="42">
        <f>G9*IF(AND(ISNUMBER(Допущения!$F$30),Допущения!$F$30&gt;=0),Допущения!$F$30,NA())*IF(AND(ISNUMBER(Допущения!$B$7),Допущения!$B$7&gt;=0),Допущения!$B$7,NA())</f>
        <v>9701.9999999999982</v>
      </c>
      <c r="L9" s="42">
        <f>F9*IF(AND(ISNUMBER(Допущения!$G$30),Допущения!$G$30&gt;=0),Допущения!$G$30,NA())*IF(AND(ISNUMBER(Допущения!$B$7),Допущения!$B$7&gt;=0),Допущения!$B$7,NA())</f>
        <v>9999.9999999999982</v>
      </c>
      <c r="M9" s="21">
        <f t="shared" si="2"/>
        <v>114097.39999999997</v>
      </c>
    </row>
    <row r="10" spans="1:13" ht="24" customHeight="1">
      <c r="A10" s="1" t="s">
        <v>46</v>
      </c>
      <c r="B10" s="37" t="str">
        <f>Допущения!$A$31</f>
        <v>Команда</v>
      </c>
      <c r="C10" s="22">
        <f t="shared" si="3"/>
        <v>2.25</v>
      </c>
      <c r="D10" s="39">
        <f>IF(IF(AND(ISNUMBER(Допущения!$D$31),Допущения!$D$31&gt;=0,Допущения!$D$31&lt;=1),Допущения!$D$31,NA())*Допущения!$B$25&lt;=1,C10*IF(AND(ISNUMBER(Допущения!$D$31),Допущения!$D$31&gt;=0,Допущения!$D$31&lt;=1),Допущения!$D$31,NA())*Допущения!$B$25,NA())</f>
        <v>0.09</v>
      </c>
      <c r="E10" s="22">
        <f t="shared" si="0"/>
        <v>2.16</v>
      </c>
      <c r="F10" s="39">
        <f>Привлечение!L10</f>
        <v>4.5</v>
      </c>
      <c r="G10" s="22">
        <f t="shared" si="1"/>
        <v>6.66</v>
      </c>
      <c r="H10" s="38">
        <f>G10*IF(AND(ISNUMBER(Допущения!$B$31),Допущения!$B$31&gt;0),Допущения!$B$31,NA())</f>
        <v>99234</v>
      </c>
      <c r="I10" s="38">
        <f>H10*IF(AND(ISNUMBER(Допущения!$B$8),Допущения!$B$8&gt;=0,Допущения!$B$8&lt;=1),Допущения!$B$8,NA())</f>
        <v>992.34</v>
      </c>
      <c r="J10" s="38">
        <f>G10*IF(AND(ISNUMBER(Допущения!$E$31),Допущения!$E$31&gt;=0),Допущения!$E$31,NA())</f>
        <v>6660</v>
      </c>
      <c r="K10" s="38">
        <f>G10*IF(AND(ISNUMBER(Допущения!$F$31),Допущения!$F$31&gt;=0),Допущения!$F$31,NA())*IF(AND(ISNUMBER(Допущения!$B$7),Допущения!$B$7&gt;=0),Допущения!$B$7,NA())</f>
        <v>6660</v>
      </c>
      <c r="L10" s="38">
        <f>F10*IF(AND(ISNUMBER(Допущения!$G$31),Допущения!$G$31&gt;=0),Допущения!$G$31,NA())*IF(AND(ISNUMBER(Допущения!$B$7),Допущения!$B$7&gt;=0),Допущения!$B$7,NA())</f>
        <v>9000</v>
      </c>
      <c r="M10" s="20">
        <f t="shared" si="2"/>
        <v>75921.66</v>
      </c>
    </row>
    <row r="11" spans="1:13" ht="24" customHeight="1">
      <c r="A11" s="3" t="s">
        <v>46</v>
      </c>
      <c r="B11" s="41" t="str">
        <f>Допущения!$A$32</f>
        <v>Бизнес</v>
      </c>
      <c r="C11" s="23">
        <f t="shared" si="3"/>
        <v>0</v>
      </c>
      <c r="D11" s="43">
        <f>IF(IF(AND(ISNUMBER(Допущения!$D$32),Допущения!$D$32&gt;=0,Допущения!$D$32&lt;=1),Допущения!$D$32,NA())*Допущения!$B$25&lt;=1,C11*IF(AND(ISNUMBER(Допущения!$D$32),Допущения!$D$32&gt;=0,Допущения!$D$32&lt;=1),Допущения!$D$32,NA())*Допущения!$B$25,NA())</f>
        <v>0</v>
      </c>
      <c r="E11" s="23">
        <f t="shared" si="0"/>
        <v>0</v>
      </c>
      <c r="F11" s="43">
        <f>Привлечение!L11</f>
        <v>0.6</v>
      </c>
      <c r="G11" s="23">
        <f t="shared" si="1"/>
        <v>0.6</v>
      </c>
      <c r="H11" s="42">
        <f>G11*IF(AND(ISNUMBER(Допущения!$B$32),Допущения!$B$32&gt;0),Допущения!$B$32,NA())</f>
        <v>29940</v>
      </c>
      <c r="I11" s="42">
        <f>H11*IF(AND(ISNUMBER(Допущения!$B$8),Допущения!$B$8&gt;=0,Допущения!$B$8&lt;=1),Допущения!$B$8,NA())</f>
        <v>299.40000000000003</v>
      </c>
      <c r="J11" s="42">
        <f>G11*IF(AND(ISNUMBER(Допущения!$E$32),Допущения!$E$32&gt;=0),Допущения!$E$32,NA())</f>
        <v>2100</v>
      </c>
      <c r="K11" s="42">
        <f>G11*IF(AND(ISNUMBER(Допущения!$F$32),Допущения!$F$32&gt;=0),Допущения!$F$32,NA())*IF(AND(ISNUMBER(Допущения!$B$7),Допущения!$B$7&gt;=0),Допущения!$B$7,NA())</f>
        <v>1799.9999999999998</v>
      </c>
      <c r="L11" s="42">
        <f>F11*IF(AND(ISNUMBER(Допущения!$G$32),Допущения!$G$32&gt;=0),Допущения!$G$32,NA())*IF(AND(ISNUMBER(Допущения!$B$7),Допущения!$B$7&gt;=0),Допущения!$B$7,NA())</f>
        <v>3599.9999999999995</v>
      </c>
      <c r="M11" s="21">
        <f t="shared" si="2"/>
        <v>22140.6</v>
      </c>
    </row>
    <row r="12" spans="1:13" ht="24" customHeight="1">
      <c r="A12" s="1" t="s">
        <v>47</v>
      </c>
      <c r="B12" s="37" t="str">
        <f>Допущения!$A$30</f>
        <v>Старт</v>
      </c>
      <c r="C12" s="22">
        <f t="shared" si="3"/>
        <v>29.399999999999995</v>
      </c>
      <c r="D12" s="39">
        <f>IF(IF(AND(ISNUMBER(Допущения!$D$30),Допущения!$D$30&gt;=0,Допущения!$D$30&lt;=1),Допущения!$D$30,NA())*Допущения!$B$25&lt;=1,C12*IF(AND(ISNUMBER(Допущения!$D$30),Допущения!$D$30&gt;=0,Допущения!$D$30&lt;=1),Допущения!$D$30,NA())*Допущения!$B$25,NA())</f>
        <v>1.7639999999999996</v>
      </c>
      <c r="E12" s="22">
        <f t="shared" si="0"/>
        <v>27.635999999999996</v>
      </c>
      <c r="F12" s="39">
        <f>Привлечение!L12</f>
        <v>30</v>
      </c>
      <c r="G12" s="22">
        <f t="shared" si="1"/>
        <v>57.635999999999996</v>
      </c>
      <c r="H12" s="38">
        <f>G12*IF(AND(ISNUMBER(Допущения!$B$30),Допущения!$B$30&gt;0),Допущения!$B$30,NA())</f>
        <v>282416.39999999997</v>
      </c>
      <c r="I12" s="38">
        <f>H12*IF(AND(ISNUMBER(Допущения!$B$8),Допущения!$B$8&gt;=0,Допущения!$B$8&lt;=1),Допущения!$B$8,NA())</f>
        <v>2824.1639999999998</v>
      </c>
      <c r="J12" s="38">
        <f>G12*IF(AND(ISNUMBER(Допущения!$E$30),Допущения!$E$30&gt;=0),Допущения!$E$30,NA())</f>
        <v>17290.8</v>
      </c>
      <c r="K12" s="38">
        <f>G12*IF(AND(ISNUMBER(Допущения!$F$30),Допущения!$F$30&gt;=0),Допущения!$F$30,NA())*IF(AND(ISNUMBER(Допущения!$B$7),Допущения!$B$7&gt;=0),Допущения!$B$7,NA())</f>
        <v>19019.88</v>
      </c>
      <c r="L12" s="38">
        <f>F12*IF(AND(ISNUMBER(Допущения!$G$30),Допущения!$G$30&gt;=0),Допущения!$G$30,NA())*IF(AND(ISNUMBER(Допущения!$B$7),Допущения!$B$7&gt;=0),Допущения!$B$7,NA())</f>
        <v>15000</v>
      </c>
      <c r="M12" s="20">
        <f t="shared" si="2"/>
        <v>228281.55599999998</v>
      </c>
    </row>
    <row r="13" spans="1:13" ht="24" customHeight="1">
      <c r="A13" s="3" t="s">
        <v>47</v>
      </c>
      <c r="B13" s="41" t="str">
        <f>Допущения!$A$31</f>
        <v>Команда</v>
      </c>
      <c r="C13" s="23">
        <f t="shared" si="3"/>
        <v>6.66</v>
      </c>
      <c r="D13" s="43">
        <f>IF(IF(AND(ISNUMBER(Допущения!$D$31),Допущения!$D$31&gt;=0,Допущения!$D$31&lt;=1),Допущения!$D$31,NA())*Допущения!$B$25&lt;=1,C13*IF(AND(ISNUMBER(Допущения!$D$31),Допущения!$D$31&gt;=0,Допущения!$D$31&lt;=1),Допущения!$D$31,NA())*Допущения!$B$25,NA())</f>
        <v>0.26640000000000003</v>
      </c>
      <c r="E13" s="23">
        <f t="shared" si="0"/>
        <v>6.3936000000000002</v>
      </c>
      <c r="F13" s="43">
        <f>Привлечение!L13</f>
        <v>6.7499999999999991</v>
      </c>
      <c r="G13" s="23">
        <f t="shared" si="1"/>
        <v>13.143599999999999</v>
      </c>
      <c r="H13" s="42">
        <f>G13*IF(AND(ISNUMBER(Допущения!$B$31),Допущения!$B$31&gt;0),Допущения!$B$31,NA())</f>
        <v>195839.63999999998</v>
      </c>
      <c r="I13" s="42">
        <f>H13*IF(AND(ISNUMBER(Допущения!$B$8),Допущения!$B$8&gt;=0,Допущения!$B$8&lt;=1),Допущения!$B$8,NA())</f>
        <v>1958.3963999999999</v>
      </c>
      <c r="J13" s="42">
        <f>G13*IF(AND(ISNUMBER(Допущения!$E$31),Допущения!$E$31&gt;=0),Допущения!$E$31,NA())</f>
        <v>13143.599999999999</v>
      </c>
      <c r="K13" s="42">
        <f>G13*IF(AND(ISNUMBER(Допущения!$F$31),Допущения!$F$31&gt;=0),Допущения!$F$31,NA())*IF(AND(ISNUMBER(Допущения!$B$7),Допущения!$B$7&gt;=0),Допущения!$B$7,NA())</f>
        <v>13143.599999999999</v>
      </c>
      <c r="L13" s="42">
        <f>F13*IF(AND(ISNUMBER(Допущения!$G$31),Допущения!$G$31&gt;=0),Допущения!$G$31,NA())*IF(AND(ISNUMBER(Допущения!$B$7),Допущения!$B$7&gt;=0),Допущения!$B$7,NA())</f>
        <v>13499.999999999998</v>
      </c>
      <c r="M13" s="21">
        <f t="shared" si="2"/>
        <v>154094.04359999998</v>
      </c>
    </row>
    <row r="14" spans="1:13" ht="24" customHeight="1">
      <c r="A14" s="1" t="s">
        <v>47</v>
      </c>
      <c r="B14" s="37" t="str">
        <f>Допущения!$A$32</f>
        <v>Бизнес</v>
      </c>
      <c r="C14" s="22">
        <f t="shared" si="3"/>
        <v>0.6</v>
      </c>
      <c r="D14" s="39">
        <f>IF(IF(AND(ISNUMBER(Допущения!$D$32),Допущения!$D$32&gt;=0,Допущения!$D$32&lt;=1),Допущения!$D$32,NA())*Допущения!$B$25&lt;=1,C14*IF(AND(ISNUMBER(Допущения!$D$32),Допущения!$D$32&gt;=0,Допущения!$D$32&lt;=1),Допущения!$D$32,NA())*Допущения!$B$25,NA())</f>
        <v>1.4999999999999999E-2</v>
      </c>
      <c r="E14" s="22">
        <f t="shared" si="0"/>
        <v>0.58499999999999996</v>
      </c>
      <c r="F14" s="39">
        <f>Привлечение!L14</f>
        <v>1.2</v>
      </c>
      <c r="G14" s="22">
        <f t="shared" si="1"/>
        <v>1.7849999999999999</v>
      </c>
      <c r="H14" s="38">
        <f>G14*IF(AND(ISNUMBER(Допущения!$B$32),Допущения!$B$32&gt;0),Допущения!$B$32,NA())</f>
        <v>89071.5</v>
      </c>
      <c r="I14" s="38">
        <f>H14*IF(AND(ISNUMBER(Допущения!$B$8),Допущения!$B$8&gt;=0,Допущения!$B$8&lt;=1),Допущения!$B$8,NA())</f>
        <v>890.71500000000003</v>
      </c>
      <c r="J14" s="38">
        <f>G14*IF(AND(ISNUMBER(Допущения!$E$32),Допущения!$E$32&gt;=0),Допущения!$E$32,NA())</f>
        <v>6247.5</v>
      </c>
      <c r="K14" s="38">
        <f>G14*IF(AND(ISNUMBER(Допущения!$F$32),Допущения!$F$32&gt;=0),Допущения!$F$32,NA())*IF(AND(ISNUMBER(Допущения!$B$7),Допущения!$B$7&gt;=0),Допущения!$B$7,NA())</f>
        <v>5354.9999999999991</v>
      </c>
      <c r="L14" s="38">
        <f>F14*IF(AND(ISNUMBER(Допущения!$G$32),Допущения!$G$32&gt;=0),Допущения!$G$32,NA())*IF(AND(ISNUMBER(Допущения!$B$7),Допущения!$B$7&gt;=0),Допущения!$B$7,NA())</f>
        <v>7199.9999999999991</v>
      </c>
      <c r="M14" s="20">
        <f t="shared" si="2"/>
        <v>69378.285000000003</v>
      </c>
    </row>
    <row r="15" spans="1:13" ht="24" customHeight="1">
      <c r="A15" s="3" t="s">
        <v>48</v>
      </c>
      <c r="B15" s="41" t="str">
        <f>Допущения!$A$30</f>
        <v>Старт</v>
      </c>
      <c r="C15" s="23">
        <f t="shared" si="3"/>
        <v>57.635999999999996</v>
      </c>
      <c r="D15" s="43">
        <f>IF(IF(AND(ISNUMBER(Допущения!$D$30),Допущения!$D$30&gt;=0,Допущения!$D$30&lt;=1),Допущения!$D$30,NA())*Допущения!$B$25&lt;=1,C15*IF(AND(ISNUMBER(Допущения!$D$30),Допущения!$D$30&gt;=0,Допущения!$D$30&lt;=1),Допущения!$D$30,NA())*Допущения!$B$25,NA())</f>
        <v>3.4581599999999995</v>
      </c>
      <c r="E15" s="23">
        <f t="shared" si="0"/>
        <v>54.177839999999996</v>
      </c>
      <c r="F15" s="43">
        <f>Привлечение!L15</f>
        <v>39.999999999999993</v>
      </c>
      <c r="G15" s="23">
        <f t="shared" si="1"/>
        <v>94.177839999999989</v>
      </c>
      <c r="H15" s="42">
        <f>G15*IF(AND(ISNUMBER(Допущения!$B$30),Допущения!$B$30&gt;0),Допущения!$B$30,NA())</f>
        <v>461471.41599999997</v>
      </c>
      <c r="I15" s="42">
        <f>H15*IF(AND(ISNUMBER(Допущения!$B$8),Допущения!$B$8&gt;=0,Допущения!$B$8&lt;=1),Допущения!$B$8,NA())</f>
        <v>4614.7141599999995</v>
      </c>
      <c r="J15" s="42">
        <f>G15*IF(AND(ISNUMBER(Допущения!$E$30),Допущения!$E$30&gt;=0),Допущения!$E$30,NA())</f>
        <v>28253.351999999995</v>
      </c>
      <c r="K15" s="42">
        <f>G15*IF(AND(ISNUMBER(Допущения!$F$30),Допущения!$F$30&gt;=0),Допущения!$F$30,NA())*IF(AND(ISNUMBER(Допущения!$B$7),Допущения!$B$7&gt;=0),Допущения!$B$7,NA())</f>
        <v>31078.687199999997</v>
      </c>
      <c r="L15" s="42">
        <f>F15*IF(AND(ISNUMBER(Допущения!$G$30),Допущения!$G$30&gt;=0),Допущения!$G$30,NA())*IF(AND(ISNUMBER(Допущения!$B$7),Допущения!$B$7&gt;=0),Допущения!$B$7,NA())</f>
        <v>19999.999999999996</v>
      </c>
      <c r="M15" s="21">
        <f t="shared" si="2"/>
        <v>377524.66264</v>
      </c>
    </row>
    <row r="16" spans="1:13" ht="24" customHeight="1">
      <c r="A16" s="1" t="s">
        <v>48</v>
      </c>
      <c r="B16" s="37" t="str">
        <f>Допущения!$A$31</f>
        <v>Команда</v>
      </c>
      <c r="C16" s="22">
        <f t="shared" si="3"/>
        <v>13.143599999999999</v>
      </c>
      <c r="D16" s="39">
        <f>IF(IF(AND(ISNUMBER(Допущения!$D$31),Допущения!$D$31&gt;=0,Допущения!$D$31&lt;=1),Допущения!$D$31,NA())*Допущения!$B$25&lt;=1,C16*IF(AND(ISNUMBER(Допущения!$D$31),Допущения!$D$31&gt;=0,Допущения!$D$31&lt;=1),Допущения!$D$31,NA())*Допущения!$B$25,NA())</f>
        <v>0.52574399999999999</v>
      </c>
      <c r="E16" s="22">
        <f t="shared" si="0"/>
        <v>12.617856</v>
      </c>
      <c r="F16" s="39">
        <f>Привлечение!L16</f>
        <v>9</v>
      </c>
      <c r="G16" s="22">
        <f t="shared" si="1"/>
        <v>21.617856</v>
      </c>
      <c r="H16" s="38">
        <f>G16*IF(AND(ISNUMBER(Допущения!$B$31),Допущения!$B$31&gt;0),Допущения!$B$31,NA())</f>
        <v>322106.05440000002</v>
      </c>
      <c r="I16" s="38">
        <f>H16*IF(AND(ISNUMBER(Допущения!$B$8),Допущения!$B$8&gt;=0,Допущения!$B$8&lt;=1),Допущения!$B$8,NA())</f>
        <v>3221.0605440000004</v>
      </c>
      <c r="J16" s="38">
        <f>G16*IF(AND(ISNUMBER(Допущения!$E$31),Допущения!$E$31&gt;=0),Допущения!$E$31,NA())</f>
        <v>21617.856</v>
      </c>
      <c r="K16" s="38">
        <f>G16*IF(AND(ISNUMBER(Допущения!$F$31),Допущения!$F$31&gt;=0),Допущения!$F$31,NA())*IF(AND(ISNUMBER(Допущения!$B$7),Допущения!$B$7&gt;=0),Допущения!$B$7,NA())</f>
        <v>21617.856</v>
      </c>
      <c r="L16" s="38">
        <f>F16*IF(AND(ISNUMBER(Допущения!$G$31),Допущения!$G$31&gt;=0),Допущения!$G$31,NA())*IF(AND(ISNUMBER(Допущения!$B$7),Допущения!$B$7&gt;=0),Допущения!$B$7,NA())</f>
        <v>18000</v>
      </c>
      <c r="M16" s="20">
        <f t="shared" si="2"/>
        <v>257649.28185600002</v>
      </c>
    </row>
    <row r="17" spans="1:13" ht="24" customHeight="1">
      <c r="A17" s="3" t="s">
        <v>48</v>
      </c>
      <c r="B17" s="41" t="str">
        <f>Допущения!$A$32</f>
        <v>Бизнес</v>
      </c>
      <c r="C17" s="23">
        <f t="shared" si="3"/>
        <v>1.7849999999999999</v>
      </c>
      <c r="D17" s="43">
        <f>IF(IF(AND(ISNUMBER(Допущения!$D$32),Допущения!$D$32&gt;=0,Допущения!$D$32&lt;=1),Допущения!$D$32,NA())*Допущения!$B$25&lt;=1,C17*IF(AND(ISNUMBER(Допущения!$D$32),Допущения!$D$32&gt;=0,Допущения!$D$32&lt;=1),Допущения!$D$32,NA())*Допущения!$B$25,NA())</f>
        <v>4.4624999999999998E-2</v>
      </c>
      <c r="E17" s="23">
        <f t="shared" si="0"/>
        <v>1.740375</v>
      </c>
      <c r="F17" s="43">
        <f>Привлечение!L17</f>
        <v>1.7999999999999998</v>
      </c>
      <c r="G17" s="23">
        <f t="shared" si="1"/>
        <v>3.540375</v>
      </c>
      <c r="H17" s="42">
        <f>G17*IF(AND(ISNUMBER(Допущения!$B$32),Допущения!$B$32&gt;0),Допущения!$B$32,NA())</f>
        <v>176664.71249999999</v>
      </c>
      <c r="I17" s="42">
        <f>H17*IF(AND(ISNUMBER(Допущения!$B$8),Допущения!$B$8&gt;=0,Допущения!$B$8&lt;=1),Допущения!$B$8,NA())</f>
        <v>1766.647125</v>
      </c>
      <c r="J17" s="42">
        <f>G17*IF(AND(ISNUMBER(Допущения!$E$32),Допущения!$E$32&gt;=0),Допущения!$E$32,NA())</f>
        <v>12391.3125</v>
      </c>
      <c r="K17" s="42">
        <f>G17*IF(AND(ISNUMBER(Допущения!$F$32),Допущения!$F$32&gt;=0),Допущения!$F$32,NA())*IF(AND(ISNUMBER(Допущения!$B$7),Допущения!$B$7&gt;=0),Допущения!$B$7,NA())</f>
        <v>10621.125</v>
      </c>
      <c r="L17" s="42">
        <f>F17*IF(AND(ISNUMBER(Допущения!$G$32),Допущения!$G$32&gt;=0),Допущения!$G$32,NA())*IF(AND(ISNUMBER(Допущения!$B$7),Допущения!$B$7&gt;=0),Допущения!$B$7,NA())</f>
        <v>10799.999999999998</v>
      </c>
      <c r="M17" s="21">
        <f t="shared" si="2"/>
        <v>141085.62787500001</v>
      </c>
    </row>
    <row r="18" spans="1:13" ht="24" customHeight="1">
      <c r="A18" s="1" t="s">
        <v>49</v>
      </c>
      <c r="B18" s="37" t="str">
        <f>Допущения!$A$30</f>
        <v>Старт</v>
      </c>
      <c r="C18" s="22">
        <f t="shared" si="3"/>
        <v>94.177839999999989</v>
      </c>
      <c r="D18" s="39">
        <f>IF(IF(AND(ISNUMBER(Допущения!$D$30),Допущения!$D$30&gt;=0,Допущения!$D$30&lt;=1),Допущения!$D$30,NA())*Допущения!$B$25&lt;=1,C18*IF(AND(ISNUMBER(Допущения!$D$30),Допущения!$D$30&gt;=0,Допущения!$D$30&lt;=1),Допущения!$D$30,NA())*Допущения!$B$25,NA())</f>
        <v>5.6506703999999992</v>
      </c>
      <c r="E18" s="22">
        <f t="shared" si="0"/>
        <v>88.527169599999993</v>
      </c>
      <c r="F18" s="39">
        <f>Привлечение!L18</f>
        <v>39.999999999999993</v>
      </c>
      <c r="G18" s="22">
        <f t="shared" si="1"/>
        <v>128.52716959999998</v>
      </c>
      <c r="H18" s="38">
        <f>G18*IF(AND(ISNUMBER(Допущения!$B$30),Допущения!$B$30&gt;0),Допущения!$B$30,NA())</f>
        <v>629783.13103999989</v>
      </c>
      <c r="I18" s="38">
        <f>H18*IF(AND(ISNUMBER(Допущения!$B$8),Допущения!$B$8&gt;=0,Допущения!$B$8&lt;=1),Допущения!$B$8,NA())</f>
        <v>6297.831310399999</v>
      </c>
      <c r="J18" s="38">
        <f>G18*IF(AND(ISNUMBER(Допущения!$E$30),Допущения!$E$30&gt;=0),Допущения!$E$30,NA())</f>
        <v>38558.150879999994</v>
      </c>
      <c r="K18" s="38">
        <f>G18*IF(AND(ISNUMBER(Допущения!$F$30),Допущения!$F$30&gt;=0),Допущения!$F$30,NA())*IF(AND(ISNUMBER(Допущения!$B$7),Допущения!$B$7&gt;=0),Допущения!$B$7,NA())</f>
        <v>42413.96596799999</v>
      </c>
      <c r="L18" s="38">
        <f>F18*IF(AND(ISNUMBER(Допущения!$G$30),Допущения!$G$30&gt;=0),Допущения!$G$30,NA())*IF(AND(ISNUMBER(Допущения!$B$7),Допущения!$B$7&gt;=0),Допущения!$B$7,NA())</f>
        <v>19999.999999999996</v>
      </c>
      <c r="M18" s="20">
        <f t="shared" si="2"/>
        <v>522513.18288159987</v>
      </c>
    </row>
    <row r="19" spans="1:13" ht="24" customHeight="1">
      <c r="A19" s="3" t="s">
        <v>49</v>
      </c>
      <c r="B19" s="41" t="str">
        <f>Допущения!$A$31</f>
        <v>Команда</v>
      </c>
      <c r="C19" s="23">
        <f t="shared" si="3"/>
        <v>21.617856</v>
      </c>
      <c r="D19" s="43">
        <f>IF(IF(AND(ISNUMBER(Допущения!$D$31),Допущения!$D$31&gt;=0,Допущения!$D$31&lt;=1),Допущения!$D$31,NA())*Допущения!$B$25&lt;=1,C19*IF(AND(ISNUMBER(Допущения!$D$31),Допущения!$D$31&gt;=0,Допущения!$D$31&lt;=1),Допущения!$D$31,NA())*Допущения!$B$25,NA())</f>
        <v>0.86471423999999997</v>
      </c>
      <c r="E19" s="23">
        <f t="shared" si="0"/>
        <v>20.753141759999998</v>
      </c>
      <c r="F19" s="43">
        <f>Привлечение!L19</f>
        <v>9</v>
      </c>
      <c r="G19" s="23">
        <f t="shared" si="1"/>
        <v>29.753141759999998</v>
      </c>
      <c r="H19" s="42">
        <f>G19*IF(AND(ISNUMBER(Допущения!$B$31),Допущения!$B$31&gt;0),Допущения!$B$31,NA())</f>
        <v>443321.81222399999</v>
      </c>
      <c r="I19" s="42">
        <f>H19*IF(AND(ISNUMBER(Допущения!$B$8),Допущения!$B$8&gt;=0,Допущения!$B$8&lt;=1),Допущения!$B$8,NA())</f>
        <v>4433.2181222400004</v>
      </c>
      <c r="J19" s="42">
        <f>G19*IF(AND(ISNUMBER(Допущения!$E$31),Допущения!$E$31&gt;=0),Допущения!$E$31,NA())</f>
        <v>29753.141759999999</v>
      </c>
      <c r="K19" s="42">
        <f>G19*IF(AND(ISNUMBER(Допущения!$F$31),Допущения!$F$31&gt;=0),Допущения!$F$31,NA())*IF(AND(ISNUMBER(Допущения!$B$7),Допущения!$B$7&gt;=0),Допущения!$B$7,NA())</f>
        <v>29753.141759999999</v>
      </c>
      <c r="L19" s="42">
        <f>F19*IF(AND(ISNUMBER(Допущения!$G$31),Допущения!$G$31&gt;=0),Допущения!$G$31,NA())*IF(AND(ISNUMBER(Допущения!$B$7),Допущения!$B$7&gt;=0),Допущения!$B$7,NA())</f>
        <v>18000</v>
      </c>
      <c r="M19" s="21">
        <f t="shared" si="2"/>
        <v>361382.31058176002</v>
      </c>
    </row>
    <row r="20" spans="1:13" ht="24" customHeight="1">
      <c r="A20" s="1" t="s">
        <v>49</v>
      </c>
      <c r="B20" s="37" t="str">
        <f>Допущения!$A$32</f>
        <v>Бизнес</v>
      </c>
      <c r="C20" s="22">
        <f t="shared" si="3"/>
        <v>3.540375</v>
      </c>
      <c r="D20" s="39">
        <f>IF(IF(AND(ISNUMBER(Допущения!$D$32),Допущения!$D$32&gt;=0,Допущения!$D$32&lt;=1),Допущения!$D$32,NA())*Допущения!$B$25&lt;=1,C20*IF(AND(ISNUMBER(Допущения!$D$32),Допущения!$D$32&gt;=0,Допущения!$D$32&lt;=1),Допущения!$D$32,NA())*Допущения!$B$25,NA())</f>
        <v>8.8509375000000001E-2</v>
      </c>
      <c r="E20" s="22">
        <f t="shared" si="0"/>
        <v>3.4518656249999999</v>
      </c>
      <c r="F20" s="39">
        <f>Привлечение!L20</f>
        <v>2.4</v>
      </c>
      <c r="G20" s="22">
        <f t="shared" si="1"/>
        <v>5.8518656250000003</v>
      </c>
      <c r="H20" s="38">
        <f>G20*IF(AND(ISNUMBER(Допущения!$B$32),Допущения!$B$32&gt;0),Допущения!$B$32,NA())</f>
        <v>292008.09468750004</v>
      </c>
      <c r="I20" s="38">
        <f>H20*IF(AND(ISNUMBER(Допущения!$B$8),Допущения!$B$8&gt;=0,Допущения!$B$8&lt;=1),Допущения!$B$8,NA())</f>
        <v>2920.0809468750003</v>
      </c>
      <c r="J20" s="38">
        <f>G20*IF(AND(ISNUMBER(Допущения!$E$32),Допущения!$E$32&gt;=0),Допущения!$E$32,NA())</f>
        <v>20481.529687500002</v>
      </c>
      <c r="K20" s="38">
        <f>G20*IF(AND(ISNUMBER(Допущения!$F$32),Допущения!$F$32&gt;=0),Допущения!$F$32,NA())*IF(AND(ISNUMBER(Допущения!$B$7),Допущения!$B$7&gt;=0),Допущения!$B$7,NA())</f>
        <v>17555.596874999999</v>
      </c>
      <c r="L20" s="38">
        <f>F20*IF(AND(ISNUMBER(Допущения!$G$32),Допущения!$G$32&gt;=0),Допущения!$G$32,NA())*IF(AND(ISNUMBER(Допущения!$B$7),Допущения!$B$7&gt;=0),Допущения!$B$7,NA())</f>
        <v>14399.999999999998</v>
      </c>
      <c r="M20" s="20">
        <f t="shared" si="2"/>
        <v>236650.88717812503</v>
      </c>
    </row>
    <row r="21" spans="1:13" ht="24" customHeight="1">
      <c r="A21" s="3" t="s">
        <v>50</v>
      </c>
      <c r="B21" s="41" t="str">
        <f>Допущения!$A$30</f>
        <v>Старт</v>
      </c>
      <c r="C21" s="23">
        <f t="shared" si="3"/>
        <v>128.52716959999998</v>
      </c>
      <c r="D21" s="43">
        <f>IF(IF(AND(ISNUMBER(Допущения!$D$30),Допущения!$D$30&gt;=0,Допущения!$D$30&lt;=1),Допущения!$D$30,NA())*Допущения!$B$25&lt;=1,C21*IF(AND(ISNUMBER(Допущения!$D$30),Допущения!$D$30&gt;=0,Допущения!$D$30&lt;=1),Допущения!$D$30,NA())*Допущения!$B$25,NA())</f>
        <v>7.7116301759999981</v>
      </c>
      <c r="E21" s="23">
        <f t="shared" si="0"/>
        <v>120.81553942399998</v>
      </c>
      <c r="F21" s="43">
        <f>Привлечение!L21</f>
        <v>39.999999999999993</v>
      </c>
      <c r="G21" s="23">
        <f t="shared" si="1"/>
        <v>160.81553942399998</v>
      </c>
      <c r="H21" s="42">
        <f>G21*IF(AND(ISNUMBER(Допущения!$B$30),Допущения!$B$30&gt;0),Допущения!$B$30,NA())</f>
        <v>787996.14317759988</v>
      </c>
      <c r="I21" s="42">
        <f>H21*IF(AND(ISNUMBER(Допущения!$B$8),Допущения!$B$8&gt;=0,Допущения!$B$8&lt;=1),Допущения!$B$8,NA())</f>
        <v>7879.9614317759988</v>
      </c>
      <c r="J21" s="42">
        <f>G21*IF(AND(ISNUMBER(Допущения!$E$30),Допущения!$E$30&gt;=0),Допущения!$E$30,NA())</f>
        <v>48244.661827199991</v>
      </c>
      <c r="K21" s="42">
        <f>G21*IF(AND(ISNUMBER(Допущения!$F$30),Допущения!$F$30&gt;=0),Допущения!$F$30,NA())*IF(AND(ISNUMBER(Допущения!$B$7),Допущения!$B$7&gt;=0),Допущения!$B$7,NA())</f>
        <v>53069.128009919994</v>
      </c>
      <c r="L21" s="42">
        <f>F21*IF(AND(ISNUMBER(Допущения!$G$30),Допущения!$G$30&gt;=0),Допущения!$G$30,NA())*IF(AND(ISNUMBER(Допущения!$B$7),Допущения!$B$7&gt;=0),Допущения!$B$7,NA())</f>
        <v>19999.999999999996</v>
      </c>
      <c r="M21" s="21">
        <f t="shared" si="2"/>
        <v>658802.39190870384</v>
      </c>
    </row>
    <row r="22" spans="1:13" ht="24" customHeight="1">
      <c r="A22" s="1" t="s">
        <v>50</v>
      </c>
      <c r="B22" s="37" t="str">
        <f>Допущения!$A$31</f>
        <v>Команда</v>
      </c>
      <c r="C22" s="22">
        <f t="shared" si="3"/>
        <v>29.753141759999998</v>
      </c>
      <c r="D22" s="39">
        <f>IF(IF(AND(ISNUMBER(Допущения!$D$31),Допущения!$D$31&gt;=0,Допущения!$D$31&lt;=1),Допущения!$D$31,NA())*Допущения!$B$25&lt;=1,C22*IF(AND(ISNUMBER(Допущения!$D$31),Допущения!$D$31&gt;=0,Допущения!$D$31&lt;=1),Допущения!$D$31,NA())*Допущения!$B$25,NA())</f>
        <v>1.1901256704000001</v>
      </c>
      <c r="E22" s="22">
        <f t="shared" si="0"/>
        <v>28.563016089599998</v>
      </c>
      <c r="F22" s="39">
        <f>Привлечение!L22</f>
        <v>9</v>
      </c>
      <c r="G22" s="22">
        <f t="shared" si="1"/>
        <v>37.563016089599998</v>
      </c>
      <c r="H22" s="38">
        <f>G22*IF(AND(ISNUMBER(Допущения!$B$31),Допущения!$B$31&gt;0),Допущения!$B$31,NA())</f>
        <v>559688.93973503995</v>
      </c>
      <c r="I22" s="38">
        <f>H22*IF(AND(ISNUMBER(Допущения!$B$8),Допущения!$B$8&gt;=0,Допущения!$B$8&lt;=1),Допущения!$B$8,NA())</f>
        <v>5596.8893973504</v>
      </c>
      <c r="J22" s="38">
        <f>G22*IF(AND(ISNUMBER(Допущения!$E$31),Допущения!$E$31&gt;=0),Допущения!$E$31,NA())</f>
        <v>37563.016089599994</v>
      </c>
      <c r="K22" s="38">
        <f>G22*IF(AND(ISNUMBER(Допущения!$F$31),Допущения!$F$31&gt;=0),Допущения!$F$31,NA())*IF(AND(ISNUMBER(Допущения!$B$7),Допущения!$B$7&gt;=0),Допущения!$B$7,NA())</f>
        <v>37563.016089599994</v>
      </c>
      <c r="L22" s="38">
        <f>F22*IF(AND(ISNUMBER(Допущения!$G$31),Допущения!$G$31&gt;=0),Допущения!$G$31,NA())*IF(AND(ISNUMBER(Допущения!$B$7),Допущения!$B$7&gt;=0),Допущения!$B$7,NA())</f>
        <v>18000</v>
      </c>
      <c r="M22" s="20">
        <f t="shared" si="2"/>
        <v>460966.01815848955</v>
      </c>
    </row>
    <row r="23" spans="1:13" ht="24" customHeight="1">
      <c r="A23" s="3" t="s">
        <v>50</v>
      </c>
      <c r="B23" s="41" t="str">
        <f>Допущения!$A$32</f>
        <v>Бизнес</v>
      </c>
      <c r="C23" s="23">
        <f t="shared" si="3"/>
        <v>5.8518656250000003</v>
      </c>
      <c r="D23" s="43">
        <f>IF(IF(AND(ISNUMBER(Допущения!$D$32),Допущения!$D$32&gt;=0,Допущения!$D$32&lt;=1),Допущения!$D$32,NA())*Допущения!$B$25&lt;=1,C23*IF(AND(ISNUMBER(Допущения!$D$32),Допущения!$D$32&gt;=0,Допущения!$D$32&lt;=1),Допущения!$D$32,NA())*Допущения!$B$25,NA())</f>
        <v>0.146296640625</v>
      </c>
      <c r="E23" s="23">
        <f t="shared" si="0"/>
        <v>5.7055689843750006</v>
      </c>
      <c r="F23" s="43">
        <f>Привлечение!L23</f>
        <v>2.4</v>
      </c>
      <c r="G23" s="23">
        <f t="shared" si="1"/>
        <v>8.105568984375001</v>
      </c>
      <c r="H23" s="42">
        <f>G23*IF(AND(ISNUMBER(Допущения!$B$32),Допущения!$B$32&gt;0),Допущения!$B$32,NA())</f>
        <v>404467.89232031256</v>
      </c>
      <c r="I23" s="42">
        <f>H23*IF(AND(ISNUMBER(Допущения!$B$8),Допущения!$B$8&gt;=0,Допущения!$B$8&lt;=1),Допущения!$B$8,NA())</f>
        <v>4044.6789232031256</v>
      </c>
      <c r="J23" s="42">
        <f>G23*IF(AND(ISNUMBER(Допущения!$E$32),Допущения!$E$32&gt;=0),Допущения!$E$32,NA())</f>
        <v>28369.491445312502</v>
      </c>
      <c r="K23" s="42">
        <f>G23*IF(AND(ISNUMBER(Допущения!$F$32),Допущения!$F$32&gt;=0),Допущения!$F$32,NA())*IF(AND(ISNUMBER(Допущения!$B$7),Допущения!$B$7&gt;=0),Допущения!$B$7,NA())</f>
        <v>24316.706953125002</v>
      </c>
      <c r="L23" s="42">
        <f>F23*IF(AND(ISNUMBER(Допущения!$G$32),Допущения!$G$32&gt;=0),Допущения!$G$32,NA())*IF(AND(ISNUMBER(Допущения!$B$7),Допущения!$B$7&gt;=0),Допущения!$B$7,NA())</f>
        <v>14399.999999999998</v>
      </c>
      <c r="M23" s="21">
        <f t="shared" si="2"/>
        <v>333337.01499867195</v>
      </c>
    </row>
    <row r="24" spans="1:13" ht="24" customHeight="1">
      <c r="A24" s="1" t="s">
        <v>51</v>
      </c>
      <c r="B24" s="37" t="str">
        <f>Допущения!$A$30</f>
        <v>Старт</v>
      </c>
      <c r="C24" s="22">
        <f t="shared" si="3"/>
        <v>160.81553942399998</v>
      </c>
      <c r="D24" s="39">
        <f>IF(IF(AND(ISNUMBER(Допущения!$D$30),Допущения!$D$30&gt;=0,Допущения!$D$30&lt;=1),Допущения!$D$30,NA())*Допущения!$B$25&lt;=1,C24*IF(AND(ISNUMBER(Допущения!$D$30),Допущения!$D$30&gt;=0,Допущения!$D$30&lt;=1),Допущения!$D$30,NA())*Допущения!$B$25,NA())</f>
        <v>9.6489323654399985</v>
      </c>
      <c r="E24" s="22">
        <f t="shared" si="0"/>
        <v>151.16660705855998</v>
      </c>
      <c r="F24" s="39">
        <f>Привлечение!L24</f>
        <v>39.999999999999993</v>
      </c>
      <c r="G24" s="22">
        <f t="shared" si="1"/>
        <v>191.16660705855998</v>
      </c>
      <c r="H24" s="38">
        <f>G24*IF(AND(ISNUMBER(Допущения!$B$30),Допущения!$B$30&gt;0),Допущения!$B$30,NA())</f>
        <v>936716.37458694389</v>
      </c>
      <c r="I24" s="38">
        <f>H24*IF(AND(ISNUMBER(Допущения!$B$8),Допущения!$B$8&gt;=0,Допущения!$B$8&lt;=1),Допущения!$B$8,NA())</f>
        <v>9367.1637458694386</v>
      </c>
      <c r="J24" s="38">
        <f>G24*IF(AND(ISNUMBER(Допущения!$E$30),Допущения!$E$30&gt;=0),Допущения!$E$30,NA())</f>
        <v>57349.98211756799</v>
      </c>
      <c r="K24" s="38">
        <f>G24*IF(AND(ISNUMBER(Допущения!$F$30),Допущения!$F$30&gt;=0),Допущения!$F$30,NA())*IF(AND(ISNUMBER(Допущения!$B$7),Допущения!$B$7&gt;=0),Допущения!$B$7,NA())</f>
        <v>63084.98032932479</v>
      </c>
      <c r="L24" s="38">
        <f>F24*IF(AND(ISNUMBER(Допущения!$G$30),Допущения!$G$30&gt;=0),Допущения!$G$30,NA())*IF(AND(ISNUMBER(Допущения!$B$7),Допущения!$B$7&gt;=0),Допущения!$B$7,NA())</f>
        <v>19999.999999999996</v>
      </c>
      <c r="M24" s="20">
        <f t="shared" si="2"/>
        <v>786914.24839418172</v>
      </c>
    </row>
    <row r="25" spans="1:13" ht="24" customHeight="1">
      <c r="A25" s="3" t="s">
        <v>51</v>
      </c>
      <c r="B25" s="41" t="str">
        <f>Допущения!$A$31</f>
        <v>Команда</v>
      </c>
      <c r="C25" s="23">
        <f t="shared" si="3"/>
        <v>37.563016089599998</v>
      </c>
      <c r="D25" s="43">
        <f>IF(IF(AND(ISNUMBER(Допущения!$D$31),Допущения!$D$31&gt;=0,Допущения!$D$31&lt;=1),Допущения!$D$31,NA())*Допущения!$B$25&lt;=1,C25*IF(AND(ISNUMBER(Допущения!$D$31),Допущения!$D$31&gt;=0,Допущения!$D$31&lt;=1),Допущения!$D$31,NA())*Допущения!$B$25,NA())</f>
        <v>1.5025206435839999</v>
      </c>
      <c r="E25" s="23">
        <f t="shared" si="0"/>
        <v>36.060495446015999</v>
      </c>
      <c r="F25" s="43">
        <f>Привлечение!L25</f>
        <v>9</v>
      </c>
      <c r="G25" s="23">
        <f t="shared" si="1"/>
        <v>45.060495446015999</v>
      </c>
      <c r="H25" s="42">
        <f>G25*IF(AND(ISNUMBER(Допущения!$B$31),Допущения!$B$31&gt;0),Допущения!$B$31,NA())</f>
        <v>671401.38214563834</v>
      </c>
      <c r="I25" s="42">
        <f>H25*IF(AND(ISNUMBER(Допущения!$B$8),Допущения!$B$8&gt;=0,Допущения!$B$8&lt;=1),Допущения!$B$8,NA())</f>
        <v>6714.013821456384</v>
      </c>
      <c r="J25" s="42">
        <f>G25*IF(AND(ISNUMBER(Допущения!$E$31),Допущения!$E$31&gt;=0),Допущения!$E$31,NA())</f>
        <v>45060.495446016001</v>
      </c>
      <c r="K25" s="42">
        <f>G25*IF(AND(ISNUMBER(Допущения!$F$31),Допущения!$F$31&gt;=0),Допущения!$F$31,NA())*IF(AND(ISNUMBER(Допущения!$B$7),Допущения!$B$7&gt;=0),Допущения!$B$7,NA())</f>
        <v>45060.495446016001</v>
      </c>
      <c r="L25" s="42">
        <f>F25*IF(AND(ISNUMBER(Допущения!$G$31),Допущения!$G$31&gt;=0),Допущения!$G$31,NA())*IF(AND(ISNUMBER(Допущения!$B$7),Допущения!$B$7&gt;=0),Допущения!$B$7,NA())</f>
        <v>18000</v>
      </c>
      <c r="M25" s="21">
        <f t="shared" si="2"/>
        <v>556566.37743214995</v>
      </c>
    </row>
    <row r="26" spans="1:13" ht="24" customHeight="1">
      <c r="A26" s="1" t="s">
        <v>51</v>
      </c>
      <c r="B26" s="37" t="str">
        <f>Допущения!$A$32</f>
        <v>Бизнес</v>
      </c>
      <c r="C26" s="22">
        <f t="shared" si="3"/>
        <v>8.105568984375001</v>
      </c>
      <c r="D26" s="39">
        <f>IF(IF(AND(ISNUMBER(Допущения!$D$32),Допущения!$D$32&gt;=0,Допущения!$D$32&lt;=1),Допущения!$D$32,NA())*Допущения!$B$25&lt;=1,C26*IF(AND(ISNUMBER(Допущения!$D$32),Допущения!$D$32&gt;=0,Допущения!$D$32&lt;=1),Допущения!$D$32,NA())*Допущения!$B$25,NA())</f>
        <v>0.20263922460937503</v>
      </c>
      <c r="E26" s="22">
        <f t="shared" si="0"/>
        <v>7.9029297597656258</v>
      </c>
      <c r="F26" s="39">
        <f>Привлечение!L26</f>
        <v>2.4</v>
      </c>
      <c r="G26" s="22">
        <f t="shared" si="1"/>
        <v>10.302929759765625</v>
      </c>
      <c r="H26" s="38">
        <f>G26*IF(AND(ISNUMBER(Допущения!$B$32),Допущения!$B$32&gt;0),Допущения!$B$32,NA())</f>
        <v>514116.1950123047</v>
      </c>
      <c r="I26" s="38">
        <f>H26*IF(AND(ISNUMBER(Допущения!$B$8),Допущения!$B$8&gt;=0,Допущения!$B$8&lt;=1),Допущения!$B$8,NA())</f>
        <v>5141.1619501230471</v>
      </c>
      <c r="J26" s="38">
        <f>G26*IF(AND(ISNUMBER(Допущения!$E$32),Допущения!$E$32&gt;=0),Допущения!$E$32,NA())</f>
        <v>36060.254159179691</v>
      </c>
      <c r="K26" s="38">
        <f>G26*IF(AND(ISNUMBER(Допущения!$F$32),Допущения!$F$32&gt;=0),Допущения!$F$32,NA())*IF(AND(ISNUMBER(Допущения!$B$7),Допущения!$B$7&gt;=0),Допущения!$B$7,NA())</f>
        <v>30908.789279296874</v>
      </c>
      <c r="L26" s="38">
        <f>F26*IF(AND(ISNUMBER(Допущения!$G$32),Допущения!$G$32&gt;=0),Допущения!$G$32,NA())*IF(AND(ISNUMBER(Допущения!$B$7),Допущения!$B$7&gt;=0),Допущения!$B$7,NA())</f>
        <v>14399.999999999998</v>
      </c>
      <c r="M26" s="20">
        <f t="shared" si="2"/>
        <v>427605.9896237051</v>
      </c>
    </row>
    <row r="27" spans="1:13" ht="24" customHeight="1">
      <c r="A27" s="3" t="s">
        <v>52</v>
      </c>
      <c r="B27" s="41" t="str">
        <f>Допущения!$A$30</f>
        <v>Старт</v>
      </c>
      <c r="C27" s="23">
        <f t="shared" si="3"/>
        <v>191.16660705855998</v>
      </c>
      <c r="D27" s="43">
        <f>IF(IF(AND(ISNUMBER(Допущения!$D$30),Допущения!$D$30&gt;=0,Допущения!$D$30&lt;=1),Допущения!$D$30,NA())*Допущения!$B$25&lt;=1,C27*IF(AND(ISNUMBER(Допущения!$D$30),Допущения!$D$30&gt;=0,Допущения!$D$30&lt;=1),Допущения!$D$30,NA())*Допущения!$B$25,NA())</f>
        <v>11.469996423513598</v>
      </c>
      <c r="E27" s="23">
        <f t="shared" si="0"/>
        <v>179.69661063504637</v>
      </c>
      <c r="F27" s="43">
        <f>Привлечение!L27</f>
        <v>39.999999999999993</v>
      </c>
      <c r="G27" s="23">
        <f t="shared" si="1"/>
        <v>219.69661063504637</v>
      </c>
      <c r="H27" s="42">
        <f>G27*IF(AND(ISNUMBER(Допущения!$B$30),Допущения!$B$30&gt;0),Допущения!$B$30,NA())</f>
        <v>1076513.3921117273</v>
      </c>
      <c r="I27" s="42">
        <f>H27*IF(AND(ISNUMBER(Допущения!$B$8),Допущения!$B$8&gt;=0,Допущения!$B$8&lt;=1),Допущения!$B$8,NA())</f>
        <v>10765.133921117273</v>
      </c>
      <c r="J27" s="42">
        <f>G27*IF(AND(ISNUMBER(Допущения!$E$30),Допущения!$E$30&gt;=0),Допущения!$E$30,NA())</f>
        <v>65908.983190513914</v>
      </c>
      <c r="K27" s="42">
        <f>G27*IF(AND(ISNUMBER(Допущения!$F$30),Допущения!$F$30&gt;=0),Допущения!$F$30,NA())*IF(AND(ISNUMBER(Допущения!$B$7),Допущения!$B$7&gt;=0),Допущения!$B$7,NA())</f>
        <v>72499.881509565297</v>
      </c>
      <c r="L27" s="42">
        <f>F27*IF(AND(ISNUMBER(Допущения!$G$30),Допущения!$G$30&gt;=0),Допущения!$G$30,NA())*IF(AND(ISNUMBER(Допущения!$B$7),Допущения!$B$7&gt;=0),Допущения!$B$7,NA())</f>
        <v>19999.999999999996</v>
      </c>
      <c r="M27" s="21">
        <f t="shared" si="2"/>
        <v>907339.39349053078</v>
      </c>
    </row>
    <row r="28" spans="1:13" ht="24" customHeight="1">
      <c r="A28" s="1" t="s">
        <v>52</v>
      </c>
      <c r="B28" s="37" t="str">
        <f>Допущения!$A$31</f>
        <v>Команда</v>
      </c>
      <c r="C28" s="22">
        <f t="shared" si="3"/>
        <v>45.060495446015999</v>
      </c>
      <c r="D28" s="39">
        <f>IF(IF(AND(ISNUMBER(Допущения!$D$31),Допущения!$D$31&gt;=0,Допущения!$D$31&lt;=1),Допущения!$D$31,NA())*Допущения!$B$25&lt;=1,C28*IF(AND(ISNUMBER(Допущения!$D$31),Допущения!$D$31&gt;=0,Допущения!$D$31&lt;=1),Допущения!$D$31,NA())*Допущения!$B$25,NA())</f>
        <v>1.8024198178406401</v>
      </c>
      <c r="E28" s="22">
        <f t="shared" si="0"/>
        <v>43.258075628175362</v>
      </c>
      <c r="F28" s="39">
        <f>Привлечение!L28</f>
        <v>9</v>
      </c>
      <c r="G28" s="22">
        <f t="shared" si="1"/>
        <v>52.258075628175362</v>
      </c>
      <c r="H28" s="38">
        <f>G28*IF(AND(ISNUMBER(Допущения!$B$31),Допущения!$B$31&gt;0),Допущения!$B$31,NA())</f>
        <v>778645.32685981295</v>
      </c>
      <c r="I28" s="38">
        <f>H28*IF(AND(ISNUMBER(Допущения!$B$8),Допущения!$B$8&gt;=0,Допущения!$B$8&lt;=1),Допущения!$B$8,NA())</f>
        <v>7786.4532685981294</v>
      </c>
      <c r="J28" s="38">
        <f>G28*IF(AND(ISNUMBER(Допущения!$E$31),Допущения!$E$31&gt;=0),Допущения!$E$31,NA())</f>
        <v>52258.075628175364</v>
      </c>
      <c r="K28" s="38">
        <f>G28*IF(AND(ISNUMBER(Допущения!$F$31),Допущения!$F$31&gt;=0),Допущения!$F$31,NA())*IF(AND(ISNUMBER(Допущения!$B$7),Допущения!$B$7&gt;=0),Допущения!$B$7,NA())</f>
        <v>52258.075628175364</v>
      </c>
      <c r="L28" s="38">
        <f>F28*IF(AND(ISNUMBER(Допущения!$G$31),Допущения!$G$31&gt;=0),Допущения!$G$31,NA())*IF(AND(ISNUMBER(Допущения!$B$7),Допущения!$B$7&gt;=0),Допущения!$B$7,NA())</f>
        <v>18000</v>
      </c>
      <c r="M28" s="20">
        <f t="shared" si="2"/>
        <v>648342.72233486408</v>
      </c>
    </row>
    <row r="29" spans="1:13" ht="24" customHeight="1">
      <c r="A29" s="3" t="s">
        <v>52</v>
      </c>
      <c r="B29" s="41" t="str">
        <f>Допущения!$A$32</f>
        <v>Бизнес</v>
      </c>
      <c r="C29" s="23">
        <f t="shared" si="3"/>
        <v>10.302929759765625</v>
      </c>
      <c r="D29" s="43">
        <f>IF(IF(AND(ISNUMBER(Допущения!$D$32),Допущения!$D$32&gt;=0,Допущения!$D$32&lt;=1),Допущения!$D$32,NA())*Допущения!$B$25&lt;=1,C29*IF(AND(ISNUMBER(Допущения!$D$32),Допущения!$D$32&gt;=0,Допущения!$D$32&lt;=1),Допущения!$D$32,NA())*Допущения!$B$25,NA())</f>
        <v>0.25757324399414067</v>
      </c>
      <c r="E29" s="23">
        <f t="shared" si="0"/>
        <v>10.045356515771484</v>
      </c>
      <c r="F29" s="43">
        <f>Привлечение!L29</f>
        <v>2.4</v>
      </c>
      <c r="G29" s="23">
        <f t="shared" si="1"/>
        <v>12.445356515771484</v>
      </c>
      <c r="H29" s="42">
        <f>G29*IF(AND(ISNUMBER(Допущения!$B$32),Допущения!$B$32&gt;0),Допущения!$B$32,NA())</f>
        <v>621023.29013699712</v>
      </c>
      <c r="I29" s="42">
        <f>H29*IF(AND(ISNUMBER(Допущения!$B$8),Допущения!$B$8&gt;=0,Допущения!$B$8&lt;=1),Допущения!$B$8,NA())</f>
        <v>6210.2329013699709</v>
      </c>
      <c r="J29" s="42">
        <f>G29*IF(AND(ISNUMBER(Допущения!$E$32),Допущения!$E$32&gt;=0),Допущения!$E$32,NA())</f>
        <v>43558.747805200197</v>
      </c>
      <c r="K29" s="42">
        <f>G29*IF(AND(ISNUMBER(Допущения!$F$32),Допущения!$F$32&gt;=0),Допущения!$F$32,NA())*IF(AND(ISNUMBER(Допущения!$B$7),Допущения!$B$7&gt;=0),Допущения!$B$7,NA())</f>
        <v>37336.069547314451</v>
      </c>
      <c r="L29" s="42">
        <f>F29*IF(AND(ISNUMBER(Допущения!$G$32),Допущения!$G$32&gt;=0),Допущения!$G$32,NA())*IF(AND(ISNUMBER(Допущения!$B$7),Допущения!$B$7&gt;=0),Допущения!$B$7,NA())</f>
        <v>14399.999999999998</v>
      </c>
      <c r="M29" s="21">
        <f t="shared" si="2"/>
        <v>519518.23988311249</v>
      </c>
    </row>
    <row r="30" spans="1:13" ht="24" customHeight="1">
      <c r="A30" s="1" t="s">
        <v>53</v>
      </c>
      <c r="B30" s="37" t="str">
        <f>Допущения!$A$30</f>
        <v>Старт</v>
      </c>
      <c r="C30" s="22">
        <f t="shared" si="3"/>
        <v>219.69661063504637</v>
      </c>
      <c r="D30" s="39">
        <f>IF(IF(AND(ISNUMBER(Допущения!$D$30),Допущения!$D$30&gt;=0,Допущения!$D$30&lt;=1),Допущения!$D$30,NA())*Допущения!$B$25&lt;=1,C30*IF(AND(ISNUMBER(Допущения!$D$30),Допущения!$D$30&gt;=0,Допущения!$D$30&lt;=1),Допущения!$D$30,NA())*Допущения!$B$25,NA())</f>
        <v>13.181796638102782</v>
      </c>
      <c r="E30" s="22">
        <f t="shared" si="0"/>
        <v>206.51481399694359</v>
      </c>
      <c r="F30" s="39">
        <f>Привлечение!L30</f>
        <v>39.999999999999993</v>
      </c>
      <c r="G30" s="22">
        <f t="shared" si="1"/>
        <v>246.51481399694359</v>
      </c>
      <c r="H30" s="38">
        <f>G30*IF(AND(ISNUMBER(Допущения!$B$30),Допущения!$B$30&gt;0),Допущения!$B$30,NA())</f>
        <v>1207922.5885850235</v>
      </c>
      <c r="I30" s="38">
        <f>H30*IF(AND(ISNUMBER(Допущения!$B$8),Допущения!$B$8&gt;=0,Допущения!$B$8&lt;=1),Допущения!$B$8,NA())</f>
        <v>12079.225885850235</v>
      </c>
      <c r="J30" s="38">
        <f>G30*IF(AND(ISNUMBER(Допущения!$E$30),Допущения!$E$30&gt;=0),Допущения!$E$30,NA())</f>
        <v>73954.444199083082</v>
      </c>
      <c r="K30" s="38">
        <f>G30*IF(AND(ISNUMBER(Допущения!$F$30),Допущения!$F$30&gt;=0),Допущения!$F$30,NA())*IF(AND(ISNUMBER(Допущения!$B$7),Допущения!$B$7&gt;=0),Допущения!$B$7,NA())</f>
        <v>81349.88861899139</v>
      </c>
      <c r="L30" s="38">
        <f>F30*IF(AND(ISNUMBER(Допущения!$G$30),Допущения!$G$30&gt;=0),Допущения!$G$30,NA())*IF(AND(ISNUMBER(Допущения!$B$7),Допущения!$B$7&gt;=0),Допущения!$B$7,NA())</f>
        <v>19999.999999999996</v>
      </c>
      <c r="M30" s="20">
        <f t="shared" si="2"/>
        <v>1020539.0298810988</v>
      </c>
    </row>
    <row r="31" spans="1:13" ht="24" customHeight="1">
      <c r="A31" s="3" t="s">
        <v>53</v>
      </c>
      <c r="B31" s="41" t="str">
        <f>Допущения!$A$31</f>
        <v>Команда</v>
      </c>
      <c r="C31" s="23">
        <f t="shared" si="3"/>
        <v>52.258075628175362</v>
      </c>
      <c r="D31" s="43">
        <f>IF(IF(AND(ISNUMBER(Допущения!$D$31),Допущения!$D$31&gt;=0,Допущения!$D$31&lt;=1),Допущения!$D$31,NA())*Допущения!$B$25&lt;=1,C31*IF(AND(ISNUMBER(Допущения!$D$31),Допущения!$D$31&gt;=0,Допущения!$D$31&lt;=1),Допущения!$D$31,NA())*Допущения!$B$25,NA())</f>
        <v>2.0903230251270144</v>
      </c>
      <c r="E31" s="23">
        <f t="shared" si="0"/>
        <v>50.167752603048349</v>
      </c>
      <c r="F31" s="43">
        <f>Привлечение!L31</f>
        <v>9</v>
      </c>
      <c r="G31" s="23">
        <f t="shared" si="1"/>
        <v>59.167752603048349</v>
      </c>
      <c r="H31" s="42">
        <f>G31*IF(AND(ISNUMBER(Допущения!$B$31),Допущения!$B$31&gt;0),Допущения!$B$31,NA())</f>
        <v>881599.51378542045</v>
      </c>
      <c r="I31" s="42">
        <f>H31*IF(AND(ISNUMBER(Допущения!$B$8),Допущения!$B$8&gt;=0,Допущения!$B$8&lt;=1),Допущения!$B$8,NA())</f>
        <v>8815.9951378542046</v>
      </c>
      <c r="J31" s="42">
        <f>G31*IF(AND(ISNUMBER(Допущения!$E$31),Допущения!$E$31&gt;=0),Допущения!$E$31,NA())</f>
        <v>59167.75260304835</v>
      </c>
      <c r="K31" s="42">
        <f>G31*IF(AND(ISNUMBER(Допущения!$F$31),Допущения!$F$31&gt;=0),Допущения!$F$31,NA())*IF(AND(ISNUMBER(Допущения!$B$7),Допущения!$B$7&gt;=0),Допущения!$B$7,NA())</f>
        <v>59167.75260304835</v>
      </c>
      <c r="L31" s="42">
        <f>F31*IF(AND(ISNUMBER(Допущения!$G$31),Допущения!$G$31&gt;=0),Допущения!$G$31,NA())*IF(AND(ISNUMBER(Допущения!$B$7),Допущения!$B$7&gt;=0),Допущения!$B$7,NA())</f>
        <v>18000</v>
      </c>
      <c r="M31" s="21">
        <f t="shared" si="2"/>
        <v>736448.01344146952</v>
      </c>
    </row>
    <row r="32" spans="1:13" ht="24" customHeight="1">
      <c r="A32" s="1" t="s">
        <v>53</v>
      </c>
      <c r="B32" s="37" t="str">
        <f>Допущения!$A$32</f>
        <v>Бизнес</v>
      </c>
      <c r="C32" s="22">
        <f t="shared" si="3"/>
        <v>12.445356515771484</v>
      </c>
      <c r="D32" s="39">
        <f>IF(IF(AND(ISNUMBER(Допущения!$D$32),Допущения!$D$32&gt;=0,Допущения!$D$32&lt;=1),Допущения!$D$32,NA())*Допущения!$B$25&lt;=1,C32*IF(AND(ISNUMBER(Допущения!$D$32),Допущения!$D$32&gt;=0,Допущения!$D$32&lt;=1),Допущения!$D$32,NA())*Допущения!$B$25,NA())</f>
        <v>0.31113391289428716</v>
      </c>
      <c r="E32" s="22">
        <f t="shared" si="0"/>
        <v>12.134222602877198</v>
      </c>
      <c r="F32" s="39">
        <f>Привлечение!L32</f>
        <v>2.4</v>
      </c>
      <c r="G32" s="22">
        <f t="shared" si="1"/>
        <v>14.534222602877199</v>
      </c>
      <c r="H32" s="38">
        <f>G32*IF(AND(ISNUMBER(Допущения!$B$32),Допущения!$B$32&gt;0),Допущения!$B$32,NA())</f>
        <v>725257.70788357221</v>
      </c>
      <c r="I32" s="38">
        <f>H32*IF(AND(ISNUMBER(Допущения!$B$8),Допущения!$B$8&gt;=0,Допущения!$B$8&lt;=1),Допущения!$B$8,NA())</f>
        <v>7252.5770788357222</v>
      </c>
      <c r="J32" s="38">
        <f>G32*IF(AND(ISNUMBER(Допущения!$E$32),Допущения!$E$32&gt;=0),Допущения!$E$32,NA())</f>
        <v>50869.779110070194</v>
      </c>
      <c r="K32" s="38">
        <f>G32*IF(AND(ISNUMBER(Допущения!$F$32),Допущения!$F$32&gt;=0),Допущения!$F$32,NA())*IF(AND(ISNUMBER(Допущения!$B$7),Допущения!$B$7&gt;=0),Допущения!$B$7,NA())</f>
        <v>43602.667808631595</v>
      </c>
      <c r="L32" s="38">
        <f>F32*IF(AND(ISNUMBER(Допущения!$G$32),Допущения!$G$32&gt;=0),Допущения!$G$32,NA())*IF(AND(ISNUMBER(Допущения!$B$7),Допущения!$B$7&gt;=0),Допущения!$B$7,NA())</f>
        <v>14399.999999999998</v>
      </c>
      <c r="M32" s="20">
        <f t="shared" si="2"/>
        <v>609132.68388603465</v>
      </c>
    </row>
    <row r="33" spans="1:13" ht="24" customHeight="1">
      <c r="A33" s="3" t="s">
        <v>54</v>
      </c>
      <c r="B33" s="41" t="str">
        <f>Допущения!$A$30</f>
        <v>Старт</v>
      </c>
      <c r="C33" s="23">
        <f t="shared" si="3"/>
        <v>246.51481399694359</v>
      </c>
      <c r="D33" s="43">
        <f>IF(IF(AND(ISNUMBER(Допущения!$D$30),Допущения!$D$30&gt;=0,Допущения!$D$30&lt;=1),Допущения!$D$30,NA())*Допущения!$B$25&lt;=1,C33*IF(AND(ISNUMBER(Допущения!$D$30),Допущения!$D$30&gt;=0,Допущения!$D$30&lt;=1),Допущения!$D$30,NA())*Допущения!$B$25,NA())</f>
        <v>14.790888839816615</v>
      </c>
      <c r="E33" s="23">
        <f t="shared" si="0"/>
        <v>231.72392515712698</v>
      </c>
      <c r="F33" s="43">
        <f>Привлечение!L33</f>
        <v>39.999999999999993</v>
      </c>
      <c r="G33" s="23">
        <f t="shared" si="1"/>
        <v>271.72392515712698</v>
      </c>
      <c r="H33" s="42">
        <f>G33*IF(AND(ISNUMBER(Допущения!$B$30),Допущения!$B$30&gt;0),Допущения!$B$30,NA())</f>
        <v>1331447.2332699222</v>
      </c>
      <c r="I33" s="42">
        <f>H33*IF(AND(ISNUMBER(Допущения!$B$8),Допущения!$B$8&gt;=0,Допущения!$B$8&lt;=1),Допущения!$B$8,NA())</f>
        <v>13314.472332699223</v>
      </c>
      <c r="J33" s="42">
        <f>G33*IF(AND(ISNUMBER(Допущения!$E$30),Допущения!$E$30&gt;=0),Допущения!$E$30,NA())</f>
        <v>81517.177547138097</v>
      </c>
      <c r="K33" s="42">
        <f>G33*IF(AND(ISNUMBER(Допущения!$F$30),Допущения!$F$30&gt;=0),Допущения!$F$30,NA())*IF(AND(ISNUMBER(Допущения!$B$7),Допущения!$B$7&gt;=0),Допущения!$B$7,NA())</f>
        <v>89668.89530185191</v>
      </c>
      <c r="L33" s="42">
        <f>F33*IF(AND(ISNUMBER(Допущения!$G$30),Допущения!$G$30&gt;=0),Допущения!$G$30,NA())*IF(AND(ISNUMBER(Допущения!$B$7),Допущения!$B$7&gt;=0),Допущения!$B$7,NA())</f>
        <v>19999.999999999996</v>
      </c>
      <c r="M33" s="21">
        <f t="shared" si="2"/>
        <v>1126946.6880882329</v>
      </c>
    </row>
    <row r="34" spans="1:13" ht="24" customHeight="1">
      <c r="A34" s="1" t="s">
        <v>54</v>
      </c>
      <c r="B34" s="37" t="str">
        <f>Допущения!$A$31</f>
        <v>Команда</v>
      </c>
      <c r="C34" s="22">
        <f t="shared" si="3"/>
        <v>59.167752603048349</v>
      </c>
      <c r="D34" s="39">
        <f>IF(IF(AND(ISNUMBER(Допущения!$D$31),Допущения!$D$31&gt;=0,Допущения!$D$31&lt;=1),Допущения!$D$31,NA())*Допущения!$B$25&lt;=1,C34*IF(AND(ISNUMBER(Допущения!$D$31),Допущения!$D$31&gt;=0,Допущения!$D$31&lt;=1),Допущения!$D$31,NA())*Допущения!$B$25,NA())</f>
        <v>2.3667101041219341</v>
      </c>
      <c r="E34" s="22">
        <f t="shared" si="0"/>
        <v>56.801042498926414</v>
      </c>
      <c r="F34" s="39">
        <f>Привлечение!L34</f>
        <v>9</v>
      </c>
      <c r="G34" s="22">
        <f t="shared" si="1"/>
        <v>65.801042498926421</v>
      </c>
      <c r="H34" s="38">
        <f>G34*IF(AND(ISNUMBER(Допущения!$B$31),Допущения!$B$31&gt;0),Допущения!$B$31,NA())</f>
        <v>980435.5332340037</v>
      </c>
      <c r="I34" s="38">
        <f>H34*IF(AND(ISNUMBER(Допущения!$B$8),Допущения!$B$8&gt;=0,Допущения!$B$8&lt;=1),Допущения!$B$8,NA())</f>
        <v>9804.3553323400374</v>
      </c>
      <c r="J34" s="38">
        <f>G34*IF(AND(ISNUMBER(Допущения!$E$31),Допущения!$E$31&gt;=0),Допущения!$E$31,NA())</f>
        <v>65801.042498926414</v>
      </c>
      <c r="K34" s="38">
        <f>G34*IF(AND(ISNUMBER(Допущения!$F$31),Допущения!$F$31&gt;=0),Допущения!$F$31,NA())*IF(AND(ISNUMBER(Допущения!$B$7),Допущения!$B$7&gt;=0),Допущения!$B$7,NA())</f>
        <v>65801.042498926414</v>
      </c>
      <c r="L34" s="38">
        <f>F34*IF(AND(ISNUMBER(Допущения!$G$31),Допущения!$G$31&gt;=0),Допущения!$G$31,NA())*IF(AND(ISNUMBER(Допущения!$B$7),Допущения!$B$7&gt;=0),Допущения!$B$7,NA())</f>
        <v>18000</v>
      </c>
      <c r="M34" s="20">
        <f t="shared" si="2"/>
        <v>821029.09290381079</v>
      </c>
    </row>
    <row r="35" spans="1:13" ht="24" customHeight="1">
      <c r="A35" s="3" t="s">
        <v>54</v>
      </c>
      <c r="B35" s="41" t="str">
        <f>Допущения!$A$32</f>
        <v>Бизнес</v>
      </c>
      <c r="C35" s="23">
        <f t="shared" si="3"/>
        <v>14.534222602877199</v>
      </c>
      <c r="D35" s="43">
        <f>IF(IF(AND(ISNUMBER(Допущения!$D$32),Допущения!$D$32&gt;=0,Допущения!$D$32&lt;=1),Допущения!$D$32,NA())*Допущения!$B$25&lt;=1,C35*IF(AND(ISNUMBER(Допущения!$D$32),Допущения!$D$32&gt;=0,Допущения!$D$32&lt;=1),Допущения!$D$32,NA())*Допущения!$B$25,NA())</f>
        <v>0.36335556507193001</v>
      </c>
      <c r="E35" s="23">
        <f t="shared" si="0"/>
        <v>14.170867037805269</v>
      </c>
      <c r="F35" s="43">
        <f>Привлечение!L35</f>
        <v>2.4</v>
      </c>
      <c r="G35" s="23">
        <f t="shared" si="1"/>
        <v>16.570867037805268</v>
      </c>
      <c r="H35" s="42">
        <f>G35*IF(AND(ISNUMBER(Допущения!$B$32),Допущения!$B$32&gt;0),Допущения!$B$32,NA())</f>
        <v>826886.26518648292</v>
      </c>
      <c r="I35" s="42">
        <f>H35*IF(AND(ISNUMBER(Допущения!$B$8),Допущения!$B$8&gt;=0,Допущения!$B$8&lt;=1),Допущения!$B$8,NA())</f>
        <v>8268.8626518648289</v>
      </c>
      <c r="J35" s="42">
        <f>G35*IF(AND(ISNUMBER(Допущения!$E$32),Допущения!$E$32&gt;=0),Допущения!$E$32,NA())</f>
        <v>57998.034632318435</v>
      </c>
      <c r="K35" s="42">
        <f>G35*IF(AND(ISNUMBER(Допущения!$F$32),Допущения!$F$32&gt;=0),Допущения!$F$32,NA())*IF(AND(ISNUMBER(Допущения!$B$7),Допущения!$B$7&gt;=0),Допущения!$B$7,NA())</f>
        <v>49712.601113415803</v>
      </c>
      <c r="L35" s="42">
        <f>F35*IF(AND(ISNUMBER(Допущения!$G$32),Допущения!$G$32&gt;=0),Допущения!$G$32,NA())*IF(AND(ISNUMBER(Допущения!$B$7),Допущения!$B$7&gt;=0),Допущения!$B$7,NA())</f>
        <v>14399.999999999998</v>
      </c>
      <c r="M35" s="21">
        <f t="shared" si="2"/>
        <v>696506.76678888383</v>
      </c>
    </row>
    <row r="36" spans="1:13" ht="24" customHeight="1">
      <c r="A36" s="1" t="s">
        <v>55</v>
      </c>
      <c r="B36" s="37" t="str">
        <f>Допущения!$A$30</f>
        <v>Старт</v>
      </c>
      <c r="C36" s="22">
        <f t="shared" si="3"/>
        <v>271.72392515712698</v>
      </c>
      <c r="D36" s="39">
        <f>IF(IF(AND(ISNUMBER(Допущения!$D$30),Допущения!$D$30&gt;=0,Допущения!$D$30&lt;=1),Допущения!$D$30,NA())*Допущения!$B$25&lt;=1,C36*IF(AND(ISNUMBER(Допущения!$D$30),Допущения!$D$30&gt;=0,Допущения!$D$30&lt;=1),Допущения!$D$30,NA())*Допущения!$B$25,NA())</f>
        <v>16.303435509427619</v>
      </c>
      <c r="E36" s="22">
        <f t="shared" si="0"/>
        <v>255.42048964769936</v>
      </c>
      <c r="F36" s="39">
        <f>Привлечение!L36</f>
        <v>39.999999999999993</v>
      </c>
      <c r="G36" s="22">
        <f t="shared" si="1"/>
        <v>295.42048964769936</v>
      </c>
      <c r="H36" s="38">
        <f>G36*IF(AND(ISNUMBER(Допущения!$B$30),Допущения!$B$30&gt;0),Допущения!$B$30,NA())</f>
        <v>1447560.3992737269</v>
      </c>
      <c r="I36" s="38">
        <f>H36*IF(AND(ISNUMBER(Допущения!$B$8),Допущения!$B$8&gt;=0,Допущения!$B$8&lt;=1),Допущения!$B$8,NA())</f>
        <v>14475.603992737269</v>
      </c>
      <c r="J36" s="38">
        <f>G36*IF(AND(ISNUMBER(Допущения!$E$30),Допущения!$E$30&gt;=0),Допущения!$E$30,NA())</f>
        <v>88626.146894309801</v>
      </c>
      <c r="K36" s="38">
        <f>G36*IF(AND(ISNUMBER(Допущения!$F$30),Допущения!$F$30&gt;=0),Допущения!$F$30,NA())*IF(AND(ISNUMBER(Допущения!$B$7),Допущения!$B$7&gt;=0),Допущения!$B$7,NA())</f>
        <v>97488.761583740794</v>
      </c>
      <c r="L36" s="38">
        <f>F36*IF(AND(ISNUMBER(Допущения!$G$30),Допущения!$G$30&gt;=0),Допущения!$G$30,NA())*IF(AND(ISNUMBER(Допущения!$B$7),Допущения!$B$7&gt;=0),Допущения!$B$7,NA())</f>
        <v>19999.999999999996</v>
      </c>
      <c r="M36" s="20">
        <f t="shared" si="2"/>
        <v>1226969.886802939</v>
      </c>
    </row>
    <row r="37" spans="1:13" ht="24" customHeight="1">
      <c r="A37" s="3" t="s">
        <v>55</v>
      </c>
      <c r="B37" s="41" t="str">
        <f>Допущения!$A$31</f>
        <v>Команда</v>
      </c>
      <c r="C37" s="23">
        <f t="shared" si="3"/>
        <v>65.801042498926421</v>
      </c>
      <c r="D37" s="43">
        <f>IF(IF(AND(ISNUMBER(Допущения!$D$31),Допущения!$D$31&gt;=0,Допущения!$D$31&lt;=1),Допущения!$D$31,NA())*Допущения!$B$25&lt;=1,C37*IF(AND(ISNUMBER(Допущения!$D$31),Допущения!$D$31&gt;=0,Допущения!$D$31&lt;=1),Допущения!$D$31,NA())*Допущения!$B$25,NA())</f>
        <v>2.6320416999570568</v>
      </c>
      <c r="E37" s="23">
        <f t="shared" si="0"/>
        <v>63.169000798969364</v>
      </c>
      <c r="F37" s="43">
        <f>Привлечение!L37</f>
        <v>9</v>
      </c>
      <c r="G37" s="23">
        <f t="shared" si="1"/>
        <v>72.169000798969364</v>
      </c>
      <c r="H37" s="42">
        <f>G37*IF(AND(ISNUMBER(Допущения!$B$31),Допущения!$B$31&gt;0),Допущения!$B$31,NA())</f>
        <v>1075318.1119046435</v>
      </c>
      <c r="I37" s="42">
        <f>H37*IF(AND(ISNUMBER(Допущения!$B$8),Допущения!$B$8&gt;=0,Допущения!$B$8&lt;=1),Допущения!$B$8,NA())</f>
        <v>10753.181119046434</v>
      </c>
      <c r="J37" s="42">
        <f>G37*IF(AND(ISNUMBER(Допущения!$E$31),Допущения!$E$31&gt;=0),Допущения!$E$31,NA())</f>
        <v>72169.000798969369</v>
      </c>
      <c r="K37" s="42">
        <f>G37*IF(AND(ISNUMBER(Допущения!$F$31),Допущения!$F$31&gt;=0),Допущения!$F$31,NA())*IF(AND(ISNUMBER(Допущения!$B$7),Допущения!$B$7&gt;=0),Допущения!$B$7,NA())</f>
        <v>72169.000798969369</v>
      </c>
      <c r="L37" s="42">
        <f>F37*IF(AND(ISNUMBER(Допущения!$G$31),Допущения!$G$31&gt;=0),Допущения!$G$31,NA())*IF(AND(ISNUMBER(Допущения!$B$7),Допущения!$B$7&gt;=0),Допущения!$B$7,NA())</f>
        <v>18000</v>
      </c>
      <c r="M37" s="21">
        <f t="shared" si="2"/>
        <v>902226.92918765824</v>
      </c>
    </row>
    <row r="38" spans="1:13" ht="24" customHeight="1">
      <c r="A38" s="1" t="s">
        <v>55</v>
      </c>
      <c r="B38" s="37" t="str">
        <f>Допущения!$A$32</f>
        <v>Бизнес</v>
      </c>
      <c r="C38" s="22">
        <f t="shared" si="3"/>
        <v>16.570867037805268</v>
      </c>
      <c r="D38" s="39">
        <f>IF(IF(AND(ISNUMBER(Допущения!$D$32),Допущения!$D$32&gt;=0,Допущения!$D$32&lt;=1),Допущения!$D$32,NA())*Допущения!$B$25&lt;=1,C38*IF(AND(ISNUMBER(Допущения!$D$32),Допущения!$D$32&gt;=0,Допущения!$D$32&lt;=1),Допущения!$D$32,NA())*Допущения!$B$25,NA())</f>
        <v>0.4142716759451317</v>
      </c>
      <c r="E38" s="22">
        <f t="shared" si="0"/>
        <v>16.156595361860138</v>
      </c>
      <c r="F38" s="39">
        <f>Привлечение!L38</f>
        <v>2.4</v>
      </c>
      <c r="G38" s="22">
        <f t="shared" si="1"/>
        <v>18.556595361860136</v>
      </c>
      <c r="H38" s="38">
        <f>G38*IF(AND(ISNUMBER(Допущения!$B$32),Допущения!$B$32&gt;0),Допущения!$B$32,NA())</f>
        <v>925974.10855682078</v>
      </c>
      <c r="I38" s="38">
        <f>H38*IF(AND(ISNUMBER(Допущения!$B$8),Допущения!$B$8&gt;=0,Допущения!$B$8&lt;=1),Допущения!$B$8,NA())</f>
        <v>9259.7410855682083</v>
      </c>
      <c r="J38" s="38">
        <f>G38*IF(AND(ISNUMBER(Допущения!$E$32),Допущения!$E$32&gt;=0),Допущения!$E$32,NA())</f>
        <v>64948.083766510477</v>
      </c>
      <c r="K38" s="38">
        <f>G38*IF(AND(ISNUMBER(Допущения!$F$32),Допущения!$F$32&gt;=0),Допущения!$F$32,NA())*IF(AND(ISNUMBER(Допущения!$B$7),Допущения!$B$7&gt;=0),Допущения!$B$7,NA())</f>
        <v>55669.78608558041</v>
      </c>
      <c r="L38" s="38">
        <f>F38*IF(AND(ISNUMBER(Допущения!$G$32),Допущения!$G$32&gt;=0),Допущения!$G$32,NA())*IF(AND(ISNUMBER(Допущения!$B$7),Допущения!$B$7&gt;=0),Допущения!$B$7,NA())</f>
        <v>14399.999999999998</v>
      </c>
      <c r="M38" s="20">
        <f t="shared" si="2"/>
        <v>781696.49761916162</v>
      </c>
    </row>
    <row r="39" spans="1:13" ht="24" customHeight="1">
      <c r="A39" s="3" t="s">
        <v>56</v>
      </c>
      <c r="B39" s="41" t="str">
        <f>Допущения!$A$30</f>
        <v>Старт</v>
      </c>
      <c r="C39" s="23">
        <f t="shared" si="3"/>
        <v>295.42048964769936</v>
      </c>
      <c r="D39" s="43">
        <f>IF(IF(AND(ISNUMBER(Допущения!$D$30),Допущения!$D$30&gt;=0,Допущения!$D$30&lt;=1),Допущения!$D$30,NA())*Допущения!$B$25&lt;=1,C39*IF(AND(ISNUMBER(Допущения!$D$30),Допущения!$D$30&gt;=0,Допущения!$D$30&lt;=1),Допущения!$D$30,NA())*Допущения!$B$25,NA())</f>
        <v>17.725229378861961</v>
      </c>
      <c r="E39" s="23">
        <f t="shared" si="0"/>
        <v>277.69526026883739</v>
      </c>
      <c r="F39" s="43">
        <f>Привлечение!L39</f>
        <v>39.999999999999993</v>
      </c>
      <c r="G39" s="23">
        <f t="shared" si="1"/>
        <v>317.69526026883739</v>
      </c>
      <c r="H39" s="42">
        <f>G39*IF(AND(ISNUMBER(Допущения!$B$30),Допущения!$B$30&gt;0),Допущения!$B$30,NA())</f>
        <v>1556706.7753173031</v>
      </c>
      <c r="I39" s="42">
        <f>H39*IF(AND(ISNUMBER(Допущения!$B$8),Допущения!$B$8&gt;=0,Допущения!$B$8&lt;=1),Допущения!$B$8,NA())</f>
        <v>15567.067753173033</v>
      </c>
      <c r="J39" s="42">
        <f>G39*IF(AND(ISNUMBER(Допущения!$E$30),Допущения!$E$30&gt;=0),Допущения!$E$30,NA())</f>
        <v>95308.578080651219</v>
      </c>
      <c r="K39" s="42">
        <f>G39*IF(AND(ISNUMBER(Допущения!$F$30),Допущения!$F$30&gt;=0),Допущения!$F$30,NA())*IF(AND(ISNUMBER(Допущения!$B$7),Допущения!$B$7&gt;=0),Допущения!$B$7,NA())</f>
        <v>104839.43588871634</v>
      </c>
      <c r="L39" s="42">
        <f>F39*IF(AND(ISNUMBER(Допущения!$G$30),Допущения!$G$30&gt;=0),Допущения!$G$30,NA())*IF(AND(ISNUMBER(Допущения!$B$7),Допущения!$B$7&gt;=0),Допущения!$B$7,NA())</f>
        <v>19999.999999999996</v>
      </c>
      <c r="M39" s="21">
        <f t="shared" si="2"/>
        <v>1320991.6935947626</v>
      </c>
    </row>
    <row r="40" spans="1:13" ht="24" customHeight="1">
      <c r="A40" s="1" t="s">
        <v>56</v>
      </c>
      <c r="B40" s="37" t="str">
        <f>Допущения!$A$31</f>
        <v>Команда</v>
      </c>
      <c r="C40" s="22">
        <f t="shared" si="3"/>
        <v>72.169000798969364</v>
      </c>
      <c r="D40" s="39">
        <f>IF(IF(AND(ISNUMBER(Допущения!$D$31),Допущения!$D$31&gt;=0,Допущения!$D$31&lt;=1),Допущения!$D$31,NA())*Допущения!$B$25&lt;=1,C40*IF(AND(ISNUMBER(Допущения!$D$31),Допущения!$D$31&gt;=0,Допущения!$D$31&lt;=1),Допущения!$D$31,NA())*Допущения!$B$25,NA())</f>
        <v>2.8867600319587745</v>
      </c>
      <c r="E40" s="22">
        <f t="shared" si="0"/>
        <v>69.282240767010592</v>
      </c>
      <c r="F40" s="39">
        <f>Привлечение!L40</f>
        <v>9</v>
      </c>
      <c r="G40" s="22">
        <f t="shared" si="1"/>
        <v>78.282240767010592</v>
      </c>
      <c r="H40" s="38">
        <f>G40*IF(AND(ISNUMBER(Допущения!$B$31),Допущения!$B$31&gt;0),Допущения!$B$31,NA())</f>
        <v>1166405.3874284578</v>
      </c>
      <c r="I40" s="38">
        <f>H40*IF(AND(ISNUMBER(Допущения!$B$8),Допущения!$B$8&gt;=0,Допущения!$B$8&lt;=1),Допущения!$B$8,NA())</f>
        <v>11664.053874284578</v>
      </c>
      <c r="J40" s="38">
        <f>G40*IF(AND(ISNUMBER(Допущения!$E$31),Допущения!$E$31&gt;=0),Допущения!$E$31,NA())</f>
        <v>78282.240767010589</v>
      </c>
      <c r="K40" s="38">
        <f>G40*IF(AND(ISNUMBER(Допущения!$F$31),Допущения!$F$31&gt;=0),Допущения!$F$31,NA())*IF(AND(ISNUMBER(Допущения!$B$7),Допущения!$B$7&gt;=0),Допущения!$B$7,NA())</f>
        <v>78282.240767010589</v>
      </c>
      <c r="L40" s="38">
        <f>F40*IF(AND(ISNUMBER(Допущения!$G$31),Допущения!$G$31&gt;=0),Допущения!$G$31,NA())*IF(AND(ISNUMBER(Допущения!$B$7),Допущения!$B$7&gt;=0),Допущения!$B$7,NA())</f>
        <v>18000</v>
      </c>
      <c r="M40" s="20">
        <f t="shared" si="2"/>
        <v>980176.85202015215</v>
      </c>
    </row>
    <row r="41" spans="1:13" ht="24" customHeight="1">
      <c r="A41" s="3" t="s">
        <v>56</v>
      </c>
      <c r="B41" s="41" t="str">
        <f>Допущения!$A$32</f>
        <v>Бизнес</v>
      </c>
      <c r="C41" s="23">
        <f t="shared" si="3"/>
        <v>18.556595361860136</v>
      </c>
      <c r="D41" s="43">
        <f>IF(IF(AND(ISNUMBER(Допущения!$D$32),Допущения!$D$32&gt;=0,Допущения!$D$32&lt;=1),Допущения!$D$32,NA())*Допущения!$B$25&lt;=1,C41*IF(AND(ISNUMBER(Допущения!$D$32),Допущения!$D$32&gt;=0,Допущения!$D$32&lt;=1),Допущения!$D$32,NA())*Допущения!$B$25,NA())</f>
        <v>0.46391488404650344</v>
      </c>
      <c r="E41" s="23">
        <f t="shared" si="0"/>
        <v>18.092680477813634</v>
      </c>
      <c r="F41" s="43">
        <f>Привлечение!L41</f>
        <v>2.4</v>
      </c>
      <c r="G41" s="23">
        <f t="shared" si="1"/>
        <v>20.492680477813632</v>
      </c>
      <c r="H41" s="42">
        <f>G41*IF(AND(ISNUMBER(Допущения!$B$32),Допущения!$B$32&gt;0),Допущения!$B$32,NA())</f>
        <v>1022584.7558429003</v>
      </c>
      <c r="I41" s="42">
        <f>H41*IF(AND(ISNUMBER(Допущения!$B$8),Допущения!$B$8&gt;=0,Допущения!$B$8&lt;=1),Допущения!$B$8,NA())</f>
        <v>10225.847558429003</v>
      </c>
      <c r="J41" s="42">
        <f>G41*IF(AND(ISNUMBER(Допущения!$E$32),Допущения!$E$32&gt;=0),Допущения!$E$32,NA())</f>
        <v>71724.381672347707</v>
      </c>
      <c r="K41" s="42">
        <f>G41*IF(AND(ISNUMBER(Допущения!$F$32),Допущения!$F$32&gt;=0),Допущения!$F$32,NA())*IF(AND(ISNUMBER(Допущения!$B$7),Допущения!$B$7&gt;=0),Допущения!$B$7,NA())</f>
        <v>61478.041433440892</v>
      </c>
      <c r="L41" s="42">
        <f>F41*IF(AND(ISNUMBER(Допущения!$G$32),Допущения!$G$32&gt;=0),Допущения!$G$32,NA())*IF(AND(ISNUMBER(Допущения!$B$7),Допущения!$B$7&gt;=0),Допущения!$B$7,NA())</f>
        <v>14399.999999999998</v>
      </c>
      <c r="M41" s="21">
        <f t="shared" si="2"/>
        <v>864756.48517868272</v>
      </c>
    </row>
    <row r="42" spans="1:13" ht="24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24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24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66" customHeight="1">
      <c r="A45" s="10" t="s">
        <v>31</v>
      </c>
      <c r="B45" s="11" t="s">
        <v>127</v>
      </c>
      <c r="C45" s="11" t="s">
        <v>125</v>
      </c>
      <c r="D45" s="11" t="s">
        <v>128</v>
      </c>
      <c r="E45" s="12" t="s">
        <v>129</v>
      </c>
      <c r="F45" s="3"/>
      <c r="G45" s="3"/>
      <c r="H45" s="3"/>
      <c r="I45" s="3"/>
      <c r="J45" s="3"/>
      <c r="K45" s="3"/>
      <c r="L45" s="3"/>
      <c r="M45" s="3"/>
    </row>
    <row r="46" spans="1:13" ht="24" customHeight="1">
      <c r="A46" s="41" t="str">
        <f>Допущения!$A$30</f>
        <v>Старт</v>
      </c>
      <c r="B46" s="42">
        <f>IF(AND(ISNUMBER(Допущения!$B$30),Допущения!$B$30&gt;0),Допущения!$B$30,NA())*(1-IF(AND(ISNUMBER(Допущения!$B$8),Допущения!$B$8&gt;=0,Допущения!$B$8&lt;=1),Допущения!$B$8,NA()))-IF(AND(ISNUMBER(Допущения!$E$30),Допущения!$E$30&gt;=0),Допущения!$E$30,NA())-IF(AND(ISNUMBER(Допущения!$F$30),Допущения!$F$30&gt;=0),Допущения!$F$30,NA())*IF(AND(ISNUMBER(Допущения!$B$7),Допущения!$B$7&gt;=0),Допущения!$B$7,NA())</f>
        <v>4221</v>
      </c>
      <c r="C46" s="42">
        <f>IF(AND(ISNUMBER(Допущения!$G$30),Допущения!$G$30&gt;=0),Допущения!$G$30,NA())*IF(AND(ISNUMBER(Допущения!$B$7),Допущения!$B$7&gt;=0),Допущения!$B$7,NA())</f>
        <v>500</v>
      </c>
      <c r="D46" s="49">
        <f>IF(IF(AND(ISNUMBER(Допущения!$D$30),Допущения!$D$30&gt;=0,Допущения!$D$30&lt;=1),Допущения!$D$30,NA())*Допущения!$B$25&lt;=1,IF(AND(ISNUMBER(Допущения!$D$30),Допущения!$D$30&gt;=0,Допущения!$D$30&lt;=1),Допущения!$D$30,NA())*Допущения!$B$25,NA())</f>
        <v>0.06</v>
      </c>
      <c r="E46" s="42">
        <f>B46*IF(D46=0,IF(AND(ISNUMBER(Допущения!$B$16),Допущения!$B$16&gt;=0,Допущения!$B$16=INT(Допущения!$B$16),Допущения!$B$16&lt;=120,Допущения!$B$16&gt;0),Допущения!$B$16,NA()),(1-(1-D46)^IF(AND(ISNUMBER(Допущения!$B$16),Допущения!$B$16&gt;=0,Допущения!$B$16=INT(Допущения!$B$16),Допущения!$B$16&lt;=120,Допущения!$B$16&gt;0),Допущения!$B$16,NA()))/D46)-C46</f>
        <v>21317.660902710406</v>
      </c>
      <c r="F46" s="3"/>
      <c r="G46" s="3"/>
      <c r="H46" s="3"/>
      <c r="I46" s="3"/>
      <c r="J46" s="3"/>
      <c r="K46" s="3"/>
      <c r="L46" s="3"/>
      <c r="M46" s="3"/>
    </row>
    <row r="47" spans="1:13" ht="24" customHeight="1">
      <c r="A47" s="41" t="str">
        <f>Допущения!$A$31</f>
        <v>Команда</v>
      </c>
      <c r="B47" s="42">
        <f>IF(AND(ISNUMBER(Допущения!$B$31),Допущения!$B$31&gt;0),Допущения!$B$31,NA())*(1-IF(AND(ISNUMBER(Допущения!$B$8),Допущения!$B$8&gt;=0,Допущения!$B$8&lt;=1),Допущения!$B$8,NA()))-IF(AND(ISNUMBER(Допущения!$E$31),Допущения!$E$31&gt;=0),Допущения!$E$31,NA())-IF(AND(ISNUMBER(Допущения!$F$31),Допущения!$F$31&gt;=0),Допущения!$F$31,NA())*IF(AND(ISNUMBER(Допущения!$B$7),Допущения!$B$7&gt;=0),Допущения!$B$7,NA())</f>
        <v>12751</v>
      </c>
      <c r="C47" s="42">
        <f>IF(AND(ISNUMBER(Допущения!$G$31),Допущения!$G$31&gt;=0),Допущения!$G$31,NA())*IF(AND(ISNUMBER(Допущения!$B$7),Допущения!$B$7&gt;=0),Допущения!$B$7,NA())</f>
        <v>2000</v>
      </c>
      <c r="D47" s="49">
        <f>IF(IF(AND(ISNUMBER(Допущения!$D$31),Допущения!$D$31&gt;=0,Допущения!$D$31&lt;=1),Допущения!$D$31,NA())*Допущения!$B$25&lt;=1,IF(AND(ISNUMBER(Допущения!$D$31),Допущения!$D$31&gt;=0,Допущения!$D$31&lt;=1),Допущения!$D$31,NA())*Допущения!$B$25,NA())</f>
        <v>0.04</v>
      </c>
      <c r="E47" s="42">
        <f>B47*IF(D47=0,IF(AND(ISNUMBER(Допущения!$B$16),Допущения!$B$16&gt;=0,Допущения!$B$16=INT(Допущения!$B$16),Допущения!$B$16&lt;=120,Допущения!$B$16&gt;0),Допущения!$B$16,NA()),(1-(1-D47)^IF(AND(ISNUMBER(Допущения!$B$16),Допущения!$B$16&gt;=0,Допущения!$B$16=INT(Допущения!$B$16),Допущения!$B$16&lt;=120,Допущения!$B$16&gt;0),Допущения!$B$16,NA()))/D47)-C47</f>
        <v>67251.385589657613</v>
      </c>
      <c r="F47" s="3"/>
      <c r="G47" s="3"/>
      <c r="H47" s="3"/>
      <c r="I47" s="3"/>
      <c r="J47" s="3"/>
      <c r="K47" s="3"/>
      <c r="L47" s="3"/>
      <c r="M47" s="3"/>
    </row>
    <row r="48" spans="1:13" ht="24" customHeight="1">
      <c r="A48" s="41" t="str">
        <f>Допущения!$A$32</f>
        <v>Бизнес</v>
      </c>
      <c r="B48" s="42">
        <f>IF(AND(ISNUMBER(Допущения!$B$32),Допущения!$B$32&gt;0),Допущения!$B$32,NA())*(1-IF(AND(ISNUMBER(Допущения!$B$8),Допущения!$B$8&gt;=0,Допущения!$B$8&lt;=1),Допущения!$B$8,NA()))-IF(AND(ISNUMBER(Допущения!$E$32),Допущения!$E$32&gt;=0),Допущения!$E$32,NA())-IF(AND(ISNUMBER(Допущения!$F$32),Допущения!$F$32&gt;=0),Допущения!$F$32,NA())*IF(AND(ISNUMBER(Допущения!$B$7),Допущения!$B$7&gt;=0),Допущения!$B$7,NA())</f>
        <v>42901</v>
      </c>
      <c r="C48" s="42">
        <f>IF(AND(ISNUMBER(Допущения!$G$32),Допущения!$G$32&gt;=0),Допущения!$G$32,NA())*IF(AND(ISNUMBER(Допущения!$B$7),Допущения!$B$7&gt;=0),Допущения!$B$7,NA())</f>
        <v>6000</v>
      </c>
      <c r="D48" s="49">
        <f>IF(IF(AND(ISNUMBER(Допущения!$D$32),Допущения!$D$32&gt;=0,Допущения!$D$32&lt;=1),Допущения!$D$32,NA())*Допущения!$B$25&lt;=1,IF(AND(ISNUMBER(Допущения!$D$32),Допущения!$D$32&gt;=0,Допущения!$D$32&lt;=1),Допущения!$D$32,NA())*Допущения!$B$25,NA())</f>
        <v>2.5000000000000001E-2</v>
      </c>
      <c r="E48" s="42">
        <f>B48*IF(D48=0,IF(AND(ISNUMBER(Допущения!$B$16),Допущения!$B$16&gt;=0,Допущения!$B$16=INT(Допущения!$B$16),Допущения!$B$16&lt;=120,Допущения!$B$16&gt;0),Допущения!$B$16,NA()),(1-(1-D48)^IF(AND(ISNUMBER(Допущения!$B$16),Допущения!$B$16&gt;=0,Допущения!$B$16=INT(Допущения!$B$16),Допущения!$B$16&lt;=120,Допущения!$B$16&gt;0),Допущения!$B$16,NA()))/D48)-C48</f>
        <v>235844.43270838898</v>
      </c>
      <c r="F48" s="3"/>
      <c r="G48" s="3"/>
      <c r="H48" s="3"/>
      <c r="I48" s="3"/>
      <c r="J48" s="3"/>
      <c r="K48" s="3"/>
      <c r="L48" s="3"/>
      <c r="M48" s="3"/>
    </row>
    <row r="49" spans="1:13" ht="24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24" customHeight="1">
      <c r="A50" s="71" t="str">
        <f>"Вклад клиента за "&amp;Допущения!B16&amp;" месяцев — после обслуживания и подключения, до привлечения и постоянных расходов."</f>
        <v>Вклад клиента за 6 месяцев — после обслуживания и подключения, до привлечения и постоянных расходов.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</row>
  </sheetData>
  <mergeCells count="1">
    <mergeCell ref="A50:M50"/>
  </mergeCells>
  <pageMargins left="0.25" right="0.25" top="0.25" bottom="0.34722222222222221" header="0.3" footer="0.3"/>
  <pageSetup paperSize="8" scale="64" orientation="landscape" r:id="rId1"/>
  <headerFooter>
    <oddFooter>&amp;LЕлизавета Трибунская&amp;Ctribunska.ru&amp;R&amp;P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  <pageSetUpPr fitToPage="1"/>
  </sheetPr>
  <dimension ref="A1:N21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4.25"/>
  <cols>
    <col min="1" max="1" width="13.125" customWidth="1"/>
    <col min="2" max="3" width="16.25" customWidth="1"/>
    <col min="4" max="4" width="18.125" customWidth="1"/>
    <col min="5" max="5" width="18.75" customWidth="1"/>
    <col min="6" max="6" width="18.125" customWidth="1"/>
    <col min="7" max="9" width="17.5" customWidth="1"/>
    <col min="10" max="10" width="19.375" customWidth="1"/>
    <col min="11" max="12" width="20.625" customWidth="1"/>
    <col min="13" max="14" width="17.5" customWidth="1"/>
  </cols>
  <sheetData>
    <row r="1" spans="1:14" ht="33.950000000000003" customHeight="1">
      <c r="A1" s="4" t="s">
        <v>130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ht="24" customHeight="1">
      <c r="A3" s="3" t="s">
        <v>13</v>
      </c>
      <c r="B3" s="5" t="str">
        <f>IFERROR(CHOOSE(Допущения!$B$3,"Осторожный","Базовый","Сильный"),"Проверьте выбор")</f>
        <v>Базовый</v>
      </c>
      <c r="C3" s="3"/>
      <c r="D3" s="3" t="s">
        <v>14</v>
      </c>
      <c r="E3" s="5" t="str">
        <f>IFERROR(CHOOSE(Допущения!$B$4,"Самостоятельно","Через демо","Смешанные"),"Проверьте выбор")</f>
        <v>Смешанные</v>
      </c>
      <c r="F3" s="3"/>
      <c r="G3" s="3"/>
      <c r="H3" s="3"/>
      <c r="I3" s="3"/>
      <c r="J3" s="3"/>
      <c r="K3" s="3"/>
      <c r="L3" s="3"/>
      <c r="M3" s="3"/>
      <c r="N3" s="3"/>
    </row>
    <row r="4" spans="1:14" ht="24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66" customHeight="1">
      <c r="A5" s="10" t="s">
        <v>38</v>
      </c>
      <c r="B5" s="11" t="s">
        <v>113</v>
      </c>
      <c r="C5" s="11" t="s">
        <v>121</v>
      </c>
      <c r="D5" s="11" t="s">
        <v>40</v>
      </c>
      <c r="E5" s="11" t="s">
        <v>131</v>
      </c>
      <c r="F5" s="11" t="s">
        <v>125</v>
      </c>
      <c r="G5" s="11" t="s">
        <v>132</v>
      </c>
      <c r="H5" s="11" t="s">
        <v>115</v>
      </c>
      <c r="I5" s="11" t="s">
        <v>133</v>
      </c>
      <c r="J5" s="11" t="s">
        <v>134</v>
      </c>
      <c r="K5" s="11" t="s">
        <v>135</v>
      </c>
      <c r="L5" s="11" t="s">
        <v>136</v>
      </c>
      <c r="M5" s="11" t="s">
        <v>137</v>
      </c>
      <c r="N5" s="12" t="s">
        <v>138</v>
      </c>
    </row>
    <row r="6" spans="1:14" ht="24" customHeight="1">
      <c r="A6" s="1" t="s">
        <v>139</v>
      </c>
      <c r="B6" s="22">
        <f>0</f>
        <v>0</v>
      </c>
      <c r="C6" s="22">
        <f>0</f>
        <v>0</v>
      </c>
      <c r="D6" s="24">
        <f>0</f>
        <v>0</v>
      </c>
      <c r="E6" s="24">
        <f>0</f>
        <v>0</v>
      </c>
      <c r="F6" s="24">
        <f>0</f>
        <v>0</v>
      </c>
      <c r="G6" s="24">
        <f>0</f>
        <v>0</v>
      </c>
      <c r="H6" s="24">
        <f>0</f>
        <v>0</v>
      </c>
      <c r="I6" s="24">
        <f>0</f>
        <v>0</v>
      </c>
      <c r="J6" s="45">
        <f>-SUM(IF(AND(ISNUMBER(Допущения!$B$10),Допущения!$B$10&gt;=0),Допущения!$B$10,NA()),IF(AND(ISNUMBER(Допущения!$B$11),Допущения!$B$11&gt;=0),Допущения!$B$11,NA()),IF(AND(ISNUMBER(Допущения!$B$12),Допущения!$B$12&gt;=0),Допущения!$B$12,NA()))</f>
        <v>-1450000</v>
      </c>
      <c r="K6" s="24">
        <f>J6</f>
        <v>-1450000</v>
      </c>
      <c r="L6" s="24">
        <f>MAX(0,-K6)</f>
        <v>1450000</v>
      </c>
      <c r="M6" s="19">
        <f>0</f>
        <v>0</v>
      </c>
      <c r="N6" s="19">
        <f t="shared" ref="N6:N18" si="0">IF(K6&gt;=0,1,0)</f>
        <v>0</v>
      </c>
    </row>
    <row r="7" spans="1:14" ht="24" customHeight="1">
      <c r="A7" s="3" t="s">
        <v>45</v>
      </c>
      <c r="B7" s="43">
        <f>SUM(Подписка!F6:F8)</f>
        <v>12.249999999999998</v>
      </c>
      <c r="C7" s="43">
        <f>SUM(Подписка!G6:G8)</f>
        <v>12.249999999999998</v>
      </c>
      <c r="D7" s="46">
        <f>SUM(Подписка!H6:H8)</f>
        <v>82525</v>
      </c>
      <c r="E7" s="46">
        <f>SUM(Подписка!I6:K8)</f>
        <v>11625.25</v>
      </c>
      <c r="F7" s="46">
        <f>SUM(Подписка!L6:L8)</f>
        <v>9500</v>
      </c>
      <c r="G7" s="46">
        <f>SUM(Привлечение!D6:D8)</f>
        <v>50000</v>
      </c>
      <c r="H7" s="46">
        <f>SUM(Привлечение!N6:N8)</f>
        <v>3000</v>
      </c>
      <c r="I7" s="46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7" s="25">
        <f t="shared" ref="J7:J18" si="1">D7-SUM(E7:I7)</f>
        <v>-391600.25</v>
      </c>
      <c r="K7" s="25">
        <f t="shared" ref="K7:K18" si="2">K6+J7</f>
        <v>-1841600.25</v>
      </c>
      <c r="L7" s="25">
        <f t="shared" ref="L7:L18" si="3">MAX(L6,-K7,0)</f>
        <v>1841600.25</v>
      </c>
      <c r="M7" s="16">
        <f t="shared" ref="M7:M18" si="4">IF(J7&gt;0,1,0)</f>
        <v>0</v>
      </c>
      <c r="N7" s="16">
        <f t="shared" si="0"/>
        <v>0</v>
      </c>
    </row>
    <row r="8" spans="1:14" ht="24" customHeight="1">
      <c r="A8" s="1" t="s">
        <v>46</v>
      </c>
      <c r="B8" s="39">
        <f>SUM(Подписка!F9:F11)</f>
        <v>25.099999999999998</v>
      </c>
      <c r="C8" s="39">
        <f>SUM(Подписка!G9:G11)</f>
        <v>36.659999999999997</v>
      </c>
      <c r="D8" s="45">
        <f>SUM(Подписка!H9:H11)</f>
        <v>273234</v>
      </c>
      <c r="E8" s="45">
        <f>SUM(Подписка!I9:K11)</f>
        <v>38474.340000000004</v>
      </c>
      <c r="F8" s="45">
        <f>SUM(Подписка!L9:L11)</f>
        <v>22600</v>
      </c>
      <c r="G8" s="45">
        <f>SUM(Привлечение!D9:D11)</f>
        <v>100000</v>
      </c>
      <c r="H8" s="45">
        <f>SUM(Привлечение!N9:N11)</f>
        <v>6000</v>
      </c>
      <c r="I8" s="45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8" s="24">
        <f t="shared" si="1"/>
        <v>-293840.33999999997</v>
      </c>
      <c r="K8" s="24">
        <f t="shared" si="2"/>
        <v>-2135440.59</v>
      </c>
      <c r="L8" s="24">
        <f t="shared" si="3"/>
        <v>2135440.59</v>
      </c>
      <c r="M8" s="19">
        <f t="shared" si="4"/>
        <v>0</v>
      </c>
      <c r="N8" s="19">
        <f t="shared" si="0"/>
        <v>0</v>
      </c>
    </row>
    <row r="9" spans="1:14" ht="24" customHeight="1">
      <c r="A9" s="3" t="s">
        <v>47</v>
      </c>
      <c r="B9" s="43">
        <f>SUM(Подписка!F12:F14)</f>
        <v>37.950000000000003</v>
      </c>
      <c r="C9" s="43">
        <f>SUM(Подписка!G12:G14)</f>
        <v>72.564599999999984</v>
      </c>
      <c r="D9" s="46">
        <f>SUM(Подписка!H12:H14)</f>
        <v>567327.53999999992</v>
      </c>
      <c r="E9" s="46">
        <f>SUM(Подписка!I12:K14)</f>
        <v>79873.655399999989</v>
      </c>
      <c r="F9" s="46">
        <f>SUM(Подписка!L12:L14)</f>
        <v>35700</v>
      </c>
      <c r="G9" s="46">
        <f>SUM(Привлечение!D12:D14)</f>
        <v>150000</v>
      </c>
      <c r="H9" s="46">
        <f>SUM(Привлечение!N12:N14)</f>
        <v>9000</v>
      </c>
      <c r="I9" s="46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9" s="25">
        <f t="shared" si="1"/>
        <v>-107246.11540000013</v>
      </c>
      <c r="K9" s="25">
        <f t="shared" si="2"/>
        <v>-2242686.7053999999</v>
      </c>
      <c r="L9" s="25">
        <f t="shared" si="3"/>
        <v>2242686.7053999999</v>
      </c>
      <c r="M9" s="16">
        <f t="shared" si="4"/>
        <v>0</v>
      </c>
      <c r="N9" s="16">
        <f t="shared" si="0"/>
        <v>0</v>
      </c>
    </row>
    <row r="10" spans="1:14" ht="24" customHeight="1">
      <c r="A10" s="1" t="s">
        <v>48</v>
      </c>
      <c r="B10" s="39">
        <f>SUM(Подписка!F15:F17)</f>
        <v>50.79999999999999</v>
      </c>
      <c r="C10" s="39">
        <f>SUM(Подписка!G15:G17)</f>
        <v>119.33607099999999</v>
      </c>
      <c r="D10" s="45">
        <f>SUM(Подписка!H15:H17)</f>
        <v>960242.18290000001</v>
      </c>
      <c r="E10" s="45">
        <f>SUM(Подписка!I15:K17)</f>
        <v>135182.610529</v>
      </c>
      <c r="F10" s="45">
        <f>SUM(Подписка!L15:L17)</f>
        <v>48800</v>
      </c>
      <c r="G10" s="45">
        <f>SUM(Привлечение!D15:D17)</f>
        <v>200000</v>
      </c>
      <c r="H10" s="45">
        <f>SUM(Привлечение!N15:N17)</f>
        <v>12000</v>
      </c>
      <c r="I10" s="45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10" s="24">
        <f t="shared" si="1"/>
        <v>164259.57237100007</v>
      </c>
      <c r="K10" s="24">
        <f t="shared" si="2"/>
        <v>-2078427.1330289999</v>
      </c>
      <c r="L10" s="24">
        <f t="shared" si="3"/>
        <v>2242686.7053999999</v>
      </c>
      <c r="M10" s="19">
        <f t="shared" si="4"/>
        <v>1</v>
      </c>
      <c r="N10" s="19">
        <f t="shared" si="0"/>
        <v>0</v>
      </c>
    </row>
    <row r="11" spans="1:14" ht="24" customHeight="1">
      <c r="A11" s="3" t="s">
        <v>49</v>
      </c>
      <c r="B11" s="43">
        <f>SUM(Подписка!F18:F20)</f>
        <v>51.399999999999991</v>
      </c>
      <c r="C11" s="43">
        <f>SUM(Подписка!G18:G20)</f>
        <v>164.13217698499997</v>
      </c>
      <c r="D11" s="46">
        <f>SUM(Подписка!H18:H20)</f>
        <v>1365113.0379514999</v>
      </c>
      <c r="E11" s="46">
        <f>SUM(Подписка!I18:K20)</f>
        <v>192166.657310015</v>
      </c>
      <c r="F11" s="46">
        <f>SUM(Подписка!L18:L20)</f>
        <v>52400</v>
      </c>
      <c r="G11" s="46">
        <f>SUM(Привлечение!D18:D20)</f>
        <v>200000</v>
      </c>
      <c r="H11" s="46">
        <f>SUM(Привлечение!N18:N20)</f>
        <v>12000</v>
      </c>
      <c r="I11" s="46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11" s="25">
        <f t="shared" si="1"/>
        <v>508546.38064148487</v>
      </c>
      <c r="K11" s="25">
        <f t="shared" si="2"/>
        <v>-1569880.752387515</v>
      </c>
      <c r="L11" s="25">
        <f t="shared" si="3"/>
        <v>2242686.7053999999</v>
      </c>
      <c r="M11" s="16">
        <f t="shared" si="4"/>
        <v>1</v>
      </c>
      <c r="N11" s="16">
        <f t="shared" si="0"/>
        <v>0</v>
      </c>
    </row>
    <row r="12" spans="1:14" ht="24" customHeight="1">
      <c r="A12" s="1" t="s">
        <v>50</v>
      </c>
      <c r="B12" s="39">
        <f>SUM(Подписка!F21:F23)</f>
        <v>51.399999999999991</v>
      </c>
      <c r="C12" s="39">
        <f>SUM(Подписка!G21:G23)</f>
        <v>206.48412449797496</v>
      </c>
      <c r="D12" s="45">
        <f>SUM(Подписка!H21:H23)</f>
        <v>1752152.9752329523</v>
      </c>
      <c r="E12" s="45">
        <f>SUM(Подписка!I21:K23)</f>
        <v>246647.550167087</v>
      </c>
      <c r="F12" s="45">
        <f>SUM(Подписка!L21:L23)</f>
        <v>52400</v>
      </c>
      <c r="G12" s="45">
        <f>SUM(Привлечение!D21:D23)</f>
        <v>200000</v>
      </c>
      <c r="H12" s="45">
        <f>SUM(Привлечение!N21:N23)</f>
        <v>12000</v>
      </c>
      <c r="I12" s="45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12" s="24">
        <f t="shared" si="1"/>
        <v>841105.42506586527</v>
      </c>
      <c r="K12" s="24">
        <f t="shared" si="2"/>
        <v>-728775.32732164976</v>
      </c>
      <c r="L12" s="24">
        <f t="shared" si="3"/>
        <v>2242686.7053999999</v>
      </c>
      <c r="M12" s="19">
        <f t="shared" si="4"/>
        <v>1</v>
      </c>
      <c r="N12" s="19">
        <f t="shared" si="0"/>
        <v>0</v>
      </c>
    </row>
    <row r="13" spans="1:14" ht="24" customHeight="1">
      <c r="A13" s="3" t="s">
        <v>51</v>
      </c>
      <c r="B13" s="43">
        <f>SUM(Подписка!F24:F26)</f>
        <v>51.399999999999991</v>
      </c>
      <c r="C13" s="43">
        <f>SUM(Подписка!G24:G26)</f>
        <v>246.5300322643416</v>
      </c>
      <c r="D13" s="46">
        <f>SUM(Подписка!H24:H26)</f>
        <v>2122233.951744887</v>
      </c>
      <c r="E13" s="46">
        <f>SUM(Подписка!I24:K26)</f>
        <v>298747.33629485022</v>
      </c>
      <c r="F13" s="46">
        <f>SUM(Подписка!L24:L26)</f>
        <v>52400</v>
      </c>
      <c r="G13" s="46">
        <f>SUM(Привлечение!D24:D26)</f>
        <v>200000</v>
      </c>
      <c r="H13" s="46">
        <f>SUM(Привлечение!N24:N26)</f>
        <v>12000</v>
      </c>
      <c r="I13" s="46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13" s="25">
        <f t="shared" si="1"/>
        <v>1159086.6154500367</v>
      </c>
      <c r="K13" s="25">
        <f t="shared" si="2"/>
        <v>430311.28812838695</v>
      </c>
      <c r="L13" s="25">
        <f t="shared" si="3"/>
        <v>2242686.7053999999</v>
      </c>
      <c r="M13" s="16">
        <f t="shared" si="4"/>
        <v>1</v>
      </c>
      <c r="N13" s="16">
        <f t="shared" si="0"/>
        <v>1</v>
      </c>
    </row>
    <row r="14" spans="1:14" ht="24" customHeight="1">
      <c r="A14" s="1" t="s">
        <v>52</v>
      </c>
      <c r="B14" s="39">
        <f>SUM(Подписка!F27:F29)</f>
        <v>51.399999999999991</v>
      </c>
      <c r="C14" s="39">
        <f>SUM(Подписка!G27:G29)</f>
        <v>284.40004277899322</v>
      </c>
      <c r="D14" s="45">
        <f>SUM(Подписка!H27:H29)</f>
        <v>2476182.0091085373</v>
      </c>
      <c r="E14" s="45">
        <f>SUM(Подписка!I27:K29)</f>
        <v>348581.65340002999</v>
      </c>
      <c r="F14" s="45">
        <f>SUM(Подписка!L27:L29)</f>
        <v>52400</v>
      </c>
      <c r="G14" s="45">
        <f>SUM(Привлечение!D27:D29)</f>
        <v>200000</v>
      </c>
      <c r="H14" s="45">
        <f>SUM(Привлечение!N27:N29)</f>
        <v>12000</v>
      </c>
      <c r="I14" s="45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14" s="24">
        <f t="shared" si="1"/>
        <v>1463200.3557085074</v>
      </c>
      <c r="K14" s="24">
        <f t="shared" si="2"/>
        <v>1893511.6438368943</v>
      </c>
      <c r="L14" s="24">
        <f t="shared" si="3"/>
        <v>2242686.7053999999</v>
      </c>
      <c r="M14" s="19">
        <f t="shared" si="4"/>
        <v>1</v>
      </c>
      <c r="N14" s="19">
        <f t="shared" si="0"/>
        <v>1</v>
      </c>
    </row>
    <row r="15" spans="1:14" ht="24" customHeight="1">
      <c r="A15" s="3" t="s">
        <v>53</v>
      </c>
      <c r="B15" s="43">
        <f>SUM(Подписка!F30:F32)</f>
        <v>51.399999999999991</v>
      </c>
      <c r="C15" s="43">
        <f>SUM(Подписка!G30:G32)</f>
        <v>320.21678920286917</v>
      </c>
      <c r="D15" s="46">
        <f>SUM(Подписка!H30:H32)</f>
        <v>2814779.810254016</v>
      </c>
      <c r="E15" s="46">
        <f>SUM(Подписка!I30:K32)</f>
        <v>396260.08304541319</v>
      </c>
      <c r="F15" s="46">
        <f>SUM(Подписка!L30:L32)</f>
        <v>52400</v>
      </c>
      <c r="G15" s="46">
        <f>SUM(Привлечение!D30:D32)</f>
        <v>200000</v>
      </c>
      <c r="H15" s="46">
        <f>SUM(Привлечение!N30:N32)</f>
        <v>12000</v>
      </c>
      <c r="I15" s="46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15" s="25">
        <f t="shared" si="1"/>
        <v>1754119.7272086027</v>
      </c>
      <c r="K15" s="25">
        <f t="shared" si="2"/>
        <v>3647631.3710454972</v>
      </c>
      <c r="L15" s="25">
        <f t="shared" si="3"/>
        <v>2242686.7053999999</v>
      </c>
      <c r="M15" s="16">
        <f t="shared" si="4"/>
        <v>1</v>
      </c>
      <c r="N15" s="16">
        <f t="shared" si="0"/>
        <v>1</v>
      </c>
    </row>
    <row r="16" spans="1:14" ht="24" customHeight="1">
      <c r="A16" s="1" t="s">
        <v>54</v>
      </c>
      <c r="B16" s="39">
        <f>SUM(Подписка!F33:F35)</f>
        <v>51.399999999999991</v>
      </c>
      <c r="C16" s="39">
        <f>SUM(Подписка!G33:G35)</f>
        <v>354.09583469385865</v>
      </c>
      <c r="D16" s="45">
        <f>SUM(Подписка!H33:H35)</f>
        <v>3138769.0316904089</v>
      </c>
      <c r="E16" s="45">
        <f>SUM(Подписка!I33:K35)</f>
        <v>441886.48390948109</v>
      </c>
      <c r="F16" s="45">
        <f>SUM(Подписка!L33:L35)</f>
        <v>52400</v>
      </c>
      <c r="G16" s="45">
        <f>SUM(Привлечение!D33:D35)</f>
        <v>200000</v>
      </c>
      <c r="H16" s="45">
        <f>SUM(Привлечение!N33:N35)</f>
        <v>12000</v>
      </c>
      <c r="I16" s="45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16" s="24">
        <f t="shared" si="1"/>
        <v>2032482.5477809277</v>
      </c>
      <c r="K16" s="24">
        <f t="shared" si="2"/>
        <v>5680113.9188264254</v>
      </c>
      <c r="L16" s="24">
        <f t="shared" si="3"/>
        <v>2242686.7053999999</v>
      </c>
      <c r="M16" s="19">
        <f t="shared" si="4"/>
        <v>1</v>
      </c>
      <c r="N16" s="19">
        <f t="shared" si="0"/>
        <v>1</v>
      </c>
    </row>
    <row r="17" spans="1:14" ht="24" customHeight="1">
      <c r="A17" s="3" t="s">
        <v>55</v>
      </c>
      <c r="B17" s="43">
        <f>SUM(Подписка!F36:F38)</f>
        <v>51.399999999999991</v>
      </c>
      <c r="C17" s="43">
        <f>SUM(Подписка!G36:G38)</f>
        <v>386.14608580852888</v>
      </c>
      <c r="D17" s="46">
        <f>SUM(Подписка!H36:H38)</f>
        <v>3448852.6197351916</v>
      </c>
      <c r="E17" s="46">
        <f>SUM(Подписка!I36:K38)</f>
        <v>485559.30612543214</v>
      </c>
      <c r="F17" s="46">
        <f>SUM(Подписка!L36:L38)</f>
        <v>52400</v>
      </c>
      <c r="G17" s="46">
        <f>SUM(Привлечение!D36:D38)</f>
        <v>200000</v>
      </c>
      <c r="H17" s="46">
        <f>SUM(Привлечение!N36:N38)</f>
        <v>12000</v>
      </c>
      <c r="I17" s="46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17" s="25">
        <f t="shared" si="1"/>
        <v>2298893.3136097593</v>
      </c>
      <c r="K17" s="25">
        <f t="shared" si="2"/>
        <v>7979007.2324361848</v>
      </c>
      <c r="L17" s="25">
        <f t="shared" si="3"/>
        <v>2242686.7053999999</v>
      </c>
      <c r="M17" s="16">
        <f t="shared" si="4"/>
        <v>1</v>
      </c>
      <c r="N17" s="16">
        <f t="shared" si="0"/>
        <v>1</v>
      </c>
    </row>
    <row r="18" spans="1:14" ht="24" customHeight="1">
      <c r="A18" s="1" t="s">
        <v>56</v>
      </c>
      <c r="B18" s="39">
        <f>SUM(Подписка!F39:F41)</f>
        <v>51.399999999999991</v>
      </c>
      <c r="C18" s="39">
        <f>SUM(Подписка!G39:G41)</f>
        <v>416.4701815136616</v>
      </c>
      <c r="D18" s="45">
        <f>SUM(Подписка!H39:H41)</f>
        <v>3745696.9185886611</v>
      </c>
      <c r="E18" s="45">
        <f>SUM(Подписка!I39:K41)</f>
        <v>527371.88779506402</v>
      </c>
      <c r="F18" s="45">
        <f>SUM(Подписка!L39:L41)</f>
        <v>52400</v>
      </c>
      <c r="G18" s="45">
        <f>SUM(Привлечение!D39:D41)</f>
        <v>200000</v>
      </c>
      <c r="H18" s="45">
        <f>SUM(Привлечение!N39:N41)</f>
        <v>12000</v>
      </c>
      <c r="I18" s="45">
        <f>SUM(IF(AND(ISNUMBER(Допущения!$B$13),Допущения!$B$13&gt;=0),Допущения!$B$13,NA()),IF(AND(ISNUMBER(Допущения!$B$14),Допущения!$B$14&gt;=0),Допущения!$B$14,NA()),IF(AND(ISNUMBER(Допущения!$B$15),Допущения!$B$15&gt;=0),Допущения!$B$15,NA()))</f>
        <v>400000</v>
      </c>
      <c r="J18" s="24">
        <f t="shared" si="1"/>
        <v>2553925.030793597</v>
      </c>
      <c r="K18" s="24">
        <f t="shared" si="2"/>
        <v>10532932.263229782</v>
      </c>
      <c r="L18" s="24">
        <f t="shared" si="3"/>
        <v>2242686.7053999999</v>
      </c>
      <c r="M18" s="19">
        <f t="shared" si="4"/>
        <v>1</v>
      </c>
      <c r="N18" s="19">
        <f t="shared" si="0"/>
        <v>1</v>
      </c>
    </row>
    <row r="19" spans="1:14" ht="24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ht="24" customHeight="1">
      <c r="A20" s="67" t="s">
        <v>140</v>
      </c>
      <c r="B20" s="67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</row>
    <row r="21" spans="1:14" ht="24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</sheetData>
  <mergeCells count="1">
    <mergeCell ref="A20:N20"/>
  </mergeCells>
  <pageMargins left="0.25" right="0.25" top="0.25" bottom="0.34722222222222221" header="0.3" footer="0.3"/>
  <pageSetup paperSize="8" scale="75" orientation="landscape" r:id="rId1"/>
  <headerFooter>
    <oddFooter>&amp;LЕлизавета Трибунская&amp;Ctribunska.ru&amp;R&amp;P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Начните здесь</vt:lpstr>
      <vt:lpstr>Итог</vt:lpstr>
      <vt:lpstr>Допущения</vt:lpstr>
      <vt:lpstr>Привлечение</vt:lpstr>
      <vt:lpstr>Подписка</vt:lpstr>
      <vt:lpstr>Деньги</vt:lpstr>
      <vt:lpstr>Деньги!Область_печати</vt:lpstr>
      <vt:lpstr>Допущения!Область_печати</vt:lpstr>
      <vt:lpstr>Итог!Область_печати</vt:lpstr>
      <vt:lpstr>'Начните здесь'!Область_печати</vt:lpstr>
      <vt:lpstr>Подписка!Область_печати</vt:lpstr>
      <vt:lpstr>Привлечение!Область_печати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Трибунская</dc:creator>
  <cp:lastModifiedBy>Lisa Tribunska</cp:lastModifiedBy>
  <dcterms:modified xsi:type="dcterms:W3CDTF">2026-10-05T10:55:16Z</dcterms:modified>
</cp:coreProperties>
</file>