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/>
  </mc:AlternateContent>
  <xr:revisionPtr revIDLastSave="0" documentId="13_ncr:1_{5511E725-F7E5-46AC-A93C-5C3067696D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ачните здесь" sheetId="6" r:id="rId1"/>
    <sheet name="Итог" sheetId="1" r:id="rId2"/>
    <sheet name="Допущения" sheetId="2" r:id="rId3"/>
    <sheet name="Привлечение" sheetId="3" r:id="rId4"/>
    <sheet name="Подписка" sheetId="4" r:id="rId5"/>
    <sheet name="Деньги" sheetId="5" r:id="rId6"/>
  </sheets>
  <definedNames>
    <definedName name="_xlnm.Print_Area" localSheetId="5">Деньги!$A$1:$F$18</definedName>
    <definedName name="_xlnm.Print_Area" localSheetId="2">Допущения!$A$1:$E$69</definedName>
    <definedName name="_xlnm.Print_Area" localSheetId="1">Итог!$A$1:$L$36</definedName>
    <definedName name="_xlnm.Print_Area" localSheetId="0">'Начните здесь'!$A$1:$J$18</definedName>
    <definedName name="_xlnm.Print_Area" localSheetId="4">Подписка!$A$1:$U$17</definedName>
    <definedName name="_xlnm.Print_Area" localSheetId="3">Привлечение!$A$1:$K$53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5" l="1"/>
  <c r="B6" i="5"/>
  <c r="C6" i="5" s="1"/>
  <c r="R17" i="4"/>
  <c r="R16" i="4"/>
  <c r="R15" i="4"/>
  <c r="R14" i="4"/>
  <c r="R13" i="4"/>
  <c r="R12" i="4"/>
  <c r="R11" i="4"/>
  <c r="R10" i="4"/>
  <c r="R9" i="4"/>
  <c r="R8" i="4"/>
  <c r="R7" i="4"/>
  <c r="R6" i="4"/>
  <c r="D6" i="4"/>
  <c r="K53" i="3"/>
  <c r="J53" i="3"/>
  <c r="H53" i="3"/>
  <c r="C53" i="3"/>
  <c r="C52" i="3"/>
  <c r="C51" i="3"/>
  <c r="D50" i="3"/>
  <c r="C50" i="3"/>
  <c r="J49" i="3"/>
  <c r="K49" i="3" s="1"/>
  <c r="H49" i="3"/>
  <c r="C49" i="3"/>
  <c r="C48" i="3"/>
  <c r="C47" i="3"/>
  <c r="D46" i="3"/>
  <c r="C46" i="3"/>
  <c r="F46" i="3" s="1"/>
  <c r="H46" i="3" s="1"/>
  <c r="K45" i="3"/>
  <c r="J45" i="3"/>
  <c r="H45" i="3"/>
  <c r="C45" i="3"/>
  <c r="C44" i="3"/>
  <c r="C43" i="3"/>
  <c r="C42" i="3"/>
  <c r="J41" i="3"/>
  <c r="K41" i="3" s="1"/>
  <c r="H41" i="3"/>
  <c r="C41" i="3"/>
  <c r="C40" i="3"/>
  <c r="C39" i="3"/>
  <c r="C38" i="3"/>
  <c r="J37" i="3"/>
  <c r="K37" i="3" s="1"/>
  <c r="H37" i="3"/>
  <c r="C37" i="3"/>
  <c r="C36" i="3"/>
  <c r="C35" i="3"/>
  <c r="C34" i="3"/>
  <c r="J33" i="3"/>
  <c r="K33" i="3" s="1"/>
  <c r="H33" i="3"/>
  <c r="C33" i="3"/>
  <c r="D32" i="3"/>
  <c r="C32" i="3"/>
  <c r="F32" i="3" s="1"/>
  <c r="C31" i="3"/>
  <c r="C30" i="3"/>
  <c r="K29" i="3"/>
  <c r="J29" i="3"/>
  <c r="H29" i="3"/>
  <c r="C29" i="3"/>
  <c r="C28" i="3"/>
  <c r="C27" i="3"/>
  <c r="D26" i="3"/>
  <c r="F26" i="3" s="1"/>
  <c r="C26" i="3"/>
  <c r="K25" i="3"/>
  <c r="J25" i="3"/>
  <c r="H25" i="3"/>
  <c r="C25" i="3"/>
  <c r="C24" i="3"/>
  <c r="C23" i="3"/>
  <c r="D22" i="3"/>
  <c r="C22" i="3"/>
  <c r="F22" i="3" s="1"/>
  <c r="K21" i="3"/>
  <c r="J21" i="3"/>
  <c r="H21" i="3"/>
  <c r="C21" i="3"/>
  <c r="C20" i="3"/>
  <c r="C19" i="3"/>
  <c r="C18" i="3"/>
  <c r="J17" i="3"/>
  <c r="K17" i="3" s="1"/>
  <c r="H17" i="3"/>
  <c r="C17" i="3"/>
  <c r="C16" i="3"/>
  <c r="C15" i="3"/>
  <c r="C14" i="3"/>
  <c r="J13" i="3"/>
  <c r="K13" i="3" s="1"/>
  <c r="H13" i="3"/>
  <c r="C13" i="3"/>
  <c r="C12" i="3"/>
  <c r="C11" i="3"/>
  <c r="C10" i="3"/>
  <c r="J9" i="3"/>
  <c r="K9" i="3" s="1"/>
  <c r="H9" i="3"/>
  <c r="C9" i="3"/>
  <c r="D8" i="3"/>
  <c r="F8" i="3" s="1"/>
  <c r="I8" i="3" s="1"/>
  <c r="C8" i="3"/>
  <c r="C7" i="3"/>
  <c r="C6" i="3"/>
  <c r="A68" i="2"/>
  <c r="A34" i="1" s="1"/>
  <c r="B39" i="2"/>
  <c r="B28" i="1" s="1"/>
  <c r="B30" i="1" s="1"/>
  <c r="B31" i="1" s="1"/>
  <c r="B38" i="2"/>
  <c r="E50" i="3" s="1"/>
  <c r="B37" i="2"/>
  <c r="D53" i="3" s="1"/>
  <c r="B36" i="2"/>
  <c r="A36" i="1"/>
  <c r="B29" i="1"/>
  <c r="B27" i="1"/>
  <c r="B26" i="1"/>
  <c r="B25" i="1"/>
  <c r="B24" i="1"/>
  <c r="B17" i="1"/>
  <c r="A14" i="1"/>
  <c r="B4" i="1"/>
  <c r="D36" i="3" l="1"/>
  <c r="F50" i="3"/>
  <c r="D18" i="3"/>
  <c r="F18" i="3" s="1"/>
  <c r="G18" i="3" s="1"/>
  <c r="E23" i="3"/>
  <c r="E33" i="3"/>
  <c r="D42" i="3"/>
  <c r="F42" i="3" s="1"/>
  <c r="D52" i="3"/>
  <c r="F52" i="3" s="1"/>
  <c r="D28" i="3"/>
  <c r="F28" i="3" s="1"/>
  <c r="I28" i="3" s="1"/>
  <c r="F38" i="3"/>
  <c r="G38" i="3" s="1"/>
  <c r="D24" i="3"/>
  <c r="F24" i="3" s="1"/>
  <c r="D38" i="3"/>
  <c r="E43" i="3"/>
  <c r="E38" i="3"/>
  <c r="F44" i="3"/>
  <c r="I44" i="3" s="1"/>
  <c r="D48" i="3"/>
  <c r="F48" i="3" s="1"/>
  <c r="D10" i="3"/>
  <c r="F10" i="3" s="1"/>
  <c r="E15" i="3"/>
  <c r="D20" i="3"/>
  <c r="F20" i="3" s="1"/>
  <c r="E25" i="3"/>
  <c r="D44" i="3"/>
  <c r="E18" i="3"/>
  <c r="D34" i="3"/>
  <c r="F34" i="3" s="1"/>
  <c r="F40" i="3"/>
  <c r="G40" i="3" s="1"/>
  <c r="D14" i="3"/>
  <c r="F14" i="3" s="1"/>
  <c r="D6" i="3"/>
  <c r="F6" i="3" s="1"/>
  <c r="F12" i="3"/>
  <c r="H12" i="3" s="1"/>
  <c r="J12" i="3" s="1"/>
  <c r="K12" i="3" s="1"/>
  <c r="D16" i="3"/>
  <c r="F16" i="3" s="1"/>
  <c r="F30" i="3"/>
  <c r="I30" i="3" s="1"/>
  <c r="D40" i="3"/>
  <c r="E46" i="3"/>
  <c r="G46" i="3" s="1"/>
  <c r="D12" i="3"/>
  <c r="D30" i="3"/>
  <c r="F36" i="3"/>
  <c r="I36" i="3" s="1"/>
  <c r="G50" i="3"/>
  <c r="I50" i="3"/>
  <c r="H50" i="3"/>
  <c r="J46" i="3"/>
  <c r="K46" i="3" s="1"/>
  <c r="H44" i="3"/>
  <c r="J44" i="3" s="1"/>
  <c r="K44" i="3" s="1"/>
  <c r="I22" i="3"/>
  <c r="H22" i="3"/>
  <c r="F43" i="3"/>
  <c r="H24" i="3"/>
  <c r="J24" i="3" s="1"/>
  <c r="K24" i="3" s="1"/>
  <c r="I24" i="3"/>
  <c r="F15" i="3"/>
  <c r="F25" i="3"/>
  <c r="H30" i="3"/>
  <c r="D6" i="5"/>
  <c r="I32" i="3"/>
  <c r="H32" i="3"/>
  <c r="J32" i="3" s="1"/>
  <c r="K32" i="3" s="1"/>
  <c r="G26" i="3"/>
  <c r="H8" i="3"/>
  <c r="J8" i="3" s="1"/>
  <c r="K8" i="3" s="1"/>
  <c r="E6" i="3"/>
  <c r="E31" i="3"/>
  <c r="E41" i="3"/>
  <c r="E13" i="3"/>
  <c r="E26" i="3"/>
  <c r="E53" i="3"/>
  <c r="H26" i="3"/>
  <c r="E10" i="3"/>
  <c r="E35" i="3"/>
  <c r="E45" i="3"/>
  <c r="I46" i="3"/>
  <c r="E7" i="3"/>
  <c r="E17" i="3"/>
  <c r="E30" i="3"/>
  <c r="E52" i="3"/>
  <c r="E48" i="3"/>
  <c r="E44" i="3"/>
  <c r="E40" i="3"/>
  <c r="E36" i="3"/>
  <c r="E32" i="3"/>
  <c r="G32" i="3" s="1"/>
  <c r="E28" i="3"/>
  <c r="E24" i="3"/>
  <c r="G24" i="3" s="1"/>
  <c r="E20" i="3"/>
  <c r="E16" i="3"/>
  <c r="E12" i="3"/>
  <c r="E8" i="3"/>
  <c r="G8" i="3" s="1"/>
  <c r="E27" i="3"/>
  <c r="E37" i="3"/>
  <c r="E9" i="3"/>
  <c r="E22" i="3"/>
  <c r="G22" i="3" s="1"/>
  <c r="E47" i="3"/>
  <c r="E19" i="3"/>
  <c r="E29" i="3"/>
  <c r="E42" i="3"/>
  <c r="E14" i="3"/>
  <c r="E39" i="3"/>
  <c r="E49" i="3"/>
  <c r="I26" i="3"/>
  <c r="E11" i="3"/>
  <c r="E21" i="3"/>
  <c r="E34" i="3"/>
  <c r="E51" i="3"/>
  <c r="D7" i="3"/>
  <c r="F7" i="3" s="1"/>
  <c r="D11" i="3"/>
  <c r="F11" i="3" s="1"/>
  <c r="D15" i="3"/>
  <c r="D19" i="3"/>
  <c r="F19" i="3" s="1"/>
  <c r="D23" i="3"/>
  <c r="F23" i="3" s="1"/>
  <c r="D27" i="3"/>
  <c r="F27" i="3" s="1"/>
  <c r="D31" i="3"/>
  <c r="F31" i="3" s="1"/>
  <c r="D35" i="3"/>
  <c r="F35" i="3" s="1"/>
  <c r="D39" i="3"/>
  <c r="F39" i="3" s="1"/>
  <c r="D43" i="3"/>
  <c r="D47" i="3"/>
  <c r="F47" i="3" s="1"/>
  <c r="D51" i="3"/>
  <c r="F51" i="3" s="1"/>
  <c r="D9" i="3"/>
  <c r="D13" i="3"/>
  <c r="D17" i="3"/>
  <c r="F17" i="3" s="1"/>
  <c r="D21" i="3"/>
  <c r="D25" i="3"/>
  <c r="D29" i="3"/>
  <c r="D33" i="3"/>
  <c r="D37" i="3"/>
  <c r="D41" i="3"/>
  <c r="D45" i="3"/>
  <c r="F45" i="3" s="1"/>
  <c r="D49" i="3"/>
  <c r="I14" i="3" l="1"/>
  <c r="G14" i="3"/>
  <c r="H14" i="3"/>
  <c r="I34" i="3"/>
  <c r="H34" i="3"/>
  <c r="J34" i="3" s="1"/>
  <c r="K34" i="3" s="1"/>
  <c r="L13" i="4" s="1"/>
  <c r="G34" i="3"/>
  <c r="H52" i="3"/>
  <c r="J52" i="3" s="1"/>
  <c r="K52" i="3" s="1"/>
  <c r="I52" i="3"/>
  <c r="H20" i="3"/>
  <c r="J20" i="3" s="1"/>
  <c r="K20" i="3" s="1"/>
  <c r="G20" i="3"/>
  <c r="I20" i="3"/>
  <c r="H10" i="3"/>
  <c r="I10" i="3"/>
  <c r="I48" i="3"/>
  <c r="H48" i="3"/>
  <c r="J48" i="3" s="1"/>
  <c r="K48" i="3" s="1"/>
  <c r="H42" i="3"/>
  <c r="I42" i="3"/>
  <c r="S15" i="4" s="1"/>
  <c r="I18" i="1" s="1"/>
  <c r="G42" i="3"/>
  <c r="I16" i="3"/>
  <c r="H16" i="3"/>
  <c r="J16" i="3" s="1"/>
  <c r="K16" i="3" s="1"/>
  <c r="I6" i="3"/>
  <c r="H6" i="3"/>
  <c r="G6" i="3"/>
  <c r="F37" i="3"/>
  <c r="I37" i="3" s="1"/>
  <c r="G48" i="3"/>
  <c r="G16" i="3"/>
  <c r="I12" i="3"/>
  <c r="H28" i="3"/>
  <c r="J28" i="3" s="1"/>
  <c r="K28" i="3" s="1"/>
  <c r="H38" i="3"/>
  <c r="G30" i="3"/>
  <c r="H36" i="3"/>
  <c r="J36" i="3" s="1"/>
  <c r="K36" i="3" s="1"/>
  <c r="G12" i="3"/>
  <c r="G28" i="3"/>
  <c r="I38" i="3"/>
  <c r="G10" i="3"/>
  <c r="H40" i="3"/>
  <c r="J40" i="3" s="1"/>
  <c r="K40" i="3" s="1"/>
  <c r="H18" i="3"/>
  <c r="G52" i="3"/>
  <c r="F21" i="3"/>
  <c r="G36" i="3"/>
  <c r="I40" i="3"/>
  <c r="I18" i="3"/>
  <c r="G44" i="3"/>
  <c r="I7" i="3"/>
  <c r="H7" i="3"/>
  <c r="J7" i="3" s="1"/>
  <c r="K7" i="3" s="1"/>
  <c r="G7" i="3"/>
  <c r="H47" i="3"/>
  <c r="G47" i="3"/>
  <c r="I47" i="3"/>
  <c r="H31" i="3"/>
  <c r="J31" i="3" s="1"/>
  <c r="K31" i="3" s="1"/>
  <c r="G31" i="3"/>
  <c r="I31" i="3"/>
  <c r="G11" i="3"/>
  <c r="I11" i="3"/>
  <c r="H11" i="3"/>
  <c r="J11" i="3" s="1"/>
  <c r="K11" i="3" s="1"/>
  <c r="I39" i="3"/>
  <c r="H39" i="3"/>
  <c r="J39" i="3" s="1"/>
  <c r="K39" i="3" s="1"/>
  <c r="G39" i="3"/>
  <c r="F41" i="3"/>
  <c r="F49" i="3"/>
  <c r="I27" i="3"/>
  <c r="H27" i="3"/>
  <c r="J27" i="3" s="1"/>
  <c r="K27" i="3" s="1"/>
  <c r="G27" i="3"/>
  <c r="I21" i="3"/>
  <c r="G21" i="3"/>
  <c r="I45" i="3"/>
  <c r="G45" i="3"/>
  <c r="I43" i="3"/>
  <c r="H43" i="3"/>
  <c r="J43" i="3" s="1"/>
  <c r="K43" i="3" s="1"/>
  <c r="G43" i="3"/>
  <c r="C15" i="4" s="1"/>
  <c r="F9" i="3"/>
  <c r="J42" i="3"/>
  <c r="K42" i="3" s="1"/>
  <c r="H51" i="3"/>
  <c r="J51" i="3" s="1"/>
  <c r="K51" i="3" s="1"/>
  <c r="I51" i="3"/>
  <c r="G51" i="3"/>
  <c r="I35" i="3"/>
  <c r="H35" i="3"/>
  <c r="J35" i="3" s="1"/>
  <c r="K35" i="3" s="1"/>
  <c r="G35" i="3"/>
  <c r="J30" i="3"/>
  <c r="K30" i="3" s="1"/>
  <c r="L12" i="4" s="1"/>
  <c r="B12" i="4"/>
  <c r="E15" i="1" s="1"/>
  <c r="J26" i="3"/>
  <c r="K26" i="3" s="1"/>
  <c r="I15" i="3"/>
  <c r="H15" i="3"/>
  <c r="J15" i="3" s="1"/>
  <c r="K15" i="3" s="1"/>
  <c r="G15" i="3"/>
  <c r="C8" i="4" s="1"/>
  <c r="J18" i="3"/>
  <c r="K18" i="3" s="1"/>
  <c r="I25" i="3"/>
  <c r="G25" i="3"/>
  <c r="I17" i="3"/>
  <c r="G17" i="3"/>
  <c r="J6" i="3"/>
  <c r="K6" i="3" s="1"/>
  <c r="L6" i="4" s="1"/>
  <c r="B6" i="4"/>
  <c r="E9" i="1" s="1"/>
  <c r="F33" i="3"/>
  <c r="J22" i="3"/>
  <c r="K22" i="3" s="1"/>
  <c r="J38" i="3"/>
  <c r="K38" i="3" s="1"/>
  <c r="F53" i="3"/>
  <c r="E6" i="5"/>
  <c r="G23" i="3"/>
  <c r="C10" i="4" s="1"/>
  <c r="I23" i="3"/>
  <c r="S10" i="4" s="1"/>
  <c r="I13" i="1" s="1"/>
  <c r="H23" i="3"/>
  <c r="J23" i="3" s="1"/>
  <c r="K23" i="3" s="1"/>
  <c r="B7" i="4"/>
  <c r="E10" i="1" s="1"/>
  <c r="J10" i="3"/>
  <c r="K10" i="3" s="1"/>
  <c r="L7" i="4" s="1"/>
  <c r="J50" i="3"/>
  <c r="K50" i="3" s="1"/>
  <c r="F13" i="3"/>
  <c r="F29" i="3"/>
  <c r="G19" i="3"/>
  <c r="I19" i="3"/>
  <c r="S9" i="4" s="1"/>
  <c r="I12" i="1" s="1"/>
  <c r="H19" i="3"/>
  <c r="J19" i="3" s="1"/>
  <c r="K19" i="3" s="1"/>
  <c r="B8" i="4"/>
  <c r="E11" i="1" s="1"/>
  <c r="J14" i="3"/>
  <c r="K14" i="3" s="1"/>
  <c r="L8" i="4" s="1"/>
  <c r="B9" i="4" l="1"/>
  <c r="E12" i="1" s="1"/>
  <c r="C9" i="4"/>
  <c r="L9" i="4"/>
  <c r="L17" i="4"/>
  <c r="G37" i="3"/>
  <c r="C13" i="4"/>
  <c r="F16" i="1" s="1"/>
  <c r="S13" i="4"/>
  <c r="I16" i="1" s="1"/>
  <c r="L14" i="4"/>
  <c r="B14" i="4"/>
  <c r="E17" i="1" s="1"/>
  <c r="S8" i="4"/>
  <c r="I11" i="1" s="1"/>
  <c r="B17" i="4"/>
  <c r="E20" i="1" s="1"/>
  <c r="F12" i="1"/>
  <c r="F13" i="1"/>
  <c r="B10" i="4"/>
  <c r="E13" i="1" s="1"/>
  <c r="G9" i="3"/>
  <c r="C6" i="4" s="1"/>
  <c r="I9" i="3"/>
  <c r="S6" i="4" s="1"/>
  <c r="I9" i="1" s="1"/>
  <c r="B13" i="4"/>
  <c r="E16" i="1" s="1"/>
  <c r="F18" i="1"/>
  <c r="G49" i="3"/>
  <c r="C16" i="4" s="1"/>
  <c r="I49" i="3"/>
  <c r="S16" i="4" s="1"/>
  <c r="I19" i="1" s="1"/>
  <c r="G13" i="3"/>
  <c r="C7" i="4" s="1"/>
  <c r="I13" i="3"/>
  <c r="S7" i="4" s="1"/>
  <c r="I10" i="1" s="1"/>
  <c r="G41" i="3"/>
  <c r="C14" i="4" s="1"/>
  <c r="I41" i="3"/>
  <c r="S14" i="4" s="1"/>
  <c r="I17" i="1" s="1"/>
  <c r="G29" i="3"/>
  <c r="C11" i="4" s="1"/>
  <c r="I29" i="3"/>
  <c r="S11" i="4" s="1"/>
  <c r="I14" i="1" s="1"/>
  <c r="L15" i="4"/>
  <c r="J47" i="3"/>
  <c r="K47" i="3" s="1"/>
  <c r="L16" i="4" s="1"/>
  <c r="B16" i="4"/>
  <c r="E19" i="1" s="1"/>
  <c r="B15" i="4"/>
  <c r="E18" i="1" s="1"/>
  <c r="G33" i="3"/>
  <c r="C12" i="4" s="1"/>
  <c r="I33" i="3"/>
  <c r="S12" i="4" s="1"/>
  <c r="I15" i="1" s="1"/>
  <c r="F11" i="1"/>
  <c r="G53" i="3"/>
  <c r="C17" i="4" s="1"/>
  <c r="I53" i="3"/>
  <c r="S17" i="4" s="1"/>
  <c r="I20" i="1" s="1"/>
  <c r="L11" i="4"/>
  <c r="L10" i="4"/>
  <c r="B11" i="4"/>
  <c r="E14" i="1" s="1"/>
  <c r="E6" i="4" l="1"/>
  <c r="F9" i="1"/>
  <c r="B32" i="1"/>
  <c r="B33" i="1" s="1"/>
  <c r="B8" i="1"/>
  <c r="F15" i="1"/>
  <c r="F17" i="1"/>
  <c r="F19" i="1"/>
  <c r="F10" i="1"/>
  <c r="F14" i="1"/>
  <c r="F20" i="1"/>
  <c r="F6" i="4" l="1"/>
  <c r="D7" i="4"/>
  <c r="E7" i="4" s="1"/>
  <c r="J6" i="4"/>
  <c r="I6" i="4"/>
  <c r="M6" i="4"/>
  <c r="N6" i="4" s="1"/>
  <c r="O6" i="4" s="1"/>
  <c r="P6" i="4"/>
  <c r="Q6" i="4" s="1"/>
  <c r="K6" i="4"/>
  <c r="G9" i="1"/>
  <c r="J7" i="4" l="1"/>
  <c r="P7" i="4"/>
  <c r="Q7" i="4" s="1"/>
  <c r="G10" i="1"/>
  <c r="M7" i="4"/>
  <c r="N7" i="4" s="1"/>
  <c r="O7" i="4" s="1"/>
  <c r="I7" i="4"/>
  <c r="K7" i="4"/>
  <c r="D8" i="4"/>
  <c r="E8" i="4" s="1"/>
  <c r="F7" i="4"/>
  <c r="G6" i="4"/>
  <c r="T6" i="4"/>
  <c r="H6" i="4"/>
  <c r="H9" i="1"/>
  <c r="F8" i="4" l="1"/>
  <c r="D9" i="4"/>
  <c r="E9" i="4" s="1"/>
  <c r="P8" i="4"/>
  <c r="Q8" i="4" s="1"/>
  <c r="I8" i="4"/>
  <c r="M8" i="4"/>
  <c r="N8" i="4" s="1"/>
  <c r="O8" i="4" s="1"/>
  <c r="K8" i="4"/>
  <c r="J8" i="4"/>
  <c r="G11" i="1"/>
  <c r="U6" i="4"/>
  <c r="B7" i="5"/>
  <c r="C7" i="5" s="1"/>
  <c r="J9" i="1"/>
  <c r="H10" i="1"/>
  <c r="H7" i="4"/>
  <c r="G7" i="4"/>
  <c r="T7" i="4" s="1"/>
  <c r="B8" i="5" l="1"/>
  <c r="U7" i="4"/>
  <c r="J10" i="1"/>
  <c r="K9" i="1"/>
  <c r="C8" i="5"/>
  <c r="F7" i="5"/>
  <c r="D7" i="5"/>
  <c r="D8" i="5"/>
  <c r="F9" i="4"/>
  <c r="D10" i="4"/>
  <c r="E10" i="4" s="1"/>
  <c r="J9" i="4"/>
  <c r="I9" i="4"/>
  <c r="P9" i="4"/>
  <c r="Q9" i="4" s="1"/>
  <c r="M9" i="4"/>
  <c r="N9" i="4" s="1"/>
  <c r="O9" i="4" s="1"/>
  <c r="G12" i="1"/>
  <c r="K9" i="4"/>
  <c r="H8" i="4"/>
  <c r="G8" i="4"/>
  <c r="H11" i="1"/>
  <c r="T8" i="4" l="1"/>
  <c r="B9" i="5" s="1"/>
  <c r="C9" i="5" s="1"/>
  <c r="J11" i="1"/>
  <c r="U8" i="4"/>
  <c r="L9" i="1"/>
  <c r="E7" i="5"/>
  <c r="H12" i="1"/>
  <c r="H9" i="4"/>
  <c r="T9" i="4" s="1"/>
  <c r="G9" i="4"/>
  <c r="J10" i="4"/>
  <c r="I10" i="4"/>
  <c r="P10" i="4"/>
  <c r="Q10" i="4" s="1"/>
  <c r="M10" i="4"/>
  <c r="N10" i="4" s="1"/>
  <c r="O10" i="4" s="1"/>
  <c r="G13" i="1"/>
  <c r="K10" i="4"/>
  <c r="F10" i="4"/>
  <c r="D11" i="4"/>
  <c r="E11" i="4" s="1"/>
  <c r="E8" i="5"/>
  <c r="L10" i="1"/>
  <c r="F8" i="5"/>
  <c r="K10" i="1"/>
  <c r="B10" i="5" l="1"/>
  <c r="U9" i="4"/>
  <c r="J12" i="1"/>
  <c r="F9" i="5"/>
  <c r="C10" i="5"/>
  <c r="K11" i="1"/>
  <c r="D10" i="5"/>
  <c r="H10" i="4"/>
  <c r="H13" i="1"/>
  <c r="G10" i="4"/>
  <c r="T10" i="4"/>
  <c r="D9" i="5"/>
  <c r="M11" i="4"/>
  <c r="N11" i="4" s="1"/>
  <c r="O11" i="4" s="1"/>
  <c r="F11" i="4"/>
  <c r="G14" i="1"/>
  <c r="K11" i="4"/>
  <c r="J11" i="4"/>
  <c r="I11" i="4"/>
  <c r="D12" i="4"/>
  <c r="E12" i="4" s="1"/>
  <c r="P11" i="4"/>
  <c r="Q11" i="4" s="1"/>
  <c r="E10" i="5" l="1"/>
  <c r="L12" i="1"/>
  <c r="F10" i="5"/>
  <c r="K12" i="1"/>
  <c r="U10" i="4"/>
  <c r="B11" i="5"/>
  <c r="C11" i="5" s="1"/>
  <c r="J13" i="1"/>
  <c r="L11" i="1"/>
  <c r="E9" i="5"/>
  <c r="F12" i="4"/>
  <c r="D13" i="4"/>
  <c r="E13" i="4" s="1"/>
  <c r="J12" i="4"/>
  <c r="I12" i="4"/>
  <c r="M12" i="4"/>
  <c r="N12" i="4" s="1"/>
  <c r="O12" i="4" s="1"/>
  <c r="K12" i="4"/>
  <c r="G15" i="1"/>
  <c r="P12" i="4"/>
  <c r="Q12" i="4" s="1"/>
  <c r="H11" i="4"/>
  <c r="H14" i="1"/>
  <c r="G11" i="4"/>
  <c r="T11" i="4" l="1"/>
  <c r="K13" i="1"/>
  <c r="F11" i="5"/>
  <c r="D11" i="5"/>
  <c r="B12" i="5"/>
  <c r="C12" i="5" s="1"/>
  <c r="U11" i="4"/>
  <c r="J14" i="1"/>
  <c r="J13" i="4"/>
  <c r="I13" i="4"/>
  <c r="P13" i="4"/>
  <c r="Q13" i="4" s="1"/>
  <c r="M13" i="4"/>
  <c r="N13" i="4" s="1"/>
  <c r="O13" i="4" s="1"/>
  <c r="K13" i="4"/>
  <c r="F13" i="4"/>
  <c r="D14" i="4"/>
  <c r="E14" i="4" s="1"/>
  <c r="G16" i="1"/>
  <c r="H12" i="4"/>
  <c r="G12" i="4"/>
  <c r="T12" i="4" s="1"/>
  <c r="H15" i="1"/>
  <c r="F12" i="5" l="1"/>
  <c r="K14" i="1"/>
  <c r="D12" i="5"/>
  <c r="M14" i="4"/>
  <c r="N14" i="4" s="1"/>
  <c r="O14" i="4" s="1"/>
  <c r="F14" i="4"/>
  <c r="K14" i="4"/>
  <c r="J14" i="4"/>
  <c r="I14" i="4"/>
  <c r="D15" i="4"/>
  <c r="E15" i="4" s="1"/>
  <c r="G17" i="1"/>
  <c r="P14" i="4"/>
  <c r="Q14" i="4" s="1"/>
  <c r="H16" i="1"/>
  <c r="H13" i="4"/>
  <c r="T13" i="4" s="1"/>
  <c r="G13" i="4"/>
  <c r="U12" i="4"/>
  <c r="J15" i="1"/>
  <c r="B13" i="5"/>
  <c r="C13" i="5" s="1"/>
  <c r="E11" i="5"/>
  <c r="L13" i="1"/>
  <c r="F13" i="5" l="1"/>
  <c r="K15" i="1"/>
  <c r="D13" i="5"/>
  <c r="L14" i="1"/>
  <c r="E12" i="5"/>
  <c r="H14" i="4"/>
  <c r="H17" i="1"/>
  <c r="G14" i="4"/>
  <c r="T14" i="4" s="1"/>
  <c r="B14" i="5"/>
  <c r="C14" i="5" s="1"/>
  <c r="U13" i="4"/>
  <c r="J16" i="1"/>
  <c r="F15" i="4"/>
  <c r="D16" i="4"/>
  <c r="E16" i="4" s="1"/>
  <c r="J15" i="4"/>
  <c r="I15" i="4"/>
  <c r="M15" i="4"/>
  <c r="N15" i="4" s="1"/>
  <c r="O15" i="4" s="1"/>
  <c r="K15" i="4"/>
  <c r="P15" i="4"/>
  <c r="Q15" i="4" s="1"/>
  <c r="G18" i="1"/>
  <c r="F14" i="5" l="1"/>
  <c r="K16" i="1"/>
  <c r="D14" i="5"/>
  <c r="J17" i="1"/>
  <c r="B15" i="5"/>
  <c r="C15" i="5" s="1"/>
  <c r="U14" i="4"/>
  <c r="L15" i="1"/>
  <c r="E13" i="5"/>
  <c r="H18" i="1"/>
  <c r="H15" i="4"/>
  <c r="G15" i="4"/>
  <c r="T15" i="4" s="1"/>
  <c r="J16" i="4"/>
  <c r="I16" i="4"/>
  <c r="P16" i="4"/>
  <c r="Q16" i="4" s="1"/>
  <c r="M16" i="4"/>
  <c r="N16" i="4" s="1"/>
  <c r="O16" i="4" s="1"/>
  <c r="K16" i="4"/>
  <c r="F16" i="4"/>
  <c r="D17" i="4"/>
  <c r="E17" i="4" s="1"/>
  <c r="G19" i="1"/>
  <c r="U15" i="4" l="1"/>
  <c r="B16" i="5"/>
  <c r="J18" i="1"/>
  <c r="K17" i="1"/>
  <c r="C16" i="5"/>
  <c r="F15" i="5"/>
  <c r="D15" i="5"/>
  <c r="L16" i="1"/>
  <c r="E14" i="5"/>
  <c r="H16" i="4"/>
  <c r="G16" i="4"/>
  <c r="H19" i="1"/>
  <c r="M17" i="4"/>
  <c r="N17" i="4" s="1"/>
  <c r="O17" i="4" s="1"/>
  <c r="F17" i="4"/>
  <c r="K17" i="4"/>
  <c r="J17" i="4"/>
  <c r="I17" i="4"/>
  <c r="P17" i="4"/>
  <c r="Q17" i="4" s="1"/>
  <c r="G20" i="1"/>
  <c r="B9" i="1"/>
  <c r="T16" i="4" l="1"/>
  <c r="U16" i="4" s="1"/>
  <c r="J19" i="1"/>
  <c r="B17" i="5"/>
  <c r="H17" i="4"/>
  <c r="G17" i="4"/>
  <c r="T17" i="4" s="1"/>
  <c r="H20" i="1"/>
  <c r="B10" i="1"/>
  <c r="L17" i="1"/>
  <c r="E15" i="5"/>
  <c r="C17" i="5"/>
  <c r="F16" i="5"/>
  <c r="K18" i="1"/>
  <c r="D16" i="5"/>
  <c r="J20" i="1" l="1"/>
  <c r="B18" i="5"/>
  <c r="U17" i="4"/>
  <c r="B15" i="1" s="1"/>
  <c r="B11" i="1"/>
  <c r="C18" i="5"/>
  <c r="F17" i="5"/>
  <c r="K19" i="1"/>
  <c r="D17" i="5"/>
  <c r="E16" i="5"/>
  <c r="L18" i="1"/>
  <c r="E17" i="5" l="1"/>
  <c r="L19" i="1"/>
  <c r="F18" i="5"/>
  <c r="B16" i="1" s="1"/>
  <c r="K20" i="1"/>
  <c r="B12" i="1"/>
  <c r="D18" i="5"/>
  <c r="E18" i="5" l="1"/>
  <c r="B14" i="1" s="1"/>
  <c r="L20" i="1"/>
  <c r="B13" i="1"/>
  <c r="B18" i="1" s="1"/>
</calcChain>
</file>

<file path=xl/sharedStrings.xml><?xml version="1.0" encoding="utf-8"?>
<sst xmlns="http://schemas.openxmlformats.org/spreadsheetml/2006/main" count="218" uniqueCount="147">
  <si>
    <t>Начните здесь</t>
  </si>
  <si>
    <t>Елизавета Трибунская</t>
  </si>
  <si>
    <t>tribunska.ru</t>
  </si>
  <si>
    <t>Прикрепите эту книгу к чату с вашим ИИ-агентом и отправьте промпт ниже. Расскажите, что хотите запустить: агент поможет адаптировать модель под ваш бизнес.</t>
  </si>
  <si>
    <t>Изменить параметры</t>
  </si>
  <si>
    <t>Посмотреть результат</t>
  </si>
  <si>
    <t>Хотите посчитать сами? Меняйте жёлтые ячейки на листе «Допущения», а результат смотрите на листе «Итог».</t>
  </si>
  <si>
    <t>Промпт для вашего агента</t>
  </si>
  <si>
    <t>Помоги адаптировать приложенную Excel-модель под мою бизнес-идею.
Сначала изучи книгу и задай мне вопросы о продукте: кому и что я продаю, как получаю деньги, как привлекаю покупателей, какие расходы и ограничения есть. Спрашивай небольшими порциями, учитывая мои ответы.
Разбери, что в модели подходит моему бизнесу, а что нужно изменить. Согласуй со мной изменения логики. Затем создай отдельную адаптированную книгу: можно менять статьи расходов, каналы, структуру и формулы. Исходный файл сохрани.
Используй мои данные. Для неизвестных предложи допущения и явно обозначь их. Рыночные ориентиры указывай со ссылками и датами. Раздели разовые и текущие расходы, выручку и денежные поступления; учти налоги и сроки платежей для моего проекта.
Посчитай осторожный, базовый и сильный сценарии. Покажи, сколько денег нужно на запуск, когда бизнес выходит в плюс и возвращает вложения. Если это не происходит за выбранный срок, так и напиши.
Выдели поля ввода, сохрани расчёты в формулах и проверь, что изменение цены, объёма продаж и расходов меняет результат. Объясни основные изменения и назови три допущения, которые сильнее всего влияют на расчёт и требуют проверки. Если не можешь отредактировать Excel, дай точный список изменений и формул.
Моя бизнес-идея: [расскажите, что хотите запустить].</t>
  </si>
  <si>
    <t>Скопируйте ячейку B12 целиком и вставьте в чат вместе с файлом.</t>
  </si>
  <si>
    <t>Когда появятся первые цифры, разберём, на какие уже можно опираться и что стоит проверить до запуска.</t>
  </si>
  <si>
    <t>Обсудить мой проект с Елизаветой</t>
  </si>
  <si>
    <t>Ритм — модель запуска</t>
  </si>
  <si>
    <t>Концептуальный кейс: все числа — авторские модельные допущения. Денежный поток до налогов; месяц 0 — подготовка, 1–12 — продажи. Месячная подписка оплачивается вперёд; продление — следующая месячная оплата.</t>
  </si>
  <si>
    <t>t.me/tribunska</t>
  </si>
  <si>
    <t>Выбранный сценарий</t>
  </si>
  <si>
    <t>Горизонт</t>
  </si>
  <si>
    <t>12 месяцев · до налогов и финансирования</t>
  </si>
  <si>
    <t>Свои параметры вводите в жёлтые ячейки листа «Допущения». Остальные листы показывают расчёт.</t>
  </si>
  <si>
    <t>Результат выбранного сценария</t>
  </si>
  <si>
    <t>Помесячный прогноз выбранного сценария</t>
  </si>
  <si>
    <t>Уникальные новые оплаты за 12 месяцев</t>
  </si>
  <si>
    <t>Месяц</t>
  </si>
  <si>
    <t>Холодные визиты</t>
  </si>
  <si>
    <t>Новые оплаты</t>
  </si>
  <si>
    <t>Оплаченные</t>
  </si>
  <si>
    <t>Выручка, ₽</t>
  </si>
  <si>
    <t>Расход рекламы, ₽</t>
  </si>
  <si>
    <t>Опер. поток, ₽</t>
  </si>
  <si>
    <t>Накопленный поток, ₽</t>
  </si>
  <si>
    <t>Макс. дефицит к месяцу, ₽</t>
  </si>
  <si>
    <t>Оплаченные пользователь-месяцы</t>
  </si>
  <si>
    <t>Операционный поток за 12 месяцев, ₽</t>
  </si>
  <si>
    <t>Накопленный поток в M12, ₽</t>
  </si>
  <si>
    <t>Максимально требуемые деньги до финансирования, ₽</t>
  </si>
  <si>
    <t>Первый положительный операционный месяц</t>
  </si>
  <si>
    <t>Окупаемость запуска</t>
  </si>
  <si>
    <t>Доля бюджетов каналов</t>
  </si>
  <si>
    <t>Финансирование с резервом, ₽</t>
  </si>
  <si>
    <t>Предельная оценка юнит-экономики при полном заполнении</t>
  </si>
  <si>
    <t>Чистая цена после возвратов и комиссии, ₽</t>
  </si>
  <si>
    <t>AI на оплатившего в месяц, ₽</t>
  </si>
  <si>
    <t>Инфраструктура, ₽</t>
  </si>
  <si>
    <t>Поддержка после оплаты, ₽</t>
  </si>
  <si>
    <t>Ведущий на участника заполненной группы, ₽</t>
  </si>
  <si>
    <t>Эксперт на участника заполненного блока, ₽</t>
  </si>
  <si>
    <t>После обслуживания за месяц, ₽</t>
  </si>
  <si>
    <t>Предел CAC за выбранный срок, ₽</t>
  </si>
  <si>
    <t>Полный CAC с поддержкой до покупки, ₽</t>
  </si>
  <si>
    <t>Запас до предела CAC, ₽</t>
  </si>
  <si>
    <t>Удельные расходы показаны при заполненных группах и экспертных блоках. Помесячный расчёт учитывает оплату целых групп и блоков.</t>
  </si>
  <si>
    <t>Меняйте жёлтые ячейки. В B3 выберите сценарий: 1 — осторожный, 2 — базовый, 3 — сильный. Все расчёты обновятся.</t>
  </si>
  <si>
    <t>Активный сценарий, ID 1/2/3</t>
  </si>
  <si>
    <t>1 Осторожный</t>
  </si>
  <si>
    <t>2 Базовый / 3 Сильный</t>
  </si>
  <si>
    <t>Общие редактируемые параметры</t>
  </si>
  <si>
    <t>Цена подписки, ₽/мес</t>
  </si>
  <si>
    <t>Возвраты, % выручки</t>
  </si>
  <si>
    <t>Комиссия, % выручки</t>
  </si>
  <si>
    <t>Фото в месяц на оплатившего</t>
  </si>
  <si>
    <t>Стоимость обработки фото, ₽</t>
  </si>
  <si>
    <t>Инфраструктура, ₽/чел./мес</t>
  </si>
  <si>
    <t>Поддержка после оплаты, мин/чел./мес</t>
  </si>
  <si>
    <t>Ставка поддержки, ₽/ч</t>
  </si>
  <si>
    <t>Вопросы до покупки, % холодных визитов</t>
  </si>
  <si>
    <t>Время ответа до покупки, мин</t>
  </si>
  <si>
    <t>Часы ведущего на группу в неделю</t>
  </si>
  <si>
    <t>Недель в месяце</t>
  </si>
  <si>
    <t>Ставка ведущего, ₽/ч</t>
  </si>
  <si>
    <t>Оплативших на блок эксперта</t>
  </si>
  <si>
    <t>Эфиров эксперта на блок в месяц</t>
  </si>
  <si>
    <t>Часов в эфире эксперта</t>
  </si>
  <si>
    <t>Ставка эксперта, ₽/ч</t>
  </si>
  <si>
    <t>Постоянные: продукт, ₽/мес</t>
  </si>
  <si>
    <t>Постоянные: маркетинг, ₽/мес</t>
  </si>
  <si>
    <t>Постоянные: бесплатное сообщество, ₽/мес</t>
  </si>
  <si>
    <t>Старт: разработка, ₽ в M0</t>
  </si>
  <si>
    <t>Старт: упаковка и креативы, ₽ в M0</t>
  </si>
  <si>
    <t>Старт: исследование и аналитика, ₽ в M0</t>
  </si>
  <si>
    <t>Максимум участников в группе</t>
  </si>
  <si>
    <t>Лимит ретаргетинга от холодных визитов</t>
  </si>
  <si>
    <t>Горизонт CAC, мес.</t>
  </si>
  <si>
    <t>Резерв от максимального дефицита</t>
  </si>
  <si>
    <t>Жёлтые — меняйте</t>
  </si>
  <si>
    <t>Зелёные — расчёт сценария</t>
  </si>
  <si>
    <t>Серые — справка</t>
  </si>
  <si>
    <t>Белые ячейки с результатами и зелёные значения пересчитываются автоматически.</t>
  </si>
  <si>
    <t>Параметры трёх сценариев</t>
  </si>
  <si>
    <t>Параметр</t>
  </si>
  <si>
    <t>Выбранное значение</t>
  </si>
  <si>
    <t>2 Базовый</t>
  </si>
  <si>
    <t>3 Сильный</t>
  </si>
  <si>
    <t>Продление к предыдущим оплатам</t>
  </si>
  <si>
    <t>Множитель стоимости визита</t>
  </si>
  <si>
    <t>Множитель конверсии в оплату</t>
  </si>
  <si>
    <t>Средняя заполненность группы</t>
  </si>
  <si>
    <t>Каналы: доли бюджета, цена визита и конверсии</t>
  </si>
  <si>
    <t>Канал</t>
  </si>
  <si>
    <t>Доля бюджета</t>
  </si>
  <si>
    <t>Базовая цена визита, ₽</t>
  </si>
  <si>
    <t>Базовая конверсия</t>
  </si>
  <si>
    <t>Назначение</t>
  </si>
  <si>
    <t>Поиск Яндекса</t>
  </si>
  <si>
    <t>Запрос об учёте питания по фото и приложении; прямой вход в подписку.</t>
  </si>
  <si>
    <t>РСЯ</t>
  </si>
  <si>
    <t>Холодные тематические аудитории; фото еды и понятная задача.</t>
  </si>
  <si>
    <t>Блогеры и сообщества</t>
  </si>
  <si>
    <t>Нативный рассказ о дневнике и малой группе; Telegram и VK как площадки.</t>
  </si>
  <si>
    <t>Ретаргетинг</t>
  </si>
  <si>
    <t>Возврат заинтересованных посетителей; объём ограничен собственной тёплой аудиторией.</t>
  </si>
  <si>
    <t>Бюджет привлечения по месяцам, ₽</t>
  </si>
  <si>
    <t>Бюджет</t>
  </si>
  <si>
    <t>Доли бюджета в сумме — 100%. Средняя заполненность группы влияет на расходы ведущих.</t>
  </si>
  <si>
    <t>Возвраты уменьшают поступления; продления рассчитываются от оплативших предыдущего месяца.</t>
  </si>
  <si>
    <t>Выбор в B3: 1 — осторожный, 2 — базовый, 3 — сильный сценарий.</t>
  </si>
  <si>
    <t>Елизавета Трибунская · tribunska.ru</t>
  </si>
  <si>
    <t>Привлечение — расчёт по месяцу и каналу</t>
  </si>
  <si>
    <t>Новые оплаты — ожидаемое число покупателей. Расход ретаргетинга ограничен доступной аудиторией.</t>
  </si>
  <si>
    <t>Бюджет, ₽</t>
  </si>
  <si>
    <t>Цена визита, ₽</t>
  </si>
  <si>
    <t>Конверсия</t>
  </si>
  <si>
    <t>Визиты</t>
  </si>
  <si>
    <t>Вопросы до покупки</t>
  </si>
  <si>
    <t>Поддержка до покупки, ₽</t>
  </si>
  <si>
    <t>Подписка и обслуживание по месяцам</t>
  </si>
  <si>
    <t>Продления считаются от оплативших прошлого месяца; возвраты уменьшают поступления. Оплачиваем целые группы и блоки экспертных встреч.</t>
  </si>
  <si>
    <t>Новые</t>
  </si>
  <si>
    <t>Продления</t>
  </si>
  <si>
    <t>Возвраты, ₽</t>
  </si>
  <si>
    <t>Комиссия, ₽</t>
  </si>
  <si>
    <t>AI, ₽</t>
  </si>
  <si>
    <t>Поддержка после, ₽</t>
  </si>
  <si>
    <t>Поддержка до, ₽</t>
  </si>
  <si>
    <t>Группы</t>
  </si>
  <si>
    <t>Часы ведущего</t>
  </si>
  <si>
    <t>Ведущий, ₽</t>
  </si>
  <si>
    <t>Блоки эксперта</t>
  </si>
  <si>
    <t>Эксперт, ₽</t>
  </si>
  <si>
    <t>Постоянные, ₽</t>
  </si>
  <si>
    <t>Операционный поток, ₽</t>
  </si>
  <si>
    <t>Плюс, индикатор</t>
  </si>
  <si>
    <t>Деньги — накопленный поток до финансирования</t>
  </si>
  <si>
    <t>M0 — подготовка; M1–M12 — продажи. Требуемые деньги считаются до финансирования, резерв показан отдельно и не входит в расходы.</t>
  </si>
  <si>
    <t>Операционный поток / старт, ₽</t>
  </si>
  <si>
    <t>Резерв, ₽</t>
  </si>
  <si>
    <t>Момент возврата вложений</t>
  </si>
  <si>
    <t>В расчёте заполненность группы ограничена максимумом из B28.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</si>
</sst>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–"/>
    <numFmt numFmtId="165" formatCode="0.0%"/>
    <numFmt numFmtId="166" formatCode="#,##0.00;[Red]\(#,##0.00\);\–"/>
    <numFmt numFmtId="167" formatCode="#,##0.0;[Red]\(#,##0.0\);\–"/>
    <numFmt numFmtId="168" formatCode="&quot;M&quot;0"/>
  </numFmts>
  <fonts count="31">
    <font>
      <sz val="11"/>
      <name val="Carlito"/>
    </font>
    <font>
      <b/>
      <sz val="15"/>
      <color rgb="FFFFFFFF"/>
      <name val="Arial"/>
    </font>
    <font>
      <i/>
      <sz val="9"/>
      <color rgb="FF64748B"/>
      <name val="Arial"/>
    </font>
    <font>
      <b/>
      <sz val="11"/>
      <color rgb="FF1565C0"/>
      <name val="Arial"/>
    </font>
    <font>
      <b/>
      <sz val="10"/>
      <color rgb="FF17324D"/>
      <name val="Arial"/>
    </font>
    <font>
      <sz val="10"/>
      <color rgb="FF1565C0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i/>
      <sz val="10"/>
      <color rgb="FF64748B"/>
      <name val="Arial"/>
    </font>
    <font>
      <sz val="10"/>
      <name val="Arial"/>
    </font>
    <font>
      <sz val="10"/>
      <color rgb="FF64748B"/>
      <name val="Arial"/>
    </font>
    <font>
      <sz val="9"/>
      <name val="Arial"/>
    </font>
    <font>
      <sz val="9"/>
      <color rgb="FF16804A"/>
      <name val="Arial"/>
    </font>
    <font>
      <sz val="10"/>
      <color rgb="FF16804A"/>
      <name val="Arial"/>
    </font>
    <font>
      <sz val="11"/>
      <name val="Carlito"/>
    </font>
    <font>
      <b/>
      <sz val="9"/>
      <color rgb="FF17324D"/>
      <name val="Arial"/>
    </font>
    <font>
      <sz val="9"/>
      <color rgb="FF64748B"/>
      <name val="Arial"/>
    </font>
    <font>
      <sz val="11"/>
      <color theme="10"/>
      <name val="Carlito"/>
    </font>
    <font>
      <sz val="11"/>
      <color rgb="FF17324D"/>
      <name val="Arial"/>
    </font>
    <font>
      <b/>
      <sz val="11"/>
      <color rgb="FF17243B"/>
      <name val="Arial"/>
    </font>
    <font>
      <sz val="11"/>
      <color rgb="FF17243B"/>
      <name val="Arial"/>
    </font>
    <font>
      <b/>
      <sz val="23"/>
      <color rgb="FF17243B"/>
      <name val="Arial"/>
    </font>
    <font>
      <sz val="10"/>
      <color rgb="FF315F91"/>
      <name val="Arial"/>
    </font>
    <font>
      <b/>
      <sz val="14"/>
      <color rgb="FF17243B"/>
      <name val="Arial"/>
    </font>
    <font>
      <b/>
      <sz val="11"/>
      <color rgb="FF315F91"/>
      <name val="Arial"/>
    </font>
    <font>
      <b/>
      <sz val="10"/>
      <color rgb="FF17243B"/>
      <name val="Arial"/>
    </font>
    <font>
      <sz val="10"/>
      <color rgb="FF17243B"/>
      <name val="Arial"/>
    </font>
    <font>
      <b/>
      <sz val="22"/>
      <color rgb="FF17243B"/>
      <name val="Arial"/>
    </font>
    <font>
      <b/>
      <sz val="11"/>
      <color rgb="FF6F927A"/>
      <name val="Arial"/>
    </font>
    <font>
      <b/>
      <sz val="12"/>
      <color rgb="FF17243B"/>
      <name val="Arial"/>
    </font>
    <font>
      <sz val="9"/>
      <color rgb="FFA33F35"/>
      <name val="Arial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F1F8"/>
      </patternFill>
    </fill>
    <fill>
      <patternFill patternType="solid">
        <fgColor rgb="FFFFF2CC"/>
      </patternFill>
    </fill>
    <fill>
      <patternFill patternType="solid">
        <fgColor rgb="FFE8F3EC"/>
      </patternFill>
    </fill>
    <fill>
      <patternFill patternType="solid">
        <fgColor rgb="FFF1F5F9"/>
      </patternFill>
    </fill>
    <fill>
      <patternFill patternType="solid">
        <fgColor rgb="FFF6F0E6"/>
      </patternFill>
    </fill>
    <fill>
      <patternFill patternType="solid">
        <fgColor rgb="FFFFF2CC"/>
      </patternFill>
    </fill>
    <fill>
      <patternFill patternType="solid">
        <fgColor rgb="FFDCE9DF"/>
      </patternFill>
    </fill>
    <fill>
      <patternFill patternType="solid">
        <fgColor rgb="FFFFFDF8"/>
      </patternFill>
    </fill>
    <fill>
      <patternFill patternType="solid">
        <fgColor rgb="FFFFFFFF"/>
      </patternFill>
    </fill>
    <fill>
      <patternFill patternType="solid">
        <fgColor rgb="FF17243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96F47"/>
      </bottom>
      <diagonal/>
    </border>
    <border>
      <left style="thin">
        <color rgb="FFE5DDD1"/>
      </left>
      <right/>
      <top style="thin">
        <color rgb="FFE5DDD1"/>
      </top>
      <bottom style="thin">
        <color rgb="FFE5DDD1"/>
      </bottom>
      <diagonal/>
    </border>
    <border>
      <left/>
      <right/>
      <top style="thin">
        <color rgb="FFE5DDD1"/>
      </top>
      <bottom style="thin">
        <color rgb="FFE5DDD1"/>
      </bottom>
      <diagonal/>
    </border>
    <border>
      <left/>
      <right style="thin">
        <color rgb="FFE5DDD1"/>
      </right>
      <top style="thin">
        <color rgb="FFE5DDD1"/>
      </top>
      <bottom style="thin">
        <color rgb="FFE5DDD1"/>
      </bottom>
      <diagonal/>
    </border>
    <border>
      <left/>
      <right/>
      <top style="thin">
        <color rgb="FFE5DDD1"/>
      </top>
      <bottom/>
      <diagonal/>
    </border>
  </borders>
  <cellStyleXfs count="3">
    <xf numFmtId="0" fontId="0" fillId="0" borderId="0"/>
    <xf numFmtId="0" fontId="14" fillId="0" borderId="0"/>
    <xf numFmtId="0" fontId="17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4" fillId="3" borderId="0" xfId="1" applyFont="1" applyFill="1" applyAlignment="1">
      <alignment vertical="center"/>
    </xf>
    <xf numFmtId="0" fontId="9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1" fillId="0" borderId="0" xfId="1" applyFont="1"/>
    <xf numFmtId="164" fontId="12" fillId="0" borderId="0" xfId="1" applyNumberFormat="1" applyFont="1"/>
    <xf numFmtId="165" fontId="12" fillId="0" borderId="0" xfId="1" applyNumberFormat="1" applyFont="1"/>
    <xf numFmtId="167" fontId="12" fillId="0" borderId="0" xfId="1" applyNumberFormat="1" applyFont="1"/>
    <xf numFmtId="164" fontId="13" fillId="0" borderId="0" xfId="1" applyNumberFormat="1" applyFont="1"/>
    <xf numFmtId="168" fontId="9" fillId="0" borderId="0" xfId="1" applyNumberFormat="1" applyFont="1"/>
    <xf numFmtId="1" fontId="13" fillId="0" borderId="0" xfId="1" applyNumberFormat="1" applyFont="1"/>
    <xf numFmtId="0" fontId="3" fillId="4" borderId="0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Border="1" applyAlignment="1">
      <alignment vertical="center"/>
    </xf>
    <xf numFmtId="165" fontId="5" fillId="4" borderId="0" xfId="0" applyNumberFormat="1" applyFont="1" applyFill="1" applyBorder="1" applyAlignment="1">
      <alignment vertical="center"/>
    </xf>
    <xf numFmtId="166" fontId="5" fillId="4" borderId="0" xfId="0" applyNumberFormat="1" applyFont="1" applyFill="1" applyBorder="1" applyAlignment="1">
      <alignment vertical="center"/>
    </xf>
    <xf numFmtId="165" fontId="5" fillId="4" borderId="0" xfId="0" applyNumberFormat="1" applyFont="1" applyFill="1" applyBorder="1" applyAlignment="1">
      <alignment vertical="center" wrapText="1"/>
    </xf>
    <xf numFmtId="166" fontId="5" fillId="4" borderId="0" xfId="0" applyNumberFormat="1" applyFont="1" applyFill="1" applyBorder="1" applyAlignment="1">
      <alignment vertical="center" wrapText="1"/>
    </xf>
    <xf numFmtId="164" fontId="5" fillId="4" borderId="0" xfId="0" applyNumberFormat="1" applyFont="1" applyFill="1" applyBorder="1" applyAlignment="1">
      <alignment vertical="center" wrapText="1"/>
    </xf>
    <xf numFmtId="165" fontId="7" fillId="5" borderId="0" xfId="0" applyNumberFormat="1" applyFont="1" applyFill="1" applyBorder="1" applyAlignment="1">
      <alignment vertical="center" wrapText="1"/>
    </xf>
    <xf numFmtId="166" fontId="7" fillId="5" borderId="0" xfId="0" applyNumberFormat="1" applyFont="1" applyFill="1" applyBorder="1" applyAlignment="1">
      <alignment vertical="center" wrapText="1"/>
    </xf>
    <xf numFmtId="0" fontId="9" fillId="6" borderId="0" xfId="0" applyNumberFormat="1" applyFont="1" applyFill="1" applyBorder="1" applyAlignment="1">
      <alignment vertical="center"/>
    </xf>
    <xf numFmtId="0" fontId="9" fillId="6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15" fillId="6" borderId="0" xfId="0" applyNumberFormat="1" applyFont="1" applyFill="1" applyBorder="1" applyAlignment="1">
      <alignment vertical="center" wrapText="1"/>
    </xf>
    <xf numFmtId="0" fontId="18" fillId="7" borderId="0" xfId="0" applyNumberFormat="1" applyFont="1" applyFill="1" applyBorder="1" applyAlignment="1">
      <alignment vertical="center"/>
    </xf>
    <xf numFmtId="0" fontId="19" fillId="7" borderId="0" xfId="0" applyNumberFormat="1" applyFont="1" applyFill="1" applyBorder="1" applyAlignment="1">
      <alignment vertical="center" wrapText="1"/>
    </xf>
    <xf numFmtId="0" fontId="20" fillId="7" borderId="0" xfId="0" applyNumberFormat="1" applyFont="1" applyFill="1" applyBorder="1" applyAlignment="1">
      <alignment vertical="center" wrapText="1"/>
    </xf>
    <xf numFmtId="0" fontId="20" fillId="7" borderId="0" xfId="0" applyNumberFormat="1" applyFont="1" applyFill="1" applyBorder="1" applyAlignment="1">
      <alignment vertical="center"/>
    </xf>
    <xf numFmtId="0" fontId="25" fillId="11" borderId="0" xfId="0" applyNumberFormat="1" applyFont="1" applyFill="1" applyBorder="1" applyAlignment="1">
      <alignment vertical="center"/>
    </xf>
    <xf numFmtId="0" fontId="26" fillId="11" borderId="0" xfId="0" applyNumberFormat="1" applyFont="1" applyFill="1" applyBorder="1" applyAlignment="1">
      <alignment vertical="center"/>
    </xf>
    <xf numFmtId="0" fontId="26" fillId="11" borderId="0" xfId="0" applyNumberFormat="1" applyFont="1" applyFill="1" applyBorder="1" applyAlignment="1">
      <alignment vertical="center" wrapText="1"/>
    </xf>
    <xf numFmtId="167" fontId="25" fillId="11" borderId="0" xfId="0" applyNumberFormat="1" applyFont="1" applyFill="1" applyBorder="1" applyAlignment="1">
      <alignment vertical="center" wrapText="1"/>
    </xf>
    <xf numFmtId="167" fontId="26" fillId="11" borderId="0" xfId="0" applyNumberFormat="1" applyFont="1" applyFill="1" applyBorder="1" applyAlignment="1">
      <alignment vertical="center"/>
    </xf>
    <xf numFmtId="164" fontId="26" fillId="11" borderId="0" xfId="0" applyNumberFormat="1" applyFont="1" applyFill="1" applyBorder="1" applyAlignment="1">
      <alignment vertical="center"/>
    </xf>
    <xf numFmtId="164" fontId="25" fillId="11" borderId="0" xfId="0" applyNumberFormat="1" applyFont="1" applyFill="1" applyBorder="1" applyAlignment="1">
      <alignment vertical="center" wrapText="1"/>
    </xf>
    <xf numFmtId="0" fontId="25" fillId="11" borderId="0" xfId="0" applyNumberFormat="1" applyFont="1" applyFill="1" applyBorder="1" applyAlignment="1">
      <alignment vertical="center" wrapText="1"/>
    </xf>
    <xf numFmtId="165" fontId="25" fillId="11" borderId="0" xfId="0" applyNumberFormat="1" applyFont="1" applyFill="1" applyBorder="1" applyAlignment="1">
      <alignment vertical="center" wrapText="1"/>
    </xf>
    <xf numFmtId="164" fontId="26" fillId="11" borderId="0" xfId="0" applyNumberFormat="1" applyFont="1" applyFill="1" applyBorder="1" applyAlignment="1">
      <alignment vertical="center" wrapText="1"/>
    </xf>
    <xf numFmtId="0" fontId="27" fillId="11" borderId="1" xfId="0" applyNumberFormat="1" applyFont="1" applyFill="1" applyBorder="1" applyAlignment="1">
      <alignment vertical="center"/>
    </xf>
    <xf numFmtId="0" fontId="19" fillId="7" borderId="0" xfId="0" applyNumberFormat="1" applyFont="1" applyFill="1" applyBorder="1" applyAlignment="1">
      <alignment vertical="center"/>
    </xf>
    <xf numFmtId="0" fontId="28" fillId="7" borderId="0" xfId="0" applyNumberFormat="1" applyFont="1" applyFill="1" applyBorder="1" applyAlignment="1">
      <alignment vertical="center"/>
    </xf>
    <xf numFmtId="0" fontId="6" fillId="12" borderId="0" xfId="0" applyNumberFormat="1" applyFont="1" applyFill="1" applyBorder="1" applyAlignment="1">
      <alignment horizontal="center" vertical="center" wrapText="1"/>
    </xf>
    <xf numFmtId="164" fontId="29" fillId="11" borderId="0" xfId="0" applyNumberFormat="1" applyFont="1" applyFill="1" applyBorder="1" applyAlignment="1">
      <alignment vertical="center" wrapText="1"/>
    </xf>
    <xf numFmtId="0" fontId="29" fillId="7" borderId="5" xfId="0" applyNumberFormat="1" applyFont="1" applyFill="1" applyBorder="1" applyAlignment="1">
      <alignment vertical="center" wrapText="1"/>
    </xf>
    <xf numFmtId="164" fontId="29" fillId="7" borderId="5" xfId="0" applyNumberFormat="1" applyFont="1" applyFill="1" applyBorder="1" applyAlignment="1">
      <alignment vertical="center" wrapText="1"/>
    </xf>
    <xf numFmtId="0" fontId="19" fillId="11" borderId="5" xfId="0" applyNumberFormat="1" applyFont="1" applyFill="1" applyBorder="1" applyAlignment="1">
      <alignment vertical="center" wrapText="1"/>
    </xf>
    <xf numFmtId="164" fontId="19" fillId="11" borderId="5" xfId="0" applyNumberFormat="1" applyFont="1" applyFill="1" applyBorder="1" applyAlignment="1">
      <alignment vertical="center" wrapText="1"/>
    </xf>
    <xf numFmtId="0" fontId="19" fillId="9" borderId="5" xfId="0" applyNumberFormat="1" applyFont="1" applyFill="1" applyBorder="1" applyAlignment="1">
      <alignment vertical="center" wrapText="1"/>
    </xf>
    <xf numFmtId="164" fontId="19" fillId="9" borderId="5" xfId="0" applyNumberFormat="1" applyFont="1" applyFill="1" applyBorder="1" applyAlignment="1">
      <alignment vertical="center" wrapText="1"/>
    </xf>
    <xf numFmtId="0" fontId="21" fillId="7" borderId="0" xfId="0" applyNumberFormat="1" applyFont="1" applyFill="1" applyBorder="1" applyAlignment="1">
      <alignment vertical="center" wrapText="1"/>
    </xf>
    <xf numFmtId="0" fontId="22" fillId="7" borderId="0" xfId="0" applyNumberFormat="1" applyFont="1" applyFill="1" applyBorder="1" applyAlignment="1">
      <alignment vertical="center" wrapText="1"/>
    </xf>
    <xf numFmtId="0" fontId="10" fillId="7" borderId="0" xfId="0" applyNumberFormat="1" applyFont="1" applyFill="1" applyBorder="1" applyAlignment="1">
      <alignment vertical="center" wrapText="1"/>
    </xf>
    <xf numFmtId="0" fontId="20" fillId="7" borderId="0" xfId="0" applyNumberFormat="1" applyFont="1" applyFill="1" applyBorder="1" applyAlignment="1">
      <alignment vertical="center" wrapText="1"/>
    </xf>
    <xf numFmtId="0" fontId="19" fillId="8" borderId="0" xfId="0" applyNumberFormat="1" applyFont="1" applyFill="1" applyBorder="1" applyAlignment="1">
      <alignment vertical="center" wrapText="1"/>
    </xf>
    <xf numFmtId="0" fontId="19" fillId="9" borderId="0" xfId="0" applyNumberFormat="1" applyFont="1" applyFill="1" applyBorder="1" applyAlignment="1">
      <alignment vertical="center" wrapText="1"/>
    </xf>
    <xf numFmtId="0" fontId="24" fillId="7" borderId="0" xfId="0" applyNumberFormat="1" applyFont="1" applyFill="1" applyBorder="1" applyAlignment="1">
      <alignment vertical="center" wrapText="1"/>
    </xf>
    <xf numFmtId="0" fontId="23" fillId="7" borderId="1" xfId="0" applyNumberFormat="1" applyFont="1" applyFill="1" applyBorder="1" applyAlignment="1">
      <alignment vertical="center" wrapText="1"/>
    </xf>
    <xf numFmtId="0" fontId="20" fillId="10" borderId="2" xfId="0" applyNumberFormat="1" applyFont="1" applyFill="1" applyBorder="1" applyAlignment="1">
      <alignment vertical="top" wrapText="1"/>
    </xf>
    <xf numFmtId="0" fontId="20" fillId="10" borderId="3" xfId="0" applyNumberFormat="1" applyFont="1" applyFill="1" applyBorder="1" applyAlignment="1">
      <alignment vertical="top" wrapText="1"/>
    </xf>
    <xf numFmtId="0" fontId="20" fillId="10" borderId="4" xfId="0" applyNumberFormat="1" applyFont="1" applyFill="1" applyBorder="1" applyAlignment="1">
      <alignment vertical="top" wrapText="1"/>
    </xf>
    <xf numFmtId="0" fontId="8" fillId="11" borderId="0" xfId="0" applyNumberFormat="1" applyFont="1" applyFill="1" applyBorder="1" applyAlignment="1">
      <alignment vertical="center" wrapText="1"/>
    </xf>
    <xf numFmtId="0" fontId="10" fillId="11" borderId="0" xfId="0" applyNumberFormat="1" applyFont="1" applyFill="1" applyBorder="1" applyAlignment="1">
      <alignment vertical="center"/>
    </xf>
    <xf numFmtId="0" fontId="22" fillId="11" borderId="0" xfId="0" applyNumberFormat="1" applyFont="1" applyFill="1" applyBorder="1" applyAlignment="1">
      <alignment vertical="center"/>
    </xf>
    <xf numFmtId="0" fontId="10" fillId="11" borderId="0" xfId="0" applyNumberFormat="1" applyFont="1" applyFill="1" applyBorder="1" applyAlignment="1">
      <alignment vertical="center" wrapText="1"/>
    </xf>
    <xf numFmtId="0" fontId="30" fillId="11" borderId="0" xfId="0" applyNumberFormat="1" applyFont="1" applyFill="1" applyBorder="1" applyAlignment="1">
      <alignment vertical="center" wrapText="1"/>
    </xf>
    <xf numFmtId="0" fontId="17" fillId="0" borderId="0" xfId="2" applyNumberFormat="1" applyFill="1" applyBorder="1"/>
    <xf numFmtId="0" fontId="16" fillId="0" borderId="0" xfId="0" applyNumberFormat="1" applyFont="1" applyFill="1" applyBorder="1"/>
    <xf numFmtId="0" fontId="8" fillId="0" borderId="0" xfId="1" applyFont="1" applyAlignment="1">
      <alignment vertical="center" wrapText="1"/>
    </xf>
    <xf numFmtId="0" fontId="15" fillId="4" borderId="0" xfId="0" applyNumberFormat="1" applyFont="1" applyFill="1" applyBorder="1" applyAlignment="1">
      <alignment vertical="center" wrapText="1"/>
    </xf>
    <xf numFmtId="0" fontId="15" fillId="5" borderId="0" xfId="0" applyNumberFormat="1" applyFont="1" applyFill="1" applyBorder="1" applyAlignment="1">
      <alignment vertical="center" wrapText="1"/>
    </xf>
    <xf numFmtId="0" fontId="16" fillId="0" borderId="0" xfId="0" applyNumberFormat="1" applyFont="1" applyFill="1" applyBorder="1" applyAlignment="1">
      <alignment vertical="center" wrapText="1"/>
    </xf>
    <xf numFmtId="0" fontId="30" fillId="0" borderId="0" xfId="0" applyNumberFormat="1" applyFont="1" applyFill="1" applyBorder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28"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ont>
        <color rgb="FFB3423B"/>
      </font>
    </dxf>
    <dxf>
      <font>
        <color rgb="FFB3423B"/>
      </font>
    </dxf>
    <dxf>
      <font>
        <b/>
        <color rgb="FFB3423B"/>
      </font>
      <fill>
        <patternFill>
          <bgColor rgb="FFF9E5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152400</xdr:rowOff>
    </xdr:from>
    <xdr:ext cx="952500" cy="431602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381125" cy="138112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.me/tribunska" TargetMode="External"/><Relationship Id="rId1" Type="http://schemas.openxmlformats.org/officeDocument/2006/relationships/hyperlink" Target="https://tribunska.r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.me/tribunska" TargetMode="External"/><Relationship Id="rId1" Type="http://schemas.openxmlformats.org/officeDocument/2006/relationships/hyperlink" Target="https://tribunska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ribunska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ribunska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ribunska.ru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tribunsk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6F47"/>
    <pageSetUpPr fitToPage="1"/>
  </sheetPr>
  <dimension ref="A1:J19"/>
  <sheetViews>
    <sheetView showGridLines="0" tabSelected="1" workbookViewId="0"/>
  </sheetViews>
  <sheetFormatPr defaultRowHeight="14.25"/>
  <cols>
    <col min="1" max="1" width="3" customWidth="1"/>
    <col min="2" max="9" width="13" customWidth="1"/>
    <col min="10" max="10" width="3" customWidth="1"/>
  </cols>
  <sheetData>
    <row r="1" spans="1:10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78" customHeight="1">
      <c r="A2" s="28"/>
      <c r="B2" s="29"/>
      <c r="C2" s="29"/>
      <c r="D2" s="53" t="s">
        <v>0</v>
      </c>
      <c r="E2" s="53"/>
      <c r="F2" s="53"/>
      <c r="G2" s="53"/>
      <c r="H2" s="29"/>
      <c r="I2" s="29"/>
      <c r="J2" s="28"/>
    </row>
    <row r="3" spans="1:10" ht="24" customHeight="1">
      <c r="A3" s="28"/>
      <c r="B3" s="55" t="s">
        <v>1</v>
      </c>
      <c r="C3" s="55"/>
      <c r="D3" s="55"/>
      <c r="E3" s="55"/>
      <c r="F3" s="54" t="s">
        <v>2</v>
      </c>
      <c r="G3" s="54"/>
      <c r="H3" s="30"/>
      <c r="I3" s="30"/>
      <c r="J3" s="28"/>
    </row>
    <row r="4" spans="1:10" ht="24.95" customHeight="1">
      <c r="A4" s="28"/>
      <c r="B4" s="31"/>
      <c r="C4" s="31"/>
      <c r="D4" s="31"/>
      <c r="E4" s="31"/>
      <c r="F4" s="31"/>
      <c r="G4" s="31"/>
      <c r="H4" s="31"/>
      <c r="I4" s="31"/>
      <c r="J4" s="28"/>
    </row>
    <row r="5" spans="1:10" ht="48" customHeight="1">
      <c r="A5" s="28"/>
      <c r="B5" s="56" t="s">
        <v>3</v>
      </c>
      <c r="C5" s="56"/>
      <c r="D5" s="56"/>
      <c r="E5" s="56"/>
      <c r="F5" s="56"/>
      <c r="G5" s="56"/>
      <c r="H5" s="56"/>
      <c r="I5" s="56"/>
      <c r="J5" s="28"/>
    </row>
    <row r="6" spans="1:10">
      <c r="A6" s="28"/>
      <c r="B6" s="31"/>
      <c r="C6" s="31"/>
      <c r="D6" s="31"/>
      <c r="E6" s="31"/>
      <c r="F6" s="31"/>
      <c r="G6" s="31"/>
      <c r="H6" s="31"/>
      <c r="I6" s="31"/>
      <c r="J6" s="28"/>
    </row>
    <row r="7" spans="1:10" ht="33" customHeight="1">
      <c r="A7" s="28"/>
      <c r="B7" s="57" t="s">
        <v>4</v>
      </c>
      <c r="C7" s="57"/>
      <c r="D7" s="57"/>
      <c r="E7" s="57"/>
      <c r="F7" s="58" t="s">
        <v>5</v>
      </c>
      <c r="G7" s="58"/>
      <c r="H7" s="58"/>
      <c r="I7" s="58"/>
      <c r="J7" s="28"/>
    </row>
    <row r="8" spans="1:10">
      <c r="A8" s="28"/>
      <c r="B8" s="31"/>
      <c r="C8" s="31"/>
      <c r="D8" s="31"/>
      <c r="E8" s="31"/>
      <c r="F8" s="31"/>
      <c r="G8" s="31"/>
      <c r="H8" s="31"/>
      <c r="I8" s="31"/>
      <c r="J8" s="28"/>
    </row>
    <row r="9" spans="1:10" ht="42" customHeight="1">
      <c r="A9" s="28"/>
      <c r="B9" s="56" t="s">
        <v>6</v>
      </c>
      <c r="C9" s="56"/>
      <c r="D9" s="56"/>
      <c r="E9" s="56"/>
      <c r="F9" s="56"/>
      <c r="G9" s="56"/>
      <c r="H9" s="56"/>
      <c r="I9" s="56"/>
      <c r="J9" s="28"/>
    </row>
    <row r="10" spans="1:10">
      <c r="A10" s="28"/>
      <c r="B10" s="31"/>
      <c r="C10" s="31"/>
      <c r="D10" s="31"/>
      <c r="E10" s="31"/>
      <c r="F10" s="31"/>
      <c r="G10" s="31"/>
      <c r="H10" s="31"/>
      <c r="I10" s="31"/>
      <c r="J10" s="28"/>
    </row>
    <row r="11" spans="1:10" ht="30" customHeight="1">
      <c r="A11" s="28"/>
      <c r="B11" s="60" t="s">
        <v>7</v>
      </c>
      <c r="C11" s="60"/>
      <c r="D11" s="60"/>
      <c r="E11" s="60"/>
      <c r="F11" s="60"/>
      <c r="G11" s="60"/>
      <c r="H11" s="60"/>
      <c r="I11" s="60"/>
      <c r="J11" s="28"/>
    </row>
    <row r="12" spans="1:10" ht="360" customHeight="1">
      <c r="A12" s="28"/>
      <c r="B12" s="61" t="s">
        <v>8</v>
      </c>
      <c r="C12" s="62"/>
      <c r="D12" s="62"/>
      <c r="E12" s="62"/>
      <c r="F12" s="62"/>
      <c r="G12" s="62"/>
      <c r="H12" s="62"/>
      <c r="I12" s="63"/>
      <c r="J12" s="28"/>
    </row>
    <row r="13" spans="1:10">
      <c r="A13" s="28"/>
      <c r="B13" s="31"/>
      <c r="C13" s="31"/>
      <c r="D13" s="31"/>
      <c r="E13" s="31"/>
      <c r="F13" s="31"/>
      <c r="G13" s="31"/>
      <c r="H13" s="31"/>
      <c r="I13" s="31"/>
      <c r="J13" s="28"/>
    </row>
    <row r="14" spans="1:10" ht="24" customHeight="1">
      <c r="A14" s="28"/>
      <c r="B14" s="55" t="s">
        <v>9</v>
      </c>
      <c r="C14" s="55"/>
      <c r="D14" s="55"/>
      <c r="E14" s="55"/>
      <c r="F14" s="55"/>
      <c r="G14" s="55"/>
      <c r="H14" s="55"/>
      <c r="I14" s="55"/>
      <c r="J14" s="28"/>
    </row>
    <row r="15" spans="1:10">
      <c r="A15" s="28"/>
      <c r="B15" s="31"/>
      <c r="C15" s="31"/>
      <c r="D15" s="31"/>
      <c r="E15" s="31"/>
      <c r="F15" s="31"/>
      <c r="G15" s="31"/>
      <c r="H15" s="31"/>
      <c r="I15" s="31"/>
      <c r="J15" s="28"/>
    </row>
    <row r="16" spans="1:10" ht="39.950000000000003" customHeight="1">
      <c r="A16" s="28"/>
      <c r="B16" s="56" t="s">
        <v>10</v>
      </c>
      <c r="C16" s="56"/>
      <c r="D16" s="56"/>
      <c r="E16" s="56"/>
      <c r="F16" s="56"/>
      <c r="G16" s="56"/>
      <c r="H16" s="56"/>
      <c r="I16" s="56"/>
      <c r="J16" s="28"/>
    </row>
    <row r="17" spans="1:10" ht="27.95" customHeight="1">
      <c r="A17" s="28"/>
      <c r="B17" s="59" t="s">
        <v>11</v>
      </c>
      <c r="C17" s="59"/>
      <c r="D17" s="59"/>
      <c r="E17" s="59"/>
      <c r="F17" s="59"/>
      <c r="G17" s="59"/>
      <c r="H17" s="59"/>
      <c r="I17" s="59"/>
      <c r="J17" s="28"/>
    </row>
    <row r="18" spans="1:10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>
      <c r="A19" s="28"/>
      <c r="B19" s="28"/>
      <c r="C19" s="28"/>
      <c r="D19" s="28"/>
      <c r="E19" s="28"/>
      <c r="F19" s="28"/>
      <c r="G19" s="28"/>
      <c r="H19" s="28"/>
      <c r="I19" s="28"/>
      <c r="J19" s="28"/>
    </row>
  </sheetData>
  <mergeCells count="12">
    <mergeCell ref="B17:I17"/>
    <mergeCell ref="B9:I9"/>
    <mergeCell ref="B11:I11"/>
    <mergeCell ref="B12:I12"/>
    <mergeCell ref="B14:I14"/>
    <mergeCell ref="B16:I16"/>
    <mergeCell ref="D2:G2"/>
    <mergeCell ref="F3:G3"/>
    <mergeCell ref="B3:E3"/>
    <mergeCell ref="B5:I5"/>
    <mergeCell ref="B7:E7"/>
    <mergeCell ref="F7:I7"/>
  </mergeCells>
  <hyperlinks>
    <hyperlink ref="F3" r:id="rId1" xr:uid="{00000000-0004-0000-0000-000000000000}"/>
    <hyperlink ref="B7" location="'Допущения'!B3" display="Изменить параметры" xr:uid="{00000000-0004-0000-0000-000001000000}"/>
    <hyperlink ref="F7" location="'Итог'!A1" display="Посмотреть результат" xr:uid="{00000000-0004-0000-0000-000002000000}"/>
    <hyperlink ref="B17" r:id="rId2" xr:uid="{00000000-0004-0000-0000-000003000000}"/>
  </hyperlinks>
  <pageMargins left="0.7" right="0.7" top="0.75" bottom="0.75" header="0.3" footer="0.3"/>
  <pageSetup paperSize="9" scale="73" orientation="portrait" r:id="rId3"/>
  <headerFooter>
    <oddFooter>&amp;L&amp;"Arial,Regular"&amp;8Елизавета Трибунская · tribunska.ru&amp;R&amp;"Arial,Regular"&amp;8&amp;P / &amp;N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243B"/>
    <pageSetUpPr fitToPage="1"/>
  </sheetPr>
  <dimension ref="A1:L36"/>
  <sheetViews>
    <sheetView showGridLines="0" workbookViewId="0"/>
  </sheetViews>
  <sheetFormatPr defaultRowHeight="14.25"/>
  <cols>
    <col min="1" max="1" width="37" customWidth="1"/>
    <col min="2" max="2" width="24" customWidth="1"/>
    <col min="3" max="3" width="3" customWidth="1"/>
    <col min="4" max="4" width="9" customWidth="1"/>
    <col min="5" max="7" width="16" customWidth="1"/>
    <col min="8" max="12" width="19" customWidth="1"/>
  </cols>
  <sheetData>
    <row r="1" spans="1:12" ht="44.1" customHeight="1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1" customHeight="1">
      <c r="A2" s="64" t="s">
        <v>13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23.1" customHeight="1">
      <c r="A3" s="65" t="s">
        <v>1</v>
      </c>
      <c r="B3" s="65"/>
      <c r="C3" s="65"/>
      <c r="D3" s="65"/>
      <c r="E3" s="65"/>
      <c r="F3" s="66" t="s">
        <v>2</v>
      </c>
      <c r="G3" s="66"/>
      <c r="H3" s="66"/>
      <c r="I3" s="66" t="s">
        <v>14</v>
      </c>
      <c r="J3" s="66"/>
      <c r="K3" s="66"/>
      <c r="L3" s="66"/>
    </row>
    <row r="4" spans="1:12" ht="15">
      <c r="A4" s="32" t="s">
        <v>15</v>
      </c>
      <c r="B4" s="44" t="str">
        <f>INDEX(Допущения!$C$35:$E$35,1,Допущения!$B$3)</f>
        <v>2 Базовый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15">
      <c r="A5" s="32" t="s">
        <v>16</v>
      </c>
      <c r="B5" s="43" t="s">
        <v>17</v>
      </c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26.1" customHeight="1">
      <c r="A6" s="67" t="s">
        <v>18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1:12" ht="26.1" customHeight="1">
      <c r="A7" s="43" t="s">
        <v>19</v>
      </c>
      <c r="B7" s="43"/>
      <c r="C7" s="32"/>
      <c r="D7" s="43" t="s">
        <v>20</v>
      </c>
      <c r="E7" s="43"/>
      <c r="F7" s="43"/>
      <c r="G7" s="43"/>
      <c r="H7" s="43"/>
      <c r="I7" s="43"/>
      <c r="J7" s="43"/>
      <c r="K7" s="43"/>
      <c r="L7" s="43"/>
    </row>
    <row r="8" spans="1:12" ht="38.1" customHeight="1">
      <c r="A8" s="34" t="s">
        <v>21</v>
      </c>
      <c r="B8" s="35">
        <f>SUM(Подписка!$C$6:$C$17)</f>
        <v>1360.6388888888889</v>
      </c>
      <c r="C8" s="33"/>
      <c r="D8" s="45" t="s">
        <v>22</v>
      </c>
      <c r="E8" s="45" t="s">
        <v>23</v>
      </c>
      <c r="F8" s="45" t="s">
        <v>24</v>
      </c>
      <c r="G8" s="45" t="s">
        <v>25</v>
      </c>
      <c r="H8" s="45" t="s">
        <v>26</v>
      </c>
      <c r="I8" s="45" t="s">
        <v>27</v>
      </c>
      <c r="J8" s="45" t="s">
        <v>28</v>
      </c>
      <c r="K8" s="45" t="s">
        <v>29</v>
      </c>
      <c r="L8" s="45" t="s">
        <v>30</v>
      </c>
    </row>
    <row r="9" spans="1:12" ht="29.1" customHeight="1">
      <c r="A9" s="34" t="s">
        <v>31</v>
      </c>
      <c r="B9" s="35">
        <f>SUM(Подписка!$E$6:$E$17)</f>
        <v>3926.6810341212495</v>
      </c>
      <c r="C9" s="33"/>
      <c r="D9" s="33">
        <v>1</v>
      </c>
      <c r="E9" s="36">
        <f>Подписка!$B$6</f>
        <v>1625.0000000000002</v>
      </c>
      <c r="F9" s="36">
        <f>Подписка!$C$6</f>
        <v>22.305555555555557</v>
      </c>
      <c r="G9" s="36">
        <f>Подписка!$E$6</f>
        <v>22.305555555555557</v>
      </c>
      <c r="H9" s="37">
        <f>Подписка!$F$6</f>
        <v>66693.611111111109</v>
      </c>
      <c r="I9" s="37">
        <f>Подписка!$S$6</f>
        <v>50000</v>
      </c>
      <c r="J9" s="37">
        <f>Подписка!$T$6</f>
        <v>-238270.09722222222</v>
      </c>
      <c r="K9" s="37">
        <f>Деньги!$C$7</f>
        <v>-978270.09722222225</v>
      </c>
      <c r="L9" s="37">
        <f>Деньги!$D$7</f>
        <v>978270.09722222225</v>
      </c>
    </row>
    <row r="10" spans="1:12" ht="29.1" customHeight="1">
      <c r="A10" s="34" t="s">
        <v>26</v>
      </c>
      <c r="B10" s="46">
        <f>SUM(Подписка!$F$6:$F$17)</f>
        <v>11740776.292022534</v>
      </c>
      <c r="C10" s="33"/>
      <c r="D10" s="33">
        <v>2</v>
      </c>
      <c r="E10" s="36">
        <f>Подписка!$B$7</f>
        <v>3250.0000000000005</v>
      </c>
      <c r="F10" s="36">
        <f>Подписка!$C$7</f>
        <v>44.611111111111114</v>
      </c>
      <c r="G10" s="36">
        <f>Подписка!$E$7</f>
        <v>61.340277777777786</v>
      </c>
      <c r="H10" s="37">
        <f>Подписка!$F$7</f>
        <v>183407.43055555559</v>
      </c>
      <c r="I10" s="37">
        <f>Подписка!$S$7</f>
        <v>100000</v>
      </c>
      <c r="J10" s="37">
        <f>Подписка!$T$7</f>
        <v>-216539.64236111107</v>
      </c>
      <c r="K10" s="37">
        <f>Деньги!$C$8</f>
        <v>-1194809.7395833333</v>
      </c>
      <c r="L10" s="37">
        <f>Деньги!$D$8</f>
        <v>1194809.7395833333</v>
      </c>
    </row>
    <row r="11" spans="1:12" ht="29.1" customHeight="1">
      <c r="A11" s="34" t="s">
        <v>32</v>
      </c>
      <c r="B11" s="46">
        <f>SUM(Подписка!$T$6:$T$17)</f>
        <v>1403248.8999671512</v>
      </c>
      <c r="C11" s="33"/>
      <c r="D11" s="33">
        <v>3</v>
      </c>
      <c r="E11" s="36">
        <f>Подписка!$B$8</f>
        <v>6500.0000000000009</v>
      </c>
      <c r="F11" s="36">
        <f>Подписка!$C$8</f>
        <v>89.222222222222229</v>
      </c>
      <c r="G11" s="36">
        <f>Подписка!$E$8</f>
        <v>135.22743055555557</v>
      </c>
      <c r="H11" s="37">
        <f>Подписка!$F$8</f>
        <v>404330.01736111118</v>
      </c>
      <c r="I11" s="37">
        <f>Подписка!$S$8</f>
        <v>200000</v>
      </c>
      <c r="J11" s="37">
        <f>Подписка!$T$8</f>
        <v>-178019.49565972213</v>
      </c>
      <c r="K11" s="37">
        <f>Деньги!$C$9</f>
        <v>-1372829.2352430555</v>
      </c>
      <c r="L11" s="37">
        <f>Деньги!$D$9</f>
        <v>1372829.2352430555</v>
      </c>
    </row>
    <row r="12" spans="1:12" ht="29.1" customHeight="1">
      <c r="A12" s="34" t="s">
        <v>33</v>
      </c>
      <c r="B12" s="46">
        <f>Деньги!$C$18</f>
        <v>663248.899967151</v>
      </c>
      <c r="C12" s="33"/>
      <c r="D12" s="33">
        <v>4</v>
      </c>
      <c r="E12" s="36">
        <f>Подписка!$B$9</f>
        <v>9750</v>
      </c>
      <c r="F12" s="36">
        <f>Подписка!$C$9</f>
        <v>133.83333333333334</v>
      </c>
      <c r="G12" s="36">
        <f>Подписка!$E$9</f>
        <v>235.25390625000003</v>
      </c>
      <c r="H12" s="37">
        <f>Подписка!$F$9</f>
        <v>703409.17968750012</v>
      </c>
      <c r="I12" s="37">
        <f>Подписка!$S$9</f>
        <v>300000</v>
      </c>
      <c r="J12" s="37">
        <f>Подписка!$T$9</f>
        <v>-91028.955078124884</v>
      </c>
      <c r="K12" s="37">
        <f>Деньги!$C$10</f>
        <v>-1463858.1903211805</v>
      </c>
      <c r="L12" s="37">
        <f>Деньги!$D$10</f>
        <v>1463858.1903211805</v>
      </c>
    </row>
    <row r="13" spans="1:12" ht="39" customHeight="1">
      <c r="A13" s="34" t="s">
        <v>34</v>
      </c>
      <c r="B13" s="46">
        <f>MAX(Деньги!$D$6:$D$18)</f>
        <v>1463858.1903211805</v>
      </c>
      <c r="C13" s="33"/>
      <c r="D13" s="33">
        <v>5</v>
      </c>
      <c r="E13" s="36">
        <f>Подписка!$B$10</f>
        <v>9750</v>
      </c>
      <c r="F13" s="36">
        <f>Подписка!$C$10</f>
        <v>133.83333333333334</v>
      </c>
      <c r="G13" s="36">
        <f>Подписка!$E$10</f>
        <v>310.27376302083337</v>
      </c>
      <c r="H13" s="37">
        <f>Подписка!$F$10</f>
        <v>927718.55143229174</v>
      </c>
      <c r="I13" s="37">
        <f>Подписка!$S$10</f>
        <v>300000</v>
      </c>
      <c r="J13" s="37">
        <f>Подписка!$T$10</f>
        <v>27382.700358073111</v>
      </c>
      <c r="K13" s="37">
        <f>Деньги!$C$11</f>
        <v>-1436475.4899631073</v>
      </c>
      <c r="L13" s="37">
        <f>Деньги!$D$11</f>
        <v>1463858.1903211805</v>
      </c>
    </row>
    <row r="14" spans="1:12" ht="29.1" customHeight="1">
      <c r="A14" s="34" t="str">
        <f>"Резерв "&amp;ROUND(Допущения!$B$31*100,6)&amp;"%, отдельно, ₽"</f>
        <v>Резерв 15%, отдельно, ₽</v>
      </c>
      <c r="B14" s="38">
        <f>MAX(Деньги!$E$6:$E$18)</f>
        <v>219578.72854817708</v>
      </c>
      <c r="C14" s="33"/>
      <c r="D14" s="33">
        <v>6</v>
      </c>
      <c r="E14" s="36">
        <f>Подписка!$B$11</f>
        <v>9750</v>
      </c>
      <c r="F14" s="36">
        <f>Подписка!$C$11</f>
        <v>133.83333333333334</v>
      </c>
      <c r="G14" s="36">
        <f>Подписка!$E$11</f>
        <v>366.53865559895837</v>
      </c>
      <c r="H14" s="37">
        <f>Подписка!$F$11</f>
        <v>1095950.5802408855</v>
      </c>
      <c r="I14" s="37">
        <f>Подписка!$S$11</f>
        <v>300000</v>
      </c>
      <c r="J14" s="37">
        <f>Подписка!$T$11</f>
        <v>139603.94193522132</v>
      </c>
      <c r="K14" s="37">
        <f>Деньги!$C$12</f>
        <v>-1296871.5480278861</v>
      </c>
      <c r="L14" s="37">
        <f>Деньги!$D$12</f>
        <v>1463858.1903211805</v>
      </c>
    </row>
    <row r="15" spans="1:12" ht="29.1" customHeight="1">
      <c r="A15" s="34" t="s">
        <v>35</v>
      </c>
      <c r="B15" s="39" t="str">
        <f>IF(COUNTIF(Подписка!$U$6:$U$17,1)=0,"За 12 месяцев не достигнут","M"&amp;MATCH(1,Подписка!$U$6:$U$17,0))</f>
        <v>M5</v>
      </c>
      <c r="C15" s="33"/>
      <c r="D15" s="33">
        <v>7</v>
      </c>
      <c r="E15" s="36">
        <f>Подписка!$B$12</f>
        <v>9750</v>
      </c>
      <c r="F15" s="36">
        <f>Подписка!$C$12</f>
        <v>133.83333333333334</v>
      </c>
      <c r="G15" s="36">
        <f>Подписка!$E$12</f>
        <v>408.73732503255212</v>
      </c>
      <c r="H15" s="37">
        <f>Подписка!$F$12</f>
        <v>1222124.6018473308</v>
      </c>
      <c r="I15" s="37">
        <f>Подписка!$S$12</f>
        <v>300000</v>
      </c>
      <c r="J15" s="37">
        <f>Подписка!$T$12</f>
        <v>222416.74811808288</v>
      </c>
      <c r="K15" s="37">
        <f>Деньги!$C$13</f>
        <v>-1074454.7999098031</v>
      </c>
      <c r="L15" s="37">
        <f>Деньги!$D$13</f>
        <v>1463858.1903211805</v>
      </c>
    </row>
    <row r="16" spans="1:12" ht="29.1" customHeight="1">
      <c r="A16" s="34" t="s">
        <v>36</v>
      </c>
      <c r="B16" s="39" t="str">
        <f>IF(COUNTIF(Деньги!$F$7:$F$18,1)=0,"За 12 месяцев не достигнута","M"&amp;MATCH(1,Деньги!$F$7:$F$18,0))</f>
        <v>M11</v>
      </c>
      <c r="C16" s="33"/>
      <c r="D16" s="33">
        <v>8</v>
      </c>
      <c r="E16" s="36">
        <f>Подписка!$B$13</f>
        <v>9750</v>
      </c>
      <c r="F16" s="36">
        <f>Подписка!$C$13</f>
        <v>133.83333333333334</v>
      </c>
      <c r="G16" s="36">
        <f>Подписка!$E$13</f>
        <v>440.38632710774743</v>
      </c>
      <c r="H16" s="37">
        <f>Подписка!$F$13</f>
        <v>1316755.1180521648</v>
      </c>
      <c r="I16" s="37">
        <f>Подписка!$S$13</f>
        <v>300000</v>
      </c>
      <c r="J16" s="37">
        <f>Подписка!$T$13</f>
        <v>279113.85275522876</v>
      </c>
      <c r="K16" s="37">
        <f>Деньги!$C$14</f>
        <v>-795340.94715457433</v>
      </c>
      <c r="L16" s="37">
        <f>Деньги!$D$14</f>
        <v>1463858.1903211805</v>
      </c>
    </row>
    <row r="17" spans="1:12" ht="29.1" customHeight="1">
      <c r="A17" s="34" t="s">
        <v>37</v>
      </c>
      <c r="B17" s="40">
        <f>SUM(Допущения!$B$44:$B$47)</f>
        <v>1</v>
      </c>
      <c r="C17" s="33"/>
      <c r="D17" s="33">
        <v>9</v>
      </c>
      <c r="E17" s="36">
        <f>Подписка!$B$14</f>
        <v>9750</v>
      </c>
      <c r="F17" s="36">
        <f>Подписка!$C$14</f>
        <v>133.83333333333334</v>
      </c>
      <c r="G17" s="36">
        <f>Подписка!$E$14</f>
        <v>464.12307866414392</v>
      </c>
      <c r="H17" s="37">
        <f>Подписка!$F$14</f>
        <v>1387728.0052057903</v>
      </c>
      <c r="I17" s="37">
        <f>Подписка!$S$14</f>
        <v>300000</v>
      </c>
      <c r="J17" s="37">
        <f>Подписка!$T$14</f>
        <v>327049.18123308802</v>
      </c>
      <c r="K17" s="37">
        <f>Деньги!$C$15</f>
        <v>-468291.76592148631</v>
      </c>
      <c r="L17" s="37">
        <f>Деньги!$D$15</f>
        <v>1463858.1903211805</v>
      </c>
    </row>
    <row r="18" spans="1:12" ht="29.1" customHeight="1">
      <c r="A18" s="47" t="s">
        <v>38</v>
      </c>
      <c r="B18" s="48">
        <f>SUM(B13:B14)</f>
        <v>1683436.9188693576</v>
      </c>
      <c r="C18" s="33"/>
      <c r="D18" s="33">
        <v>10</v>
      </c>
      <c r="E18" s="36">
        <f>Подписка!$B$15</f>
        <v>9750</v>
      </c>
      <c r="F18" s="36">
        <f>Подписка!$C$15</f>
        <v>133.83333333333334</v>
      </c>
      <c r="G18" s="36">
        <f>Подписка!$E$15</f>
        <v>481.92564233144128</v>
      </c>
      <c r="H18" s="37">
        <f>Подписка!$F$15</f>
        <v>1440957.6705710094</v>
      </c>
      <c r="I18" s="37">
        <f>Подписка!$S$15</f>
        <v>300000</v>
      </c>
      <c r="J18" s="37">
        <f>Подписка!$T$15</f>
        <v>360294.42759148264</v>
      </c>
      <c r="K18" s="37">
        <f>Деньги!$C$16</f>
        <v>-107997.33833000367</v>
      </c>
      <c r="L18" s="37">
        <f>Деньги!$D$16</f>
        <v>1463858.1903211805</v>
      </c>
    </row>
    <row r="19" spans="1:12" ht="29.1" customHeight="1">
      <c r="A19" s="33"/>
      <c r="B19" s="33"/>
      <c r="C19" s="33"/>
      <c r="D19" s="33">
        <v>11</v>
      </c>
      <c r="E19" s="36">
        <f>Подписка!$B$16</f>
        <v>9750</v>
      </c>
      <c r="F19" s="36">
        <f>Подписка!$C$16</f>
        <v>133.83333333333334</v>
      </c>
      <c r="G19" s="36">
        <f>Подписка!$E$16</f>
        <v>495.2775650819143</v>
      </c>
      <c r="H19" s="37">
        <f>Подписка!$F$16</f>
        <v>1480879.9195949237</v>
      </c>
      <c r="I19" s="37">
        <f>Подписка!$S$16</f>
        <v>300000</v>
      </c>
      <c r="J19" s="37">
        <f>Подписка!$T$16</f>
        <v>387934.61236027884</v>
      </c>
      <c r="K19" s="37">
        <f>Деньги!$C$17</f>
        <v>279937.27403027518</v>
      </c>
      <c r="L19" s="37">
        <f>Деньги!$D$17</f>
        <v>1463858.1903211805</v>
      </c>
    </row>
    <row r="20" spans="1:12" ht="29.1" customHeight="1">
      <c r="A20" s="33"/>
      <c r="B20" s="33"/>
      <c r="C20" s="33"/>
      <c r="D20" s="33">
        <v>12</v>
      </c>
      <c r="E20" s="36">
        <f>Подписка!$B$17</f>
        <v>9750</v>
      </c>
      <c r="F20" s="36">
        <f>Подписка!$C$17</f>
        <v>133.83333333333334</v>
      </c>
      <c r="G20" s="36">
        <f>Подписка!$E$17</f>
        <v>505.29150714476907</v>
      </c>
      <c r="H20" s="37">
        <f>Подписка!$F$17</f>
        <v>1510821.6063628595</v>
      </c>
      <c r="I20" s="37">
        <f>Подписка!$S$17</f>
        <v>300000</v>
      </c>
      <c r="J20" s="37">
        <f>Подписка!$T$17</f>
        <v>383311.62593687582</v>
      </c>
      <c r="K20" s="37">
        <f>Деньги!$C$18</f>
        <v>663248.899967151</v>
      </c>
      <c r="L20" s="37">
        <f>Деньги!$D$18</f>
        <v>1463858.1903211805</v>
      </c>
    </row>
    <row r="21" spans="1:1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ht="26.1" customHeight="1">
      <c r="A23" s="43" t="s">
        <v>39</v>
      </c>
      <c r="B23" s="43"/>
      <c r="C23" s="43"/>
      <c r="D23" s="43"/>
      <c r="E23" s="32"/>
      <c r="F23" s="32"/>
      <c r="G23" s="33"/>
      <c r="H23" s="33"/>
      <c r="I23" s="33"/>
      <c r="J23" s="33"/>
      <c r="K23" s="33"/>
      <c r="L23" s="33"/>
    </row>
    <row r="24" spans="1:12" ht="27.95" customHeight="1">
      <c r="A24" s="34" t="s">
        <v>40</v>
      </c>
      <c r="B24" s="41">
        <f>Допущения!$B$5*(1-Допущения!$B$6-Допущения!$B$7)</f>
        <v>2840.5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27.95" customHeight="1">
      <c r="A25" s="34" t="s">
        <v>41</v>
      </c>
      <c r="B25" s="41">
        <f>Допущения!$B$8*Допущения!$B$9</f>
        <v>180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7.95" customHeight="1">
      <c r="A26" s="34" t="s">
        <v>42</v>
      </c>
      <c r="B26" s="41">
        <f>Допущения!$B$10</f>
        <v>60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1:12" ht="27.95" customHeight="1">
      <c r="A27" s="34" t="s">
        <v>43</v>
      </c>
      <c r="B27" s="41">
        <f>Допущения!$B$11/60*Допущения!$B$12</f>
        <v>125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1:12" ht="27.95" customHeight="1">
      <c r="A28" s="34" t="s">
        <v>44</v>
      </c>
      <c r="B28" s="41">
        <f>Допущения!$B$15*Допущения!$B$16*Допущения!$B$17/Допущения!$B$39</f>
        <v>541.25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ht="27.95" customHeight="1">
      <c r="A29" s="34" t="s">
        <v>45</v>
      </c>
      <c r="B29" s="41">
        <f>Допущения!$B$19*Допущения!$B$20*Допущения!$B$21/Допущения!$B$18</f>
        <v>96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ht="27.95" customHeight="1">
      <c r="A30" s="49" t="s">
        <v>46</v>
      </c>
      <c r="B30" s="50">
        <f>B24-B25-B26-B27-B28-B29</f>
        <v>1838.25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1:12" ht="27.95" customHeight="1">
      <c r="A31" s="34" t="s">
        <v>47</v>
      </c>
      <c r="B31" s="41">
        <f>B30*IF(Допущения!$B$36=1,Допущения!$B$30,(1-Допущения!$B$36^Допущения!$B$30)/(1-Допущения!$B$36))</f>
        <v>4250.953125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spans="1:12" ht="27.95" customHeight="1">
      <c r="A32" s="34" t="s">
        <v>48</v>
      </c>
      <c r="B32" s="41">
        <f>IF(SUM(Подписка!$C$6:$C$17)=0,"Нет оплат",(SUM(Подписка!$S$6:$S$17)+SUM(Подписка!$L$6:$L$17))/SUM(Подписка!$C$6:$C$17))</f>
        <v>2387.2976338729763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ht="27.95" customHeight="1">
      <c r="A33" s="51" t="s">
        <v>49</v>
      </c>
      <c r="B33" s="52">
        <f>IF(ISNUMBER(B32),B31-B32,"Нет оплат")</f>
        <v>1863.6554911270237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spans="1:12" ht="24.95" customHeight="1">
      <c r="A34" s="68" t="str">
        <f>Допущения!A68</f>
        <v/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</row>
    <row r="35" spans="1:12" ht="26.1" customHeight="1">
      <c r="A35" s="64" t="s">
        <v>50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1:12" ht="26.1" customHeight="1">
      <c r="A36" s="64" t="str">
        <f>"Подготовка — "&amp;ROUND(SUM(Допущения!$B$25:$B$27)/1000,2)&amp;" тыс. ₽ в месяце 0. Финансирование = максимальный накопленный дефицит + запас "&amp;ROUND(Допущения!$B$31*100,6)&amp;"%."</f>
        <v>Подготовка — 740 тыс. ₽ в месяце 0. Финансирование = максимальный накопленный дефицит + запас 15%.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</sheetData>
  <mergeCells count="8">
    <mergeCell ref="A2:L2"/>
    <mergeCell ref="A35:L35"/>
    <mergeCell ref="A36:L36"/>
    <mergeCell ref="A3:E3"/>
    <mergeCell ref="F3:H3"/>
    <mergeCell ref="I3:L3"/>
    <mergeCell ref="A6:L6"/>
    <mergeCell ref="A34:L34"/>
  </mergeCells>
  <conditionalFormatting sqref="A33:B33">
    <cfRule type="expression" dxfId="27" priority="1">
      <formula>$B$33&lt;0</formula>
    </cfRule>
  </conditionalFormatting>
  <conditionalFormatting sqref="B11:B12">
    <cfRule type="cellIs" dxfId="26" priority="3" operator="lessThan">
      <formula>0</formula>
    </cfRule>
  </conditionalFormatting>
  <conditionalFormatting sqref="J9:K20">
    <cfRule type="cellIs" dxfId="25" priority="2" operator="lessThan">
      <formula>0</formula>
    </cfRule>
  </conditionalFormatting>
  <hyperlinks>
    <hyperlink ref="F3" r:id="rId1" xr:uid="{00000000-0004-0000-0100-000000000000}"/>
    <hyperlink ref="I3" r:id="rId2" xr:uid="{00000000-0004-0000-0100-000001000000}"/>
  </hyperlinks>
  <pageMargins left="0.7" right="0.7" top="0.75" bottom="0.75" header="0.3" footer="0.3"/>
  <pageSetup paperSize="8" scale="18" orientation="landscape" r:id="rId3"/>
  <headerFooter>
    <oddFooter>&amp;L&amp;"Arial,Regular"&amp;8Елизавета Трибунская · tribunska.ru&amp;R&amp;"Arial,Regular"&amp;8&amp;P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9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38" customWidth="1"/>
    <col min="2" max="2" width="20" customWidth="1"/>
    <col min="3" max="4" width="18" customWidth="1"/>
    <col min="5" max="5" width="57" customWidth="1"/>
  </cols>
  <sheetData>
    <row r="1" spans="1:5">
      <c r="A1" s="3" t="s">
        <v>12</v>
      </c>
      <c r="B1" s="3"/>
      <c r="C1" s="3"/>
      <c r="D1" s="3"/>
      <c r="E1" s="3"/>
    </row>
    <row r="2" spans="1:5" ht="30" customHeight="1">
      <c r="A2" s="71" t="s">
        <v>51</v>
      </c>
      <c r="B2" s="71"/>
      <c r="C2" s="71"/>
      <c r="D2" s="71"/>
      <c r="E2" s="71"/>
    </row>
    <row r="3" spans="1:5" ht="15">
      <c r="A3" s="4" t="s">
        <v>52</v>
      </c>
      <c r="B3" s="15">
        <v>2</v>
      </c>
      <c r="C3" s="4"/>
      <c r="D3" s="26" t="s">
        <v>53</v>
      </c>
      <c r="E3" s="26" t="s">
        <v>54</v>
      </c>
    </row>
    <row r="4" spans="1:5">
      <c r="A4" s="5" t="s">
        <v>55</v>
      </c>
      <c r="B4" s="5"/>
      <c r="C4" s="4"/>
      <c r="D4" s="4"/>
      <c r="E4" s="4"/>
    </row>
    <row r="5" spans="1:5">
      <c r="A5" s="24" t="s">
        <v>56</v>
      </c>
      <c r="B5" s="16">
        <v>2990</v>
      </c>
      <c r="C5" s="4"/>
      <c r="D5" s="4"/>
      <c r="E5" s="4"/>
    </row>
    <row r="6" spans="1:5">
      <c r="A6" s="24" t="s">
        <v>57</v>
      </c>
      <c r="B6" s="17">
        <v>0.02</v>
      </c>
      <c r="C6" s="4"/>
      <c r="D6" s="4"/>
      <c r="E6" s="4"/>
    </row>
    <row r="7" spans="1:5">
      <c r="A7" s="24" t="s">
        <v>58</v>
      </c>
      <c r="B7" s="17">
        <v>0.03</v>
      </c>
      <c r="C7" s="4"/>
      <c r="D7" s="4"/>
      <c r="E7" s="4"/>
    </row>
    <row r="8" spans="1:5">
      <c r="A8" s="24" t="s">
        <v>59</v>
      </c>
      <c r="B8" s="18">
        <v>60</v>
      </c>
      <c r="C8" s="4"/>
      <c r="D8" s="4"/>
      <c r="E8" s="4"/>
    </row>
    <row r="9" spans="1:5">
      <c r="A9" s="24" t="s">
        <v>60</v>
      </c>
      <c r="B9" s="16">
        <v>3</v>
      </c>
      <c r="C9" s="4"/>
      <c r="D9" s="4"/>
      <c r="E9" s="4"/>
    </row>
    <row r="10" spans="1:5">
      <c r="A10" s="24" t="s">
        <v>61</v>
      </c>
      <c r="B10" s="16">
        <v>60</v>
      </c>
      <c r="C10" s="4"/>
      <c r="D10" s="4"/>
      <c r="E10" s="4"/>
    </row>
    <row r="11" spans="1:5">
      <c r="A11" s="24" t="s">
        <v>62</v>
      </c>
      <c r="B11" s="18">
        <v>10</v>
      </c>
      <c r="C11" s="4"/>
      <c r="D11" s="4"/>
      <c r="E11" s="4"/>
    </row>
    <row r="12" spans="1:5">
      <c r="A12" s="24" t="s">
        <v>63</v>
      </c>
      <c r="B12" s="16">
        <v>750</v>
      </c>
      <c r="C12" s="4"/>
      <c r="D12" s="4"/>
      <c r="E12" s="4"/>
    </row>
    <row r="13" spans="1:5">
      <c r="A13" s="24" t="s">
        <v>64</v>
      </c>
      <c r="B13" s="17">
        <v>0.02</v>
      </c>
      <c r="C13" s="4"/>
      <c r="D13" s="4"/>
      <c r="E13" s="4"/>
    </row>
    <row r="14" spans="1:5">
      <c r="A14" s="24" t="s">
        <v>65</v>
      </c>
      <c r="B14" s="18">
        <v>8</v>
      </c>
      <c r="C14" s="4"/>
      <c r="D14" s="4"/>
      <c r="E14" s="4"/>
    </row>
    <row r="15" spans="1:5">
      <c r="A15" s="24" t="s">
        <v>66</v>
      </c>
      <c r="B15" s="18">
        <v>1.25</v>
      </c>
      <c r="C15" s="4"/>
      <c r="D15" s="4"/>
      <c r="E15" s="4"/>
    </row>
    <row r="16" spans="1:5">
      <c r="A16" s="24" t="s">
        <v>67</v>
      </c>
      <c r="B16" s="18">
        <v>4.33</v>
      </c>
      <c r="C16" s="4"/>
      <c r="D16" s="4"/>
      <c r="E16" s="4"/>
    </row>
    <row r="17" spans="1:5">
      <c r="A17" s="24" t="s">
        <v>68</v>
      </c>
      <c r="B17" s="16">
        <v>1000</v>
      </c>
      <c r="C17" s="4"/>
      <c r="D17" s="4"/>
      <c r="E17" s="4"/>
    </row>
    <row r="18" spans="1:5">
      <c r="A18" s="24" t="s">
        <v>69</v>
      </c>
      <c r="B18" s="18">
        <v>250</v>
      </c>
      <c r="C18" s="4"/>
      <c r="D18" s="4"/>
      <c r="E18" s="4"/>
    </row>
    <row r="19" spans="1:5">
      <c r="A19" s="24" t="s">
        <v>70</v>
      </c>
      <c r="B19" s="18">
        <v>4</v>
      </c>
      <c r="C19" s="4"/>
      <c r="D19" s="4"/>
      <c r="E19" s="4"/>
    </row>
    <row r="20" spans="1:5">
      <c r="A20" s="24" t="s">
        <v>71</v>
      </c>
      <c r="B20" s="18">
        <v>2</v>
      </c>
      <c r="C20" s="4"/>
      <c r="D20" s="4"/>
      <c r="E20" s="4"/>
    </row>
    <row r="21" spans="1:5">
      <c r="A21" s="24" t="s">
        <v>72</v>
      </c>
      <c r="B21" s="16">
        <v>3000</v>
      </c>
      <c r="C21" s="4"/>
      <c r="D21" s="4"/>
      <c r="E21" s="4"/>
    </row>
    <row r="22" spans="1:5">
      <c r="A22" s="24" t="s">
        <v>73</v>
      </c>
      <c r="B22" s="16">
        <v>95000</v>
      </c>
      <c r="C22" s="4"/>
      <c r="D22" s="4"/>
      <c r="E22" s="4"/>
    </row>
    <row r="23" spans="1:5">
      <c r="A23" s="24" t="s">
        <v>74</v>
      </c>
      <c r="B23" s="16">
        <v>70000</v>
      </c>
      <c r="C23" s="4"/>
      <c r="D23" s="4"/>
      <c r="E23" s="4"/>
    </row>
    <row r="24" spans="1:5">
      <c r="A24" s="24" t="s">
        <v>75</v>
      </c>
      <c r="B24" s="16">
        <v>35000</v>
      </c>
      <c r="C24" s="4"/>
      <c r="D24" s="4"/>
      <c r="E24" s="4"/>
    </row>
    <row r="25" spans="1:5">
      <c r="A25" s="24" t="s">
        <v>76</v>
      </c>
      <c r="B25" s="16">
        <v>600000</v>
      </c>
      <c r="C25" s="4"/>
      <c r="D25" s="4"/>
      <c r="E25" s="4"/>
    </row>
    <row r="26" spans="1:5">
      <c r="A26" s="24" t="s">
        <v>77</v>
      </c>
      <c r="B26" s="16">
        <v>80000</v>
      </c>
      <c r="C26" s="4"/>
      <c r="D26" s="4"/>
      <c r="E26" s="4"/>
    </row>
    <row r="27" spans="1:5">
      <c r="A27" s="24" t="s">
        <v>78</v>
      </c>
      <c r="B27" s="16">
        <v>60000</v>
      </c>
      <c r="C27" s="4"/>
      <c r="D27" s="4"/>
      <c r="E27" s="4"/>
    </row>
    <row r="28" spans="1:5">
      <c r="A28" s="24" t="s">
        <v>79</v>
      </c>
      <c r="B28" s="18">
        <v>12</v>
      </c>
      <c r="C28" s="4"/>
      <c r="D28" s="4"/>
      <c r="E28" s="4"/>
    </row>
    <row r="29" spans="1:5">
      <c r="A29" s="24" t="s">
        <v>80</v>
      </c>
      <c r="B29" s="17">
        <v>0.2</v>
      </c>
      <c r="C29" s="4"/>
      <c r="D29" s="4"/>
      <c r="E29" s="4"/>
    </row>
    <row r="30" spans="1:5">
      <c r="A30" s="24" t="s">
        <v>81</v>
      </c>
      <c r="B30" s="18">
        <v>3</v>
      </c>
      <c r="C30" s="4"/>
      <c r="D30" s="4"/>
      <c r="E30" s="4"/>
    </row>
    <row r="31" spans="1:5">
      <c r="A31" s="24" t="s">
        <v>82</v>
      </c>
      <c r="B31" s="17">
        <v>0.15</v>
      </c>
      <c r="C31" s="4"/>
      <c r="D31" s="4"/>
      <c r="E31" s="4"/>
    </row>
    <row r="32" spans="1:5" ht="30" customHeight="1">
      <c r="A32" s="72" t="s">
        <v>83</v>
      </c>
      <c r="B32" s="72"/>
      <c r="C32" s="73" t="s">
        <v>84</v>
      </c>
      <c r="D32" s="73"/>
      <c r="E32" s="27" t="s">
        <v>85</v>
      </c>
    </row>
    <row r="33" spans="1:5" ht="24.95" customHeight="1">
      <c r="A33" s="74" t="s">
        <v>86</v>
      </c>
      <c r="B33" s="74"/>
      <c r="C33" s="74"/>
      <c r="D33" s="74"/>
      <c r="E33" s="74"/>
    </row>
    <row r="34" spans="1:5">
      <c r="A34" s="5" t="s">
        <v>87</v>
      </c>
      <c r="B34" s="5"/>
      <c r="C34" s="5"/>
      <c r="D34" s="5"/>
      <c r="E34" s="5"/>
    </row>
    <row r="35" spans="1:5">
      <c r="A35" s="2" t="s">
        <v>88</v>
      </c>
      <c r="B35" s="2" t="s">
        <v>89</v>
      </c>
      <c r="C35" s="2" t="s">
        <v>53</v>
      </c>
      <c r="D35" s="2" t="s">
        <v>90</v>
      </c>
      <c r="E35" s="2" t="s">
        <v>91</v>
      </c>
    </row>
    <row r="36" spans="1:5">
      <c r="A36" s="25" t="s">
        <v>92</v>
      </c>
      <c r="B36" s="22">
        <f>IF(AND(COUNT(INDEX(C36:E36,1,$B$3))=1,INDEX(C36:E36,1,$B$3)&gt;=0,INDEX(C36:E36,1,$B$3)&lt;=1),INDEX(C36:E36,1,$B$3),NA())</f>
        <v>0.75</v>
      </c>
      <c r="C36" s="19">
        <v>0.55000000000000004</v>
      </c>
      <c r="D36" s="19">
        <v>0.75</v>
      </c>
      <c r="E36" s="19">
        <v>0.82</v>
      </c>
    </row>
    <row r="37" spans="1:5">
      <c r="A37" s="25" t="s">
        <v>93</v>
      </c>
      <c r="B37" s="23">
        <f>IF(AND(COUNT(INDEX(C37:E37,1,$B$3))=1,INDEX(C37:E37,1,$B$3)&gt;0),INDEX(C37:E37,1,$B$3),NA())</f>
        <v>1</v>
      </c>
      <c r="C37" s="20">
        <v>1.25</v>
      </c>
      <c r="D37" s="20">
        <v>1</v>
      </c>
      <c r="E37" s="20">
        <v>0.85</v>
      </c>
    </row>
    <row r="38" spans="1:5">
      <c r="A38" s="25" t="s">
        <v>94</v>
      </c>
      <c r="B38" s="23">
        <f>IF(AND(COUNT(INDEX(C38:E38,1,$B$3))=1,INDEX(C38:E38,1,$B$3)&gt;=0),INDEX(C38:E38,1,$B$3),NA())</f>
        <v>1</v>
      </c>
      <c r="C38" s="20">
        <v>0.65</v>
      </c>
      <c r="D38" s="20">
        <v>1</v>
      </c>
      <c r="E38" s="20">
        <v>1.25</v>
      </c>
    </row>
    <row r="39" spans="1:5">
      <c r="A39" s="25" t="s">
        <v>95</v>
      </c>
      <c r="B39" s="23">
        <f>IF(AND(COUNT(INDEX(C39:E39,1,$B$3))=1,INDEX(C39:E39,1,$B$3)&gt;=1,ISNUMBER($B$28),$B$28&gt;=1,$B$28=INT($B$28)),MIN(INDEX(C39:E39,1,$B$3),$B$28),NA())</f>
        <v>10</v>
      </c>
      <c r="C39" s="20">
        <v>8</v>
      </c>
      <c r="D39" s="20">
        <v>10</v>
      </c>
      <c r="E39" s="20">
        <v>11</v>
      </c>
    </row>
    <row r="40" spans="1:5" ht="20.100000000000001" customHeight="1">
      <c r="A40" s="74" t="s">
        <v>146</v>
      </c>
      <c r="B40" s="74"/>
      <c r="C40" s="74"/>
      <c r="D40" s="74"/>
      <c r="E40" s="74"/>
    </row>
    <row r="41" spans="1:5">
      <c r="A41" s="6"/>
      <c r="B41" s="6"/>
      <c r="C41" s="6"/>
      <c r="D41" s="6"/>
      <c r="E41" s="6"/>
    </row>
    <row r="42" spans="1:5" ht="25.5">
      <c r="A42" s="7" t="s">
        <v>96</v>
      </c>
      <c r="B42" s="7"/>
      <c r="C42" s="7"/>
      <c r="D42" s="7"/>
      <c r="E42" s="7"/>
    </row>
    <row r="43" spans="1:5" ht="25.5">
      <c r="A43" s="2" t="s">
        <v>97</v>
      </c>
      <c r="B43" s="2" t="s">
        <v>98</v>
      </c>
      <c r="C43" s="2" t="s">
        <v>99</v>
      </c>
      <c r="D43" s="2" t="s">
        <v>100</v>
      </c>
      <c r="E43" s="2" t="s">
        <v>101</v>
      </c>
    </row>
    <row r="44" spans="1:5" ht="25.5">
      <c r="A44" s="25" t="s">
        <v>102</v>
      </c>
      <c r="B44" s="19">
        <v>0.4</v>
      </c>
      <c r="C44" s="21">
        <v>45</v>
      </c>
      <c r="D44" s="19">
        <v>1.7999999999999999E-2</v>
      </c>
      <c r="E44" s="25" t="s">
        <v>103</v>
      </c>
    </row>
    <row r="45" spans="1:5">
      <c r="A45" s="25" t="s">
        <v>104</v>
      </c>
      <c r="B45" s="19">
        <v>0.25</v>
      </c>
      <c r="C45" s="21">
        <v>12</v>
      </c>
      <c r="D45" s="19">
        <v>6.0000000000000001E-3</v>
      </c>
      <c r="E45" s="25" t="s">
        <v>105</v>
      </c>
    </row>
    <row r="46" spans="1:5" ht="25.5">
      <c r="A46" s="25" t="s">
        <v>106</v>
      </c>
      <c r="B46" s="19">
        <v>0.25</v>
      </c>
      <c r="C46" s="21">
        <v>90</v>
      </c>
      <c r="D46" s="19">
        <v>1.7999999999999999E-2</v>
      </c>
      <c r="E46" s="25" t="s">
        <v>107</v>
      </c>
    </row>
    <row r="47" spans="1:5" ht="25.5">
      <c r="A47" s="25" t="s">
        <v>108</v>
      </c>
      <c r="B47" s="19">
        <v>0.1</v>
      </c>
      <c r="C47" s="21">
        <v>18</v>
      </c>
      <c r="D47" s="19">
        <v>0.02</v>
      </c>
      <c r="E47" s="25" t="s">
        <v>109</v>
      </c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7" t="s">
        <v>110</v>
      </c>
      <c r="B50" s="7"/>
      <c r="C50" s="6"/>
      <c r="D50" s="6"/>
      <c r="E50" s="6"/>
    </row>
    <row r="51" spans="1:5">
      <c r="A51" s="2" t="s">
        <v>22</v>
      </c>
      <c r="B51" s="2" t="s">
        <v>111</v>
      </c>
      <c r="C51" s="6"/>
      <c r="D51" s="6"/>
      <c r="E51" s="6"/>
    </row>
    <row r="52" spans="1:5">
      <c r="A52" s="25">
        <v>1</v>
      </c>
      <c r="B52" s="21">
        <v>50000</v>
      </c>
      <c r="C52" s="6"/>
      <c r="D52" s="6"/>
      <c r="E52" s="6"/>
    </row>
    <row r="53" spans="1:5">
      <c r="A53" s="25">
        <v>2</v>
      </c>
      <c r="B53" s="21">
        <v>100000</v>
      </c>
      <c r="C53" s="6"/>
      <c r="D53" s="6"/>
      <c r="E53" s="6"/>
    </row>
    <row r="54" spans="1:5">
      <c r="A54" s="25">
        <v>3</v>
      </c>
      <c r="B54" s="21">
        <v>200000</v>
      </c>
      <c r="C54" s="6"/>
      <c r="D54" s="6"/>
      <c r="E54" s="6"/>
    </row>
    <row r="55" spans="1:5">
      <c r="A55" s="25">
        <v>4</v>
      </c>
      <c r="B55" s="21">
        <v>300000</v>
      </c>
      <c r="C55" s="6"/>
      <c r="D55" s="6"/>
      <c r="E55" s="6"/>
    </row>
    <row r="56" spans="1:5">
      <c r="A56" s="25">
        <v>5</v>
      </c>
      <c r="B56" s="21">
        <v>300000</v>
      </c>
      <c r="C56" s="6"/>
      <c r="D56" s="6"/>
      <c r="E56" s="6"/>
    </row>
    <row r="57" spans="1:5">
      <c r="A57" s="25">
        <v>6</v>
      </c>
      <c r="B57" s="21">
        <v>300000</v>
      </c>
      <c r="C57" s="6"/>
      <c r="D57" s="6"/>
      <c r="E57" s="6"/>
    </row>
    <row r="58" spans="1:5">
      <c r="A58" s="25">
        <v>7</v>
      </c>
      <c r="B58" s="21">
        <v>300000</v>
      </c>
      <c r="C58" s="6"/>
      <c r="D58" s="6"/>
      <c r="E58" s="6"/>
    </row>
    <row r="59" spans="1:5">
      <c r="A59" s="25">
        <v>8</v>
      </c>
      <c r="B59" s="21">
        <v>300000</v>
      </c>
      <c r="C59" s="6"/>
      <c r="D59" s="6"/>
      <c r="E59" s="6"/>
    </row>
    <row r="60" spans="1:5">
      <c r="A60" s="25">
        <v>9</v>
      </c>
      <c r="B60" s="21">
        <v>300000</v>
      </c>
      <c r="C60" s="6"/>
      <c r="D60" s="6"/>
      <c r="E60" s="6"/>
    </row>
    <row r="61" spans="1:5">
      <c r="A61" s="25">
        <v>10</v>
      </c>
      <c r="B61" s="21">
        <v>300000</v>
      </c>
      <c r="C61" s="6"/>
      <c r="D61" s="6"/>
      <c r="E61" s="6"/>
    </row>
    <row r="62" spans="1:5">
      <c r="A62" s="25">
        <v>11</v>
      </c>
      <c r="B62" s="21">
        <v>300000</v>
      </c>
      <c r="C62" s="6"/>
      <c r="D62" s="6"/>
      <c r="E62" s="6"/>
    </row>
    <row r="63" spans="1:5">
      <c r="A63" s="25">
        <v>12</v>
      </c>
      <c r="B63" s="21">
        <v>300000</v>
      </c>
      <c r="C63" s="6"/>
      <c r="D63" s="6"/>
      <c r="E63" s="6"/>
    </row>
    <row r="64" spans="1:5">
      <c r="A64" s="6"/>
      <c r="B64" s="6"/>
      <c r="C64" s="6"/>
      <c r="D64" s="6"/>
      <c r="E64" s="6"/>
    </row>
    <row r="65" spans="1:5" ht="29.1" customHeight="1">
      <c r="A65" s="71" t="s">
        <v>112</v>
      </c>
      <c r="B65" s="71"/>
      <c r="C65" s="71"/>
      <c r="D65" s="71"/>
      <c r="E65" s="71"/>
    </row>
    <row r="66" spans="1:5" ht="29.1" customHeight="1">
      <c r="A66" s="71" t="s">
        <v>113</v>
      </c>
      <c r="B66" s="71"/>
      <c r="C66" s="71"/>
      <c r="D66" s="71"/>
      <c r="E66" s="71"/>
    </row>
    <row r="67" spans="1:5" ht="29.1" customHeight="1">
      <c r="A67" s="71" t="s">
        <v>114</v>
      </c>
      <c r="B67" s="71"/>
      <c r="C67" s="71"/>
      <c r="D67" s="71"/>
      <c r="E67" s="71"/>
    </row>
    <row r="68" spans="1:5" ht="30" customHeight="1">
      <c r="A68" s="75" t="str">
        <f>IF(IFERROR(AND(AND(ISNUMBER(B3),B3=INT(B3),B3&gt;=1,B3&lt;=3),AND(ISNUMBER(B5),B5&gt;0),AND(ISNUMBER(B6),B6&gt;=0,B6&lt;=1,SUM($B$6:$B$7)&lt;=1),AND(ISNUMBER(B7),B7&gt;=0,B7&lt;=1,SUM($B$6:$B$7)&lt;=1),AND(ISNUMBER(B8),B8&gt;=0),AND(ISNUMBER(B9),B9&gt;=0),AND(ISNUMBER(B10),B10&gt;=0),AND(ISNUMBER(B11),B11&gt;=0),AND(ISNUMBER(B12),B12&gt;=0),AND(ISNUMBER(B13),B13&gt;=0,B13&lt;=1),AND(ISNUMBER(B14),B14&gt;=0),AND(ISNUMBER(B15),B15&gt;=0),AND(ISNUMBER(B16),B16&gt;0),AND(ISNUMBER(B17),B17&gt;=0),AND(ISNUMBER(B18),B18&gt;0,B18=INT(B18)),AND(ISNUMBER(B19),B19&gt;=0),AND(ISNUMBER(B20),B20&gt;=0),AND(ISNUMBER(B21),B21&gt;=0),AND(ISNUMBER(B22),B22&gt;=0),AND(ISNUMBER(B23),B23&gt;=0),AND(ISNUMBER(B24),B24&gt;=0),AND(ISNUMBER(B25),B25&gt;=0),AND(ISNUMBER(B26),B26&gt;=0),AND(ISNUMBER(B27),B27&gt;=0),AND(ISNUMBER(B28),B28&gt;0,B28=INT(B28)),AND(ISNUMBER(B29),B29&gt;=0,B29&lt;=1),AND(ISNUMBER(B30),B30&gt;0,B30=INT(B30)),AND(ISNUMBER(B31),B31&gt;=0,B31&lt;=1),AND(ISNUMBER(C36),C36&gt;=0,C36&lt;=1),AND(ISNUMBER(C37),C37&gt;0),AND(ISNUMBER(C38),C38&gt;=0),AND(ISNUMBER(C39),C39&gt;=1),AND(ISNUMBER(D36),D36&gt;=0,D36&lt;=1),AND(ISNUMBER(D37),D37&gt;0),AND(ISNUMBER(D38),D38&gt;=0),AND(ISNUMBER(D39),D39&gt;=1),AND(ISNUMBER(E36),E36&gt;=0,E36&lt;=1),AND(ISNUMBER(E37),E37&gt;0),AND(ISNUMBER(E38),E38&gt;=0),AND(ISNUMBER(E39),E39&gt;=1),AND(ISNUMBER(B44),B44&gt;=0,B44&lt;=1),AND(ISNUMBER(C44),C44&gt;0),AND(ISNUMBER(D44),D44&gt;=0,D44&lt;=1),AND(ISNUMBER(B45),B45&gt;=0,B45&lt;=1),AND(ISNUMBER(C45),C45&gt;0),AND(ISNUMBER(D45),D45&gt;=0,D45&lt;=1),AND(ISNUMBER(B46),B46&gt;=0,B46&lt;=1),AND(ISNUMBER(C46),C46&gt;0),AND(ISNUMBER(D46),D46&gt;=0,D46&lt;=1),AND(ISNUMBER(B47),B47&gt;=0,B47&lt;=1),AND(ISNUMBER(C47),C47&gt;0),AND(ISNUMBER(D47),D47&gt;=0,D47&lt;=1),AND(ISNUMBER(B52),B52&gt;=0),AND(ISNUMBER(B53),B53&gt;=0),AND(ISNUMBER(B54),B54&gt;=0),AND(ISNUMBER(B55),B55&gt;=0),AND(ISNUMBER(B56),B56&gt;=0),AND(ISNUMBER(B57),B57&gt;=0),AND(ISNUMBER(B58),B58&gt;=0),AND(ISNUMBER(B59),B59&gt;=0),AND(ISNUMBER(B60),B60&gt;=0),AND(ISNUMBER(B61),B61&gt;=0),AND(ISNUMBER(B62),B62&gt;=0),AND(ISNUMBER(B63),B63&gt;=0),ABS(SUM($B$44:$B$47)-1)&lt;0.00000001,MAX($D$44:$D$47)*MAX($C$38:$E$38)&lt;=1),FALSE),"","Проверьте красные ячейки: все вводные — числа, доли каналов в сумме — 100%.")</f>
        <v/>
      </c>
      <c r="B68" s="75"/>
      <c r="C68" s="75"/>
      <c r="D68" s="75"/>
      <c r="E68" s="75"/>
    </row>
    <row r="69" spans="1:5">
      <c r="A69" s="69" t="s">
        <v>115</v>
      </c>
      <c r="B69" s="70"/>
      <c r="C69" s="70"/>
      <c r="D69" s="70"/>
      <c r="E69" s="70"/>
    </row>
  </sheetData>
  <mergeCells count="10">
    <mergeCell ref="A69:E69"/>
    <mergeCell ref="A2:E2"/>
    <mergeCell ref="A65:E65"/>
    <mergeCell ref="A66:E66"/>
    <mergeCell ref="A67:E67"/>
    <mergeCell ref="A32:B32"/>
    <mergeCell ref="C32:D32"/>
    <mergeCell ref="A33:E33"/>
    <mergeCell ref="A68:E68"/>
    <mergeCell ref="A40:E40"/>
  </mergeCells>
  <conditionalFormatting sqref="B3">
    <cfRule type="expression" dxfId="24" priority="1">
      <formula>NOT(IFERROR(AND(ISNUMBER(B3),B3=INT(B3),B3&gt;=1,B3&lt;=3),FALSE))</formula>
    </cfRule>
  </conditionalFormatting>
  <conditionalFormatting sqref="B5">
    <cfRule type="expression" dxfId="23" priority="2">
      <formula>NOT(IFERROR(AND(ISNUMBER(B5),B5&gt;0),FALSE))</formula>
    </cfRule>
  </conditionalFormatting>
  <conditionalFormatting sqref="B6">
    <cfRule type="expression" dxfId="22" priority="3">
      <formula>NOT(IFERROR(AND(ISNUMBER(B6),B6&gt;=0,B6&lt;=1,SUM($B$6:$B$7)&lt;=1),FALSE))</formula>
    </cfRule>
  </conditionalFormatting>
  <conditionalFormatting sqref="B7">
    <cfRule type="expression" dxfId="21" priority="4">
      <formula>NOT(IFERROR(AND(ISNUMBER(B7),B7&gt;=0,B7&lt;=1,SUM($B$6:$B$7)&lt;=1),FALSE))</formula>
    </cfRule>
  </conditionalFormatting>
  <conditionalFormatting sqref="B8:B12">
    <cfRule type="expression" dxfId="20" priority="5">
      <formula>NOT(IFERROR(AND(ISNUMBER(B8),B8&gt;=0),FALSE))</formula>
    </cfRule>
  </conditionalFormatting>
  <conditionalFormatting sqref="B13">
    <cfRule type="expression" dxfId="19" priority="10">
      <formula>NOT(IFERROR(AND(ISNUMBER(B13),B13&gt;=0,B13&lt;=1),FALSE))</formula>
    </cfRule>
  </conditionalFormatting>
  <conditionalFormatting sqref="B14:B15">
    <cfRule type="expression" dxfId="18" priority="11">
      <formula>NOT(IFERROR(AND(ISNUMBER(B14),B14&gt;=0),FALSE))</formula>
    </cfRule>
  </conditionalFormatting>
  <conditionalFormatting sqref="B16">
    <cfRule type="expression" dxfId="17" priority="13">
      <formula>NOT(IFERROR(AND(ISNUMBER(B16),B16&gt;0),FALSE))</formula>
    </cfRule>
  </conditionalFormatting>
  <conditionalFormatting sqref="B17">
    <cfRule type="expression" dxfId="16" priority="14">
      <formula>NOT(IFERROR(AND(ISNUMBER(B17),B17&gt;=0),FALSE))</formula>
    </cfRule>
  </conditionalFormatting>
  <conditionalFormatting sqref="B18">
    <cfRule type="expression" dxfId="15" priority="15">
      <formula>NOT(IFERROR(AND(ISNUMBER(B18),B18&gt;0,B18=INT(B18)),FALSE))</formula>
    </cfRule>
  </conditionalFormatting>
  <conditionalFormatting sqref="B19:B27">
    <cfRule type="expression" dxfId="14" priority="16">
      <formula>NOT(IFERROR(AND(ISNUMBER(B19),B19&gt;=0),FALSE))</formula>
    </cfRule>
  </conditionalFormatting>
  <conditionalFormatting sqref="B28">
    <cfRule type="expression" dxfId="13" priority="25">
      <formula>NOT(IFERROR(AND(ISNUMBER(B28),B28&gt;0,B28=INT(B28)),FALSE))</formula>
    </cfRule>
  </conditionalFormatting>
  <conditionalFormatting sqref="B29">
    <cfRule type="expression" dxfId="12" priority="26">
      <formula>NOT(IFERROR(AND(ISNUMBER(B29),B29&gt;=0,B29&lt;=1),FALSE))</formula>
    </cfRule>
  </conditionalFormatting>
  <conditionalFormatting sqref="B30">
    <cfRule type="expression" dxfId="11" priority="27">
      <formula>NOT(IFERROR(AND(ISNUMBER(B30),B30&gt;0,B30=INT(B30)),FALSE))</formula>
    </cfRule>
  </conditionalFormatting>
  <conditionalFormatting sqref="B31">
    <cfRule type="expression" dxfId="10" priority="28">
      <formula>NOT(IFERROR(AND(ISNUMBER(B31),B31&gt;=0,B31&lt;=1),FALSE))</formula>
    </cfRule>
  </conditionalFormatting>
  <conditionalFormatting sqref="B44:B47">
    <cfRule type="expression" dxfId="9" priority="41">
      <formula>NOT(IFERROR(AND(ISNUMBER(B44),B44&gt;=0,B44&lt;=1),FALSE))</formula>
    </cfRule>
    <cfRule type="expression" dxfId="8" priority="65">
      <formula>OR(COUNT($B$44:$B$47)&lt;&gt;4,ABS(SUM($B$44:$B$47)-1)&gt;=0.00000001)</formula>
    </cfRule>
  </conditionalFormatting>
  <conditionalFormatting sqref="B52:B63">
    <cfRule type="expression" dxfId="7" priority="53">
      <formula>NOT(IFERROR(AND(ISNUMBER(B52),B52&gt;=0),FALSE))</formula>
    </cfRule>
  </conditionalFormatting>
  <conditionalFormatting sqref="C44:C47">
    <cfRule type="expression" dxfId="6" priority="42">
      <formula>NOT(IFERROR(AND(ISNUMBER(C44),C44&gt;0),FALSE))</formula>
    </cfRule>
  </conditionalFormatting>
  <conditionalFormatting sqref="C36:E36">
    <cfRule type="expression" dxfId="5" priority="29">
      <formula>NOT(IFERROR(AND(ISNUMBER(C36),C36&gt;=0,C36&lt;=1),FALSE))</formula>
    </cfRule>
  </conditionalFormatting>
  <conditionalFormatting sqref="C37:E37">
    <cfRule type="expression" dxfId="4" priority="30">
      <formula>NOT(IFERROR(AND(ISNUMBER(C37),C37&gt;0),FALSE))</formula>
    </cfRule>
  </conditionalFormatting>
  <conditionalFormatting sqref="C38:E38">
    <cfRule type="expression" dxfId="3" priority="31">
      <formula>NOT(IFERROR(AND(ISNUMBER(C38),C38&gt;=0),FALSE))</formula>
    </cfRule>
  </conditionalFormatting>
  <conditionalFormatting sqref="C39:E39">
    <cfRule type="expression" dxfId="2" priority="32">
      <formula>NOT(IFERROR(AND(ISNUMBER(C39),C39&gt;=1),FALSE))</formula>
    </cfRule>
  </conditionalFormatting>
  <conditionalFormatting sqref="D44:D47">
    <cfRule type="expression" dxfId="1" priority="43">
      <formula>NOT(IFERROR(AND(ISNUMBER(D44),D44&gt;=0,D44&lt;=1),FALSE))</formula>
    </cfRule>
    <cfRule type="expression" dxfId="0" priority="66">
      <formula>IFERROR(D44*MAX($C$38:$E$38)&gt;1,TRUE)</formula>
    </cfRule>
  </conditionalFormatting>
  <dataValidations count="64">
    <dataValidation type="list" showInputMessage="1" showErrorMessage="1" errorTitle="Проверьте значение" error="Выберите сценарий 1, 2 или 3." promptTitle="Как заполнить" prompt="Выберите сценарий 1, 2 или 3." sqref="B3" xr:uid="{00000000-0002-0000-0200-000000000000}">
      <formula1>"1,2,3"</formula1>
    </dataValidation>
    <dataValidation type="custom" showInputMessage="1" showErrorMessage="1" errorTitle="Проверьте значение" error="Укажите число больше нуля." promptTitle="Как заполнить" prompt="Укажите число больше нуля." sqref="B5" xr:uid="{AE36D5BF-9007-4838-9D15-2939F560F4C9}">
      <formula1>AND(ISNUMBER(B5),B5&gt;0)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6" xr:uid="{D8047A23-BD20-4C55-BA4D-61FFBDD6364D}">
      <formula1>AND(ISNUMBER(B6),B6&gt;=0,B6&lt;=1,SUM($B$6:$B$7)&lt;=1)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7" xr:uid="{0E8A0D05-BF93-4EC8-A108-F12939D34D2D}">
      <formula1>AND(ISNUMBER(B7),B7&gt;=0,B7&lt;=1,SUM($B$6:$B$7)&lt;=1)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8" xr:uid="{17A33377-924D-4955-9BE8-1E7A09C2D0B9}">
      <formula1>AND(ISNUMBER(B8),B8&gt;=0)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9" xr:uid="{DA211CF6-0968-4771-938B-579FD61A6B1D}">
      <formula1>AND(ISNUMBER(B9),B9&gt;=0)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0" xr:uid="{C08FB660-6A74-4E6F-884D-7339EE6A3F60}">
      <formula1>AND(ISNUMBER(B10),B10&gt;=0)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1" xr:uid="{7ABD901E-0EB0-48E8-A22C-C439A90AACDA}">
      <formula1>AND(ISNUMBER(B11),B11&gt;=0)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2" xr:uid="{74C5928C-88AD-4AE1-8092-0817E7EF6182}">
      <formula1>AND(ISNUMBER(B12),B12&gt;=0)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13" xr:uid="{E578714B-F2CC-4DD6-A23E-9BE0A914467C}">
      <formula1>AND(ISNUMBER(B13),B13&gt;=0,B13&lt;=1)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4" xr:uid="{BD01B856-1CF0-44F3-96A1-566A0BBC47AB}">
      <formula1>AND(ISNUMBER(B14),B14&gt;=0)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5" xr:uid="{818F9637-DDEB-4464-9437-4A2D8163C2BE}">
      <formula1>AND(ISNUMBER(B15),B15&gt;=0)</formula1>
    </dataValidation>
    <dataValidation type="custom" showInputMessage="1" showErrorMessage="1" errorTitle="Проверьте значение" error="Укажите число больше нуля." promptTitle="Как заполнить" prompt="Укажите число больше нуля." sqref="B16" xr:uid="{A2664298-5A52-4649-BF18-28B2907209AE}">
      <formula1>AND(ISNUMBER(B16),B16&gt;0)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7" xr:uid="{9ADB3229-58A2-4459-AD4E-5BE58AB341C0}">
      <formula1>AND(ISNUMBER(B17),B17&gt;=0)</formula1>
    </dataValidation>
    <dataValidation type="custom" showInputMessage="1" showErrorMessage="1" errorTitle="Проверьте значение" error="Укажите целое число больше нуля." promptTitle="Как заполнить" prompt="Укажите целое число больше нуля." sqref="B18" xr:uid="{3BA57C3B-3A57-4A29-B896-B3CA7373B1E7}">
      <formula1>AND(ISNUMBER(B18),B18&gt;0,B18=INT(B18))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9" xr:uid="{D30A75D9-6A88-437A-9263-E315AD55CB29}">
      <formula1>AND(ISNUMBER(B19),B19&gt;=0)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0" xr:uid="{7B58252C-CC4B-41EC-85BD-745E261D6255}">
      <formula1>AND(ISNUMBER(B20),B20&gt;=0)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1" xr:uid="{E674E0BE-8548-48C9-A2AA-7CC74F5D588B}">
      <formula1>AND(ISNUMBER(B21),B21&gt;=0)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2" xr:uid="{5AB08771-CAFE-4097-8B49-3E5C3563B8D4}">
      <formula1>AND(ISNUMBER(B22),B22&gt;=0)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3" xr:uid="{B9C22D17-5C2C-4EDE-8E52-D69C731FE299}">
      <formula1>AND(ISNUMBER(B23),B23&gt;=0)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4" xr:uid="{FA6BAF32-84D9-4727-B9F9-EFC043BCCD33}">
      <formula1>AND(ISNUMBER(B24),B24&gt;=0)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5" xr:uid="{07DBD006-0CA3-4293-BDA1-D31E5A640F9C}">
      <formula1>AND(ISNUMBER(B25),B25&gt;=0)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6" xr:uid="{697DD56A-07AE-4D99-BA70-3C3C1D81FE14}">
      <formula1>AND(ISNUMBER(B26),B26&gt;=0)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27" xr:uid="{F9E1D1EC-5BB0-432E-ACE9-6B1F954DE871}">
      <formula1>AND(ISNUMBER(B27),B27&gt;=0)</formula1>
    </dataValidation>
    <dataValidation type="custom" showInputMessage="1" showErrorMessage="1" errorTitle="Проверьте значение" error="Укажите целое число больше нуля." promptTitle="Как заполнить" prompt="Укажите целое число больше нуля." sqref="B28" xr:uid="{893D7F4B-6CE9-4E87-841E-13A3831EC71B}">
      <formula1>AND(ISNUMBER(B28),B28&gt;0,B28=INT(B28))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29" xr:uid="{EC626AF0-884D-4DAC-81E8-AB06FD524A35}">
      <formula1>AND(ISNUMBER(B29),B29&gt;=0,B29&lt;=1)</formula1>
    </dataValidation>
    <dataValidation type="custom" showInputMessage="1" showErrorMessage="1" errorTitle="Проверьте значение" error="Укажите целое число больше нуля." promptTitle="Как заполнить" prompt="Укажите целое число больше нуля." sqref="B30" xr:uid="{7181B9E4-21AC-4629-A0DF-955C33066BF9}">
      <formula1>AND(ISNUMBER(B30),B30&gt;0,B30=INT(B30))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31" xr:uid="{324291D5-5861-432E-BA26-FBFCD5F15D2B}">
      <formula1>AND(ISNUMBER(B31),B31&gt;=0,B31&lt;=1)</formula1>
    </dataValidation>
    <dataValidation type="custom" showInputMessage="1" showErrorMessage="1" errorTitle="Проверьте значение" error="Укажите удержание от 0% до 100%." promptTitle="Как заполнить" prompt="Укажите удержание от 0% до 100%." sqref="C36" xr:uid="{16E8347C-CCD9-4F41-B104-76FD1B101268}">
      <formula1>AND(ISNUMBER(C36),C36&gt;=0,C36&lt;=1)</formula1>
    </dataValidation>
    <dataValidation type="custom" showInputMessage="1" showErrorMessage="1" errorTitle="Проверьте значение" error="Коэффициент цены клика — больше нуля." promptTitle="Как заполнить" prompt="Коэффициент цены клика — больше нуля." sqref="C37" xr:uid="{ED63E684-5D5A-421E-A64D-F26A8B2E4CCA}">
      <formula1>AND(ISNUMBER(C37),C37&gt;0)</formula1>
    </dataValidation>
    <dataValidation type="custom" showInputMessage="1" showErrorMessage="1" errorTitle="Проверьте значение" error="Коэффициент конверсии — от нуля и выше." promptTitle="Как заполнить" prompt="Коэффициент конверсии — от нуля и выше." sqref="C38" xr:uid="{60B5992F-0BEC-417A-92E1-63530650A62F}">
      <formula1>AND(ISNUMBER(C38),C38&gt;=0)</formula1>
    </dataValidation>
    <dataValidation type="custom" showInputMessage="1" showErrorMessage="1" errorTitle="Проверьте значение" error="Средняя заполненность — от одного участника." promptTitle="Как заполнить" prompt="Средняя заполненность — от одного участника." sqref="C39" xr:uid="{8619A05C-F356-4770-8803-A26F10FD7869}">
      <formula1>AND(ISNUMBER(C39),C39&gt;=1)</formula1>
    </dataValidation>
    <dataValidation type="custom" showInputMessage="1" showErrorMessage="1" errorTitle="Проверьте значение" error="Укажите удержание от 0% до 100%." promptTitle="Как заполнить" prompt="Укажите удержание от 0% до 100%." sqref="D36" xr:uid="{C979AEB5-43D7-43BB-A0A6-D3EAEBEFDD3D}">
      <formula1>AND(ISNUMBER(D36),D36&gt;=0,D36&lt;=1)</formula1>
    </dataValidation>
    <dataValidation type="custom" showInputMessage="1" showErrorMessage="1" errorTitle="Проверьте значение" error="Коэффициент цены клика — больше нуля." promptTitle="Как заполнить" prompt="Коэффициент цены клика — больше нуля." sqref="D37" xr:uid="{3F8DDCF6-E7C6-48F3-8734-2AECA3CC2D5E}">
      <formula1>AND(ISNUMBER(D37),D37&gt;0)</formula1>
    </dataValidation>
    <dataValidation type="custom" showInputMessage="1" showErrorMessage="1" errorTitle="Проверьте значение" error="Коэффициент конверсии — от нуля и выше." promptTitle="Как заполнить" prompt="Коэффициент конверсии — от нуля и выше." sqref="D38" xr:uid="{4F7C8699-7A95-405E-87D0-3D767AD5BECC}">
      <formula1>AND(ISNUMBER(D38),D38&gt;=0)</formula1>
    </dataValidation>
    <dataValidation type="custom" showInputMessage="1" showErrorMessage="1" errorTitle="Проверьте значение" error="Средняя заполненность — от одного участника." promptTitle="Как заполнить" prompt="Средняя заполненность — от одного участника." sqref="D39" xr:uid="{CE4CED3B-199D-4436-A914-F1E9CDCD200A}">
      <formula1>AND(ISNUMBER(D39),D39&gt;=1)</formula1>
    </dataValidation>
    <dataValidation type="custom" showInputMessage="1" showErrorMessage="1" errorTitle="Проверьте значение" error="Укажите удержание от 0% до 100%." promptTitle="Как заполнить" prompt="Укажите удержание от 0% до 100%." sqref="E36" xr:uid="{0F747CE9-4C52-4DBD-8069-B0D514C00460}">
      <formula1>AND(ISNUMBER(E36),E36&gt;=0,E36&lt;=1)</formula1>
    </dataValidation>
    <dataValidation type="custom" showInputMessage="1" showErrorMessage="1" errorTitle="Проверьте значение" error="Коэффициент цены клика — больше нуля." promptTitle="Как заполнить" prompt="Коэффициент цены клика — больше нуля." sqref="E37" xr:uid="{039F670F-8535-4744-8C5A-9B22F77C7294}">
      <formula1>AND(ISNUMBER(E37),E37&gt;0)</formula1>
    </dataValidation>
    <dataValidation type="custom" showInputMessage="1" showErrorMessage="1" errorTitle="Проверьте значение" error="Коэффициент конверсии — от нуля и выше." promptTitle="Как заполнить" prompt="Коэффициент конверсии — от нуля и выше." sqref="E38" xr:uid="{09CFFB16-6811-4425-90D3-BA9DA21B33B7}">
      <formula1>AND(ISNUMBER(E38),E38&gt;=0)</formula1>
    </dataValidation>
    <dataValidation type="custom" showInputMessage="1" showErrorMessage="1" errorTitle="Проверьте значение" error="Средняя заполненность — от одного участника." promptTitle="Как заполнить" prompt="Средняя заполненность — от одного участника." sqref="E39" xr:uid="{78254807-74E4-44F6-B6C4-154E02223ECF}">
      <formula1>AND(ISNUMBER(E39),E39&gt;=1)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44" xr:uid="{4B1C672A-4A13-4F65-A874-16B341AD4609}">
      <formula1>AND(ISNUMBER(B44),B44&gt;=0,B44&lt;=1)</formula1>
    </dataValidation>
    <dataValidation type="custom" showInputMessage="1" showErrorMessage="1" errorTitle="Проверьте значение" error="Цена клика — больше нуля." promptTitle="Как заполнить" prompt="Цена клика — больше нуля." sqref="C44" xr:uid="{DE2DE575-9AD5-45AC-B9EF-9433DBD6D18F}">
      <formula1>AND(ISNUMBER(C44),C44&gt;0)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D44" xr:uid="{61EF7E81-59C6-4260-A0FA-99EBDABEFC5B}">
      <formula1>AND(ISNUMBER(D44),D44&gt;=0,D44&lt;=1)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45" xr:uid="{0B538875-4A1D-49F2-B5D9-C0AE6396AF43}">
      <formula1>AND(ISNUMBER(B45),B45&gt;=0,B45&lt;=1)</formula1>
    </dataValidation>
    <dataValidation type="custom" showInputMessage="1" showErrorMessage="1" errorTitle="Проверьте значение" error="Цена клика — больше нуля." promptTitle="Как заполнить" prompt="Цена клика — больше нуля." sqref="C45" xr:uid="{3C88FF93-8BA8-48A8-9F99-A6EE9A66BF95}">
      <formula1>AND(ISNUMBER(C45),C45&gt;0)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D45" xr:uid="{B7E46EAC-1B42-408F-AD87-34EB9A40F714}">
      <formula1>AND(ISNUMBER(D45),D45&gt;=0,D45&lt;=1)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46" xr:uid="{33B66981-1A19-4676-A292-AB6E8E4EC8F9}">
      <formula1>AND(ISNUMBER(B46),B46&gt;=0,B46&lt;=1)</formula1>
    </dataValidation>
    <dataValidation type="custom" showInputMessage="1" showErrorMessage="1" errorTitle="Проверьте значение" error="Цена клика — больше нуля." promptTitle="Как заполнить" prompt="Цена клика — больше нуля." sqref="C46" xr:uid="{B023E3FA-36B8-4A18-97C4-68644AFFB219}">
      <formula1>AND(ISNUMBER(C46),C46&gt;0)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D46" xr:uid="{1123669D-7C1F-4F50-B63A-4803AEA376CE}">
      <formula1>AND(ISNUMBER(D46),D46&gt;=0,D46&lt;=1)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B47" xr:uid="{F89FEB91-71E4-4A8A-A839-FDDEAC7D811F}">
      <formula1>AND(ISNUMBER(B47),B47&gt;=0,B47&lt;=1)</formula1>
    </dataValidation>
    <dataValidation type="custom" showInputMessage="1" showErrorMessage="1" errorTitle="Проверьте значение" error="Цена клика — больше нуля." promptTitle="Как заполнить" prompt="Цена клика — больше нуля." sqref="C47" xr:uid="{4A5441B5-C2E1-41AE-8788-E1A6CD758C83}">
      <formula1>AND(ISNUMBER(C47),C47&gt;0)</formula1>
    </dataValidation>
    <dataValidation type="custom" showInputMessage="1" showErrorMessage="1" errorTitle="Проверьте значение" error="Укажите долю от 0% до 100%." promptTitle="Как заполнить" prompt="Укажите долю от 0% до 100%." sqref="D47" xr:uid="{38B645D9-C8BF-40ED-8F57-F7AA483633E4}">
      <formula1>AND(ISNUMBER(D47),D47&gt;=0,D47&lt;=1)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2" xr:uid="{37F156D6-1EF5-4F7A-90AF-FB719811778E}">
      <formula1>AND(ISNUMBER(B52),B52&gt;=0)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3" xr:uid="{92C3F85F-3BBF-4BDB-B1FB-D9D4E74854A8}">
      <formula1>AND(ISNUMBER(B53),B53&gt;=0)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4" xr:uid="{9E503A05-1E9A-4DCA-9B95-3D41273F85AA}">
      <formula1>AND(ISNUMBER(B54),B54&gt;=0)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5" xr:uid="{F0E2EB4E-789A-41C1-AAA7-F8A8E7A2237A}">
      <formula1>AND(ISNUMBER(B55),B55&gt;=0)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6" xr:uid="{22DC207D-8148-42B3-9A5F-ABC832613151}">
      <formula1>AND(ISNUMBER(B56),B56&gt;=0)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7" xr:uid="{23B54F80-3E07-4F63-BB92-F0B042129657}">
      <formula1>AND(ISNUMBER(B57),B57&gt;=0)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8" xr:uid="{E5BAEA50-2069-4728-A9BD-D841F5AEE33D}">
      <formula1>AND(ISNUMBER(B58),B58&gt;=0)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59" xr:uid="{D9D31738-8837-4D9C-88EA-4E73A13AD589}">
      <formula1>AND(ISNUMBER(B59),B59&gt;=0)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60" xr:uid="{755404CE-C497-47D0-A112-F967E54A58E3}">
      <formula1>AND(ISNUMBER(B60),B60&gt;=0)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61" xr:uid="{1B698AA4-AB3A-4B47-AA1C-76C8923E982C}">
      <formula1>AND(ISNUMBER(B61),B61&gt;=0)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62" xr:uid="{F03A8A9F-3D04-47EE-A1CC-5CB05652774C}">
      <formula1>AND(ISNUMBER(B62),B62&gt;=0)</formula1>
    </dataValidation>
    <dataValidation type="custom" showInputMessage="1" showErrorMessage="1" errorTitle="Проверьте значение" error="Бюджет — от нуля и выше." promptTitle="Как заполнить" prompt="Бюджет — от нуля и выше." sqref="B63" xr:uid="{0071AB50-B7BC-4C11-AD80-966C4A245731}">
      <formula1>AND(ISNUMBER(B63),B63&gt;=0)</formula1>
    </dataValidation>
  </dataValidations>
  <hyperlinks>
    <hyperlink ref="A69" r:id="rId1" xr:uid="{00000000-0004-0000-0200-000000000000}"/>
  </hyperlinks>
  <pageMargins left="0.7" right="0.7" top="0.75" bottom="0.75" header="0.3" footer="0.3"/>
  <pageSetup paperSize="8" scale="10" orientation="landscape" r:id="rId2"/>
  <headerFooter>
    <oddFooter>&amp;L&amp;"Arial,Regular"&amp;8Елизавета Трибунская · tribunska.ru&amp;R&amp;"Arial,Regular"&amp;8&amp;P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3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0" customWidth="1"/>
    <col min="2" max="2" width="25" customWidth="1"/>
    <col min="3" max="3" width="16" customWidth="1"/>
    <col min="4" max="4" width="14" customWidth="1"/>
    <col min="5" max="5" width="13" customWidth="1"/>
    <col min="6" max="6" width="14" customWidth="1"/>
    <col min="7" max="8" width="16" customWidth="1"/>
    <col min="9" max="9" width="17" customWidth="1"/>
    <col min="10" max="10" width="18" customWidth="1"/>
    <col min="11" max="11" width="25" customWidth="1"/>
  </cols>
  <sheetData>
    <row r="1" spans="1:11" ht="19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76" t="s">
        <v>117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>
      <c r="A3" s="69" t="s">
        <v>115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5" spans="1:11" ht="25.5">
      <c r="A5" s="2" t="s">
        <v>22</v>
      </c>
      <c r="B5" s="2" t="s">
        <v>97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24</v>
      </c>
      <c r="H5" s="2" t="s">
        <v>23</v>
      </c>
      <c r="I5" s="2" t="s">
        <v>27</v>
      </c>
      <c r="J5" s="2" t="s">
        <v>122</v>
      </c>
      <c r="K5" s="2" t="s">
        <v>123</v>
      </c>
    </row>
    <row r="6" spans="1:11">
      <c r="A6" s="8">
        <v>1</v>
      </c>
      <c r="B6" s="8" t="s">
        <v>102</v>
      </c>
      <c r="C6" s="9">
        <f>IF(AND(ISNUMBER(Допущения!$B$52),Допущения!$B$52&gt;=0,AND(COUNT(Допущения!$B$44:$B$47)=4,MIN(Допущения!$B$44:$B$47)&gt;=0,MAX(Допущения!$B$44:$B$47)&lt;=1,ABS(SUM(Допущения!$B$44:$B$47)-1)&lt;0.00000001)),Допущения!$B$52*Допущения!$B$44,NA())</f>
        <v>20000</v>
      </c>
      <c r="D6" s="9">
        <f>IF(AND(ISNUMBER(Допущения!$C$44),Допущения!$C$44&gt;0),Допущения!$C$44*Допущения!$B$37,NA())</f>
        <v>45</v>
      </c>
      <c r="E6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6" s="11">
        <f>C6/D6</f>
        <v>444.44444444444446</v>
      </c>
      <c r="G6" s="11">
        <f t="shared" ref="G6:G53" si="0">F6*E6</f>
        <v>8</v>
      </c>
      <c r="H6" s="11">
        <f>F6</f>
        <v>444.44444444444446</v>
      </c>
      <c r="I6" s="9">
        <f t="shared" ref="I6:I53" si="1">F6*D6</f>
        <v>20000</v>
      </c>
      <c r="J6" s="11">
        <f>H6*Допущения!$B$13</f>
        <v>8.8888888888888893</v>
      </c>
      <c r="K6" s="9">
        <f>J6*Допущения!$B$14/60*Допущения!$B$12</f>
        <v>888.88888888888903</v>
      </c>
    </row>
    <row r="7" spans="1:11">
      <c r="A7" s="8">
        <v>1</v>
      </c>
      <c r="B7" s="8" t="s">
        <v>104</v>
      </c>
      <c r="C7" s="9">
        <f>IF(AND(ISNUMBER(Допущения!$B$52),Допущения!$B$52&gt;=0,AND(COUNT(Допущения!$B$44:$B$47)=4,MIN(Допущения!$B$44:$B$47)&gt;=0,MAX(Допущения!$B$44:$B$47)&lt;=1,ABS(SUM(Допущения!$B$44:$B$47)-1)&lt;0.00000001)),Допущения!$B$52*Допущения!$B$45,NA())</f>
        <v>12500</v>
      </c>
      <c r="D7" s="9">
        <f>IF(AND(ISNUMBER(Допущения!$C$45),Допущения!$C$45&gt;0),Допущения!$C$45*Допущения!$B$37,NA())</f>
        <v>12</v>
      </c>
      <c r="E7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7" s="11">
        <f>C7/D7</f>
        <v>1041.6666666666667</v>
      </c>
      <c r="G7" s="11">
        <f t="shared" si="0"/>
        <v>6.2500000000000009</v>
      </c>
      <c r="H7" s="11">
        <f>F7</f>
        <v>1041.6666666666667</v>
      </c>
      <c r="I7" s="9">
        <f t="shared" si="1"/>
        <v>12500</v>
      </c>
      <c r="J7" s="11">
        <f>H7*Допущения!$B$13</f>
        <v>20.833333333333336</v>
      </c>
      <c r="K7" s="9">
        <f>J7*Допущения!$B$14/60*Допущения!$B$12</f>
        <v>2083.3333333333335</v>
      </c>
    </row>
    <row r="8" spans="1:11">
      <c r="A8" s="8">
        <v>1</v>
      </c>
      <c r="B8" s="8" t="s">
        <v>106</v>
      </c>
      <c r="C8" s="9">
        <f>IF(AND(ISNUMBER(Допущения!$B$52),Допущения!$B$52&gt;=0,AND(COUNT(Допущения!$B$44:$B$47)=4,MIN(Допущения!$B$44:$B$47)&gt;=0,MAX(Допущения!$B$44:$B$47)&lt;=1,ABS(SUM(Допущения!$B$44:$B$47)-1)&lt;0.00000001)),Допущения!$B$52*Допущения!$B$46,NA())</f>
        <v>12500</v>
      </c>
      <c r="D8" s="9">
        <f>IF(AND(ISNUMBER(Допущения!$C$46),Допущения!$C$46&gt;0),Допущения!$C$46*Допущения!$B$37,NA())</f>
        <v>90</v>
      </c>
      <c r="E8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8" s="11">
        <f>C8/D8</f>
        <v>138.88888888888889</v>
      </c>
      <c r="G8" s="11">
        <f t="shared" si="0"/>
        <v>2.4999999999999996</v>
      </c>
      <c r="H8" s="11">
        <f>F8</f>
        <v>138.88888888888889</v>
      </c>
      <c r="I8" s="9">
        <f t="shared" si="1"/>
        <v>12500</v>
      </c>
      <c r="J8" s="11">
        <f>H8*Допущения!$B$13</f>
        <v>2.7777777777777777</v>
      </c>
      <c r="K8" s="9">
        <f>J8*Допущения!$B$14/60*Допущения!$B$12</f>
        <v>277.77777777777777</v>
      </c>
    </row>
    <row r="9" spans="1:11">
      <c r="A9" s="8">
        <v>1</v>
      </c>
      <c r="B9" s="8" t="s">
        <v>108</v>
      </c>
      <c r="C9" s="9">
        <f>IF(AND(ISNUMBER(Допущения!$B$52),Допущения!$B$52&gt;=0,AND(COUNT(Допущения!$B$44:$B$47)=4,MIN(Допущения!$B$44:$B$47)&gt;=0,MAX(Допущения!$B$44:$B$47)&lt;=1,ABS(SUM(Допущения!$B$44:$B$47)-1)&lt;0.00000001)),Допущения!$B$52*Допущения!$B$47,NA())</f>
        <v>5000</v>
      </c>
      <c r="D9" s="9">
        <f>IF(AND(ISNUMBER(Допущения!$C$47),Допущения!$C$47&gt;0),Допущения!$C$47*Допущения!$B$37,NA())</f>
        <v>18</v>
      </c>
      <c r="E9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9" s="11">
        <f>MIN(C9/D9,SUM(F6:F8)*Допущения!$B$29)</f>
        <v>277.77777777777777</v>
      </c>
      <c r="G9" s="11">
        <f t="shared" si="0"/>
        <v>5.5555555555555554</v>
      </c>
      <c r="H9" s="11">
        <f>0</f>
        <v>0</v>
      </c>
      <c r="I9" s="9">
        <f t="shared" si="1"/>
        <v>5000</v>
      </c>
      <c r="J9" s="11">
        <f>0</f>
        <v>0</v>
      </c>
      <c r="K9" s="9">
        <f>J9*Допущения!$B$14/60*Допущения!$B$12</f>
        <v>0</v>
      </c>
    </row>
    <row r="10" spans="1:11">
      <c r="A10" s="8">
        <v>2</v>
      </c>
      <c r="B10" s="8" t="s">
        <v>102</v>
      </c>
      <c r="C10" s="9">
        <f>IF(AND(ISNUMBER(Допущения!$B$53),Допущения!$B$53&gt;=0,AND(COUNT(Допущения!$B$44:$B$47)=4,MIN(Допущения!$B$44:$B$47)&gt;=0,MAX(Допущения!$B$44:$B$47)&lt;=1,ABS(SUM(Допущения!$B$44:$B$47)-1)&lt;0.00000001)),Допущения!$B$53*Допущения!$B$44,NA())</f>
        <v>40000</v>
      </c>
      <c r="D10" s="9">
        <f>IF(AND(ISNUMBER(Допущения!$C$44),Допущения!$C$44&gt;0),Допущения!$C$44*Допущения!$B$37,NA())</f>
        <v>45</v>
      </c>
      <c r="E10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10" s="11">
        <f>C10/D10</f>
        <v>888.88888888888891</v>
      </c>
      <c r="G10" s="11">
        <f t="shared" si="0"/>
        <v>16</v>
      </c>
      <c r="H10" s="11">
        <f>F10</f>
        <v>888.88888888888891</v>
      </c>
      <c r="I10" s="9">
        <f t="shared" si="1"/>
        <v>40000</v>
      </c>
      <c r="J10" s="11">
        <f>H10*Допущения!$B$13</f>
        <v>17.777777777777779</v>
      </c>
      <c r="K10" s="9">
        <f>J10*Допущения!$B$14/60*Допущения!$B$12</f>
        <v>1777.7777777777781</v>
      </c>
    </row>
    <row r="11" spans="1:11">
      <c r="A11" s="8">
        <v>2</v>
      </c>
      <c r="B11" s="8" t="s">
        <v>104</v>
      </c>
      <c r="C11" s="9">
        <f>IF(AND(ISNUMBER(Допущения!$B$53),Допущения!$B$53&gt;=0,AND(COUNT(Допущения!$B$44:$B$47)=4,MIN(Допущения!$B$44:$B$47)&gt;=0,MAX(Допущения!$B$44:$B$47)&lt;=1,ABS(SUM(Допущения!$B$44:$B$47)-1)&lt;0.00000001)),Допущения!$B$53*Допущения!$B$45,NA())</f>
        <v>25000</v>
      </c>
      <c r="D11" s="9">
        <f>IF(AND(ISNUMBER(Допущения!$C$45),Допущения!$C$45&gt;0),Допущения!$C$45*Допущения!$B$37,NA())</f>
        <v>12</v>
      </c>
      <c r="E11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11" s="11">
        <f>C11/D11</f>
        <v>2083.3333333333335</v>
      </c>
      <c r="G11" s="11">
        <f t="shared" si="0"/>
        <v>12.500000000000002</v>
      </c>
      <c r="H11" s="11">
        <f>F11</f>
        <v>2083.3333333333335</v>
      </c>
      <c r="I11" s="9">
        <f t="shared" si="1"/>
        <v>25000</v>
      </c>
      <c r="J11" s="11">
        <f>H11*Допущения!$B$13</f>
        <v>41.666666666666671</v>
      </c>
      <c r="K11" s="9">
        <f>J11*Допущения!$B$14/60*Допущения!$B$12</f>
        <v>4166.666666666667</v>
      </c>
    </row>
    <row r="12" spans="1:11">
      <c r="A12" s="8">
        <v>2</v>
      </c>
      <c r="B12" s="8" t="s">
        <v>106</v>
      </c>
      <c r="C12" s="9">
        <f>IF(AND(ISNUMBER(Допущения!$B$53),Допущения!$B$53&gt;=0,AND(COUNT(Допущения!$B$44:$B$47)=4,MIN(Допущения!$B$44:$B$47)&gt;=0,MAX(Допущения!$B$44:$B$47)&lt;=1,ABS(SUM(Допущения!$B$44:$B$47)-1)&lt;0.00000001)),Допущения!$B$53*Допущения!$B$46,NA())</f>
        <v>25000</v>
      </c>
      <c r="D12" s="9">
        <f>IF(AND(ISNUMBER(Допущения!$C$46),Допущения!$C$46&gt;0),Допущения!$C$46*Допущения!$B$37,NA())</f>
        <v>90</v>
      </c>
      <c r="E12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12" s="11">
        <f>C12/D12</f>
        <v>277.77777777777777</v>
      </c>
      <c r="G12" s="11">
        <f t="shared" si="0"/>
        <v>4.9999999999999991</v>
      </c>
      <c r="H12" s="11">
        <f>F12</f>
        <v>277.77777777777777</v>
      </c>
      <c r="I12" s="9">
        <f t="shared" si="1"/>
        <v>25000</v>
      </c>
      <c r="J12" s="11">
        <f>H12*Допущения!$B$13</f>
        <v>5.5555555555555554</v>
      </c>
      <c r="K12" s="9">
        <f>J12*Допущения!$B$14/60*Допущения!$B$12</f>
        <v>555.55555555555554</v>
      </c>
    </row>
    <row r="13" spans="1:11">
      <c r="A13" s="8">
        <v>2</v>
      </c>
      <c r="B13" s="8" t="s">
        <v>108</v>
      </c>
      <c r="C13" s="9">
        <f>IF(AND(ISNUMBER(Допущения!$B$53),Допущения!$B$53&gt;=0,AND(COUNT(Допущения!$B$44:$B$47)=4,MIN(Допущения!$B$44:$B$47)&gt;=0,MAX(Допущения!$B$44:$B$47)&lt;=1,ABS(SUM(Допущения!$B$44:$B$47)-1)&lt;0.00000001)),Допущения!$B$53*Допущения!$B$47,NA())</f>
        <v>10000</v>
      </c>
      <c r="D13" s="9">
        <f>IF(AND(ISNUMBER(Допущения!$C$47),Допущения!$C$47&gt;0),Допущения!$C$47*Допущения!$B$37,NA())</f>
        <v>18</v>
      </c>
      <c r="E13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13" s="11">
        <f>MIN(C13/D13,SUM(F10:F12)*Допущения!$B$29)</f>
        <v>555.55555555555554</v>
      </c>
      <c r="G13" s="11">
        <f t="shared" si="0"/>
        <v>11.111111111111111</v>
      </c>
      <c r="H13" s="11">
        <f>0</f>
        <v>0</v>
      </c>
      <c r="I13" s="9">
        <f t="shared" si="1"/>
        <v>10000</v>
      </c>
      <c r="J13" s="11">
        <f>0</f>
        <v>0</v>
      </c>
      <c r="K13" s="9">
        <f>J13*Допущения!$B$14/60*Допущения!$B$12</f>
        <v>0</v>
      </c>
    </row>
    <row r="14" spans="1:11">
      <c r="A14" s="8">
        <v>3</v>
      </c>
      <c r="B14" s="8" t="s">
        <v>102</v>
      </c>
      <c r="C14" s="9">
        <f>IF(AND(ISNUMBER(Допущения!$B$54),Допущения!$B$54&gt;=0,AND(COUNT(Допущения!$B$44:$B$47)=4,MIN(Допущения!$B$44:$B$47)&gt;=0,MAX(Допущения!$B$44:$B$47)&lt;=1,ABS(SUM(Допущения!$B$44:$B$47)-1)&lt;0.00000001)),Допущения!$B$54*Допущения!$B$44,NA())</f>
        <v>80000</v>
      </c>
      <c r="D14" s="9">
        <f>IF(AND(ISNUMBER(Допущения!$C$44),Допущения!$C$44&gt;0),Допущения!$C$44*Допущения!$B$37,NA())</f>
        <v>45</v>
      </c>
      <c r="E14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14" s="11">
        <f>C14/D14</f>
        <v>1777.7777777777778</v>
      </c>
      <c r="G14" s="11">
        <f t="shared" si="0"/>
        <v>32</v>
      </c>
      <c r="H14" s="11">
        <f>F14</f>
        <v>1777.7777777777778</v>
      </c>
      <c r="I14" s="9">
        <f t="shared" si="1"/>
        <v>80000</v>
      </c>
      <c r="J14" s="11">
        <f>H14*Допущения!$B$13</f>
        <v>35.555555555555557</v>
      </c>
      <c r="K14" s="9">
        <f>J14*Допущения!$B$14/60*Допущения!$B$12</f>
        <v>3555.5555555555561</v>
      </c>
    </row>
    <row r="15" spans="1:11">
      <c r="A15" s="8">
        <v>3</v>
      </c>
      <c r="B15" s="8" t="s">
        <v>104</v>
      </c>
      <c r="C15" s="9">
        <f>IF(AND(ISNUMBER(Допущения!$B$54),Допущения!$B$54&gt;=0,AND(COUNT(Допущения!$B$44:$B$47)=4,MIN(Допущения!$B$44:$B$47)&gt;=0,MAX(Допущения!$B$44:$B$47)&lt;=1,ABS(SUM(Допущения!$B$44:$B$47)-1)&lt;0.00000001)),Допущения!$B$54*Допущения!$B$45,NA())</f>
        <v>50000</v>
      </c>
      <c r="D15" s="9">
        <f>IF(AND(ISNUMBER(Допущения!$C$45),Допущения!$C$45&gt;0),Допущения!$C$45*Допущения!$B$37,NA())</f>
        <v>12</v>
      </c>
      <c r="E15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15" s="11">
        <f>C15/D15</f>
        <v>4166.666666666667</v>
      </c>
      <c r="G15" s="11">
        <f t="shared" si="0"/>
        <v>25.000000000000004</v>
      </c>
      <c r="H15" s="11">
        <f>F15</f>
        <v>4166.666666666667</v>
      </c>
      <c r="I15" s="9">
        <f t="shared" si="1"/>
        <v>50000</v>
      </c>
      <c r="J15" s="11">
        <f>H15*Допущения!$B$13</f>
        <v>83.333333333333343</v>
      </c>
      <c r="K15" s="9">
        <f>J15*Допущения!$B$14/60*Допущения!$B$12</f>
        <v>8333.3333333333339</v>
      </c>
    </row>
    <row r="16" spans="1:11">
      <c r="A16" s="8">
        <v>3</v>
      </c>
      <c r="B16" s="8" t="s">
        <v>106</v>
      </c>
      <c r="C16" s="9">
        <f>IF(AND(ISNUMBER(Допущения!$B$54),Допущения!$B$54&gt;=0,AND(COUNT(Допущения!$B$44:$B$47)=4,MIN(Допущения!$B$44:$B$47)&gt;=0,MAX(Допущения!$B$44:$B$47)&lt;=1,ABS(SUM(Допущения!$B$44:$B$47)-1)&lt;0.00000001)),Допущения!$B$54*Допущения!$B$46,NA())</f>
        <v>50000</v>
      </c>
      <c r="D16" s="9">
        <f>IF(AND(ISNUMBER(Допущения!$C$46),Допущения!$C$46&gt;0),Допущения!$C$46*Допущения!$B$37,NA())</f>
        <v>90</v>
      </c>
      <c r="E16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16" s="11">
        <f>C16/D16</f>
        <v>555.55555555555554</v>
      </c>
      <c r="G16" s="11">
        <f t="shared" si="0"/>
        <v>9.9999999999999982</v>
      </c>
      <c r="H16" s="11">
        <f>F16</f>
        <v>555.55555555555554</v>
      </c>
      <c r="I16" s="9">
        <f t="shared" si="1"/>
        <v>50000</v>
      </c>
      <c r="J16" s="11">
        <f>H16*Допущения!$B$13</f>
        <v>11.111111111111111</v>
      </c>
      <c r="K16" s="9">
        <f>J16*Допущения!$B$14/60*Допущения!$B$12</f>
        <v>1111.1111111111111</v>
      </c>
    </row>
    <row r="17" spans="1:11">
      <c r="A17" s="8">
        <v>3</v>
      </c>
      <c r="B17" s="8" t="s">
        <v>108</v>
      </c>
      <c r="C17" s="9">
        <f>IF(AND(ISNUMBER(Допущения!$B$54),Допущения!$B$54&gt;=0,AND(COUNT(Допущения!$B$44:$B$47)=4,MIN(Допущения!$B$44:$B$47)&gt;=0,MAX(Допущения!$B$44:$B$47)&lt;=1,ABS(SUM(Допущения!$B$44:$B$47)-1)&lt;0.00000001)),Допущения!$B$54*Допущения!$B$47,NA())</f>
        <v>20000</v>
      </c>
      <c r="D17" s="9">
        <f>IF(AND(ISNUMBER(Допущения!$C$47),Допущения!$C$47&gt;0),Допущения!$C$47*Допущения!$B$37,NA())</f>
        <v>18</v>
      </c>
      <c r="E17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17" s="11">
        <f>MIN(C17/D17,SUM(F14:F16)*Допущения!$B$29)</f>
        <v>1111.1111111111111</v>
      </c>
      <c r="G17" s="11">
        <f t="shared" si="0"/>
        <v>22.222222222222221</v>
      </c>
      <c r="H17" s="11">
        <f>0</f>
        <v>0</v>
      </c>
      <c r="I17" s="9">
        <f t="shared" si="1"/>
        <v>20000</v>
      </c>
      <c r="J17" s="11">
        <f>0</f>
        <v>0</v>
      </c>
      <c r="K17" s="9">
        <f>J17*Допущения!$B$14/60*Допущения!$B$12</f>
        <v>0</v>
      </c>
    </row>
    <row r="18" spans="1:11">
      <c r="A18" s="8">
        <v>4</v>
      </c>
      <c r="B18" s="8" t="s">
        <v>102</v>
      </c>
      <c r="C18" s="9">
        <f>IF(AND(ISNUMBER(Допущения!$B$55),Допущения!$B$55&gt;=0,AND(COUNT(Допущения!$B$44:$B$47)=4,MIN(Допущения!$B$44:$B$47)&gt;=0,MAX(Допущения!$B$44:$B$47)&lt;=1,ABS(SUM(Допущения!$B$44:$B$47)-1)&lt;0.00000001)),Допущения!$B$55*Допущения!$B$44,NA())</f>
        <v>120000</v>
      </c>
      <c r="D18" s="9">
        <f>IF(AND(ISNUMBER(Допущения!$C$44),Допущения!$C$44&gt;0),Допущения!$C$44*Допущения!$B$37,NA())</f>
        <v>45</v>
      </c>
      <c r="E18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18" s="11">
        <f>C18/D18</f>
        <v>2666.6666666666665</v>
      </c>
      <c r="G18" s="11">
        <f t="shared" si="0"/>
        <v>47.999999999999993</v>
      </c>
      <c r="H18" s="11">
        <f>F18</f>
        <v>2666.6666666666665</v>
      </c>
      <c r="I18" s="9">
        <f t="shared" si="1"/>
        <v>120000</v>
      </c>
      <c r="J18" s="11">
        <f>H18*Допущения!$B$13</f>
        <v>53.333333333333329</v>
      </c>
      <c r="K18" s="9">
        <f>J18*Допущения!$B$14/60*Допущения!$B$12</f>
        <v>5333.333333333333</v>
      </c>
    </row>
    <row r="19" spans="1:11">
      <c r="A19" s="8">
        <v>4</v>
      </c>
      <c r="B19" s="8" t="s">
        <v>104</v>
      </c>
      <c r="C19" s="9">
        <f>IF(AND(ISNUMBER(Допущения!$B$55),Допущения!$B$55&gt;=0,AND(COUNT(Допущения!$B$44:$B$47)=4,MIN(Допущения!$B$44:$B$47)&gt;=0,MAX(Допущения!$B$44:$B$47)&lt;=1,ABS(SUM(Допущения!$B$44:$B$47)-1)&lt;0.00000001)),Допущения!$B$55*Допущения!$B$45,NA())</f>
        <v>75000</v>
      </c>
      <c r="D19" s="9">
        <f>IF(AND(ISNUMBER(Допущения!$C$45),Допущения!$C$45&gt;0),Допущения!$C$45*Допущения!$B$37,NA())</f>
        <v>12</v>
      </c>
      <c r="E19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19" s="11">
        <f>C19/D19</f>
        <v>6250</v>
      </c>
      <c r="G19" s="11">
        <f t="shared" si="0"/>
        <v>37.5</v>
      </c>
      <c r="H19" s="11">
        <f>F19</f>
        <v>6250</v>
      </c>
      <c r="I19" s="9">
        <f t="shared" si="1"/>
        <v>75000</v>
      </c>
      <c r="J19" s="11">
        <f>H19*Допущения!$B$13</f>
        <v>125</v>
      </c>
      <c r="K19" s="9">
        <f>J19*Допущения!$B$14/60*Допущения!$B$12</f>
        <v>12500</v>
      </c>
    </row>
    <row r="20" spans="1:11">
      <c r="A20" s="8">
        <v>4</v>
      </c>
      <c r="B20" s="8" t="s">
        <v>106</v>
      </c>
      <c r="C20" s="9">
        <f>IF(AND(ISNUMBER(Допущения!$B$55),Допущения!$B$55&gt;=0,AND(COUNT(Допущения!$B$44:$B$47)=4,MIN(Допущения!$B$44:$B$47)&gt;=0,MAX(Допущения!$B$44:$B$47)&lt;=1,ABS(SUM(Допущения!$B$44:$B$47)-1)&lt;0.00000001)),Допущения!$B$55*Допущения!$B$46,NA())</f>
        <v>75000</v>
      </c>
      <c r="D20" s="9">
        <f>IF(AND(ISNUMBER(Допущения!$C$46),Допущения!$C$46&gt;0),Допущения!$C$46*Допущения!$B$37,NA())</f>
        <v>90</v>
      </c>
      <c r="E20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20" s="11">
        <f>C20/D20</f>
        <v>833.33333333333337</v>
      </c>
      <c r="G20" s="11">
        <f t="shared" si="0"/>
        <v>15</v>
      </c>
      <c r="H20" s="11">
        <f>F20</f>
        <v>833.33333333333337</v>
      </c>
      <c r="I20" s="9">
        <f t="shared" si="1"/>
        <v>75000</v>
      </c>
      <c r="J20" s="11">
        <f>H20*Допущения!$B$13</f>
        <v>16.666666666666668</v>
      </c>
      <c r="K20" s="9">
        <f>J20*Допущения!$B$14/60*Допущения!$B$12</f>
        <v>1666.6666666666667</v>
      </c>
    </row>
    <row r="21" spans="1:11">
      <c r="A21" s="8">
        <v>4</v>
      </c>
      <c r="B21" s="8" t="s">
        <v>108</v>
      </c>
      <c r="C21" s="9">
        <f>IF(AND(ISNUMBER(Допущения!$B$55),Допущения!$B$55&gt;=0,AND(COUNT(Допущения!$B$44:$B$47)=4,MIN(Допущения!$B$44:$B$47)&gt;=0,MAX(Допущения!$B$44:$B$47)&lt;=1,ABS(SUM(Допущения!$B$44:$B$47)-1)&lt;0.00000001)),Допущения!$B$55*Допущения!$B$47,NA())</f>
        <v>30000</v>
      </c>
      <c r="D21" s="9">
        <f>IF(AND(ISNUMBER(Допущения!$C$47),Допущения!$C$47&gt;0),Допущения!$C$47*Допущения!$B$37,NA())</f>
        <v>18</v>
      </c>
      <c r="E21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21" s="11">
        <f>MIN(C21/D21,SUM(F18:F20)*Допущения!$B$29)</f>
        <v>1666.6666666666667</v>
      </c>
      <c r="G21" s="11">
        <f t="shared" si="0"/>
        <v>33.333333333333336</v>
      </c>
      <c r="H21" s="11">
        <f>0</f>
        <v>0</v>
      </c>
      <c r="I21" s="9">
        <f t="shared" si="1"/>
        <v>30000</v>
      </c>
      <c r="J21" s="11">
        <f>0</f>
        <v>0</v>
      </c>
      <c r="K21" s="9">
        <f>J21*Допущения!$B$14/60*Допущения!$B$12</f>
        <v>0</v>
      </c>
    </row>
    <row r="22" spans="1:11">
      <c r="A22" s="8">
        <v>5</v>
      </c>
      <c r="B22" s="8" t="s">
        <v>102</v>
      </c>
      <c r="C22" s="9">
        <f>IF(AND(ISNUMBER(Допущения!$B$56),Допущения!$B$56&gt;=0,AND(COUNT(Допущения!$B$44:$B$47)=4,MIN(Допущения!$B$44:$B$47)&gt;=0,MAX(Допущения!$B$44:$B$47)&lt;=1,ABS(SUM(Допущения!$B$44:$B$47)-1)&lt;0.00000001)),Допущения!$B$56*Допущения!$B$44,NA())</f>
        <v>120000</v>
      </c>
      <c r="D22" s="9">
        <f>IF(AND(ISNUMBER(Допущения!$C$44),Допущения!$C$44&gt;0),Допущения!$C$44*Допущения!$B$37,NA())</f>
        <v>45</v>
      </c>
      <c r="E22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22" s="11">
        <f>C22/D22</f>
        <v>2666.6666666666665</v>
      </c>
      <c r="G22" s="11">
        <f t="shared" si="0"/>
        <v>47.999999999999993</v>
      </c>
      <c r="H22" s="11">
        <f>F22</f>
        <v>2666.6666666666665</v>
      </c>
      <c r="I22" s="9">
        <f t="shared" si="1"/>
        <v>120000</v>
      </c>
      <c r="J22" s="11">
        <f>H22*Допущения!$B$13</f>
        <v>53.333333333333329</v>
      </c>
      <c r="K22" s="9">
        <f>J22*Допущения!$B$14/60*Допущения!$B$12</f>
        <v>5333.333333333333</v>
      </c>
    </row>
    <row r="23" spans="1:11">
      <c r="A23" s="8">
        <v>5</v>
      </c>
      <c r="B23" s="8" t="s">
        <v>104</v>
      </c>
      <c r="C23" s="9">
        <f>IF(AND(ISNUMBER(Допущения!$B$56),Допущения!$B$56&gt;=0,AND(COUNT(Допущения!$B$44:$B$47)=4,MIN(Допущения!$B$44:$B$47)&gt;=0,MAX(Допущения!$B$44:$B$47)&lt;=1,ABS(SUM(Допущения!$B$44:$B$47)-1)&lt;0.00000001)),Допущения!$B$56*Допущения!$B$45,NA())</f>
        <v>75000</v>
      </c>
      <c r="D23" s="9">
        <f>IF(AND(ISNUMBER(Допущения!$C$45),Допущения!$C$45&gt;0),Допущения!$C$45*Допущения!$B$37,NA())</f>
        <v>12</v>
      </c>
      <c r="E23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23" s="11">
        <f>C23/D23</f>
        <v>6250</v>
      </c>
      <c r="G23" s="11">
        <f t="shared" si="0"/>
        <v>37.5</v>
      </c>
      <c r="H23" s="11">
        <f>F23</f>
        <v>6250</v>
      </c>
      <c r="I23" s="9">
        <f t="shared" si="1"/>
        <v>75000</v>
      </c>
      <c r="J23" s="11">
        <f>H23*Допущения!$B$13</f>
        <v>125</v>
      </c>
      <c r="K23" s="9">
        <f>J23*Допущения!$B$14/60*Допущения!$B$12</f>
        <v>12500</v>
      </c>
    </row>
    <row r="24" spans="1:11">
      <c r="A24" s="8">
        <v>5</v>
      </c>
      <c r="B24" s="8" t="s">
        <v>106</v>
      </c>
      <c r="C24" s="9">
        <f>IF(AND(ISNUMBER(Допущения!$B$56),Допущения!$B$56&gt;=0,AND(COUNT(Допущения!$B$44:$B$47)=4,MIN(Допущения!$B$44:$B$47)&gt;=0,MAX(Допущения!$B$44:$B$47)&lt;=1,ABS(SUM(Допущения!$B$44:$B$47)-1)&lt;0.00000001)),Допущения!$B$56*Допущения!$B$46,NA())</f>
        <v>75000</v>
      </c>
      <c r="D24" s="9">
        <f>IF(AND(ISNUMBER(Допущения!$C$46),Допущения!$C$46&gt;0),Допущения!$C$46*Допущения!$B$37,NA())</f>
        <v>90</v>
      </c>
      <c r="E24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24" s="11">
        <f>C24/D24</f>
        <v>833.33333333333337</v>
      </c>
      <c r="G24" s="11">
        <f t="shared" si="0"/>
        <v>15</v>
      </c>
      <c r="H24" s="11">
        <f>F24</f>
        <v>833.33333333333337</v>
      </c>
      <c r="I24" s="9">
        <f t="shared" si="1"/>
        <v>75000</v>
      </c>
      <c r="J24" s="11">
        <f>H24*Допущения!$B$13</f>
        <v>16.666666666666668</v>
      </c>
      <c r="K24" s="9">
        <f>J24*Допущения!$B$14/60*Допущения!$B$12</f>
        <v>1666.6666666666667</v>
      </c>
    </row>
    <row r="25" spans="1:11">
      <c r="A25" s="8">
        <v>5</v>
      </c>
      <c r="B25" s="8" t="s">
        <v>108</v>
      </c>
      <c r="C25" s="9">
        <f>IF(AND(ISNUMBER(Допущения!$B$56),Допущения!$B$56&gt;=0,AND(COUNT(Допущения!$B$44:$B$47)=4,MIN(Допущения!$B$44:$B$47)&gt;=0,MAX(Допущения!$B$44:$B$47)&lt;=1,ABS(SUM(Допущения!$B$44:$B$47)-1)&lt;0.00000001)),Допущения!$B$56*Допущения!$B$47,NA())</f>
        <v>30000</v>
      </c>
      <c r="D25" s="9">
        <f>IF(AND(ISNUMBER(Допущения!$C$47),Допущения!$C$47&gt;0),Допущения!$C$47*Допущения!$B$37,NA())</f>
        <v>18</v>
      </c>
      <c r="E25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25" s="11">
        <f>MIN(C25/D25,SUM(F22:F24)*Допущения!$B$29)</f>
        <v>1666.6666666666667</v>
      </c>
      <c r="G25" s="11">
        <f t="shared" si="0"/>
        <v>33.333333333333336</v>
      </c>
      <c r="H25" s="11">
        <f>0</f>
        <v>0</v>
      </c>
      <c r="I25" s="9">
        <f t="shared" si="1"/>
        <v>30000</v>
      </c>
      <c r="J25" s="11">
        <f>0</f>
        <v>0</v>
      </c>
      <c r="K25" s="9">
        <f>J25*Допущения!$B$14/60*Допущения!$B$12</f>
        <v>0</v>
      </c>
    </row>
    <row r="26" spans="1:11">
      <c r="A26" s="8">
        <v>6</v>
      </c>
      <c r="B26" s="8" t="s">
        <v>102</v>
      </c>
      <c r="C26" s="9">
        <f>IF(AND(ISNUMBER(Допущения!$B$57),Допущения!$B$57&gt;=0,AND(COUNT(Допущения!$B$44:$B$47)=4,MIN(Допущения!$B$44:$B$47)&gt;=0,MAX(Допущения!$B$44:$B$47)&lt;=1,ABS(SUM(Допущения!$B$44:$B$47)-1)&lt;0.00000001)),Допущения!$B$57*Допущения!$B$44,NA())</f>
        <v>120000</v>
      </c>
      <c r="D26" s="9">
        <f>IF(AND(ISNUMBER(Допущения!$C$44),Допущения!$C$44&gt;0),Допущения!$C$44*Допущения!$B$37,NA())</f>
        <v>45</v>
      </c>
      <c r="E26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26" s="11">
        <f>C26/D26</f>
        <v>2666.6666666666665</v>
      </c>
      <c r="G26" s="11">
        <f t="shared" si="0"/>
        <v>47.999999999999993</v>
      </c>
      <c r="H26" s="11">
        <f>F26</f>
        <v>2666.6666666666665</v>
      </c>
      <c r="I26" s="9">
        <f t="shared" si="1"/>
        <v>120000</v>
      </c>
      <c r="J26" s="11">
        <f>H26*Допущения!$B$13</f>
        <v>53.333333333333329</v>
      </c>
      <c r="K26" s="9">
        <f>J26*Допущения!$B$14/60*Допущения!$B$12</f>
        <v>5333.333333333333</v>
      </c>
    </row>
    <row r="27" spans="1:11">
      <c r="A27" s="8">
        <v>6</v>
      </c>
      <c r="B27" s="8" t="s">
        <v>104</v>
      </c>
      <c r="C27" s="9">
        <f>IF(AND(ISNUMBER(Допущения!$B$57),Допущения!$B$57&gt;=0,AND(COUNT(Допущения!$B$44:$B$47)=4,MIN(Допущения!$B$44:$B$47)&gt;=0,MAX(Допущения!$B$44:$B$47)&lt;=1,ABS(SUM(Допущения!$B$44:$B$47)-1)&lt;0.00000001)),Допущения!$B$57*Допущения!$B$45,NA())</f>
        <v>75000</v>
      </c>
      <c r="D27" s="9">
        <f>IF(AND(ISNUMBER(Допущения!$C$45),Допущения!$C$45&gt;0),Допущения!$C$45*Допущения!$B$37,NA())</f>
        <v>12</v>
      </c>
      <c r="E27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27" s="11">
        <f>C27/D27</f>
        <v>6250</v>
      </c>
      <c r="G27" s="11">
        <f t="shared" si="0"/>
        <v>37.5</v>
      </c>
      <c r="H27" s="11">
        <f>F27</f>
        <v>6250</v>
      </c>
      <c r="I27" s="9">
        <f t="shared" si="1"/>
        <v>75000</v>
      </c>
      <c r="J27" s="11">
        <f>H27*Допущения!$B$13</f>
        <v>125</v>
      </c>
      <c r="K27" s="9">
        <f>J27*Допущения!$B$14/60*Допущения!$B$12</f>
        <v>12500</v>
      </c>
    </row>
    <row r="28" spans="1:11">
      <c r="A28" s="8">
        <v>6</v>
      </c>
      <c r="B28" s="8" t="s">
        <v>106</v>
      </c>
      <c r="C28" s="9">
        <f>IF(AND(ISNUMBER(Допущения!$B$57),Допущения!$B$57&gt;=0,AND(COUNT(Допущения!$B$44:$B$47)=4,MIN(Допущения!$B$44:$B$47)&gt;=0,MAX(Допущения!$B$44:$B$47)&lt;=1,ABS(SUM(Допущения!$B$44:$B$47)-1)&lt;0.00000001)),Допущения!$B$57*Допущения!$B$46,NA())</f>
        <v>75000</v>
      </c>
      <c r="D28" s="9">
        <f>IF(AND(ISNUMBER(Допущения!$C$46),Допущения!$C$46&gt;0),Допущения!$C$46*Допущения!$B$37,NA())</f>
        <v>90</v>
      </c>
      <c r="E28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28" s="11">
        <f>C28/D28</f>
        <v>833.33333333333337</v>
      </c>
      <c r="G28" s="11">
        <f t="shared" si="0"/>
        <v>15</v>
      </c>
      <c r="H28" s="11">
        <f>F28</f>
        <v>833.33333333333337</v>
      </c>
      <c r="I28" s="9">
        <f t="shared" si="1"/>
        <v>75000</v>
      </c>
      <c r="J28" s="11">
        <f>H28*Допущения!$B$13</f>
        <v>16.666666666666668</v>
      </c>
      <c r="K28" s="9">
        <f>J28*Допущения!$B$14/60*Допущения!$B$12</f>
        <v>1666.6666666666667</v>
      </c>
    </row>
    <row r="29" spans="1:11">
      <c r="A29" s="8">
        <v>6</v>
      </c>
      <c r="B29" s="8" t="s">
        <v>108</v>
      </c>
      <c r="C29" s="9">
        <f>IF(AND(ISNUMBER(Допущения!$B$57),Допущения!$B$57&gt;=0,AND(COUNT(Допущения!$B$44:$B$47)=4,MIN(Допущения!$B$44:$B$47)&gt;=0,MAX(Допущения!$B$44:$B$47)&lt;=1,ABS(SUM(Допущения!$B$44:$B$47)-1)&lt;0.00000001)),Допущения!$B$57*Допущения!$B$47,NA())</f>
        <v>30000</v>
      </c>
      <c r="D29" s="9">
        <f>IF(AND(ISNUMBER(Допущения!$C$47),Допущения!$C$47&gt;0),Допущения!$C$47*Допущения!$B$37,NA())</f>
        <v>18</v>
      </c>
      <c r="E29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29" s="11">
        <f>MIN(C29/D29,SUM(F26:F28)*Допущения!$B$29)</f>
        <v>1666.6666666666667</v>
      </c>
      <c r="G29" s="11">
        <f t="shared" si="0"/>
        <v>33.333333333333336</v>
      </c>
      <c r="H29" s="11">
        <f>0</f>
        <v>0</v>
      </c>
      <c r="I29" s="9">
        <f t="shared" si="1"/>
        <v>30000</v>
      </c>
      <c r="J29" s="11">
        <f>0</f>
        <v>0</v>
      </c>
      <c r="K29" s="9">
        <f>J29*Допущения!$B$14/60*Допущения!$B$12</f>
        <v>0</v>
      </c>
    </row>
    <row r="30" spans="1:11">
      <c r="A30" s="8">
        <v>7</v>
      </c>
      <c r="B30" s="8" t="s">
        <v>102</v>
      </c>
      <c r="C30" s="9">
        <f>IF(AND(ISNUMBER(Допущения!$B$58),Допущения!$B$58&gt;=0,AND(COUNT(Допущения!$B$44:$B$47)=4,MIN(Допущения!$B$44:$B$47)&gt;=0,MAX(Допущения!$B$44:$B$47)&lt;=1,ABS(SUM(Допущения!$B$44:$B$47)-1)&lt;0.00000001)),Допущения!$B$58*Допущения!$B$44,NA())</f>
        <v>120000</v>
      </c>
      <c r="D30" s="9">
        <f>IF(AND(ISNUMBER(Допущения!$C$44),Допущения!$C$44&gt;0),Допущения!$C$44*Допущения!$B$37,NA())</f>
        <v>45</v>
      </c>
      <c r="E30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30" s="11">
        <f>C30/D30</f>
        <v>2666.6666666666665</v>
      </c>
      <c r="G30" s="11">
        <f t="shared" si="0"/>
        <v>47.999999999999993</v>
      </c>
      <c r="H30" s="11">
        <f>F30</f>
        <v>2666.6666666666665</v>
      </c>
      <c r="I30" s="9">
        <f t="shared" si="1"/>
        <v>120000</v>
      </c>
      <c r="J30" s="11">
        <f>H30*Допущения!$B$13</f>
        <v>53.333333333333329</v>
      </c>
      <c r="K30" s="9">
        <f>J30*Допущения!$B$14/60*Допущения!$B$12</f>
        <v>5333.333333333333</v>
      </c>
    </row>
    <row r="31" spans="1:11">
      <c r="A31" s="8">
        <v>7</v>
      </c>
      <c r="B31" s="8" t="s">
        <v>104</v>
      </c>
      <c r="C31" s="9">
        <f>IF(AND(ISNUMBER(Допущения!$B$58),Допущения!$B$58&gt;=0,AND(COUNT(Допущения!$B$44:$B$47)=4,MIN(Допущения!$B$44:$B$47)&gt;=0,MAX(Допущения!$B$44:$B$47)&lt;=1,ABS(SUM(Допущения!$B$44:$B$47)-1)&lt;0.00000001)),Допущения!$B$58*Допущения!$B$45,NA())</f>
        <v>75000</v>
      </c>
      <c r="D31" s="9">
        <f>IF(AND(ISNUMBER(Допущения!$C$45),Допущения!$C$45&gt;0),Допущения!$C$45*Допущения!$B$37,NA())</f>
        <v>12</v>
      </c>
      <c r="E31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31" s="11">
        <f>C31/D31</f>
        <v>6250</v>
      </c>
      <c r="G31" s="11">
        <f t="shared" si="0"/>
        <v>37.5</v>
      </c>
      <c r="H31" s="11">
        <f>F31</f>
        <v>6250</v>
      </c>
      <c r="I31" s="9">
        <f t="shared" si="1"/>
        <v>75000</v>
      </c>
      <c r="J31" s="11">
        <f>H31*Допущения!$B$13</f>
        <v>125</v>
      </c>
      <c r="K31" s="9">
        <f>J31*Допущения!$B$14/60*Допущения!$B$12</f>
        <v>12500</v>
      </c>
    </row>
    <row r="32" spans="1:11">
      <c r="A32" s="8">
        <v>7</v>
      </c>
      <c r="B32" s="8" t="s">
        <v>106</v>
      </c>
      <c r="C32" s="9">
        <f>IF(AND(ISNUMBER(Допущения!$B$58),Допущения!$B$58&gt;=0,AND(COUNT(Допущения!$B$44:$B$47)=4,MIN(Допущения!$B$44:$B$47)&gt;=0,MAX(Допущения!$B$44:$B$47)&lt;=1,ABS(SUM(Допущения!$B$44:$B$47)-1)&lt;0.00000001)),Допущения!$B$58*Допущения!$B$46,NA())</f>
        <v>75000</v>
      </c>
      <c r="D32" s="9">
        <f>IF(AND(ISNUMBER(Допущения!$C$46),Допущения!$C$46&gt;0),Допущения!$C$46*Допущения!$B$37,NA())</f>
        <v>90</v>
      </c>
      <c r="E32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32" s="11">
        <f>C32/D32</f>
        <v>833.33333333333337</v>
      </c>
      <c r="G32" s="11">
        <f t="shared" si="0"/>
        <v>15</v>
      </c>
      <c r="H32" s="11">
        <f>F32</f>
        <v>833.33333333333337</v>
      </c>
      <c r="I32" s="9">
        <f t="shared" si="1"/>
        <v>75000</v>
      </c>
      <c r="J32" s="11">
        <f>H32*Допущения!$B$13</f>
        <v>16.666666666666668</v>
      </c>
      <c r="K32" s="9">
        <f>J32*Допущения!$B$14/60*Допущения!$B$12</f>
        <v>1666.6666666666667</v>
      </c>
    </row>
    <row r="33" spans="1:11">
      <c r="A33" s="8">
        <v>7</v>
      </c>
      <c r="B33" s="8" t="s">
        <v>108</v>
      </c>
      <c r="C33" s="9">
        <f>IF(AND(ISNUMBER(Допущения!$B$58),Допущения!$B$58&gt;=0,AND(COUNT(Допущения!$B$44:$B$47)=4,MIN(Допущения!$B$44:$B$47)&gt;=0,MAX(Допущения!$B$44:$B$47)&lt;=1,ABS(SUM(Допущения!$B$44:$B$47)-1)&lt;0.00000001)),Допущения!$B$58*Допущения!$B$47,NA())</f>
        <v>30000</v>
      </c>
      <c r="D33" s="9">
        <f>IF(AND(ISNUMBER(Допущения!$C$47),Допущения!$C$47&gt;0),Допущения!$C$47*Допущения!$B$37,NA())</f>
        <v>18</v>
      </c>
      <c r="E33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33" s="11">
        <f>MIN(C33/D33,SUM(F30:F32)*Допущения!$B$29)</f>
        <v>1666.6666666666667</v>
      </c>
      <c r="G33" s="11">
        <f t="shared" si="0"/>
        <v>33.333333333333336</v>
      </c>
      <c r="H33" s="11">
        <f>0</f>
        <v>0</v>
      </c>
      <c r="I33" s="9">
        <f t="shared" si="1"/>
        <v>30000</v>
      </c>
      <c r="J33" s="11">
        <f>0</f>
        <v>0</v>
      </c>
      <c r="K33" s="9">
        <f>J33*Допущения!$B$14/60*Допущения!$B$12</f>
        <v>0</v>
      </c>
    </row>
    <row r="34" spans="1:11">
      <c r="A34" s="8">
        <v>8</v>
      </c>
      <c r="B34" s="8" t="s">
        <v>102</v>
      </c>
      <c r="C34" s="9">
        <f>IF(AND(ISNUMBER(Допущения!$B$59),Допущения!$B$59&gt;=0,AND(COUNT(Допущения!$B$44:$B$47)=4,MIN(Допущения!$B$44:$B$47)&gt;=0,MAX(Допущения!$B$44:$B$47)&lt;=1,ABS(SUM(Допущения!$B$44:$B$47)-1)&lt;0.00000001)),Допущения!$B$59*Допущения!$B$44,NA())</f>
        <v>120000</v>
      </c>
      <c r="D34" s="9">
        <f>IF(AND(ISNUMBER(Допущения!$C$44),Допущения!$C$44&gt;0),Допущения!$C$44*Допущения!$B$37,NA())</f>
        <v>45</v>
      </c>
      <c r="E34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34" s="11">
        <f>C34/D34</f>
        <v>2666.6666666666665</v>
      </c>
      <c r="G34" s="11">
        <f t="shared" si="0"/>
        <v>47.999999999999993</v>
      </c>
      <c r="H34" s="11">
        <f>F34</f>
        <v>2666.6666666666665</v>
      </c>
      <c r="I34" s="9">
        <f t="shared" si="1"/>
        <v>120000</v>
      </c>
      <c r="J34" s="11">
        <f>H34*Допущения!$B$13</f>
        <v>53.333333333333329</v>
      </c>
      <c r="K34" s="9">
        <f>J34*Допущения!$B$14/60*Допущения!$B$12</f>
        <v>5333.333333333333</v>
      </c>
    </row>
    <row r="35" spans="1:11">
      <c r="A35" s="8">
        <v>8</v>
      </c>
      <c r="B35" s="8" t="s">
        <v>104</v>
      </c>
      <c r="C35" s="9">
        <f>IF(AND(ISNUMBER(Допущения!$B$59),Допущения!$B$59&gt;=0,AND(COUNT(Допущения!$B$44:$B$47)=4,MIN(Допущения!$B$44:$B$47)&gt;=0,MAX(Допущения!$B$44:$B$47)&lt;=1,ABS(SUM(Допущения!$B$44:$B$47)-1)&lt;0.00000001)),Допущения!$B$59*Допущения!$B$45,NA())</f>
        <v>75000</v>
      </c>
      <c r="D35" s="9">
        <f>IF(AND(ISNUMBER(Допущения!$C$45),Допущения!$C$45&gt;0),Допущения!$C$45*Допущения!$B$37,NA())</f>
        <v>12</v>
      </c>
      <c r="E35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35" s="11">
        <f>C35/D35</f>
        <v>6250</v>
      </c>
      <c r="G35" s="11">
        <f t="shared" si="0"/>
        <v>37.5</v>
      </c>
      <c r="H35" s="11">
        <f>F35</f>
        <v>6250</v>
      </c>
      <c r="I35" s="9">
        <f t="shared" si="1"/>
        <v>75000</v>
      </c>
      <c r="J35" s="11">
        <f>H35*Допущения!$B$13</f>
        <v>125</v>
      </c>
      <c r="K35" s="9">
        <f>J35*Допущения!$B$14/60*Допущения!$B$12</f>
        <v>12500</v>
      </c>
    </row>
    <row r="36" spans="1:11">
      <c r="A36" s="8">
        <v>8</v>
      </c>
      <c r="B36" s="8" t="s">
        <v>106</v>
      </c>
      <c r="C36" s="9">
        <f>IF(AND(ISNUMBER(Допущения!$B$59),Допущения!$B$59&gt;=0,AND(COUNT(Допущения!$B$44:$B$47)=4,MIN(Допущения!$B$44:$B$47)&gt;=0,MAX(Допущения!$B$44:$B$47)&lt;=1,ABS(SUM(Допущения!$B$44:$B$47)-1)&lt;0.00000001)),Допущения!$B$59*Допущения!$B$46,NA())</f>
        <v>75000</v>
      </c>
      <c r="D36" s="9">
        <f>IF(AND(ISNUMBER(Допущения!$C$46),Допущения!$C$46&gt;0),Допущения!$C$46*Допущения!$B$37,NA())</f>
        <v>90</v>
      </c>
      <c r="E36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36" s="11">
        <f>C36/D36</f>
        <v>833.33333333333337</v>
      </c>
      <c r="G36" s="11">
        <f t="shared" si="0"/>
        <v>15</v>
      </c>
      <c r="H36" s="11">
        <f>F36</f>
        <v>833.33333333333337</v>
      </c>
      <c r="I36" s="9">
        <f t="shared" si="1"/>
        <v>75000</v>
      </c>
      <c r="J36" s="11">
        <f>H36*Допущения!$B$13</f>
        <v>16.666666666666668</v>
      </c>
      <c r="K36" s="9">
        <f>J36*Допущения!$B$14/60*Допущения!$B$12</f>
        <v>1666.6666666666667</v>
      </c>
    </row>
    <row r="37" spans="1:11">
      <c r="A37" s="8">
        <v>8</v>
      </c>
      <c r="B37" s="8" t="s">
        <v>108</v>
      </c>
      <c r="C37" s="9">
        <f>IF(AND(ISNUMBER(Допущения!$B$59),Допущения!$B$59&gt;=0,AND(COUNT(Допущения!$B$44:$B$47)=4,MIN(Допущения!$B$44:$B$47)&gt;=0,MAX(Допущения!$B$44:$B$47)&lt;=1,ABS(SUM(Допущения!$B$44:$B$47)-1)&lt;0.00000001)),Допущения!$B$59*Допущения!$B$47,NA())</f>
        <v>30000</v>
      </c>
      <c r="D37" s="9">
        <f>IF(AND(ISNUMBER(Допущения!$C$47),Допущения!$C$47&gt;0),Допущения!$C$47*Допущения!$B$37,NA())</f>
        <v>18</v>
      </c>
      <c r="E37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37" s="11">
        <f>MIN(C37/D37,SUM(F34:F36)*Допущения!$B$29)</f>
        <v>1666.6666666666667</v>
      </c>
      <c r="G37" s="11">
        <f t="shared" si="0"/>
        <v>33.333333333333336</v>
      </c>
      <c r="H37" s="11">
        <f>0</f>
        <v>0</v>
      </c>
      <c r="I37" s="9">
        <f t="shared" si="1"/>
        <v>30000</v>
      </c>
      <c r="J37" s="11">
        <f>0</f>
        <v>0</v>
      </c>
      <c r="K37" s="9">
        <f>J37*Допущения!$B$14/60*Допущения!$B$12</f>
        <v>0</v>
      </c>
    </row>
    <row r="38" spans="1:11">
      <c r="A38" s="8">
        <v>9</v>
      </c>
      <c r="B38" s="8" t="s">
        <v>102</v>
      </c>
      <c r="C38" s="9">
        <f>IF(AND(ISNUMBER(Допущения!$B$60),Допущения!$B$60&gt;=0,AND(COUNT(Допущения!$B$44:$B$47)=4,MIN(Допущения!$B$44:$B$47)&gt;=0,MAX(Допущения!$B$44:$B$47)&lt;=1,ABS(SUM(Допущения!$B$44:$B$47)-1)&lt;0.00000001)),Допущения!$B$60*Допущения!$B$44,NA())</f>
        <v>120000</v>
      </c>
      <c r="D38" s="9">
        <f>IF(AND(ISNUMBER(Допущения!$C$44),Допущения!$C$44&gt;0),Допущения!$C$44*Допущения!$B$37,NA())</f>
        <v>45</v>
      </c>
      <c r="E38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38" s="11">
        <f>C38/D38</f>
        <v>2666.6666666666665</v>
      </c>
      <c r="G38" s="11">
        <f t="shared" si="0"/>
        <v>47.999999999999993</v>
      </c>
      <c r="H38" s="11">
        <f>F38</f>
        <v>2666.6666666666665</v>
      </c>
      <c r="I38" s="9">
        <f t="shared" si="1"/>
        <v>120000</v>
      </c>
      <c r="J38" s="11">
        <f>H38*Допущения!$B$13</f>
        <v>53.333333333333329</v>
      </c>
      <c r="K38" s="9">
        <f>J38*Допущения!$B$14/60*Допущения!$B$12</f>
        <v>5333.333333333333</v>
      </c>
    </row>
    <row r="39" spans="1:11">
      <c r="A39" s="8">
        <v>9</v>
      </c>
      <c r="B39" s="8" t="s">
        <v>104</v>
      </c>
      <c r="C39" s="9">
        <f>IF(AND(ISNUMBER(Допущения!$B$60),Допущения!$B$60&gt;=0,AND(COUNT(Допущения!$B$44:$B$47)=4,MIN(Допущения!$B$44:$B$47)&gt;=0,MAX(Допущения!$B$44:$B$47)&lt;=1,ABS(SUM(Допущения!$B$44:$B$47)-1)&lt;0.00000001)),Допущения!$B$60*Допущения!$B$45,NA())</f>
        <v>75000</v>
      </c>
      <c r="D39" s="9">
        <f>IF(AND(ISNUMBER(Допущения!$C$45),Допущения!$C$45&gt;0),Допущения!$C$45*Допущения!$B$37,NA())</f>
        <v>12</v>
      </c>
      <c r="E39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39" s="11">
        <f>C39/D39</f>
        <v>6250</v>
      </c>
      <c r="G39" s="11">
        <f t="shared" si="0"/>
        <v>37.5</v>
      </c>
      <c r="H39" s="11">
        <f>F39</f>
        <v>6250</v>
      </c>
      <c r="I39" s="9">
        <f t="shared" si="1"/>
        <v>75000</v>
      </c>
      <c r="J39" s="11">
        <f>H39*Допущения!$B$13</f>
        <v>125</v>
      </c>
      <c r="K39" s="9">
        <f>J39*Допущения!$B$14/60*Допущения!$B$12</f>
        <v>12500</v>
      </c>
    </row>
    <row r="40" spans="1:11">
      <c r="A40" s="8">
        <v>9</v>
      </c>
      <c r="B40" s="8" t="s">
        <v>106</v>
      </c>
      <c r="C40" s="9">
        <f>IF(AND(ISNUMBER(Допущения!$B$60),Допущения!$B$60&gt;=0,AND(COUNT(Допущения!$B$44:$B$47)=4,MIN(Допущения!$B$44:$B$47)&gt;=0,MAX(Допущения!$B$44:$B$47)&lt;=1,ABS(SUM(Допущения!$B$44:$B$47)-1)&lt;0.00000001)),Допущения!$B$60*Допущения!$B$46,NA())</f>
        <v>75000</v>
      </c>
      <c r="D40" s="9">
        <f>IF(AND(ISNUMBER(Допущения!$C$46),Допущения!$C$46&gt;0),Допущения!$C$46*Допущения!$B$37,NA())</f>
        <v>90</v>
      </c>
      <c r="E40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40" s="11">
        <f>C40/D40</f>
        <v>833.33333333333337</v>
      </c>
      <c r="G40" s="11">
        <f t="shared" si="0"/>
        <v>15</v>
      </c>
      <c r="H40" s="11">
        <f>F40</f>
        <v>833.33333333333337</v>
      </c>
      <c r="I40" s="9">
        <f t="shared" si="1"/>
        <v>75000</v>
      </c>
      <c r="J40" s="11">
        <f>H40*Допущения!$B$13</f>
        <v>16.666666666666668</v>
      </c>
      <c r="K40" s="9">
        <f>J40*Допущения!$B$14/60*Допущения!$B$12</f>
        <v>1666.6666666666667</v>
      </c>
    </row>
    <row r="41" spans="1:11">
      <c r="A41" s="8">
        <v>9</v>
      </c>
      <c r="B41" s="8" t="s">
        <v>108</v>
      </c>
      <c r="C41" s="9">
        <f>IF(AND(ISNUMBER(Допущения!$B$60),Допущения!$B$60&gt;=0,AND(COUNT(Допущения!$B$44:$B$47)=4,MIN(Допущения!$B$44:$B$47)&gt;=0,MAX(Допущения!$B$44:$B$47)&lt;=1,ABS(SUM(Допущения!$B$44:$B$47)-1)&lt;0.00000001)),Допущения!$B$60*Допущения!$B$47,NA())</f>
        <v>30000</v>
      </c>
      <c r="D41" s="9">
        <f>IF(AND(ISNUMBER(Допущения!$C$47),Допущения!$C$47&gt;0),Допущения!$C$47*Допущения!$B$37,NA())</f>
        <v>18</v>
      </c>
      <c r="E41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41" s="11">
        <f>MIN(C41/D41,SUM(F38:F40)*Допущения!$B$29)</f>
        <v>1666.6666666666667</v>
      </c>
      <c r="G41" s="11">
        <f t="shared" si="0"/>
        <v>33.333333333333336</v>
      </c>
      <c r="H41" s="11">
        <f>0</f>
        <v>0</v>
      </c>
      <c r="I41" s="9">
        <f t="shared" si="1"/>
        <v>30000</v>
      </c>
      <c r="J41" s="11">
        <f>0</f>
        <v>0</v>
      </c>
      <c r="K41" s="9">
        <f>J41*Допущения!$B$14/60*Допущения!$B$12</f>
        <v>0</v>
      </c>
    </row>
    <row r="42" spans="1:11">
      <c r="A42" s="8">
        <v>10</v>
      </c>
      <c r="B42" s="8" t="s">
        <v>102</v>
      </c>
      <c r="C42" s="9">
        <f>IF(AND(ISNUMBER(Допущения!$B$61),Допущения!$B$61&gt;=0,AND(COUNT(Допущения!$B$44:$B$47)=4,MIN(Допущения!$B$44:$B$47)&gt;=0,MAX(Допущения!$B$44:$B$47)&lt;=1,ABS(SUM(Допущения!$B$44:$B$47)-1)&lt;0.00000001)),Допущения!$B$61*Допущения!$B$44,NA())</f>
        <v>120000</v>
      </c>
      <c r="D42" s="9">
        <f>IF(AND(ISNUMBER(Допущения!$C$44),Допущения!$C$44&gt;0),Допущения!$C$44*Допущения!$B$37,NA())</f>
        <v>45</v>
      </c>
      <c r="E42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42" s="11">
        <f>C42/D42</f>
        <v>2666.6666666666665</v>
      </c>
      <c r="G42" s="11">
        <f t="shared" si="0"/>
        <v>47.999999999999993</v>
      </c>
      <c r="H42" s="11">
        <f>F42</f>
        <v>2666.6666666666665</v>
      </c>
      <c r="I42" s="9">
        <f t="shared" si="1"/>
        <v>120000</v>
      </c>
      <c r="J42" s="11">
        <f>H42*Допущения!$B$13</f>
        <v>53.333333333333329</v>
      </c>
      <c r="K42" s="9">
        <f>J42*Допущения!$B$14/60*Допущения!$B$12</f>
        <v>5333.333333333333</v>
      </c>
    </row>
    <row r="43" spans="1:11">
      <c r="A43" s="8">
        <v>10</v>
      </c>
      <c r="B43" s="8" t="s">
        <v>104</v>
      </c>
      <c r="C43" s="9">
        <f>IF(AND(ISNUMBER(Допущения!$B$61),Допущения!$B$61&gt;=0,AND(COUNT(Допущения!$B$44:$B$47)=4,MIN(Допущения!$B$44:$B$47)&gt;=0,MAX(Допущения!$B$44:$B$47)&lt;=1,ABS(SUM(Допущения!$B$44:$B$47)-1)&lt;0.00000001)),Допущения!$B$61*Допущения!$B$45,NA())</f>
        <v>75000</v>
      </c>
      <c r="D43" s="9">
        <f>IF(AND(ISNUMBER(Допущения!$C$45),Допущения!$C$45&gt;0),Допущения!$C$45*Допущения!$B$37,NA())</f>
        <v>12</v>
      </c>
      <c r="E43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43" s="11">
        <f>C43/D43</f>
        <v>6250</v>
      </c>
      <c r="G43" s="11">
        <f t="shared" si="0"/>
        <v>37.5</v>
      </c>
      <c r="H43" s="11">
        <f>F43</f>
        <v>6250</v>
      </c>
      <c r="I43" s="9">
        <f t="shared" si="1"/>
        <v>75000</v>
      </c>
      <c r="J43" s="11">
        <f>H43*Допущения!$B$13</f>
        <v>125</v>
      </c>
      <c r="K43" s="9">
        <f>J43*Допущения!$B$14/60*Допущения!$B$12</f>
        <v>12500</v>
      </c>
    </row>
    <row r="44" spans="1:11">
      <c r="A44" s="8">
        <v>10</v>
      </c>
      <c r="B44" s="8" t="s">
        <v>106</v>
      </c>
      <c r="C44" s="9">
        <f>IF(AND(ISNUMBER(Допущения!$B$61),Допущения!$B$61&gt;=0,AND(COUNT(Допущения!$B$44:$B$47)=4,MIN(Допущения!$B$44:$B$47)&gt;=0,MAX(Допущения!$B$44:$B$47)&lt;=1,ABS(SUM(Допущения!$B$44:$B$47)-1)&lt;0.00000001)),Допущения!$B$61*Допущения!$B$46,NA())</f>
        <v>75000</v>
      </c>
      <c r="D44" s="9">
        <f>IF(AND(ISNUMBER(Допущения!$C$46),Допущения!$C$46&gt;0),Допущения!$C$46*Допущения!$B$37,NA())</f>
        <v>90</v>
      </c>
      <c r="E44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44" s="11">
        <f>C44/D44</f>
        <v>833.33333333333337</v>
      </c>
      <c r="G44" s="11">
        <f t="shared" si="0"/>
        <v>15</v>
      </c>
      <c r="H44" s="11">
        <f>F44</f>
        <v>833.33333333333337</v>
      </c>
      <c r="I44" s="9">
        <f t="shared" si="1"/>
        <v>75000</v>
      </c>
      <c r="J44" s="11">
        <f>H44*Допущения!$B$13</f>
        <v>16.666666666666668</v>
      </c>
      <c r="K44" s="9">
        <f>J44*Допущения!$B$14/60*Допущения!$B$12</f>
        <v>1666.6666666666667</v>
      </c>
    </row>
    <row r="45" spans="1:11">
      <c r="A45" s="8">
        <v>10</v>
      </c>
      <c r="B45" s="8" t="s">
        <v>108</v>
      </c>
      <c r="C45" s="9">
        <f>IF(AND(ISNUMBER(Допущения!$B$61),Допущения!$B$61&gt;=0,AND(COUNT(Допущения!$B$44:$B$47)=4,MIN(Допущения!$B$44:$B$47)&gt;=0,MAX(Допущения!$B$44:$B$47)&lt;=1,ABS(SUM(Допущения!$B$44:$B$47)-1)&lt;0.00000001)),Допущения!$B$61*Допущения!$B$47,NA())</f>
        <v>30000</v>
      </c>
      <c r="D45" s="9">
        <f>IF(AND(ISNUMBER(Допущения!$C$47),Допущения!$C$47&gt;0),Допущения!$C$47*Допущения!$B$37,NA())</f>
        <v>18</v>
      </c>
      <c r="E45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45" s="11">
        <f>MIN(C45/D45,SUM(F42:F44)*Допущения!$B$29)</f>
        <v>1666.6666666666667</v>
      </c>
      <c r="G45" s="11">
        <f t="shared" si="0"/>
        <v>33.333333333333336</v>
      </c>
      <c r="H45" s="11">
        <f>0</f>
        <v>0</v>
      </c>
      <c r="I45" s="9">
        <f t="shared" si="1"/>
        <v>30000</v>
      </c>
      <c r="J45" s="11">
        <f>0</f>
        <v>0</v>
      </c>
      <c r="K45" s="9">
        <f>J45*Допущения!$B$14/60*Допущения!$B$12</f>
        <v>0</v>
      </c>
    </row>
    <row r="46" spans="1:11">
      <c r="A46" s="8">
        <v>11</v>
      </c>
      <c r="B46" s="8" t="s">
        <v>102</v>
      </c>
      <c r="C46" s="9">
        <f>IF(AND(ISNUMBER(Допущения!$B$62),Допущения!$B$62&gt;=0,AND(COUNT(Допущения!$B$44:$B$47)=4,MIN(Допущения!$B$44:$B$47)&gt;=0,MAX(Допущения!$B$44:$B$47)&lt;=1,ABS(SUM(Допущения!$B$44:$B$47)-1)&lt;0.00000001)),Допущения!$B$62*Допущения!$B$44,NA())</f>
        <v>120000</v>
      </c>
      <c r="D46" s="9">
        <f>IF(AND(ISNUMBER(Допущения!$C$44),Допущения!$C$44&gt;0),Допущения!$C$44*Допущения!$B$37,NA())</f>
        <v>45</v>
      </c>
      <c r="E46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46" s="11">
        <f>C46/D46</f>
        <v>2666.6666666666665</v>
      </c>
      <c r="G46" s="11">
        <f t="shared" si="0"/>
        <v>47.999999999999993</v>
      </c>
      <c r="H46" s="11">
        <f>F46</f>
        <v>2666.6666666666665</v>
      </c>
      <c r="I46" s="9">
        <f t="shared" si="1"/>
        <v>120000</v>
      </c>
      <c r="J46" s="11">
        <f>H46*Допущения!$B$13</f>
        <v>53.333333333333329</v>
      </c>
      <c r="K46" s="9">
        <f>J46*Допущения!$B$14/60*Допущения!$B$12</f>
        <v>5333.333333333333</v>
      </c>
    </row>
    <row r="47" spans="1:11">
      <c r="A47" s="8">
        <v>11</v>
      </c>
      <c r="B47" s="8" t="s">
        <v>104</v>
      </c>
      <c r="C47" s="9">
        <f>IF(AND(ISNUMBER(Допущения!$B$62),Допущения!$B$62&gt;=0,AND(COUNT(Допущения!$B$44:$B$47)=4,MIN(Допущения!$B$44:$B$47)&gt;=0,MAX(Допущения!$B$44:$B$47)&lt;=1,ABS(SUM(Допущения!$B$44:$B$47)-1)&lt;0.00000001)),Допущения!$B$62*Допущения!$B$45,NA())</f>
        <v>75000</v>
      </c>
      <c r="D47" s="9">
        <f>IF(AND(ISNUMBER(Допущения!$C$45),Допущения!$C$45&gt;0),Допущения!$C$45*Допущения!$B$37,NA())</f>
        <v>12</v>
      </c>
      <c r="E47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47" s="11">
        <f>C47/D47</f>
        <v>6250</v>
      </c>
      <c r="G47" s="11">
        <f t="shared" si="0"/>
        <v>37.5</v>
      </c>
      <c r="H47" s="11">
        <f>F47</f>
        <v>6250</v>
      </c>
      <c r="I47" s="9">
        <f t="shared" si="1"/>
        <v>75000</v>
      </c>
      <c r="J47" s="11">
        <f>H47*Допущения!$B$13</f>
        <v>125</v>
      </c>
      <c r="K47" s="9">
        <f>J47*Допущения!$B$14/60*Допущения!$B$12</f>
        <v>12500</v>
      </c>
    </row>
    <row r="48" spans="1:11">
      <c r="A48" s="8">
        <v>11</v>
      </c>
      <c r="B48" s="8" t="s">
        <v>106</v>
      </c>
      <c r="C48" s="9">
        <f>IF(AND(ISNUMBER(Допущения!$B$62),Допущения!$B$62&gt;=0,AND(COUNT(Допущения!$B$44:$B$47)=4,MIN(Допущения!$B$44:$B$47)&gt;=0,MAX(Допущения!$B$44:$B$47)&lt;=1,ABS(SUM(Допущения!$B$44:$B$47)-1)&lt;0.00000001)),Допущения!$B$62*Допущения!$B$46,NA())</f>
        <v>75000</v>
      </c>
      <c r="D48" s="9">
        <f>IF(AND(ISNUMBER(Допущения!$C$46),Допущения!$C$46&gt;0),Допущения!$C$46*Допущения!$B$37,NA())</f>
        <v>90</v>
      </c>
      <c r="E48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48" s="11">
        <f>C48/D48</f>
        <v>833.33333333333337</v>
      </c>
      <c r="G48" s="11">
        <f t="shared" si="0"/>
        <v>15</v>
      </c>
      <c r="H48" s="11">
        <f>F48</f>
        <v>833.33333333333337</v>
      </c>
      <c r="I48" s="9">
        <f t="shared" si="1"/>
        <v>75000</v>
      </c>
      <c r="J48" s="11">
        <f>H48*Допущения!$B$13</f>
        <v>16.666666666666668</v>
      </c>
      <c r="K48" s="9">
        <f>J48*Допущения!$B$14/60*Допущения!$B$12</f>
        <v>1666.6666666666667</v>
      </c>
    </row>
    <row r="49" spans="1:11">
      <c r="A49" s="8">
        <v>11</v>
      </c>
      <c r="B49" s="8" t="s">
        <v>108</v>
      </c>
      <c r="C49" s="9">
        <f>IF(AND(ISNUMBER(Допущения!$B$62),Допущения!$B$62&gt;=0,AND(COUNT(Допущения!$B$44:$B$47)=4,MIN(Допущения!$B$44:$B$47)&gt;=0,MAX(Допущения!$B$44:$B$47)&lt;=1,ABS(SUM(Допущения!$B$44:$B$47)-1)&lt;0.00000001)),Допущения!$B$62*Допущения!$B$47,NA())</f>
        <v>30000</v>
      </c>
      <c r="D49" s="9">
        <f>IF(AND(ISNUMBER(Допущения!$C$47),Допущения!$C$47&gt;0),Допущения!$C$47*Допущения!$B$37,NA())</f>
        <v>18</v>
      </c>
      <c r="E49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49" s="11">
        <f>MIN(C49/D49,SUM(F46:F48)*Допущения!$B$29)</f>
        <v>1666.6666666666667</v>
      </c>
      <c r="G49" s="11">
        <f t="shared" si="0"/>
        <v>33.333333333333336</v>
      </c>
      <c r="H49" s="11">
        <f>0</f>
        <v>0</v>
      </c>
      <c r="I49" s="9">
        <f t="shared" si="1"/>
        <v>30000</v>
      </c>
      <c r="J49" s="11">
        <f>0</f>
        <v>0</v>
      </c>
      <c r="K49" s="9">
        <f>J49*Допущения!$B$14/60*Допущения!$B$12</f>
        <v>0</v>
      </c>
    </row>
    <row r="50" spans="1:11">
      <c r="A50" s="8">
        <v>12</v>
      </c>
      <c r="B50" s="8" t="s">
        <v>102</v>
      </c>
      <c r="C50" s="9">
        <f>IF(AND(ISNUMBER(Допущения!$B$63),Допущения!$B$63&gt;=0,AND(COUNT(Допущения!$B$44:$B$47)=4,MIN(Допущения!$B$44:$B$47)&gt;=0,MAX(Допущения!$B$44:$B$47)&lt;=1,ABS(SUM(Допущения!$B$44:$B$47)-1)&lt;0.00000001)),Допущения!$B$63*Допущения!$B$44,NA())</f>
        <v>120000</v>
      </c>
      <c r="D50" s="9">
        <f>IF(AND(ISNUMBER(Допущения!$C$44),Допущения!$C$44&gt;0),Допущения!$C$44*Допущения!$B$37,NA())</f>
        <v>45</v>
      </c>
      <c r="E50" s="10">
        <f>IF(AND(ISNUMBER(Допущения!$D$44),Допущения!$D$44&gt;=0,Допущения!$D$44&lt;=1,Допущения!$D$44*Допущения!$B$38&lt;=1),Допущения!$D$44*Допущения!$B$38,NA())</f>
        <v>1.7999999999999999E-2</v>
      </c>
      <c r="F50" s="11">
        <f>C50/D50</f>
        <v>2666.6666666666665</v>
      </c>
      <c r="G50" s="11">
        <f t="shared" si="0"/>
        <v>47.999999999999993</v>
      </c>
      <c r="H50" s="11">
        <f>F50</f>
        <v>2666.6666666666665</v>
      </c>
      <c r="I50" s="9">
        <f t="shared" si="1"/>
        <v>120000</v>
      </c>
      <c r="J50" s="11">
        <f>H50*Допущения!$B$13</f>
        <v>53.333333333333329</v>
      </c>
      <c r="K50" s="9">
        <f>J50*Допущения!$B$14/60*Допущения!$B$12</f>
        <v>5333.333333333333</v>
      </c>
    </row>
    <row r="51" spans="1:11">
      <c r="A51" s="8">
        <v>12</v>
      </c>
      <c r="B51" s="8" t="s">
        <v>104</v>
      </c>
      <c r="C51" s="9">
        <f>IF(AND(ISNUMBER(Допущения!$B$63),Допущения!$B$63&gt;=0,AND(COUNT(Допущения!$B$44:$B$47)=4,MIN(Допущения!$B$44:$B$47)&gt;=0,MAX(Допущения!$B$44:$B$47)&lt;=1,ABS(SUM(Допущения!$B$44:$B$47)-1)&lt;0.00000001)),Допущения!$B$63*Допущения!$B$45,NA())</f>
        <v>75000</v>
      </c>
      <c r="D51" s="9">
        <f>IF(AND(ISNUMBER(Допущения!$C$45),Допущения!$C$45&gt;0),Допущения!$C$45*Допущения!$B$37,NA())</f>
        <v>12</v>
      </c>
      <c r="E51" s="10">
        <f>IF(AND(ISNUMBER(Допущения!$D$45),Допущения!$D$45&gt;=0,Допущения!$D$45&lt;=1,Допущения!$D$45*Допущения!$B$38&lt;=1),Допущения!$D$45*Допущения!$B$38,NA())</f>
        <v>6.0000000000000001E-3</v>
      </c>
      <c r="F51" s="11">
        <f>C51/D51</f>
        <v>6250</v>
      </c>
      <c r="G51" s="11">
        <f t="shared" si="0"/>
        <v>37.5</v>
      </c>
      <c r="H51" s="11">
        <f>F51</f>
        <v>6250</v>
      </c>
      <c r="I51" s="9">
        <f t="shared" si="1"/>
        <v>75000</v>
      </c>
      <c r="J51" s="11">
        <f>H51*Допущения!$B$13</f>
        <v>125</v>
      </c>
      <c r="K51" s="9">
        <f>J51*Допущения!$B$14/60*Допущения!$B$12</f>
        <v>12500</v>
      </c>
    </row>
    <row r="52" spans="1:11">
      <c r="A52" s="8">
        <v>12</v>
      </c>
      <c r="B52" s="8" t="s">
        <v>106</v>
      </c>
      <c r="C52" s="9">
        <f>IF(AND(ISNUMBER(Допущения!$B$63),Допущения!$B$63&gt;=0,AND(COUNT(Допущения!$B$44:$B$47)=4,MIN(Допущения!$B$44:$B$47)&gt;=0,MAX(Допущения!$B$44:$B$47)&lt;=1,ABS(SUM(Допущения!$B$44:$B$47)-1)&lt;0.00000001)),Допущения!$B$63*Допущения!$B$46,NA())</f>
        <v>75000</v>
      </c>
      <c r="D52" s="9">
        <f>IF(AND(ISNUMBER(Допущения!$C$46),Допущения!$C$46&gt;0),Допущения!$C$46*Допущения!$B$37,NA())</f>
        <v>90</v>
      </c>
      <c r="E52" s="10">
        <f>IF(AND(ISNUMBER(Допущения!$D$46),Допущения!$D$46&gt;=0,Допущения!$D$46&lt;=1,Допущения!$D$46*Допущения!$B$38&lt;=1),Допущения!$D$46*Допущения!$B$38,NA())</f>
        <v>1.7999999999999999E-2</v>
      </c>
      <c r="F52" s="11">
        <f>C52/D52</f>
        <v>833.33333333333337</v>
      </c>
      <c r="G52" s="11">
        <f t="shared" si="0"/>
        <v>15</v>
      </c>
      <c r="H52" s="11">
        <f>F52</f>
        <v>833.33333333333337</v>
      </c>
      <c r="I52" s="9">
        <f t="shared" si="1"/>
        <v>75000</v>
      </c>
      <c r="J52" s="11">
        <f>H52*Допущения!$B$13</f>
        <v>16.666666666666668</v>
      </c>
      <c r="K52" s="9">
        <f>J52*Допущения!$B$14/60*Допущения!$B$12</f>
        <v>1666.6666666666667</v>
      </c>
    </row>
    <row r="53" spans="1:11">
      <c r="A53" s="8">
        <v>12</v>
      </c>
      <c r="B53" s="8" t="s">
        <v>108</v>
      </c>
      <c r="C53" s="9">
        <f>IF(AND(ISNUMBER(Допущения!$B$63),Допущения!$B$63&gt;=0,AND(COUNT(Допущения!$B$44:$B$47)=4,MIN(Допущения!$B$44:$B$47)&gt;=0,MAX(Допущения!$B$44:$B$47)&lt;=1,ABS(SUM(Допущения!$B$44:$B$47)-1)&lt;0.00000001)),Допущения!$B$63*Допущения!$B$47,NA())</f>
        <v>30000</v>
      </c>
      <c r="D53" s="9">
        <f>IF(AND(ISNUMBER(Допущения!$C$47),Допущения!$C$47&gt;0),Допущения!$C$47*Допущения!$B$37,NA())</f>
        <v>18</v>
      </c>
      <c r="E53" s="10">
        <f>IF(AND(ISNUMBER(Допущения!$D$47),Допущения!$D$47&gt;=0,Допущения!$D$47&lt;=1,Допущения!$D$47*Допущения!$B$38&lt;=1),Допущения!$D$47*Допущения!$B$38,NA())</f>
        <v>0.02</v>
      </c>
      <c r="F53" s="11">
        <f>MIN(C53/D53,SUM(F50:F52)*Допущения!$B$29)</f>
        <v>1666.6666666666667</v>
      </c>
      <c r="G53" s="11">
        <f t="shared" si="0"/>
        <v>33.333333333333336</v>
      </c>
      <c r="H53" s="11">
        <f>0</f>
        <v>0</v>
      </c>
      <c r="I53" s="9">
        <f t="shared" si="1"/>
        <v>30000</v>
      </c>
      <c r="J53" s="11">
        <f>0</f>
        <v>0</v>
      </c>
      <c r="K53" s="9">
        <f>J53*Допущения!$B$14/60*Допущения!$B$12</f>
        <v>0</v>
      </c>
    </row>
  </sheetData>
  <mergeCells count="2">
    <mergeCell ref="A2:K2"/>
    <mergeCell ref="A3:K3"/>
  </mergeCells>
  <hyperlinks>
    <hyperlink ref="A3" r:id="rId1" xr:uid="{00000000-0004-0000-0300-000000000000}"/>
  </hyperlinks>
  <pageMargins left="0.7" right="0.7" top="0.75" bottom="0.75" header="0.3" footer="0.3"/>
  <pageSetup paperSize="8" scale="10" orientation="landscape" r:id="rId2"/>
  <headerFooter>
    <oddFooter>&amp;L&amp;"Arial,Regular"&amp;8Елизавета Трибунская · tribunska.ru&amp;R&amp;"Arial,Regular"&amp;8&amp;P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9" customWidth="1"/>
    <col min="2" max="2" width="15" customWidth="1"/>
    <col min="3" max="3" width="12" customWidth="1"/>
    <col min="4" max="5" width="13" customWidth="1"/>
    <col min="6" max="6" width="15" customWidth="1"/>
    <col min="7" max="8" width="14" customWidth="1"/>
    <col min="9" max="9" width="13" customWidth="1"/>
    <col min="10" max="10" width="17" customWidth="1"/>
    <col min="11" max="12" width="16" customWidth="1"/>
    <col min="13" max="13" width="11" customWidth="1"/>
    <col min="14" max="18" width="14" customWidth="1"/>
    <col min="19" max="19" width="15" customWidth="1"/>
    <col min="20" max="20" width="18" customWidth="1"/>
    <col min="21" max="21" width="13" customWidth="1"/>
  </cols>
  <sheetData>
    <row r="1" spans="1:21" ht="19.5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76" t="s">
        <v>125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1">
      <c r="A3" s="69" t="s">
        <v>115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</row>
    <row r="5" spans="1:21" ht="25.5">
      <c r="A5" s="2" t="s">
        <v>22</v>
      </c>
      <c r="B5" s="2" t="s">
        <v>23</v>
      </c>
      <c r="C5" s="2" t="s">
        <v>126</v>
      </c>
      <c r="D5" s="2" t="s">
        <v>127</v>
      </c>
      <c r="E5" s="2" t="s">
        <v>25</v>
      </c>
      <c r="F5" s="2" t="s">
        <v>26</v>
      </c>
      <c r="G5" s="2" t="s">
        <v>128</v>
      </c>
      <c r="H5" s="2" t="s">
        <v>129</v>
      </c>
      <c r="I5" s="2" t="s">
        <v>130</v>
      </c>
      <c r="J5" s="2" t="s">
        <v>42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136</v>
      </c>
      <c r="Q5" s="2" t="s">
        <v>137</v>
      </c>
      <c r="R5" s="2" t="s">
        <v>138</v>
      </c>
      <c r="S5" s="2" t="s">
        <v>27</v>
      </c>
      <c r="T5" s="2" t="s">
        <v>139</v>
      </c>
      <c r="U5" s="2" t="s">
        <v>140</v>
      </c>
    </row>
    <row r="6" spans="1:21">
      <c r="A6" s="8">
        <v>1</v>
      </c>
      <c r="B6" s="11">
        <f>SUM(Привлечение!$H$6:$H$9)</f>
        <v>1625.0000000000002</v>
      </c>
      <c r="C6" s="11">
        <f>SUM(Привлечение!$G$6:$G$9)</f>
        <v>22.305555555555557</v>
      </c>
      <c r="D6" s="11">
        <f>0</f>
        <v>0</v>
      </c>
      <c r="E6" s="11">
        <f t="shared" ref="E6:E17" si="0">C6+D6</f>
        <v>22.305555555555557</v>
      </c>
      <c r="F6" s="9">
        <f>E6*Допущения!$B$5</f>
        <v>66693.611111111109</v>
      </c>
      <c r="G6" s="9">
        <f>F6*Допущения!$B$6</f>
        <v>1333.8722222222223</v>
      </c>
      <c r="H6" s="9">
        <f>F6*Допущения!$B$7</f>
        <v>2000.8083333333332</v>
      </c>
      <c r="I6" s="9">
        <f>E6*Допущения!$B$8*Допущения!$B$9</f>
        <v>4015.0000000000005</v>
      </c>
      <c r="J6" s="9">
        <f>E6*Допущения!$B$10</f>
        <v>1338.3333333333335</v>
      </c>
      <c r="K6" s="9">
        <f>E6*Допущения!$B$11/60*Допущения!$B$12</f>
        <v>2788.1944444444448</v>
      </c>
      <c r="L6" s="9">
        <f>SUM(Привлечение!$K$6:$K$9)</f>
        <v>3250.0000000000005</v>
      </c>
      <c r="M6" s="11">
        <f>ROUNDUP(E6/Допущения!$B$39,0)</f>
        <v>3</v>
      </c>
      <c r="N6" s="11">
        <f>M6*Допущения!$B$15*Допущения!$B$16</f>
        <v>16.237500000000001</v>
      </c>
      <c r="O6" s="9">
        <f>N6*Допущения!$B$17</f>
        <v>16237.5</v>
      </c>
      <c r="P6" s="11">
        <f>ROUNDUP(E6/Допущения!$B$18,0)</f>
        <v>1</v>
      </c>
      <c r="Q6" s="9">
        <f>P6*Допущения!$B$19*Допущения!$B$20*Допущения!$B$21</f>
        <v>24000</v>
      </c>
      <c r="R6" s="9">
        <f>SUM(Допущения!$B$22:$B$24)</f>
        <v>200000</v>
      </c>
      <c r="S6" s="9">
        <f>SUM(Привлечение!$I$6:$I$9)</f>
        <v>50000</v>
      </c>
      <c r="T6" s="9">
        <f t="shared" ref="T6:T17" si="1">F6-G6-H6-I6-J6-K6-L6-O6-Q6-R6-S6</f>
        <v>-238270.09722222222</v>
      </c>
      <c r="U6" s="11">
        <f t="shared" ref="U6:U17" si="2">IF(T6&gt;0,1,0)</f>
        <v>0</v>
      </c>
    </row>
    <row r="7" spans="1:21">
      <c r="A7" s="8">
        <v>2</v>
      </c>
      <c r="B7" s="11">
        <f>SUM(Привлечение!$H$10:$H$13)</f>
        <v>3250.0000000000005</v>
      </c>
      <c r="C7" s="11">
        <f>SUM(Привлечение!$G$10:$G$13)</f>
        <v>44.611111111111114</v>
      </c>
      <c r="D7" s="11">
        <f>E6*Допущения!$B$36</f>
        <v>16.729166666666668</v>
      </c>
      <c r="E7" s="11">
        <f t="shared" si="0"/>
        <v>61.340277777777786</v>
      </c>
      <c r="F7" s="9">
        <f>E7*Допущения!$B$5</f>
        <v>183407.43055555559</v>
      </c>
      <c r="G7" s="9">
        <f>F7*Допущения!$B$6</f>
        <v>3668.1486111111117</v>
      </c>
      <c r="H7" s="9">
        <f>F7*Допущения!$B$7</f>
        <v>5502.2229166666675</v>
      </c>
      <c r="I7" s="9">
        <f>E7*Допущения!$B$8*Допущения!$B$9</f>
        <v>11041.25</v>
      </c>
      <c r="J7" s="9">
        <f>E7*Допущения!$B$10</f>
        <v>3680.416666666667</v>
      </c>
      <c r="K7" s="9">
        <f>E7*Допущения!$B$11/60*Допущения!$B$12</f>
        <v>7667.5347222222226</v>
      </c>
      <c r="L7" s="9">
        <f>SUM(Привлечение!$K$10:$K$13)</f>
        <v>6500.0000000000009</v>
      </c>
      <c r="M7" s="11">
        <f>ROUNDUP(E7/Допущения!$B$39,0)</f>
        <v>7</v>
      </c>
      <c r="N7" s="11">
        <f>M7*Допущения!$B$15*Допущения!$B$16</f>
        <v>37.887500000000003</v>
      </c>
      <c r="O7" s="9">
        <f>N7*Допущения!$B$17</f>
        <v>37887.5</v>
      </c>
      <c r="P7" s="11">
        <f>ROUNDUP(E7/Допущения!$B$18,0)</f>
        <v>1</v>
      </c>
      <c r="Q7" s="9">
        <f>P7*Допущения!$B$19*Допущения!$B$20*Допущения!$B$21</f>
        <v>24000</v>
      </c>
      <c r="R7" s="9">
        <f>SUM(Допущения!$B$22:$B$24)</f>
        <v>200000</v>
      </c>
      <c r="S7" s="9">
        <f>SUM(Привлечение!$I$10:$I$13)</f>
        <v>100000</v>
      </c>
      <c r="T7" s="9">
        <f t="shared" si="1"/>
        <v>-216539.64236111107</v>
      </c>
      <c r="U7" s="11">
        <f t="shared" si="2"/>
        <v>0</v>
      </c>
    </row>
    <row r="8" spans="1:21">
      <c r="A8" s="8">
        <v>3</v>
      </c>
      <c r="B8" s="11">
        <f>SUM(Привлечение!$H$14:$H$17)</f>
        <v>6500.0000000000009</v>
      </c>
      <c r="C8" s="11">
        <f>SUM(Привлечение!$G$14:$G$17)</f>
        <v>89.222222222222229</v>
      </c>
      <c r="D8" s="11">
        <f>E7*Допущения!$B$36</f>
        <v>46.005208333333343</v>
      </c>
      <c r="E8" s="11">
        <f t="shared" si="0"/>
        <v>135.22743055555557</v>
      </c>
      <c r="F8" s="9">
        <f>E8*Допущения!$B$5</f>
        <v>404330.01736111118</v>
      </c>
      <c r="G8" s="9">
        <f>F8*Допущения!$B$6</f>
        <v>8086.6003472222237</v>
      </c>
      <c r="H8" s="9">
        <f>F8*Допущения!$B$7</f>
        <v>12129.900520833335</v>
      </c>
      <c r="I8" s="9">
        <f>E8*Допущения!$B$8*Допущения!$B$9</f>
        <v>24340.9375</v>
      </c>
      <c r="J8" s="9">
        <f>E8*Допущения!$B$10</f>
        <v>8113.6458333333339</v>
      </c>
      <c r="K8" s="9">
        <f>E8*Допущения!$B$11/60*Допущения!$B$12</f>
        <v>16903.428819444445</v>
      </c>
      <c r="L8" s="9">
        <f>SUM(Привлечение!$K$14:$K$17)</f>
        <v>13000.000000000002</v>
      </c>
      <c r="M8" s="11">
        <f>ROUNDUP(E8/Допущения!$B$39,0)</f>
        <v>14</v>
      </c>
      <c r="N8" s="11">
        <f>M8*Допущения!$B$15*Допущения!$B$16</f>
        <v>75.775000000000006</v>
      </c>
      <c r="O8" s="9">
        <f>N8*Допущения!$B$17</f>
        <v>75775</v>
      </c>
      <c r="P8" s="11">
        <f>ROUNDUP(E8/Допущения!$B$18,0)</f>
        <v>1</v>
      </c>
      <c r="Q8" s="9">
        <f>P8*Допущения!$B$19*Допущения!$B$20*Допущения!$B$21</f>
        <v>24000</v>
      </c>
      <c r="R8" s="9">
        <f>SUM(Допущения!$B$22:$B$24)</f>
        <v>200000</v>
      </c>
      <c r="S8" s="9">
        <f>SUM(Привлечение!$I$14:$I$17)</f>
        <v>200000</v>
      </c>
      <c r="T8" s="9">
        <f t="shared" si="1"/>
        <v>-178019.49565972213</v>
      </c>
      <c r="U8" s="11">
        <f t="shared" si="2"/>
        <v>0</v>
      </c>
    </row>
    <row r="9" spans="1:21">
      <c r="A9" s="8">
        <v>4</v>
      </c>
      <c r="B9" s="11">
        <f>SUM(Привлечение!$H$18:$H$21)</f>
        <v>9750</v>
      </c>
      <c r="C9" s="11">
        <f>SUM(Привлечение!$G$18:$G$21)</f>
        <v>133.83333333333334</v>
      </c>
      <c r="D9" s="11">
        <f>E8*Допущения!$B$36</f>
        <v>101.42057291666669</v>
      </c>
      <c r="E9" s="11">
        <f t="shared" si="0"/>
        <v>235.25390625000003</v>
      </c>
      <c r="F9" s="9">
        <f>E9*Допущения!$B$5</f>
        <v>703409.17968750012</v>
      </c>
      <c r="G9" s="9">
        <f>F9*Допущения!$B$6</f>
        <v>14068.183593750002</v>
      </c>
      <c r="H9" s="9">
        <f>F9*Допущения!$B$7</f>
        <v>21102.275390625004</v>
      </c>
      <c r="I9" s="9">
        <f>E9*Допущения!$B$8*Допущения!$B$9</f>
        <v>42345.703125000007</v>
      </c>
      <c r="J9" s="9">
        <f>E9*Допущения!$B$10</f>
        <v>14115.234375000002</v>
      </c>
      <c r="K9" s="9">
        <f>E9*Допущения!$B$11/60*Допущения!$B$12</f>
        <v>29406.738281250004</v>
      </c>
      <c r="L9" s="9">
        <f>SUM(Привлечение!$K$18:$K$21)</f>
        <v>19500</v>
      </c>
      <c r="M9" s="11">
        <f>ROUNDUP(E9/Допущения!$B$39,0)</f>
        <v>24</v>
      </c>
      <c r="N9" s="11">
        <f>M9*Допущения!$B$15*Допущения!$B$16</f>
        <v>129.9</v>
      </c>
      <c r="O9" s="9">
        <f>N9*Допущения!$B$17</f>
        <v>129900</v>
      </c>
      <c r="P9" s="11">
        <f>ROUNDUP(E9/Допущения!$B$18,0)</f>
        <v>1</v>
      </c>
      <c r="Q9" s="9">
        <f>P9*Допущения!$B$19*Допущения!$B$20*Допущения!$B$21</f>
        <v>24000</v>
      </c>
      <c r="R9" s="9">
        <f>SUM(Допущения!$B$22:$B$24)</f>
        <v>200000</v>
      </c>
      <c r="S9" s="9">
        <f>SUM(Привлечение!$I$18:$I$21)</f>
        <v>300000</v>
      </c>
      <c r="T9" s="9">
        <f t="shared" si="1"/>
        <v>-91028.955078124884</v>
      </c>
      <c r="U9" s="11">
        <f t="shared" si="2"/>
        <v>0</v>
      </c>
    </row>
    <row r="10" spans="1:21">
      <c r="A10" s="8">
        <v>5</v>
      </c>
      <c r="B10" s="11">
        <f>SUM(Привлечение!$H$22:$H$25)</f>
        <v>9750</v>
      </c>
      <c r="C10" s="11">
        <f>SUM(Привлечение!$G$22:$G$25)</f>
        <v>133.83333333333334</v>
      </c>
      <c r="D10" s="11">
        <f>E9*Допущения!$B$36</f>
        <v>176.44042968750003</v>
      </c>
      <c r="E10" s="11">
        <f t="shared" si="0"/>
        <v>310.27376302083337</v>
      </c>
      <c r="F10" s="9">
        <f>E10*Допущения!$B$5</f>
        <v>927718.55143229174</v>
      </c>
      <c r="G10" s="9">
        <f>F10*Допущения!$B$6</f>
        <v>18554.371028645834</v>
      </c>
      <c r="H10" s="9">
        <f>F10*Допущения!$B$7</f>
        <v>27831.556542968752</v>
      </c>
      <c r="I10" s="9">
        <f>E10*Допущения!$B$8*Допущения!$B$9</f>
        <v>55849.277343750015</v>
      </c>
      <c r="J10" s="9">
        <f>E10*Допущения!$B$10</f>
        <v>18616.425781250004</v>
      </c>
      <c r="K10" s="9">
        <f>E10*Допущения!$B$11/60*Допущения!$B$12</f>
        <v>38784.220377604172</v>
      </c>
      <c r="L10" s="9">
        <f>SUM(Привлечение!$K$22:$K$25)</f>
        <v>19500</v>
      </c>
      <c r="M10" s="11">
        <f>ROUNDUP(E10/Допущения!$B$39,0)</f>
        <v>32</v>
      </c>
      <c r="N10" s="11">
        <f>M10*Допущения!$B$15*Допущения!$B$16</f>
        <v>173.2</v>
      </c>
      <c r="O10" s="9">
        <f>N10*Допущения!$B$17</f>
        <v>173200</v>
      </c>
      <c r="P10" s="11">
        <f>ROUNDUP(E10/Допущения!$B$18,0)</f>
        <v>2</v>
      </c>
      <c r="Q10" s="9">
        <f>P10*Допущения!$B$19*Допущения!$B$20*Допущения!$B$21</f>
        <v>48000</v>
      </c>
      <c r="R10" s="9">
        <f>SUM(Допущения!$B$22:$B$24)</f>
        <v>200000</v>
      </c>
      <c r="S10" s="9">
        <f>SUM(Привлечение!$I$22:$I$25)</f>
        <v>300000</v>
      </c>
      <c r="T10" s="9">
        <f t="shared" si="1"/>
        <v>27382.700358073111</v>
      </c>
      <c r="U10" s="11">
        <f t="shared" si="2"/>
        <v>1</v>
      </c>
    </row>
    <row r="11" spans="1:21">
      <c r="A11" s="8">
        <v>6</v>
      </c>
      <c r="B11" s="11">
        <f>SUM(Привлечение!$H$26:$H$29)</f>
        <v>9750</v>
      </c>
      <c r="C11" s="11">
        <f>SUM(Привлечение!$G$26:$G$29)</f>
        <v>133.83333333333334</v>
      </c>
      <c r="D11" s="11">
        <f>E10*Допущения!$B$36</f>
        <v>232.70532226562503</v>
      </c>
      <c r="E11" s="11">
        <f t="shared" si="0"/>
        <v>366.53865559895837</v>
      </c>
      <c r="F11" s="9">
        <f>E11*Допущения!$B$5</f>
        <v>1095950.5802408855</v>
      </c>
      <c r="G11" s="9">
        <f>F11*Допущения!$B$6</f>
        <v>21919.011604817711</v>
      </c>
      <c r="H11" s="9">
        <f>F11*Допущения!$B$7</f>
        <v>32878.517407226565</v>
      </c>
      <c r="I11" s="9">
        <f>E11*Допущения!$B$8*Допущения!$B$9</f>
        <v>65976.958007812515</v>
      </c>
      <c r="J11" s="9">
        <f>E11*Допущения!$B$10</f>
        <v>21992.319335937504</v>
      </c>
      <c r="K11" s="9">
        <f>E11*Допущения!$B$11/60*Допущения!$B$12</f>
        <v>45817.331949869804</v>
      </c>
      <c r="L11" s="9">
        <f>SUM(Привлечение!$K$26:$K$29)</f>
        <v>19500</v>
      </c>
      <c r="M11" s="11">
        <f>ROUNDUP(E11/Допущения!$B$39,0)</f>
        <v>37</v>
      </c>
      <c r="N11" s="11">
        <f>M11*Допущения!$B$15*Допущения!$B$16</f>
        <v>200.26250000000002</v>
      </c>
      <c r="O11" s="9">
        <f>N11*Допущения!$B$17</f>
        <v>200262.50000000003</v>
      </c>
      <c r="P11" s="11">
        <f>ROUNDUP(E11/Допущения!$B$18,0)</f>
        <v>2</v>
      </c>
      <c r="Q11" s="9">
        <f>P11*Допущения!$B$19*Допущения!$B$20*Допущения!$B$21</f>
        <v>48000</v>
      </c>
      <c r="R11" s="9">
        <f>SUM(Допущения!$B$22:$B$24)</f>
        <v>200000</v>
      </c>
      <c r="S11" s="9">
        <f>SUM(Привлечение!$I$26:$I$29)</f>
        <v>300000</v>
      </c>
      <c r="T11" s="9">
        <f t="shared" si="1"/>
        <v>139603.94193522132</v>
      </c>
      <c r="U11" s="11">
        <f t="shared" si="2"/>
        <v>1</v>
      </c>
    </row>
    <row r="12" spans="1:21">
      <c r="A12" s="8">
        <v>7</v>
      </c>
      <c r="B12" s="11">
        <f>SUM(Привлечение!$H$30:$H$33)</f>
        <v>9750</v>
      </c>
      <c r="C12" s="11">
        <f>SUM(Привлечение!$G$30:$G$33)</f>
        <v>133.83333333333334</v>
      </c>
      <c r="D12" s="11">
        <f>E11*Допущения!$B$36</f>
        <v>274.90399169921875</v>
      </c>
      <c r="E12" s="11">
        <f t="shared" si="0"/>
        <v>408.73732503255212</v>
      </c>
      <c r="F12" s="9">
        <f>E12*Допущения!$B$5</f>
        <v>1222124.6018473308</v>
      </c>
      <c r="G12" s="9">
        <f>F12*Допущения!$B$6</f>
        <v>24442.492036946616</v>
      </c>
      <c r="H12" s="9">
        <f>F12*Допущения!$B$7</f>
        <v>36663.738055419926</v>
      </c>
      <c r="I12" s="9">
        <f>E12*Допущения!$B$8*Допущения!$B$9</f>
        <v>73572.71850585939</v>
      </c>
      <c r="J12" s="9">
        <f>E12*Допущения!$B$10</f>
        <v>24524.239501953129</v>
      </c>
      <c r="K12" s="9">
        <f>E12*Допущения!$B$11/60*Допущения!$B$12</f>
        <v>51092.165629069015</v>
      </c>
      <c r="L12" s="9">
        <f>SUM(Привлечение!$K$30:$K$33)</f>
        <v>19500</v>
      </c>
      <c r="M12" s="11">
        <f>ROUNDUP(E12/Допущения!$B$39,0)</f>
        <v>41</v>
      </c>
      <c r="N12" s="11">
        <f>M12*Допущения!$B$15*Допущения!$B$16</f>
        <v>221.91249999999999</v>
      </c>
      <c r="O12" s="9">
        <f>N12*Допущения!$B$17</f>
        <v>221912.5</v>
      </c>
      <c r="P12" s="11">
        <f>ROUNDUP(E12/Допущения!$B$18,0)</f>
        <v>2</v>
      </c>
      <c r="Q12" s="9">
        <f>P12*Допущения!$B$19*Допущения!$B$20*Допущения!$B$21</f>
        <v>48000</v>
      </c>
      <c r="R12" s="9">
        <f>SUM(Допущения!$B$22:$B$24)</f>
        <v>200000</v>
      </c>
      <c r="S12" s="9">
        <f>SUM(Привлечение!$I$30:$I$33)</f>
        <v>300000</v>
      </c>
      <c r="T12" s="9">
        <f t="shared" si="1"/>
        <v>222416.74811808288</v>
      </c>
      <c r="U12" s="11">
        <f t="shared" si="2"/>
        <v>1</v>
      </c>
    </row>
    <row r="13" spans="1:21">
      <c r="A13" s="8">
        <v>8</v>
      </c>
      <c r="B13" s="11">
        <f>SUM(Привлечение!$H$34:$H$37)</f>
        <v>9750</v>
      </c>
      <c r="C13" s="11">
        <f>SUM(Привлечение!$G$34:$G$37)</f>
        <v>133.83333333333334</v>
      </c>
      <c r="D13" s="11">
        <f>E12*Допущения!$B$36</f>
        <v>306.55299377441406</v>
      </c>
      <c r="E13" s="11">
        <f t="shared" si="0"/>
        <v>440.38632710774743</v>
      </c>
      <c r="F13" s="9">
        <f>E13*Допущения!$B$5</f>
        <v>1316755.1180521648</v>
      </c>
      <c r="G13" s="9">
        <f>F13*Допущения!$B$6</f>
        <v>26335.102361043297</v>
      </c>
      <c r="H13" s="9">
        <f>F13*Допущения!$B$7</f>
        <v>39502.653541564941</v>
      </c>
      <c r="I13" s="9">
        <f>E13*Допущения!$B$8*Допущения!$B$9</f>
        <v>79269.538879394546</v>
      </c>
      <c r="J13" s="9">
        <f>E13*Допущения!$B$10</f>
        <v>26423.179626464847</v>
      </c>
      <c r="K13" s="9">
        <f>E13*Допущения!$B$11/60*Допущения!$B$12</f>
        <v>55048.290888468429</v>
      </c>
      <c r="L13" s="9">
        <f>SUM(Привлечение!$K$34:$K$37)</f>
        <v>19500</v>
      </c>
      <c r="M13" s="11">
        <f>ROUNDUP(E13/Допущения!$B$39,0)</f>
        <v>45</v>
      </c>
      <c r="N13" s="11">
        <f>M13*Допущения!$B$15*Допущения!$B$16</f>
        <v>243.5625</v>
      </c>
      <c r="O13" s="9">
        <f>N13*Допущения!$B$17</f>
        <v>243562.5</v>
      </c>
      <c r="P13" s="11">
        <f>ROUNDUP(E13/Допущения!$B$18,0)</f>
        <v>2</v>
      </c>
      <c r="Q13" s="9">
        <f>P13*Допущения!$B$19*Допущения!$B$20*Допущения!$B$21</f>
        <v>48000</v>
      </c>
      <c r="R13" s="9">
        <f>SUM(Допущения!$B$22:$B$24)</f>
        <v>200000</v>
      </c>
      <c r="S13" s="9">
        <f>SUM(Привлечение!$I$34:$I$37)</f>
        <v>300000</v>
      </c>
      <c r="T13" s="9">
        <f t="shared" si="1"/>
        <v>279113.85275522876</v>
      </c>
      <c r="U13" s="11">
        <f t="shared" si="2"/>
        <v>1</v>
      </c>
    </row>
    <row r="14" spans="1:21">
      <c r="A14" s="8">
        <v>9</v>
      </c>
      <c r="B14" s="11">
        <f>SUM(Привлечение!$H$38:$H$41)</f>
        <v>9750</v>
      </c>
      <c r="C14" s="11">
        <f>SUM(Привлечение!$G$38:$G$41)</f>
        <v>133.83333333333334</v>
      </c>
      <c r="D14" s="11">
        <f>E13*Допущения!$B$36</f>
        <v>330.28974533081055</v>
      </c>
      <c r="E14" s="11">
        <f t="shared" si="0"/>
        <v>464.12307866414392</v>
      </c>
      <c r="F14" s="9">
        <f>E14*Допущения!$B$5</f>
        <v>1387728.0052057903</v>
      </c>
      <c r="G14" s="9">
        <f>F14*Допущения!$B$6</f>
        <v>27754.560104115808</v>
      </c>
      <c r="H14" s="9">
        <f>F14*Допущения!$B$7</f>
        <v>41631.840156173705</v>
      </c>
      <c r="I14" s="9">
        <f>E14*Допущения!$B$8*Допущения!$B$9</f>
        <v>83542.154159545913</v>
      </c>
      <c r="J14" s="9">
        <f>E14*Допущения!$B$10</f>
        <v>27847.384719848636</v>
      </c>
      <c r="K14" s="9">
        <f>E14*Допущения!$B$11/60*Допущения!$B$12</f>
        <v>58015.38483301799</v>
      </c>
      <c r="L14" s="9">
        <f>SUM(Привлечение!$K$38:$K$41)</f>
        <v>19500</v>
      </c>
      <c r="M14" s="11">
        <f>ROUNDUP(E14/Допущения!$B$39,0)</f>
        <v>47</v>
      </c>
      <c r="N14" s="11">
        <f>M14*Допущения!$B$15*Допущения!$B$16</f>
        <v>254.38750000000002</v>
      </c>
      <c r="O14" s="9">
        <f>N14*Допущения!$B$17</f>
        <v>254387.50000000003</v>
      </c>
      <c r="P14" s="11">
        <f>ROUNDUP(E14/Допущения!$B$18,0)</f>
        <v>2</v>
      </c>
      <c r="Q14" s="9">
        <f>P14*Допущения!$B$19*Допущения!$B$20*Допущения!$B$21</f>
        <v>48000</v>
      </c>
      <c r="R14" s="9">
        <f>SUM(Допущения!$B$22:$B$24)</f>
        <v>200000</v>
      </c>
      <c r="S14" s="9">
        <f>SUM(Привлечение!$I$38:$I$41)</f>
        <v>300000</v>
      </c>
      <c r="T14" s="9">
        <f t="shared" si="1"/>
        <v>327049.18123308802</v>
      </c>
      <c r="U14" s="11">
        <f t="shared" si="2"/>
        <v>1</v>
      </c>
    </row>
    <row r="15" spans="1:21">
      <c r="A15" s="8">
        <v>10</v>
      </c>
      <c r="B15" s="11">
        <f>SUM(Привлечение!$H$42:$H$45)</f>
        <v>9750</v>
      </c>
      <c r="C15" s="11">
        <f>SUM(Привлечение!$G$42:$G$45)</f>
        <v>133.83333333333334</v>
      </c>
      <c r="D15" s="11">
        <f>E14*Допущения!$B$36</f>
        <v>348.09230899810791</v>
      </c>
      <c r="E15" s="11">
        <f t="shared" si="0"/>
        <v>481.92564233144128</v>
      </c>
      <c r="F15" s="9">
        <f>E15*Допущения!$B$5</f>
        <v>1440957.6705710094</v>
      </c>
      <c r="G15" s="9">
        <f>F15*Допущения!$B$6</f>
        <v>28819.15341142019</v>
      </c>
      <c r="H15" s="9">
        <f>F15*Допущения!$B$7</f>
        <v>43228.730117130282</v>
      </c>
      <c r="I15" s="9">
        <f>E15*Допущения!$B$8*Допущения!$B$9</f>
        <v>86746.615619659438</v>
      </c>
      <c r="J15" s="9">
        <f>E15*Допущения!$B$10</f>
        <v>28915.538539886478</v>
      </c>
      <c r="K15" s="9">
        <f>E15*Допущения!$B$11/60*Допущения!$B$12</f>
        <v>60240.70529143016</v>
      </c>
      <c r="L15" s="9">
        <f>SUM(Привлечение!$K$42:$K$45)</f>
        <v>19500</v>
      </c>
      <c r="M15" s="11">
        <f>ROUNDUP(E15/Допущения!$B$39,0)</f>
        <v>49</v>
      </c>
      <c r="N15" s="11">
        <f>M15*Допущения!$B$15*Допущения!$B$16</f>
        <v>265.21249999999998</v>
      </c>
      <c r="O15" s="9">
        <f>N15*Допущения!$B$17</f>
        <v>265212.5</v>
      </c>
      <c r="P15" s="11">
        <f>ROUNDUP(E15/Допущения!$B$18,0)</f>
        <v>2</v>
      </c>
      <c r="Q15" s="9">
        <f>P15*Допущения!$B$19*Допущения!$B$20*Допущения!$B$21</f>
        <v>48000</v>
      </c>
      <c r="R15" s="9">
        <f>SUM(Допущения!$B$22:$B$24)</f>
        <v>200000</v>
      </c>
      <c r="S15" s="9">
        <f>SUM(Привлечение!$I$42:$I$45)</f>
        <v>300000</v>
      </c>
      <c r="T15" s="9">
        <f t="shared" si="1"/>
        <v>360294.42759148264</v>
      </c>
      <c r="U15" s="11">
        <f t="shared" si="2"/>
        <v>1</v>
      </c>
    </row>
    <row r="16" spans="1:21">
      <c r="A16" s="8">
        <v>11</v>
      </c>
      <c r="B16" s="11">
        <f>SUM(Привлечение!$H$46:$H$49)</f>
        <v>9750</v>
      </c>
      <c r="C16" s="11">
        <f>SUM(Привлечение!$G$46:$G$49)</f>
        <v>133.83333333333334</v>
      </c>
      <c r="D16" s="11">
        <f>E15*Допущения!$B$36</f>
        <v>361.44423174858093</v>
      </c>
      <c r="E16" s="11">
        <f t="shared" si="0"/>
        <v>495.2775650819143</v>
      </c>
      <c r="F16" s="9">
        <f>E16*Допущения!$B$5</f>
        <v>1480879.9195949237</v>
      </c>
      <c r="G16" s="9">
        <f>F16*Допущения!$B$6</f>
        <v>29617.598391898475</v>
      </c>
      <c r="H16" s="9">
        <f>F16*Допущения!$B$7</f>
        <v>44426.397587847707</v>
      </c>
      <c r="I16" s="9">
        <f>E16*Допущения!$B$8*Допущения!$B$9</f>
        <v>89149.961714744582</v>
      </c>
      <c r="J16" s="9">
        <f>E16*Допущения!$B$10</f>
        <v>29716.65390491486</v>
      </c>
      <c r="K16" s="9">
        <f>E16*Допущения!$B$11/60*Допущения!$B$12</f>
        <v>61909.695635239288</v>
      </c>
      <c r="L16" s="9">
        <f>SUM(Привлечение!$K$46:$K$49)</f>
        <v>19500</v>
      </c>
      <c r="M16" s="11">
        <f>ROUNDUP(E16/Допущения!$B$39,0)</f>
        <v>50</v>
      </c>
      <c r="N16" s="11">
        <f>M16*Допущения!$B$15*Допущения!$B$16</f>
        <v>270.625</v>
      </c>
      <c r="O16" s="9">
        <f>N16*Допущения!$B$17</f>
        <v>270625</v>
      </c>
      <c r="P16" s="11">
        <f>ROUNDUP(E16/Допущения!$B$18,0)</f>
        <v>2</v>
      </c>
      <c r="Q16" s="9">
        <f>P16*Допущения!$B$19*Допущения!$B$20*Допущения!$B$21</f>
        <v>48000</v>
      </c>
      <c r="R16" s="9">
        <f>SUM(Допущения!$B$22:$B$24)</f>
        <v>200000</v>
      </c>
      <c r="S16" s="9">
        <f>SUM(Привлечение!$I$46:$I$49)</f>
        <v>300000</v>
      </c>
      <c r="T16" s="9">
        <f t="shared" si="1"/>
        <v>387934.61236027884</v>
      </c>
      <c r="U16" s="11">
        <f t="shared" si="2"/>
        <v>1</v>
      </c>
    </row>
    <row r="17" spans="1:21">
      <c r="A17" s="8">
        <v>12</v>
      </c>
      <c r="B17" s="11">
        <f>SUM(Привлечение!$H$50:$H$53)</f>
        <v>9750</v>
      </c>
      <c r="C17" s="11">
        <f>SUM(Привлечение!$G$50:$G$53)</f>
        <v>133.83333333333334</v>
      </c>
      <c r="D17" s="11">
        <f>E16*Допущения!$B$36</f>
        <v>371.4581738114357</v>
      </c>
      <c r="E17" s="11">
        <f t="shared" si="0"/>
        <v>505.29150714476907</v>
      </c>
      <c r="F17" s="9">
        <f>E17*Допущения!$B$5</f>
        <v>1510821.6063628595</v>
      </c>
      <c r="G17" s="9">
        <f>F17*Допущения!$B$6</f>
        <v>30216.432127257191</v>
      </c>
      <c r="H17" s="9">
        <f>F17*Допущения!$B$7</f>
        <v>45324.648190885782</v>
      </c>
      <c r="I17" s="9">
        <f>E17*Допущения!$B$8*Допущения!$B$9</f>
        <v>90952.47128605844</v>
      </c>
      <c r="J17" s="9">
        <f>E17*Допущения!$B$10</f>
        <v>30317.490428686146</v>
      </c>
      <c r="K17" s="9">
        <f>E17*Допущения!$B$11/60*Допущения!$B$12</f>
        <v>63161.438393096134</v>
      </c>
      <c r="L17" s="9">
        <f>SUM(Привлечение!$K$50:$K$53)</f>
        <v>19500</v>
      </c>
      <c r="M17" s="11">
        <f>ROUNDUP(E17/Допущения!$B$39,0)</f>
        <v>51</v>
      </c>
      <c r="N17" s="11">
        <f>M17*Допущения!$B$15*Допущения!$B$16</f>
        <v>276.03750000000002</v>
      </c>
      <c r="O17" s="9">
        <f>N17*Допущения!$B$17</f>
        <v>276037.5</v>
      </c>
      <c r="P17" s="11">
        <f>ROUNDUP(E17/Допущения!$B$18,0)</f>
        <v>3</v>
      </c>
      <c r="Q17" s="9">
        <f>P17*Допущения!$B$19*Допущения!$B$20*Допущения!$B$21</f>
        <v>72000</v>
      </c>
      <c r="R17" s="9">
        <f>SUM(Допущения!$B$22:$B$24)</f>
        <v>200000</v>
      </c>
      <c r="S17" s="9">
        <f>SUM(Привлечение!$I$50:$I$53)</f>
        <v>300000</v>
      </c>
      <c r="T17" s="9">
        <f t="shared" si="1"/>
        <v>383311.62593687582</v>
      </c>
      <c r="U17" s="11">
        <f t="shared" si="2"/>
        <v>1</v>
      </c>
    </row>
  </sheetData>
  <mergeCells count="2">
    <mergeCell ref="A2:U2"/>
    <mergeCell ref="A3:U3"/>
  </mergeCells>
  <hyperlinks>
    <hyperlink ref="A3" r:id="rId1" xr:uid="{00000000-0004-0000-0400-000000000000}"/>
  </hyperlinks>
  <pageMargins left="0.7" right="0.7" top="0.75" bottom="0.75" header="0.3" footer="0.3"/>
  <pageSetup paperSize="8" scale="10" orientation="landscape" r:id="rId2"/>
  <headerFooter>
    <oddFooter>&amp;L&amp;"Arial,Regular"&amp;8Елизавета Трибунская · tribunska.ru&amp;R&amp;"Arial,Regular"&amp;8&amp;P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25" customWidth="1"/>
    <col min="3" max="3" width="23" customWidth="1"/>
    <col min="4" max="4" width="26" customWidth="1"/>
    <col min="5" max="5" width="18" customWidth="1"/>
    <col min="6" max="6" width="23" customWidth="1"/>
  </cols>
  <sheetData>
    <row r="1" spans="1:6" ht="19.5">
      <c r="A1" s="1" t="s">
        <v>141</v>
      </c>
      <c r="B1" s="1"/>
      <c r="C1" s="1"/>
      <c r="D1" s="1"/>
      <c r="E1" s="1"/>
      <c r="F1" s="1"/>
    </row>
    <row r="2" spans="1:6">
      <c r="A2" s="76" t="s">
        <v>142</v>
      </c>
      <c r="B2" s="76"/>
      <c r="C2" s="76"/>
      <c r="D2" s="76"/>
      <c r="E2" s="76"/>
      <c r="F2" s="76"/>
    </row>
    <row r="3" spans="1:6">
      <c r="A3" s="69" t="s">
        <v>115</v>
      </c>
      <c r="B3" s="70"/>
      <c r="C3" s="70"/>
      <c r="D3" s="70"/>
      <c r="E3" s="70"/>
      <c r="F3" s="70"/>
    </row>
    <row r="5" spans="1:6" ht="25.5">
      <c r="A5" s="2" t="s">
        <v>22</v>
      </c>
      <c r="B5" s="2" t="s">
        <v>143</v>
      </c>
      <c r="C5" s="2" t="s">
        <v>29</v>
      </c>
      <c r="D5" s="2" t="s">
        <v>30</v>
      </c>
      <c r="E5" s="2" t="s">
        <v>144</v>
      </c>
      <c r="F5" s="2" t="s">
        <v>145</v>
      </c>
    </row>
    <row r="6" spans="1:6">
      <c r="A6" s="13">
        <v>0</v>
      </c>
      <c r="B6" s="12">
        <f>-SUM(Допущения!$B$25:$B$27)</f>
        <v>-740000</v>
      </c>
      <c r="C6" s="12">
        <f>B6</f>
        <v>-740000</v>
      </c>
      <c r="D6" s="12">
        <f>MAX(0,-MIN($C$6:C6))</f>
        <v>740000</v>
      </c>
      <c r="E6" s="12">
        <f>D6*Допущения!$B$31</f>
        <v>111000</v>
      </c>
      <c r="F6" s="14">
        <f>0</f>
        <v>0</v>
      </c>
    </row>
    <row r="7" spans="1:6">
      <c r="A7" s="13">
        <v>1</v>
      </c>
      <c r="B7" s="12">
        <f>Подписка!$T$6</f>
        <v>-238270.09722222222</v>
      </c>
      <c r="C7" s="12">
        <f t="shared" ref="C7:C18" si="0">C6+B7</f>
        <v>-978270.09722222225</v>
      </c>
      <c r="D7" s="12">
        <f>MAX(0,-MIN($C$6:C7))</f>
        <v>978270.09722222225</v>
      </c>
      <c r="E7" s="12">
        <f>D7*Допущения!$B$31</f>
        <v>146740.51458333334</v>
      </c>
      <c r="F7" s="14">
        <f>IF(AND(C7&gt;=0,COUNTIF($C$7:C7,"&gt;=0")=1),1,0)</f>
        <v>0</v>
      </c>
    </row>
    <row r="8" spans="1:6">
      <c r="A8" s="13">
        <v>2</v>
      </c>
      <c r="B8" s="12">
        <f>Подписка!$T$7</f>
        <v>-216539.64236111107</v>
      </c>
      <c r="C8" s="12">
        <f t="shared" si="0"/>
        <v>-1194809.7395833333</v>
      </c>
      <c r="D8" s="12">
        <f>MAX(0,-MIN($C$6:C8))</f>
        <v>1194809.7395833333</v>
      </c>
      <c r="E8" s="12">
        <f>D8*Допущения!$B$31</f>
        <v>179221.46093749997</v>
      </c>
      <c r="F8" s="14">
        <f>IF(AND(C8&gt;=0,COUNTIF($C$7:C8,"&gt;=0")=1),1,0)</f>
        <v>0</v>
      </c>
    </row>
    <row r="9" spans="1:6">
      <c r="A9" s="13">
        <v>3</v>
      </c>
      <c r="B9" s="12">
        <f>Подписка!$T$8</f>
        <v>-178019.49565972213</v>
      </c>
      <c r="C9" s="12">
        <f t="shared" si="0"/>
        <v>-1372829.2352430555</v>
      </c>
      <c r="D9" s="12">
        <f>MAX(0,-MIN($C$6:C9))</f>
        <v>1372829.2352430555</v>
      </c>
      <c r="E9" s="12">
        <f>D9*Допущения!$B$31</f>
        <v>205924.38528645833</v>
      </c>
      <c r="F9" s="14">
        <f>IF(AND(C9&gt;=0,COUNTIF($C$7:C9,"&gt;=0")=1),1,0)</f>
        <v>0</v>
      </c>
    </row>
    <row r="10" spans="1:6">
      <c r="A10" s="13">
        <v>4</v>
      </c>
      <c r="B10" s="12">
        <f>Подписка!$T$9</f>
        <v>-91028.955078124884</v>
      </c>
      <c r="C10" s="12">
        <f t="shared" si="0"/>
        <v>-1463858.1903211805</v>
      </c>
      <c r="D10" s="12">
        <f>MAX(0,-MIN($C$6:C10))</f>
        <v>1463858.1903211805</v>
      </c>
      <c r="E10" s="12">
        <f>D10*Допущения!$B$31</f>
        <v>219578.72854817708</v>
      </c>
      <c r="F10" s="14">
        <f>IF(AND(C10&gt;=0,COUNTIF($C$7:C10,"&gt;=0")=1),1,0)</f>
        <v>0</v>
      </c>
    </row>
    <row r="11" spans="1:6">
      <c r="A11" s="13">
        <v>5</v>
      </c>
      <c r="B11" s="12">
        <f>Подписка!$T$10</f>
        <v>27382.700358073111</v>
      </c>
      <c r="C11" s="12">
        <f t="shared" si="0"/>
        <v>-1436475.4899631073</v>
      </c>
      <c r="D11" s="12">
        <f>MAX(0,-MIN($C$6:C11))</f>
        <v>1463858.1903211805</v>
      </c>
      <c r="E11" s="12">
        <f>D11*Допущения!$B$31</f>
        <v>219578.72854817708</v>
      </c>
      <c r="F11" s="14">
        <f>IF(AND(C11&gt;=0,COUNTIF($C$7:C11,"&gt;=0")=1),1,0)</f>
        <v>0</v>
      </c>
    </row>
    <row r="12" spans="1:6">
      <c r="A12" s="13">
        <v>6</v>
      </c>
      <c r="B12" s="12">
        <f>Подписка!$T$11</f>
        <v>139603.94193522132</v>
      </c>
      <c r="C12" s="12">
        <f t="shared" si="0"/>
        <v>-1296871.5480278861</v>
      </c>
      <c r="D12" s="12">
        <f>MAX(0,-MIN($C$6:C12))</f>
        <v>1463858.1903211805</v>
      </c>
      <c r="E12" s="12">
        <f>D12*Допущения!$B$31</f>
        <v>219578.72854817708</v>
      </c>
      <c r="F12" s="14">
        <f>IF(AND(C12&gt;=0,COUNTIF($C$7:C12,"&gt;=0")=1),1,0)</f>
        <v>0</v>
      </c>
    </row>
    <row r="13" spans="1:6">
      <c r="A13" s="13">
        <v>7</v>
      </c>
      <c r="B13" s="12">
        <f>Подписка!$T$12</f>
        <v>222416.74811808288</v>
      </c>
      <c r="C13" s="12">
        <f t="shared" si="0"/>
        <v>-1074454.7999098031</v>
      </c>
      <c r="D13" s="12">
        <f>MAX(0,-MIN($C$6:C13))</f>
        <v>1463858.1903211805</v>
      </c>
      <c r="E13" s="12">
        <f>D13*Допущения!$B$31</f>
        <v>219578.72854817708</v>
      </c>
      <c r="F13" s="14">
        <f>IF(AND(C13&gt;=0,COUNTIF($C$7:C13,"&gt;=0")=1),1,0)</f>
        <v>0</v>
      </c>
    </row>
    <row r="14" spans="1:6">
      <c r="A14" s="13">
        <v>8</v>
      </c>
      <c r="B14" s="12">
        <f>Подписка!$T$13</f>
        <v>279113.85275522876</v>
      </c>
      <c r="C14" s="12">
        <f t="shared" si="0"/>
        <v>-795340.94715457433</v>
      </c>
      <c r="D14" s="12">
        <f>MAX(0,-MIN($C$6:C14))</f>
        <v>1463858.1903211805</v>
      </c>
      <c r="E14" s="12">
        <f>D14*Допущения!$B$31</f>
        <v>219578.72854817708</v>
      </c>
      <c r="F14" s="14">
        <f>IF(AND(C14&gt;=0,COUNTIF($C$7:C14,"&gt;=0")=1),1,0)</f>
        <v>0</v>
      </c>
    </row>
    <row r="15" spans="1:6">
      <c r="A15" s="13">
        <v>9</v>
      </c>
      <c r="B15" s="12">
        <f>Подписка!$T$14</f>
        <v>327049.18123308802</v>
      </c>
      <c r="C15" s="12">
        <f t="shared" si="0"/>
        <v>-468291.76592148631</v>
      </c>
      <c r="D15" s="12">
        <f>MAX(0,-MIN($C$6:C15))</f>
        <v>1463858.1903211805</v>
      </c>
      <c r="E15" s="12">
        <f>D15*Допущения!$B$31</f>
        <v>219578.72854817708</v>
      </c>
      <c r="F15" s="14">
        <f>IF(AND(C15&gt;=0,COUNTIF($C$7:C15,"&gt;=0")=1),1,0)</f>
        <v>0</v>
      </c>
    </row>
    <row r="16" spans="1:6">
      <c r="A16" s="13">
        <v>10</v>
      </c>
      <c r="B16" s="12">
        <f>Подписка!$T$15</f>
        <v>360294.42759148264</v>
      </c>
      <c r="C16" s="12">
        <f t="shared" si="0"/>
        <v>-107997.33833000367</v>
      </c>
      <c r="D16" s="12">
        <f>MAX(0,-MIN($C$6:C16))</f>
        <v>1463858.1903211805</v>
      </c>
      <c r="E16" s="12">
        <f>D16*Допущения!$B$31</f>
        <v>219578.72854817708</v>
      </c>
      <c r="F16" s="14">
        <f>IF(AND(C16&gt;=0,COUNTIF($C$7:C16,"&gt;=0")=1),1,0)</f>
        <v>0</v>
      </c>
    </row>
    <row r="17" spans="1:6">
      <c r="A17" s="13">
        <v>11</v>
      </c>
      <c r="B17" s="12">
        <f>Подписка!$T$16</f>
        <v>387934.61236027884</v>
      </c>
      <c r="C17" s="12">
        <f t="shared" si="0"/>
        <v>279937.27403027518</v>
      </c>
      <c r="D17" s="12">
        <f>MAX(0,-MIN($C$6:C17))</f>
        <v>1463858.1903211805</v>
      </c>
      <c r="E17" s="12">
        <f>D17*Допущения!$B$31</f>
        <v>219578.72854817708</v>
      </c>
      <c r="F17" s="14">
        <f>IF(AND(C17&gt;=0,COUNTIF($C$7:C17,"&gt;=0")=1),1,0)</f>
        <v>1</v>
      </c>
    </row>
    <row r="18" spans="1:6">
      <c r="A18" s="13">
        <v>12</v>
      </c>
      <c r="B18" s="12">
        <f>Подписка!$T$17</f>
        <v>383311.62593687582</v>
      </c>
      <c r="C18" s="12">
        <f t="shared" si="0"/>
        <v>663248.899967151</v>
      </c>
      <c r="D18" s="12">
        <f>MAX(0,-MIN($C$6:C18))</f>
        <v>1463858.1903211805</v>
      </c>
      <c r="E18" s="12">
        <f>D18*Допущения!$B$31</f>
        <v>219578.72854817708</v>
      </c>
      <c r="F18" s="14">
        <f>IF(AND(C18&gt;=0,COUNTIF($C$7:C18,"&gt;=0")=1),1,0)</f>
        <v>0</v>
      </c>
    </row>
  </sheetData>
  <mergeCells count="2">
    <mergeCell ref="A2:F2"/>
    <mergeCell ref="A3:F3"/>
  </mergeCells>
  <hyperlinks>
    <hyperlink ref="A3" r:id="rId1" xr:uid="{00000000-0004-0000-0500-000000000000}"/>
  </hyperlinks>
  <pageMargins left="0.7" right="0.7" top="0.75" bottom="0.75" header="0.3" footer="0.3"/>
  <pageSetup paperSize="8" scale="10" orientation="landscape" r:id="rId2"/>
  <headerFooter>
    <oddFooter>&amp;L&amp;"Arial,Regular"&amp;8Елизавета Трибунская · tribunska.ru&amp;R&amp;"Arial,Regular"&amp;8&amp;P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Начните здесь</vt:lpstr>
      <vt:lpstr>Итог</vt:lpstr>
      <vt:lpstr>Допущения</vt:lpstr>
      <vt:lpstr>Привлечение</vt:lpstr>
      <vt:lpstr>Подписка</vt:lpstr>
      <vt:lpstr>Деньги</vt:lpstr>
      <vt:lpstr>Деньги!Область_печати</vt:lpstr>
      <vt:lpstr>Допущения!Область_печати</vt:lpstr>
      <vt:lpstr>Итог!Область_печати</vt:lpstr>
      <vt:lpstr>'Начните здесь'!Область_печати</vt:lpstr>
      <vt:lpstr>Подписка!Область_печати</vt:lpstr>
      <vt:lpstr>Привлечение!Область_печати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Трибунская</dc:creator>
  <cp:lastModifiedBy>Lisa Tribunska</cp:lastModifiedBy>
  <dcterms:modified xsi:type="dcterms:W3CDTF">2026-10-05T01:37:15Z</dcterms:modified>
</cp:coreProperties>
</file>