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Lucas\Desktop\MSU\2do Parcial\"/>
    </mc:Choice>
  </mc:AlternateContent>
  <xr:revisionPtr revIDLastSave="0" documentId="13_ncr:1_{72C7F75B-68EA-4B58-A120-411EB1F228E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1" sheetId="1" r:id="rId1"/>
    <sheet name="Sheet1" sheetId="2" r:id="rId2"/>
    <sheet name="Sheet2" sheetId="3" r:id="rId3"/>
    <sheet name="Sheet3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5" i="4" l="1"/>
  <c r="B6" i="3"/>
  <c r="O55" i="4"/>
  <c r="J55" i="4"/>
  <c r="E55" i="4"/>
  <c r="D55" i="4"/>
  <c r="P57" i="4"/>
  <c r="A58" i="4" s="1"/>
  <c r="K57" i="4"/>
  <c r="F57" i="4"/>
  <c r="A57" i="4"/>
  <c r="C55" i="4"/>
  <c r="B55" i="4"/>
  <c r="A55" i="4"/>
  <c r="B31" i="4"/>
  <c r="A31" i="4"/>
  <c r="C14" i="4"/>
  <c r="B14" i="4"/>
  <c r="A14" i="4"/>
  <c r="B4" i="4"/>
  <c r="H31" i="4" s="1"/>
  <c r="P58" i="4" l="1"/>
  <c r="A59" i="4" s="1"/>
  <c r="K58" i="4"/>
  <c r="F58" i="4"/>
  <c r="H14" i="4"/>
  <c r="F31" i="4"/>
  <c r="K31" i="4"/>
  <c r="L31" i="4"/>
  <c r="F14" i="4"/>
  <c r="K55" i="4"/>
  <c r="D14" i="4"/>
  <c r="G14" i="4" s="1"/>
  <c r="P55" i="4"/>
  <c r="A56" i="4" s="1"/>
  <c r="H55" i="4"/>
  <c r="F55" i="4"/>
  <c r="G31" i="4"/>
  <c r="F59" i="4" l="1"/>
  <c r="P59" i="4"/>
  <c r="A60" i="4" s="1"/>
  <c r="K59" i="4"/>
  <c r="K56" i="4"/>
  <c r="F56" i="4"/>
  <c r="P56" i="4"/>
  <c r="G55" i="4"/>
  <c r="M55" i="4" l="1"/>
  <c r="I55" i="4"/>
  <c r="L55" i="4" s="1"/>
  <c r="F60" i="4"/>
  <c r="P60" i="4"/>
  <c r="K60" i="4"/>
  <c r="R55" i="4" l="1"/>
  <c r="N55" i="4"/>
  <c r="Q55" i="4" s="1"/>
  <c r="S55" i="4" s="1"/>
  <c r="U55" i="4" s="1"/>
  <c r="B56" i="4" s="1"/>
  <c r="V55" i="4" l="1"/>
  <c r="C56" i="4" s="1"/>
  <c r="D56" i="4" s="1"/>
  <c r="E56" i="4"/>
  <c r="G56" i="4" l="1"/>
  <c r="H56" i="4"/>
  <c r="I56" i="4" s="1"/>
  <c r="L56" i="4" s="1"/>
  <c r="J56" i="4" l="1"/>
  <c r="M56" i="4" l="1"/>
  <c r="N56" i="4" l="1"/>
  <c r="O56" i="4"/>
  <c r="R56" i="4" l="1"/>
  <c r="S56" i="4" s="1"/>
  <c r="U56" i="4" s="1"/>
  <c r="B57" i="4" s="1"/>
  <c r="Q56" i="4"/>
  <c r="T56" i="4" l="1"/>
  <c r="V56" i="4" s="1"/>
  <c r="C57" i="4" s="1"/>
  <c r="C6" i="3"/>
  <c r="L7" i="3"/>
  <c r="I7" i="3"/>
  <c r="L6" i="3"/>
  <c r="I6" i="3"/>
  <c r="L5" i="3"/>
  <c r="L8" i="3" s="1"/>
  <c r="I5" i="3"/>
  <c r="I8" i="3" s="1"/>
  <c r="D57" i="4" l="1"/>
  <c r="G57" i="4" s="1"/>
  <c r="E57" i="4"/>
  <c r="H57" i="4" s="1"/>
  <c r="I57" i="4" s="1"/>
  <c r="L57" i="4" s="1"/>
  <c r="D6" i="3"/>
  <c r="F6" i="3" s="1"/>
  <c r="J57" i="4" l="1"/>
  <c r="M57" i="4" s="1"/>
  <c r="N57" i="4" s="1"/>
  <c r="Q57" i="4" s="1"/>
  <c r="E6" i="3"/>
  <c r="A7" i="3"/>
  <c r="B7" i="3" s="1"/>
  <c r="O57" i="4" l="1"/>
  <c r="R57" i="4" s="1"/>
  <c r="S57" i="4" s="1"/>
  <c r="U57" i="4" s="1"/>
  <c r="B58" i="4" s="1"/>
  <c r="C7" i="3"/>
  <c r="T57" i="4" l="1"/>
  <c r="V57" i="4" s="1"/>
  <c r="C58" i="4" s="1"/>
  <c r="D7" i="3"/>
  <c r="D58" i="4" l="1"/>
  <c r="G58" i="4" s="1"/>
  <c r="E58" i="4"/>
  <c r="H58" i="4" s="1"/>
  <c r="I58" i="4" s="1"/>
  <c r="L58" i="4" s="1"/>
  <c r="F7" i="3"/>
  <c r="A8" i="3"/>
  <c r="B8" i="3" s="1"/>
  <c r="E7" i="3"/>
  <c r="J58" i="4" l="1"/>
  <c r="M58" i="4" s="1"/>
  <c r="N58" i="4" s="1"/>
  <c r="Q58" i="4" s="1"/>
  <c r="C8" i="3"/>
  <c r="I53" i="2"/>
  <c r="I52" i="2"/>
  <c r="I51" i="2"/>
  <c r="I50" i="2"/>
  <c r="I49" i="2"/>
  <c r="I48" i="2"/>
  <c r="K48" i="2" s="1"/>
  <c r="L48" i="2" s="1"/>
  <c r="K52" i="2"/>
  <c r="L52" i="2" s="1"/>
  <c r="K51" i="2"/>
  <c r="L51" i="2" s="1"/>
  <c r="K50" i="2"/>
  <c r="L50" i="2" s="1"/>
  <c r="K49" i="2"/>
  <c r="L49" i="2" s="1"/>
  <c r="B53" i="2"/>
  <c r="E41" i="2"/>
  <c r="F37" i="2"/>
  <c r="D37" i="2"/>
  <c r="C37" i="2"/>
  <c r="F32" i="2"/>
  <c r="D32" i="2"/>
  <c r="C32" i="2"/>
  <c r="B32" i="2"/>
  <c r="F31" i="2"/>
  <c r="D31" i="2"/>
  <c r="C31" i="2"/>
  <c r="B31" i="2"/>
  <c r="B27" i="2"/>
  <c r="C27" i="2"/>
  <c r="D27" i="2"/>
  <c r="F27" i="2"/>
  <c r="K18" i="2"/>
  <c r="K17" i="2"/>
  <c r="K16" i="2"/>
  <c r="K15" i="2"/>
  <c r="K14" i="2"/>
  <c r="I18" i="2"/>
  <c r="I17" i="2"/>
  <c r="I16" i="2"/>
  <c r="I15" i="2"/>
  <c r="I14" i="2"/>
  <c r="H18" i="2"/>
  <c r="H17" i="2"/>
  <c r="H16" i="2"/>
  <c r="H15" i="2"/>
  <c r="H19" i="2" s="1"/>
  <c r="H14" i="2"/>
  <c r="G18" i="2"/>
  <c r="G17" i="2"/>
  <c r="G16" i="2"/>
  <c r="G15" i="2"/>
  <c r="G19" i="2" s="1"/>
  <c r="G14" i="2"/>
  <c r="F18" i="2"/>
  <c r="F17" i="2"/>
  <c r="F16" i="2"/>
  <c r="F15" i="2"/>
  <c r="F14" i="2"/>
  <c r="D18" i="2"/>
  <c r="D17" i="2"/>
  <c r="D16" i="2"/>
  <c r="D15" i="2"/>
  <c r="D14" i="2"/>
  <c r="D19" i="2" s="1"/>
  <c r="C18" i="2"/>
  <c r="C17" i="2"/>
  <c r="C16" i="2"/>
  <c r="C15" i="2"/>
  <c r="C14" i="2"/>
  <c r="K19" i="2"/>
  <c r="J19" i="2"/>
  <c r="E19" i="2"/>
  <c r="C19" i="2"/>
  <c r="B19" i="2"/>
  <c r="A19" i="2"/>
  <c r="J18" i="2"/>
  <c r="E18" i="2"/>
  <c r="J17" i="2"/>
  <c r="E17" i="2"/>
  <c r="J16" i="2"/>
  <c r="E16" i="2"/>
  <c r="J15" i="2"/>
  <c r="E15" i="2"/>
  <c r="J14" i="2"/>
  <c r="E14" i="2"/>
  <c r="E23" i="1"/>
  <c r="B23" i="1"/>
  <c r="A23" i="1"/>
  <c r="G22" i="1"/>
  <c r="D22" i="1"/>
  <c r="F22" i="1" s="1"/>
  <c r="C22" i="1"/>
  <c r="G21" i="1"/>
  <c r="D21" i="1"/>
  <c r="F21" i="1" s="1"/>
  <c r="C21" i="1"/>
  <c r="G20" i="1"/>
  <c r="D20" i="1"/>
  <c r="F20" i="1" s="1"/>
  <c r="C20" i="1"/>
  <c r="G19" i="1"/>
  <c r="D19" i="1"/>
  <c r="F19" i="1" s="1"/>
  <c r="C19" i="1"/>
  <c r="G18" i="1"/>
  <c r="D18" i="1"/>
  <c r="F18" i="1" s="1"/>
  <c r="C18" i="1"/>
  <c r="G17" i="1"/>
  <c r="D17" i="1"/>
  <c r="F17" i="1" s="1"/>
  <c r="C17" i="1"/>
  <c r="G16" i="1"/>
  <c r="D16" i="1"/>
  <c r="D23" i="1" s="1"/>
  <c r="C16" i="1"/>
  <c r="G15" i="1"/>
  <c r="D15" i="1"/>
  <c r="F15" i="1" s="1"/>
  <c r="C15" i="1"/>
  <c r="G14" i="1"/>
  <c r="G23" i="1" s="1"/>
  <c r="E28" i="1" s="1"/>
  <c r="D14" i="1"/>
  <c r="F14" i="1" s="1"/>
  <c r="C14" i="1"/>
  <c r="C23" i="1" s="1"/>
  <c r="B27" i="1" s="1"/>
  <c r="O58" i="4" l="1"/>
  <c r="R58" i="4" s="1"/>
  <c r="S58" i="4" s="1"/>
  <c r="U58" i="4" s="1"/>
  <c r="B59" i="4" s="1"/>
  <c r="D8" i="3"/>
  <c r="L53" i="2"/>
  <c r="I19" i="2"/>
  <c r="F19" i="2"/>
  <c r="C27" i="1"/>
  <c r="B28" i="1"/>
  <c r="F23" i="1"/>
  <c r="E27" i="1" s="1"/>
  <c r="F16" i="1"/>
  <c r="T58" i="4" l="1"/>
  <c r="V58" i="4" s="1"/>
  <c r="C59" i="4" s="1"/>
  <c r="A9" i="3"/>
  <c r="B9" i="3" s="1"/>
  <c r="F8" i="3"/>
  <c r="E8" i="3"/>
  <c r="H27" i="1"/>
  <c r="D59" i="4" l="1"/>
  <c r="E59" i="4"/>
  <c r="H59" i="4" s="1"/>
  <c r="I59" i="4" s="1"/>
  <c r="L59" i="4" s="1"/>
  <c r="C9" i="3"/>
  <c r="C32" i="1"/>
  <c r="E32" i="1"/>
  <c r="B32" i="1"/>
  <c r="G59" i="4" l="1"/>
  <c r="J59" i="4" s="1"/>
  <c r="M59" i="4" s="1"/>
  <c r="N59" i="4" s="1"/>
  <c r="Q59" i="4" s="1"/>
  <c r="D9" i="3"/>
  <c r="E35" i="1"/>
  <c r="E36" i="1" s="1"/>
  <c r="O59" i="4" l="1"/>
  <c r="R59" i="4" s="1"/>
  <c r="S59" i="4" s="1"/>
  <c r="U59" i="4" s="1"/>
  <c r="B60" i="4" s="1"/>
  <c r="A10" i="3"/>
  <c r="B10" i="3" s="1"/>
  <c r="F9" i="3"/>
  <c r="E9" i="3"/>
  <c r="B51" i="1"/>
  <c r="B50" i="1"/>
  <c r="B45" i="1"/>
  <c r="D45" i="1" s="1"/>
  <c r="E45" i="1" s="1"/>
  <c r="B41" i="1"/>
  <c r="D41" i="1" s="1"/>
  <c r="E41" i="1" s="1"/>
  <c r="B49" i="1"/>
  <c r="D49" i="1" s="1"/>
  <c r="E49" i="1" s="1"/>
  <c r="B44" i="1"/>
  <c r="D44" i="1" s="1"/>
  <c r="E44" i="1" s="1"/>
  <c r="B42" i="1"/>
  <c r="D42" i="1" s="1"/>
  <c r="E42" i="1" s="1"/>
  <c r="B48" i="1"/>
  <c r="D48" i="1" s="1"/>
  <c r="E48" i="1" s="1"/>
  <c r="B47" i="1"/>
  <c r="D47" i="1" s="1"/>
  <c r="E47" i="1" s="1"/>
  <c r="B43" i="1"/>
  <c r="D43" i="1" s="1"/>
  <c r="E43" i="1" s="1"/>
  <c r="B46" i="1"/>
  <c r="D46" i="1" s="1"/>
  <c r="E46" i="1" s="1"/>
  <c r="T59" i="4" l="1"/>
  <c r="V59" i="4" s="1"/>
  <c r="C60" i="4" s="1"/>
  <c r="C10" i="3"/>
  <c r="D10" i="3" s="1"/>
  <c r="E50" i="1"/>
  <c r="I26" i="2"/>
  <c r="D60" i="4" l="1"/>
  <c r="G60" i="4" s="1"/>
  <c r="E60" i="4"/>
  <c r="H60" i="4" s="1"/>
  <c r="I60" i="4" s="1"/>
  <c r="L60" i="4" s="1"/>
  <c r="A11" i="3"/>
  <c r="B11" i="3" s="1"/>
  <c r="E10" i="3"/>
  <c r="F10" i="3"/>
  <c r="I27" i="2"/>
  <c r="J60" i="4" l="1"/>
  <c r="M60" i="4" s="1"/>
  <c r="N60" i="4" s="1"/>
  <c r="Q60" i="4" s="1"/>
  <c r="C11" i="3"/>
  <c r="D11" i="3" s="1"/>
  <c r="I32" i="2"/>
  <c r="O60" i="4" l="1"/>
  <c r="R60" i="4" s="1"/>
  <c r="S60" i="4" s="1"/>
  <c r="U60" i="4" s="1"/>
  <c r="A12" i="3"/>
  <c r="B12" i="3" s="1"/>
  <c r="E11" i="3"/>
  <c r="F11" i="3"/>
  <c r="E40" i="2"/>
  <c r="E42" i="2" s="1"/>
  <c r="T60" i="4" l="1"/>
  <c r="V60" i="4" s="1"/>
  <c r="C12" i="3"/>
  <c r="B52" i="2"/>
  <c r="B51" i="2"/>
  <c r="B50" i="2"/>
  <c r="B49" i="2"/>
  <c r="B48" i="2"/>
  <c r="D48" i="2" s="1"/>
  <c r="E48" i="2" s="1"/>
  <c r="E53" i="2" s="1"/>
  <c r="D52" i="2"/>
  <c r="E52" i="2" s="1"/>
  <c r="D50" i="2"/>
  <c r="E50" i="2" s="1"/>
  <c r="D51" i="2"/>
  <c r="E51" i="2" s="1"/>
  <c r="D49" i="2"/>
  <c r="E49" i="2" s="1"/>
  <c r="D12" i="3" l="1"/>
  <c r="E12" i="3" s="1"/>
  <c r="F12" i="3" l="1"/>
  <c r="A13" i="3"/>
  <c r="B13" i="3" s="1"/>
  <c r="C13" i="3" l="1"/>
  <c r="D13" i="3"/>
  <c r="F13" i="3" s="1"/>
  <c r="E13" i="3" l="1"/>
</calcChain>
</file>

<file path=xl/sharedStrings.xml><?xml version="1.0" encoding="utf-8"?>
<sst xmlns="http://schemas.openxmlformats.org/spreadsheetml/2006/main" count="277" uniqueCount="143">
  <si>
    <t>x</t>
  </si>
  <si>
    <t>y</t>
  </si>
  <si>
    <t>sen(0,2x)</t>
  </si>
  <si>
    <t>Θ1</t>
  </si>
  <si>
    <t>sen2(0,2x)</t>
  </si>
  <si>
    <t>c1</t>
  </si>
  <si>
    <t>y.sen(0,2x)</t>
  </si>
  <si>
    <t>Θ2</t>
  </si>
  <si>
    <t>c2</t>
  </si>
  <si>
    <t>M1</t>
  </si>
  <si>
    <t>f1(x) = 0,9155.sen(0,2x)+2,8975</t>
  </si>
  <si>
    <t>f(xk)</t>
  </si>
  <si>
    <t>yk - f(xk)</t>
  </si>
  <si>
    <t>(yk - f(xk))^2</t>
  </si>
  <si>
    <t>ETE ES MEJOR</t>
  </si>
  <si>
    <t>x^2</t>
  </si>
  <si>
    <t>x^4</t>
  </si>
  <si>
    <t>x^3</t>
  </si>
  <si>
    <t>x.y</t>
  </si>
  <si>
    <t>c3</t>
  </si>
  <si>
    <t>M2</t>
  </si>
  <si>
    <t>M3</t>
  </si>
  <si>
    <t>C3</t>
  </si>
  <si>
    <t>C2</t>
  </si>
  <si>
    <t>C1</t>
  </si>
  <si>
    <t>sen(x)</t>
  </si>
  <si>
    <t>f1(x) = c1.sen(x)+c2*x^2</t>
  </si>
  <si>
    <t>Θ3</t>
  </si>
  <si>
    <t>Ln(x)</t>
  </si>
  <si>
    <t>f2(x) = c1x^3 +c2x +c3*Ln(x)</t>
  </si>
  <si>
    <t>x^6</t>
  </si>
  <si>
    <t>x^3 * Ln(x)</t>
  </si>
  <si>
    <t>x * Ln(x)</t>
  </si>
  <si>
    <t xml:space="preserve">Ln(x) ^2 </t>
  </si>
  <si>
    <t>Ln(x) * y</t>
  </si>
  <si>
    <t>x^3.y</t>
  </si>
  <si>
    <t>Ln(x)*y</t>
  </si>
  <si>
    <t>f2(x) = 0,1x^3 +1,24x +0,1*Ln(x)</t>
  </si>
  <si>
    <t>X</t>
  </si>
  <si>
    <t>F= SEN(X) + 2,0054 * X^2</t>
  </si>
  <si>
    <t>f'(x)=</t>
  </si>
  <si>
    <t>x1 =</t>
  </si>
  <si>
    <t>a -3 a -2</t>
  </si>
  <si>
    <t>f''(x)=</t>
  </si>
  <si>
    <t>f'''(x)=</t>
  </si>
  <si>
    <t>a -sen(x) + 1,98</t>
  </si>
  <si>
    <t>Convergencia 2,5</t>
  </si>
  <si>
    <t>Convergencia 3,5</t>
  </si>
  <si>
    <t>f(xi)</t>
  </si>
  <si>
    <t>f'(xi)</t>
  </si>
  <si>
    <t>xi+1</t>
  </si>
  <si>
    <t>dx</t>
  </si>
  <si>
    <t>dy</t>
  </si>
  <si>
    <t>f(x)=</t>
  </si>
  <si>
    <t>R</t>
  </si>
  <si>
    <t>A 3X^2 -140X + 150 + 1200/(4*X + 1)</t>
  </si>
  <si>
    <t>b 6X -140  + 4800/(4*X + 1)^2</t>
  </si>
  <si>
    <t>x final</t>
  </si>
  <si>
    <t xml:space="preserve">y incial </t>
  </si>
  <si>
    <t>Yo=</t>
  </si>
  <si>
    <t>Yo</t>
  </si>
  <si>
    <t>x incial</t>
  </si>
  <si>
    <t>y' inicial</t>
  </si>
  <si>
    <t>Y'o=</t>
  </si>
  <si>
    <t>Zo</t>
  </si>
  <si>
    <t>a -2*y^2 -cos(x) +3*y'</t>
  </si>
  <si>
    <t>pasos</t>
  </si>
  <si>
    <t>Xo=</t>
  </si>
  <si>
    <t>Xo</t>
  </si>
  <si>
    <t>h trabajo</t>
  </si>
  <si>
    <t>Y' = Z</t>
  </si>
  <si>
    <t>Z=f(x,y,z)</t>
  </si>
  <si>
    <t>Y'' = Z'</t>
  </si>
  <si>
    <t>Z'=g(x, y , z)</t>
  </si>
  <si>
    <t>Xm+1=</t>
  </si>
  <si>
    <t>Xm + h</t>
  </si>
  <si>
    <t>Ym+1=</t>
  </si>
  <si>
    <t>Ym + h*f(Xm;Ym;Zm)</t>
  </si>
  <si>
    <t>Zm+1=</t>
  </si>
  <si>
    <t>Zm + h*g(Xm;Ym;Zm)</t>
  </si>
  <si>
    <t>Euler</t>
  </si>
  <si>
    <t>Xm</t>
  </si>
  <si>
    <t>Ym</t>
  </si>
  <si>
    <t>Zm</t>
  </si>
  <si>
    <t>f(Xm; Ym;Zm)</t>
  </si>
  <si>
    <t>g(Xm; Ym; Zm)</t>
  </si>
  <si>
    <t>Xm+1</t>
  </si>
  <si>
    <t>Ym+1</t>
  </si>
  <si>
    <t>Zm+1</t>
  </si>
  <si>
    <t>…</t>
  </si>
  <si>
    <t>y' =</t>
  </si>
  <si>
    <t>Z'=</t>
  </si>
  <si>
    <t>g(Xm; Ym;Zm)</t>
  </si>
  <si>
    <t>Ym+1 e=</t>
  </si>
  <si>
    <t>Zm+1 e=</t>
  </si>
  <si>
    <t>A=</t>
  </si>
  <si>
    <t>f(Xm+1, Ym+1 e; Zm+1 e)</t>
  </si>
  <si>
    <t>B=</t>
  </si>
  <si>
    <t>g(Xm+1, Ym+1 e; Zm+1 e)</t>
  </si>
  <si>
    <t>Ym + h/2 * [y' + A]</t>
  </si>
  <si>
    <t>Zm + h/2 * [z' + B]</t>
  </si>
  <si>
    <t>Euler Mejorado</t>
  </si>
  <si>
    <t>f(Xm; Ym; Zm)</t>
  </si>
  <si>
    <t>Ym+1 e</t>
  </si>
  <si>
    <t>Zm+1 e</t>
  </si>
  <si>
    <t>A</t>
  </si>
  <si>
    <t>B</t>
  </si>
  <si>
    <t>Ym + h/6 * (K1+2K2+2K3+K4)</t>
  </si>
  <si>
    <t>Zm + h/6 * (L1+2L2+2L3+K4)</t>
  </si>
  <si>
    <t>K1=</t>
  </si>
  <si>
    <t>L1=</t>
  </si>
  <si>
    <t>K2=</t>
  </si>
  <si>
    <t>f(Xm + h/2; Ym + (h/2*K1); Zm + (h/2)*L1)</t>
  </si>
  <si>
    <t>L2=</t>
  </si>
  <si>
    <t>g(Xm + h/2; Ym + (h/2*K1); Zm + (h/2)*L1)</t>
  </si>
  <si>
    <t>K3=</t>
  </si>
  <si>
    <t>f(Xm + h/2; Ym + (h/2*K2);  Zm + (h/2)*L2)</t>
  </si>
  <si>
    <t>L3=</t>
  </si>
  <si>
    <t>g(Xm + h/2; Ym + (h/2*K2);  Zm + (h/2)*L2)</t>
  </si>
  <si>
    <t>K4=</t>
  </si>
  <si>
    <t>f(Xm + h; Ym + (h*K3); Zm + (h*L3))</t>
  </si>
  <si>
    <t>L4=</t>
  </si>
  <si>
    <t>g(Xm + h; Ym + (h*K3); Zm + (h*L3))</t>
  </si>
  <si>
    <t>C:</t>
  </si>
  <si>
    <t>Runge Kutta</t>
  </si>
  <si>
    <t>=</t>
  </si>
  <si>
    <t xml:space="preserve"> K1</t>
  </si>
  <si>
    <t xml:space="preserve"> L1</t>
  </si>
  <si>
    <t>Xm + h/2</t>
  </si>
  <si>
    <t>Ym + h/2*K1</t>
  </si>
  <si>
    <t>Zm + h/2*L1</t>
  </si>
  <si>
    <t>K2</t>
  </si>
  <si>
    <t>L2</t>
  </si>
  <si>
    <t>Ym + h/2*K2</t>
  </si>
  <si>
    <t>Zm + h/2*L2</t>
  </si>
  <si>
    <t>K3</t>
  </si>
  <si>
    <t>L3</t>
  </si>
  <si>
    <t>Ym + h*K3</t>
  </si>
  <si>
    <t>Zm + h*L3</t>
  </si>
  <si>
    <t>K4</t>
  </si>
  <si>
    <t>L4</t>
  </si>
  <si>
    <t>y'=z=(20 -xz -0,8y) /2</t>
  </si>
  <si>
    <t>z'= y'' =( (1/10) * zy  -(4/3) * x^2 ) *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</si>
</sst>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00"/>
    <numFmt numFmtId="167" formatCode="0.0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202124"/>
      <name val="Arial"/>
      <family val="2"/>
    </font>
    <font>
      <sz val="12"/>
      <color rgb="FF202124"/>
      <name val="Arial"/>
      <family val="2"/>
    </font>
    <font>
      <sz val="11"/>
      <color theme="4" tint="0.7999816888943144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8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8" xfId="0" applyFont="1" applyBorder="1"/>
    <xf numFmtId="0" fontId="0" fillId="0" borderId="4" xfId="0" applyBorder="1" applyAlignment="1">
      <alignment horizontal="right"/>
    </xf>
    <xf numFmtId="0" fontId="3" fillId="0" borderId="2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11" xfId="0" applyFont="1" applyBorder="1"/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0" xfId="0" applyFont="1"/>
    <xf numFmtId="0" fontId="0" fillId="0" borderId="16" xfId="0" applyBorder="1"/>
    <xf numFmtId="0" fontId="0" fillId="0" borderId="12" xfId="0" applyBorder="1"/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4" borderId="2" xfId="0" applyFill="1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/>
    <xf numFmtId="0" fontId="0" fillId="5" borderId="3" xfId="0" applyFill="1" applyBorder="1"/>
    <xf numFmtId="0" fontId="0" fillId="5" borderId="4" xfId="0" applyFill="1" applyBorder="1"/>
    <xf numFmtId="0" fontId="0" fillId="5" borderId="16" xfId="0" applyFill="1" applyBorder="1"/>
    <xf numFmtId="0" fontId="0" fillId="5" borderId="12" xfId="0" applyFill="1" applyBorder="1"/>
    <xf numFmtId="0" fontId="0" fillId="0" borderId="8" xfId="0" applyBorder="1"/>
    <xf numFmtId="0" fontId="0" fillId="0" borderId="23" xfId="0" applyBorder="1"/>
    <xf numFmtId="0" fontId="0" fillId="0" borderId="24" xfId="0" applyBorder="1"/>
    <xf numFmtId="0" fontId="4" fillId="0" borderId="1" xfId="0" applyFont="1" applyBorder="1"/>
    <xf numFmtId="0" fontId="0" fillId="0" borderId="7" xfId="0" applyBorder="1" applyAlignment="1">
      <alignment horizontal="right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7" xfId="0" applyBorder="1"/>
    <xf numFmtId="0" fontId="0" fillId="0" borderId="11" xfId="0" applyBorder="1"/>
    <xf numFmtId="0" fontId="0" fillId="0" borderId="29" xfId="0" applyBorder="1"/>
    <xf numFmtId="0" fontId="0" fillId="0" borderId="7" xfId="0" applyBorder="1" applyAlignment="1">
      <alignment horizontal="center"/>
    </xf>
    <xf numFmtId="0" fontId="0" fillId="0" borderId="25" xfId="0" applyBorder="1"/>
    <xf numFmtId="0" fontId="0" fillId="0" borderId="27" xfId="0" applyBorder="1"/>
    <xf numFmtId="0" fontId="0" fillId="0" borderId="30" xfId="0" applyBorder="1"/>
    <xf numFmtId="0" fontId="0" fillId="0" borderId="31" xfId="0" applyBorder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6" borderId="11" xfId="0" applyFill="1" applyBorder="1"/>
    <xf numFmtId="0" fontId="2" fillId="0" borderId="0" xfId="0" applyFont="1" applyAlignment="1">
      <alignment horizontal="right"/>
    </xf>
    <xf numFmtId="0" fontId="0" fillId="0" borderId="1" xfId="0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7" borderId="0" xfId="0" applyFill="1" applyAlignment="1">
      <alignment horizontal="center"/>
    </xf>
    <xf numFmtId="0" fontId="2" fillId="8" borderId="0" xfId="0" applyFont="1" applyFill="1" applyAlignment="1">
      <alignment horizontal="center"/>
    </xf>
    <xf numFmtId="0" fontId="1" fillId="2" borderId="0" xfId="1" applyAlignment="1">
      <alignment horizontal="center"/>
    </xf>
    <xf numFmtId="0" fontId="2" fillId="0" borderId="2" xfId="0" applyFont="1" applyBorder="1" applyAlignment="1">
      <alignment horizontal="right"/>
    </xf>
    <xf numFmtId="0" fontId="0" fillId="4" borderId="0" xfId="0" applyFill="1"/>
    <xf numFmtId="0" fontId="0" fillId="9" borderId="0" xfId="0" applyFill="1"/>
    <xf numFmtId="0" fontId="2" fillId="0" borderId="1" xfId="0" applyFont="1" applyBorder="1" applyAlignment="1">
      <alignment horizontal="right"/>
    </xf>
    <xf numFmtId="166" fontId="0" fillId="4" borderId="0" xfId="0" applyNumberFormat="1" applyFill="1"/>
    <xf numFmtId="0" fontId="2" fillId="0" borderId="32" xfId="0" applyFont="1" applyBorder="1"/>
    <xf numFmtId="0" fontId="2" fillId="0" borderId="4" xfId="0" applyFont="1" applyBorder="1" applyAlignment="1">
      <alignment horizontal="center"/>
    </xf>
    <xf numFmtId="0" fontId="0" fillId="8" borderId="8" xfId="0" applyFill="1" applyBorder="1" applyAlignment="1">
      <alignment horizontal="right"/>
    </xf>
    <xf numFmtId="0" fontId="0" fillId="8" borderId="4" xfId="0" applyFill="1" applyBorder="1"/>
    <xf numFmtId="0" fontId="2" fillId="0" borderId="33" xfId="0" applyFont="1" applyBorder="1"/>
    <xf numFmtId="0" fontId="2" fillId="0" borderId="6" xfId="0" applyFont="1" applyBorder="1" applyAlignment="1">
      <alignment horizontal="center"/>
    </xf>
    <xf numFmtId="0" fontId="2" fillId="0" borderId="2" xfId="0" applyFont="1" applyBorder="1"/>
    <xf numFmtId="0" fontId="0" fillId="8" borderId="1" xfId="0" applyFill="1" applyBorder="1" applyAlignment="1">
      <alignment horizontal="right"/>
    </xf>
    <xf numFmtId="0" fontId="0" fillId="8" borderId="7" xfId="0" applyFill="1" applyBorder="1"/>
    <xf numFmtId="0" fontId="2" fillId="10" borderId="2" xfId="0" applyFont="1" applyFill="1" applyBorder="1"/>
    <xf numFmtId="0" fontId="2" fillId="10" borderId="7" xfId="0" applyFont="1" applyFill="1" applyBorder="1" applyAlignment="1">
      <alignment horizontal="center"/>
    </xf>
    <xf numFmtId="0" fontId="2" fillId="11" borderId="2" xfId="0" applyFont="1" applyFill="1" applyBorder="1"/>
    <xf numFmtId="0" fontId="2" fillId="11" borderId="7" xfId="0" applyFont="1" applyFill="1" applyBorder="1" applyAlignment="1">
      <alignment horizontal="center"/>
    </xf>
    <xf numFmtId="0" fontId="0" fillId="0" borderId="0" xfId="0"/>
    <xf numFmtId="0" fontId="5" fillId="12" borderId="32" xfId="0" applyFont="1" applyFill="1" applyBorder="1" applyAlignment="1">
      <alignment horizontal="center"/>
    </xf>
    <xf numFmtId="0" fontId="5" fillId="12" borderId="14" xfId="0" applyFont="1" applyFill="1" applyBorder="1" applyAlignment="1">
      <alignment horizontal="center"/>
    </xf>
    <xf numFmtId="0" fontId="2" fillId="13" borderId="2" xfId="0" applyFont="1" applyFill="1" applyBorder="1" applyAlignment="1">
      <alignment horizontal="right"/>
    </xf>
    <xf numFmtId="0" fontId="0" fillId="9" borderId="1" xfId="0" applyFill="1" applyBorder="1"/>
    <xf numFmtId="0" fontId="0" fillId="9" borderId="7" xfId="0" applyFill="1" applyBorder="1"/>
    <xf numFmtId="0" fontId="2" fillId="11" borderId="2" xfId="0" applyFont="1" applyFill="1" applyBorder="1" applyAlignment="1">
      <alignment horizontal="center"/>
    </xf>
    <xf numFmtId="0" fontId="2" fillId="11" borderId="34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right"/>
    </xf>
    <xf numFmtId="0" fontId="2" fillId="13" borderId="7" xfId="0" applyFont="1" applyFill="1" applyBorder="1" applyAlignment="1">
      <alignment horizontal="right"/>
    </xf>
    <xf numFmtId="0" fontId="0" fillId="9" borderId="34" xfId="0" applyFill="1" applyBorder="1"/>
    <xf numFmtId="0" fontId="0" fillId="9" borderId="7" xfId="0" applyFill="1" applyBorder="1" applyAlignment="1">
      <alignment horizontal="center"/>
    </xf>
    <xf numFmtId="0" fontId="0" fillId="9" borderId="35" xfId="0" applyFill="1" applyBorder="1"/>
    <xf numFmtId="0" fontId="0" fillId="9" borderId="12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9" borderId="7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9" borderId="34" xfId="0" applyFill="1" applyBorder="1" applyAlignment="1">
      <alignment horizontal="left"/>
    </xf>
    <xf numFmtId="0" fontId="0" fillId="9" borderId="7" xfId="0" applyFill="1" applyBorder="1" applyAlignment="1">
      <alignment horizontal="left"/>
    </xf>
    <xf numFmtId="0" fontId="0" fillId="14" borderId="2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7" xfId="0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4" borderId="14" xfId="0" applyFill="1" applyBorder="1"/>
    <xf numFmtId="0" fontId="2" fillId="0" borderId="27" xfId="0" applyFont="1" applyBorder="1" applyAlignment="1">
      <alignment horizontal="center"/>
    </xf>
    <xf numFmtId="0" fontId="0" fillId="0" borderId="36" xfId="0" applyBorder="1"/>
    <xf numFmtId="0" fontId="0" fillId="6" borderId="1" xfId="0" applyFill="1" applyBorder="1"/>
    <xf numFmtId="0" fontId="2" fillId="0" borderId="32" xfId="0" applyFont="1" applyBorder="1" applyAlignment="1">
      <alignment horizontal="center"/>
    </xf>
    <xf numFmtId="167" fontId="0" fillId="0" borderId="12" xfId="0" applyNumberFormat="1" applyBorder="1"/>
  </cellXfs>
  <cellStyles count="2">
    <cellStyle name="Good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12</xdr:col>
      <xdr:colOff>304800</xdr:colOff>
      <xdr:row>3</xdr:row>
      <xdr:rowOff>104775</xdr:rowOff>
    </xdr:to>
    <xdr:sp macro="" textlink="">
      <xdr:nvSpPr>
        <xdr:cNvPr id="4097" name="AutoShape 1">
          <a:extLst>
            <a:ext uri="{FF2B5EF4-FFF2-40B4-BE49-F238E27FC236}">
              <a16:creationId xmlns:a16="http://schemas.microsoft.com/office/drawing/2014/main" id="{6D4B1BA9-7A02-4C2D-8B87-89F927D94D90}"/>
            </a:ext>
          </a:extLst>
        </xdr:cNvPr>
        <xdr:cNvSpPr>
          <a:spLocks noChangeAspect="1" noChangeArrowheads="1"/>
        </xdr:cNvSpPr>
      </xdr:nvSpPr>
      <xdr:spPr bwMode="auto">
        <a:xfrm>
          <a:off x="10734675" y="40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3</xdr:row>
      <xdr:rowOff>0</xdr:rowOff>
    </xdr:from>
    <xdr:to>
      <xdr:col>12</xdr:col>
      <xdr:colOff>304800</xdr:colOff>
      <xdr:row>4</xdr:row>
      <xdr:rowOff>104775</xdr:rowOff>
    </xdr:to>
    <xdr:sp macro="" textlink="">
      <xdr:nvSpPr>
        <xdr:cNvPr id="4098" name="AutoShape 2">
          <a:extLst>
            <a:ext uri="{FF2B5EF4-FFF2-40B4-BE49-F238E27FC236}">
              <a16:creationId xmlns:a16="http://schemas.microsoft.com/office/drawing/2014/main" id="{898BBC13-3727-44B1-A129-09727D85EB66}"/>
            </a:ext>
          </a:extLst>
        </xdr:cNvPr>
        <xdr:cNvSpPr>
          <a:spLocks noChangeAspect="1" noChangeArrowheads="1"/>
        </xdr:cNvSpPr>
      </xdr:nvSpPr>
      <xdr:spPr bwMode="auto">
        <a:xfrm>
          <a:off x="10734675" y="60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304800</xdr:colOff>
      <xdr:row>7</xdr:row>
      <xdr:rowOff>104775</xdr:rowOff>
    </xdr:to>
    <xdr:sp macro="" textlink="">
      <xdr:nvSpPr>
        <xdr:cNvPr id="4099" name="AutoShape 3">
          <a:extLst>
            <a:ext uri="{FF2B5EF4-FFF2-40B4-BE49-F238E27FC236}">
              <a16:creationId xmlns:a16="http://schemas.microsoft.com/office/drawing/2014/main" id="{C822B691-3E68-4D6F-8E9C-5A99BB1A9A90}"/>
            </a:ext>
          </a:extLst>
        </xdr:cNvPr>
        <xdr:cNvSpPr>
          <a:spLocks noChangeAspect="1" noChangeArrowheads="1"/>
        </xdr:cNvSpPr>
      </xdr:nvSpPr>
      <xdr:spPr bwMode="auto">
        <a:xfrm>
          <a:off x="9420225" y="120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"/>
  <sheetViews>
    <sheetView workbookViewId="0">
      <selection sqref="A1:B6"/>
    </sheetView>
  </sheetViews>
  <sheetFormatPr defaultRowHeight="15" x14ac:dyDescent="0.25"/>
  <cols>
    <col min="3" max="3" width="11.5703125" customWidth="1"/>
    <col min="4" max="4" width="14.5703125" customWidth="1"/>
    <col min="5" max="5" width="11.85546875" customWidth="1"/>
    <col min="6" max="6" width="12" customWidth="1"/>
    <col min="8" max="8" width="11.7109375" customWidth="1"/>
    <col min="9" max="9" width="13.140625" customWidth="1"/>
    <col min="10" max="10" width="12.85546875" customWidth="1"/>
    <col min="12" max="12" width="13.5703125" customWidth="1"/>
  </cols>
  <sheetData>
    <row r="1" spans="1:12" ht="15.75" thickBot="1" x14ac:dyDescent="0.3">
      <c r="A1" s="1" t="s">
        <v>0</v>
      </c>
      <c r="B1" s="2" t="s">
        <v>1</v>
      </c>
      <c r="D1" t="s">
        <v>26</v>
      </c>
    </row>
    <row r="2" spans="1:12" ht="15.75" thickBot="1" x14ac:dyDescent="0.3">
      <c r="A2" s="3">
        <v>0.6</v>
      </c>
      <c r="B2" s="4">
        <v>1</v>
      </c>
    </row>
    <row r="3" spans="1:12" ht="16.5" thickBot="1" x14ac:dyDescent="0.3">
      <c r="A3" s="5">
        <v>0.75</v>
      </c>
      <c r="B3" s="6">
        <v>1.2</v>
      </c>
      <c r="H3" s="7"/>
      <c r="I3" s="8" t="s">
        <v>2</v>
      </c>
      <c r="J3" s="8">
        <v>1</v>
      </c>
      <c r="K3" s="9"/>
      <c r="L3" s="10" t="s">
        <v>1</v>
      </c>
    </row>
    <row r="4" spans="1:12" ht="16.5" thickBot="1" x14ac:dyDescent="0.3">
      <c r="A4" s="5">
        <v>0.8</v>
      </c>
      <c r="B4" s="6">
        <v>1.8</v>
      </c>
      <c r="D4" s="11" t="s">
        <v>3</v>
      </c>
      <c r="E4" s="12" t="s">
        <v>25</v>
      </c>
      <c r="H4" s="13" t="s">
        <v>2</v>
      </c>
      <c r="I4" s="12" t="s">
        <v>4</v>
      </c>
      <c r="J4" s="14" t="s">
        <v>2</v>
      </c>
      <c r="K4" s="2" t="s">
        <v>5</v>
      </c>
      <c r="L4" s="15" t="s">
        <v>6</v>
      </c>
    </row>
    <row r="5" spans="1:12" ht="16.5" thickBot="1" x14ac:dyDescent="0.3">
      <c r="A5" s="5">
        <v>0.9</v>
      </c>
      <c r="B5" s="6">
        <v>2</v>
      </c>
      <c r="D5" s="16" t="s">
        <v>7</v>
      </c>
      <c r="E5" s="17" t="s">
        <v>15</v>
      </c>
      <c r="H5" s="13">
        <v>1</v>
      </c>
      <c r="I5" s="14" t="s">
        <v>2</v>
      </c>
      <c r="J5" s="18">
        <v>1</v>
      </c>
      <c r="K5" s="19" t="s">
        <v>8</v>
      </c>
      <c r="L5" s="20" t="s">
        <v>1</v>
      </c>
    </row>
    <row r="6" spans="1:12" x14ac:dyDescent="0.25">
      <c r="A6" s="5">
        <v>1.1000000000000001</v>
      </c>
      <c r="B6" s="6">
        <v>3</v>
      </c>
      <c r="K6" s="21"/>
    </row>
    <row r="7" spans="1:12" x14ac:dyDescent="0.25">
      <c r="A7" s="5"/>
      <c r="B7" s="6"/>
    </row>
    <row r="8" spans="1:12" x14ac:dyDescent="0.25">
      <c r="A8" s="5"/>
      <c r="B8" s="6"/>
    </row>
    <row r="9" spans="1:12" x14ac:dyDescent="0.25">
      <c r="A9" s="5"/>
      <c r="B9" s="6"/>
    </row>
    <row r="10" spans="1:12" ht="15.75" thickBot="1" x14ac:dyDescent="0.3">
      <c r="A10" s="22"/>
      <c r="B10" s="23"/>
    </row>
    <row r="12" spans="1:12" ht="15.75" thickBot="1" x14ac:dyDescent="0.3"/>
    <row r="13" spans="1:12" ht="15.75" thickBot="1" x14ac:dyDescent="0.3">
      <c r="A13" s="1" t="s">
        <v>0</v>
      </c>
      <c r="B13" s="2" t="s">
        <v>1</v>
      </c>
      <c r="C13" s="24" t="s">
        <v>4</v>
      </c>
      <c r="D13" s="25" t="s">
        <v>2</v>
      </c>
      <c r="E13" s="2">
        <v>1</v>
      </c>
      <c r="F13" s="10" t="s">
        <v>6</v>
      </c>
      <c r="G13" s="10" t="s">
        <v>1</v>
      </c>
    </row>
    <row r="14" spans="1:12" x14ac:dyDescent="0.25">
      <c r="A14" s="5">
        <v>-3</v>
      </c>
      <c r="B14" s="6">
        <v>4</v>
      </c>
      <c r="C14" s="26">
        <f xml:space="preserve"> SIN(A14*0.2)^2</f>
        <v>0.31882112276166336</v>
      </c>
      <c r="D14" s="27">
        <f xml:space="preserve"> SIN(A14*0.2)</f>
        <v>-0.56464247339503548</v>
      </c>
      <c r="E14" s="27">
        <v>1</v>
      </c>
      <c r="F14" s="27">
        <f>B14*D14</f>
        <v>-2.2585698935801419</v>
      </c>
      <c r="G14" s="27">
        <f>B14</f>
        <v>4</v>
      </c>
    </row>
    <row r="15" spans="1:12" x14ac:dyDescent="0.25">
      <c r="A15" s="5">
        <v>-2.1</v>
      </c>
      <c r="B15" s="6">
        <v>2</v>
      </c>
      <c r="C15" s="26">
        <f t="shared" ref="C15:C22" si="0" xml:space="preserve"> SIN(A15*0.2)^2</f>
        <v>0.16626858707934597</v>
      </c>
      <c r="D15" s="27">
        <f t="shared" ref="D15:D22" si="1" xml:space="preserve"> SIN(A15*0.2)</f>
        <v>-0.4077604530595702</v>
      </c>
      <c r="E15" s="27">
        <v>1</v>
      </c>
      <c r="F15" s="27">
        <f t="shared" ref="F15:F22" si="2">B15*D15</f>
        <v>-0.81552090611914041</v>
      </c>
      <c r="G15" s="27">
        <f t="shared" ref="G15:G22" si="3">B15</f>
        <v>2</v>
      </c>
    </row>
    <row r="16" spans="1:12" x14ac:dyDescent="0.25">
      <c r="A16" s="5">
        <v>1</v>
      </c>
      <c r="B16" s="6">
        <v>1.5</v>
      </c>
      <c r="C16" s="26">
        <f t="shared" si="0"/>
        <v>3.9469502998557456E-2</v>
      </c>
      <c r="D16" s="27">
        <f t="shared" si="1"/>
        <v>0.19866933079506122</v>
      </c>
      <c r="E16" s="27">
        <v>1</v>
      </c>
      <c r="F16" s="27">
        <f t="shared" si="2"/>
        <v>0.29800399619259182</v>
      </c>
      <c r="G16" s="27">
        <f t="shared" si="3"/>
        <v>1.5</v>
      </c>
    </row>
    <row r="17" spans="1:8" x14ac:dyDescent="0.25">
      <c r="A17" s="5">
        <v>2</v>
      </c>
      <c r="B17" s="6">
        <v>3</v>
      </c>
      <c r="C17" s="26">
        <f t="shared" si="0"/>
        <v>0.15164664532641731</v>
      </c>
      <c r="D17" s="27">
        <f t="shared" si="1"/>
        <v>0.38941834230865052</v>
      </c>
      <c r="E17" s="27">
        <v>1</v>
      </c>
      <c r="F17" s="27">
        <f t="shared" si="2"/>
        <v>1.1682550269259515</v>
      </c>
      <c r="G17" s="27">
        <f t="shared" si="3"/>
        <v>3</v>
      </c>
    </row>
    <row r="18" spans="1:8" x14ac:dyDescent="0.25">
      <c r="A18" s="5">
        <v>2.5</v>
      </c>
      <c r="B18" s="6">
        <v>2.9</v>
      </c>
      <c r="C18" s="26">
        <f t="shared" si="0"/>
        <v>0.22984884706593015</v>
      </c>
      <c r="D18" s="27">
        <f t="shared" si="1"/>
        <v>0.47942553860420301</v>
      </c>
      <c r="E18" s="27">
        <v>1</v>
      </c>
      <c r="F18" s="27">
        <f t="shared" si="2"/>
        <v>1.3903340619521887</v>
      </c>
      <c r="G18" s="27">
        <f t="shared" si="3"/>
        <v>2.9</v>
      </c>
    </row>
    <row r="19" spans="1:8" x14ac:dyDescent="0.25">
      <c r="A19" s="5">
        <v>5.5</v>
      </c>
      <c r="B19" s="6">
        <v>2.7</v>
      </c>
      <c r="C19" s="26">
        <f t="shared" si="0"/>
        <v>0.79425055862767302</v>
      </c>
      <c r="D19" s="27">
        <f t="shared" si="1"/>
        <v>0.89120736006143542</v>
      </c>
      <c r="E19" s="27">
        <v>1</v>
      </c>
      <c r="F19" s="27">
        <f t="shared" si="2"/>
        <v>2.4062598721658759</v>
      </c>
      <c r="G19" s="27">
        <f t="shared" si="3"/>
        <v>2.7</v>
      </c>
    </row>
    <row r="20" spans="1:8" x14ac:dyDescent="0.25">
      <c r="A20" s="5">
        <v>6.7</v>
      </c>
      <c r="B20" s="6">
        <v>2.2000000000000002</v>
      </c>
      <c r="C20" s="26">
        <f t="shared" si="0"/>
        <v>0.94767215291974605</v>
      </c>
      <c r="D20" s="27">
        <f t="shared" si="1"/>
        <v>0.97348454169531939</v>
      </c>
      <c r="E20" s="27">
        <v>1</v>
      </c>
      <c r="F20" s="27">
        <f t="shared" si="2"/>
        <v>2.141665991729703</v>
      </c>
      <c r="G20" s="27">
        <f t="shared" si="3"/>
        <v>2.2000000000000002</v>
      </c>
    </row>
    <row r="21" spans="1:8" x14ac:dyDescent="0.25">
      <c r="A21" s="5">
        <v>7.5</v>
      </c>
      <c r="B21" s="6">
        <v>3.8</v>
      </c>
      <c r="C21" s="26">
        <f t="shared" si="0"/>
        <v>0.99499624830022271</v>
      </c>
      <c r="D21" s="27">
        <f t="shared" si="1"/>
        <v>0.99749498660405445</v>
      </c>
      <c r="E21" s="27">
        <v>1</v>
      </c>
      <c r="F21" s="27">
        <f t="shared" si="2"/>
        <v>3.7904809490954068</v>
      </c>
      <c r="G21" s="27">
        <f t="shared" si="3"/>
        <v>3.8</v>
      </c>
    </row>
    <row r="22" spans="1:8" ht="15.75" thickBot="1" x14ac:dyDescent="0.3">
      <c r="A22" s="22">
        <v>8.1</v>
      </c>
      <c r="B22" s="23">
        <v>7.6</v>
      </c>
      <c r="C22" s="26">
        <f t="shared" si="0"/>
        <v>0.99758095166191507</v>
      </c>
      <c r="D22" s="27">
        <f t="shared" si="1"/>
        <v>0.99878974347052396</v>
      </c>
      <c r="E22" s="27">
        <v>1</v>
      </c>
      <c r="F22" s="27">
        <f t="shared" si="2"/>
        <v>7.5908020503759817</v>
      </c>
      <c r="G22" s="27">
        <f t="shared" si="3"/>
        <v>7.6</v>
      </c>
    </row>
    <row r="23" spans="1:8" ht="15.75" thickBot="1" x14ac:dyDescent="0.3">
      <c r="A23" s="28">
        <f>SUM(A14:A22)</f>
        <v>28.200000000000003</v>
      </c>
      <c r="B23" s="28">
        <f t="shared" ref="B23:G23" si="4">SUM(B14:B22)</f>
        <v>29.700000000000003</v>
      </c>
      <c r="C23" s="28">
        <f t="shared" si="4"/>
        <v>4.6405546167414711</v>
      </c>
      <c r="D23" s="28">
        <f t="shared" si="4"/>
        <v>3.956086917084642</v>
      </c>
      <c r="E23" s="28">
        <f>SUM(E14:E22)</f>
        <v>9</v>
      </c>
      <c r="F23" s="28">
        <f t="shared" si="4"/>
        <v>15.711711148738416</v>
      </c>
      <c r="G23" s="28">
        <f t="shared" si="4"/>
        <v>29.700000000000003</v>
      </c>
    </row>
    <row r="25" spans="1:8" ht="15.75" thickBot="1" x14ac:dyDescent="0.3"/>
    <row r="26" spans="1:8" ht="16.5" thickBot="1" x14ac:dyDescent="0.3">
      <c r="A26" s="7"/>
      <c r="B26" s="8" t="s">
        <v>2</v>
      </c>
      <c r="C26" s="8">
        <v>1</v>
      </c>
      <c r="D26" s="9"/>
      <c r="E26" s="10" t="s">
        <v>1</v>
      </c>
    </row>
    <row r="27" spans="1:8" ht="16.5" thickBot="1" x14ac:dyDescent="0.3">
      <c r="A27" s="13" t="s">
        <v>2</v>
      </c>
      <c r="B27" s="12">
        <f xml:space="preserve"> C23</f>
        <v>4.6405546167414711</v>
      </c>
      <c r="C27" s="14">
        <f xml:space="preserve"> D23</f>
        <v>3.956086917084642</v>
      </c>
      <c r="D27" s="2" t="s">
        <v>5</v>
      </c>
      <c r="E27" s="15">
        <f xml:space="preserve"> F23</f>
        <v>15.711711148738416</v>
      </c>
      <c r="G27" t="s">
        <v>9</v>
      </c>
      <c r="H27">
        <f xml:space="preserve"> - B28 / B27</f>
        <v>-0.85250303979021969</v>
      </c>
    </row>
    <row r="28" spans="1:8" ht="16.5" thickBot="1" x14ac:dyDescent="0.3">
      <c r="A28" s="13">
        <v>1</v>
      </c>
      <c r="B28" s="14">
        <f xml:space="preserve"> D23</f>
        <v>3.956086917084642</v>
      </c>
      <c r="C28" s="18">
        <v>9</v>
      </c>
      <c r="D28" s="19" t="s">
        <v>8</v>
      </c>
      <c r="E28" s="20">
        <f xml:space="preserve"> G23</f>
        <v>29.700000000000003</v>
      </c>
    </row>
    <row r="29" spans="1:8" ht="15.75" thickBot="1" x14ac:dyDescent="0.3"/>
    <row r="30" spans="1:8" ht="16.5" thickBot="1" x14ac:dyDescent="0.3">
      <c r="A30" s="7"/>
      <c r="B30" s="8" t="s">
        <v>2</v>
      </c>
      <c r="C30" s="8">
        <v>1</v>
      </c>
      <c r="D30" s="9"/>
      <c r="E30" s="10" t="s">
        <v>1</v>
      </c>
    </row>
    <row r="31" spans="1:8" ht="16.5" thickBot="1" x14ac:dyDescent="0.3">
      <c r="A31" s="13" t="s">
        <v>2</v>
      </c>
      <c r="B31" s="29">
        <v>4.6405546167414711</v>
      </c>
      <c r="C31" s="14">
        <v>3.956086917084642</v>
      </c>
      <c r="D31" s="2" t="s">
        <v>5</v>
      </c>
      <c r="E31" s="15">
        <v>15.711711148738416</v>
      </c>
    </row>
    <row r="32" spans="1:8" ht="16.5" thickBot="1" x14ac:dyDescent="0.3">
      <c r="A32" s="13" t="s">
        <v>0</v>
      </c>
      <c r="B32" s="30">
        <f xml:space="preserve"> B28 + $H$27 *B27</f>
        <v>0</v>
      </c>
      <c r="C32" s="30">
        <f xml:space="preserve"> C28 + $H$27 *C27</f>
        <v>5.6274238775110241</v>
      </c>
      <c r="D32" s="19" t="s">
        <v>8</v>
      </c>
      <c r="E32" s="30">
        <f xml:space="preserve"> E28 + $H$27 *E27</f>
        <v>16.305718485394618</v>
      </c>
    </row>
    <row r="34" spans="1:5" ht="15.75" thickBot="1" x14ac:dyDescent="0.3"/>
    <row r="35" spans="1:5" x14ac:dyDescent="0.25">
      <c r="D35" s="31" t="s">
        <v>8</v>
      </c>
      <c r="E35" s="32">
        <f xml:space="preserve"> E32 /C32</f>
        <v>2.8975458114249144</v>
      </c>
    </row>
    <row r="36" spans="1:5" ht="15.75" thickBot="1" x14ac:dyDescent="0.3">
      <c r="D36" s="33" t="s">
        <v>5</v>
      </c>
      <c r="E36" s="34">
        <f xml:space="preserve"> (E31 - C31*E35) / (B31)</f>
        <v>0.91557333625141801</v>
      </c>
    </row>
    <row r="38" spans="1:5" x14ac:dyDescent="0.25">
      <c r="A38" s="21" t="s">
        <v>10</v>
      </c>
    </row>
    <row r="39" spans="1:5" ht="15.75" thickBot="1" x14ac:dyDescent="0.3"/>
    <row r="40" spans="1:5" ht="15.75" thickBot="1" x14ac:dyDescent="0.3">
      <c r="A40" s="1" t="s">
        <v>0</v>
      </c>
      <c r="B40" s="1" t="s">
        <v>11</v>
      </c>
      <c r="C40" s="1" t="s">
        <v>1</v>
      </c>
      <c r="D40" s="1" t="s">
        <v>12</v>
      </c>
      <c r="E40" s="2" t="s">
        <v>13</v>
      </c>
    </row>
    <row r="41" spans="1:5" ht="15.75" thickBot="1" x14ac:dyDescent="0.3">
      <c r="A41" s="5">
        <v>-3</v>
      </c>
      <c r="B41">
        <f xml:space="preserve"> $E$36*SIN(0.2*A41) + $E$35</f>
        <v>2.380574218269369</v>
      </c>
      <c r="C41" s="6">
        <v>4</v>
      </c>
      <c r="D41" s="35">
        <f xml:space="preserve"> C41 - B41</f>
        <v>1.619425781730631</v>
      </c>
      <c r="E41" s="35">
        <f xml:space="preserve"> POWER(D41,2)</f>
        <v>2.6225398625338654</v>
      </c>
    </row>
    <row r="42" spans="1:5" ht="15.75" thickBot="1" x14ac:dyDescent="0.3">
      <c r="A42" s="5">
        <v>-2.1</v>
      </c>
      <c r="B42">
        <f t="shared" ref="B42:B51" si="5" xml:space="preserve"> $E$36*SIN(0.2*A42) + $E$35</f>
        <v>2.5242112130257741</v>
      </c>
      <c r="C42" s="6">
        <v>2</v>
      </c>
      <c r="D42" s="35">
        <f t="shared" ref="D42:D49" si="6" xml:space="preserve"> C42 - B42</f>
        <v>-0.52421121302577411</v>
      </c>
      <c r="E42" s="35">
        <f t="shared" ref="E42:E49" si="7" xml:space="preserve"> POWER(D42,2)</f>
        <v>0.27479739586195351</v>
      </c>
    </row>
    <row r="43" spans="1:5" ht="15.75" thickBot="1" x14ac:dyDescent="0.3">
      <c r="A43" s="5">
        <v>1</v>
      </c>
      <c r="B43">
        <f t="shared" si="5"/>
        <v>3.0794421534317853</v>
      </c>
      <c r="C43" s="6">
        <v>1.5</v>
      </c>
      <c r="D43" s="35">
        <f t="shared" si="6"/>
        <v>-1.5794421534317853</v>
      </c>
      <c r="E43" s="35">
        <f t="shared" si="7"/>
        <v>2.4946375160372352</v>
      </c>
    </row>
    <row r="44" spans="1:5" ht="15.75" thickBot="1" x14ac:dyDescent="0.3">
      <c r="A44" s="5">
        <v>2</v>
      </c>
      <c r="B44">
        <f t="shared" si="5"/>
        <v>3.2540868622899422</v>
      </c>
      <c r="C44" s="6">
        <v>3</v>
      </c>
      <c r="D44" s="35">
        <f t="shared" si="6"/>
        <v>-0.25408686228994215</v>
      </c>
      <c r="E44" s="35">
        <f t="shared" si="7"/>
        <v>6.4560133588348029E-2</v>
      </c>
    </row>
    <row r="45" spans="1:5" ht="15.75" thickBot="1" x14ac:dyDescent="0.3">
      <c r="A45" s="5">
        <v>2.5</v>
      </c>
      <c r="B45">
        <f t="shared" si="5"/>
        <v>3.3364950512888978</v>
      </c>
      <c r="C45" s="6">
        <v>2.9</v>
      </c>
      <c r="D45" s="35">
        <f t="shared" si="6"/>
        <v>-0.43649505128889787</v>
      </c>
      <c r="E45" s="35">
        <f t="shared" si="7"/>
        <v>0.19052792979969757</v>
      </c>
    </row>
    <row r="46" spans="1:5" ht="15.75" thickBot="1" x14ac:dyDescent="0.3">
      <c r="A46" s="5">
        <v>5.5</v>
      </c>
      <c r="B46">
        <f t="shared" si="5"/>
        <v>3.7135115073681817</v>
      </c>
      <c r="C46" s="6">
        <v>2.7</v>
      </c>
      <c r="D46" s="35">
        <f t="shared" si="6"/>
        <v>-1.0135115073681815</v>
      </c>
      <c r="E46" s="35">
        <f t="shared" si="7"/>
        <v>1.0272055755677234</v>
      </c>
    </row>
    <row r="47" spans="1:5" ht="15.75" thickBot="1" x14ac:dyDescent="0.3">
      <c r="A47" s="5">
        <v>6.7</v>
      </c>
      <c r="B47">
        <f t="shared" si="5"/>
        <v>3.7888423010540806</v>
      </c>
      <c r="C47" s="6">
        <v>2.2000000000000002</v>
      </c>
      <c r="D47" s="35">
        <f t="shared" si="6"/>
        <v>-1.5888423010540804</v>
      </c>
      <c r="E47" s="35">
        <f t="shared" si="7"/>
        <v>2.5244198576188253</v>
      </c>
    </row>
    <row r="48" spans="1:5" ht="15.75" thickBot="1" x14ac:dyDescent="0.3">
      <c r="A48" s="5">
        <v>7.5</v>
      </c>
      <c r="B48">
        <f t="shared" si="5"/>
        <v>3.8108256242040519</v>
      </c>
      <c r="C48" s="6">
        <v>3.8</v>
      </c>
      <c r="D48" s="35">
        <f t="shared" si="6"/>
        <v>-1.0825624204052087E-2</v>
      </c>
      <c r="E48" s="35">
        <f t="shared" si="7"/>
        <v>1.1719413940735838E-4</v>
      </c>
    </row>
    <row r="49" spans="1:7" ht="15.75" thickBot="1" x14ac:dyDescent="0.3">
      <c r="A49" s="5">
        <v>8.1</v>
      </c>
      <c r="B49">
        <f t="shared" si="5"/>
        <v>3.8120110690679199</v>
      </c>
      <c r="C49" s="23">
        <v>7.6</v>
      </c>
      <c r="D49" s="35">
        <f t="shared" si="6"/>
        <v>3.7879889309320798</v>
      </c>
      <c r="E49" s="35">
        <f t="shared" si="7"/>
        <v>14.348860140863961</v>
      </c>
    </row>
    <row r="50" spans="1:7" ht="15.75" thickBot="1" x14ac:dyDescent="0.3">
      <c r="A50" s="36">
        <v>3</v>
      </c>
      <c r="B50" s="37">
        <f t="shared" si="5"/>
        <v>3.4145174045804598</v>
      </c>
      <c r="E50" s="28">
        <f xml:space="preserve"> SUM(E41:E49)</f>
        <v>23.547665606011016</v>
      </c>
    </row>
    <row r="51" spans="1:7" ht="15.75" thickBot="1" x14ac:dyDescent="0.3">
      <c r="A51" s="38">
        <v>10</v>
      </c>
      <c r="B51" s="39">
        <f t="shared" si="5"/>
        <v>3.7300742901485333</v>
      </c>
    </row>
    <row r="53" spans="1:7" x14ac:dyDescent="0.25">
      <c r="G53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FC7F1-49B2-4121-A4EE-AD45EBE1005C}">
  <dimension ref="A1:O60"/>
  <sheetViews>
    <sheetView tabSelected="1" topLeftCell="A31" workbookViewId="0">
      <selection activeCell="G61" sqref="G61"/>
    </sheetView>
  </sheetViews>
  <sheetFormatPr defaultRowHeight="15" x14ac:dyDescent="0.25"/>
  <cols>
    <col min="2" max="2" width="9.5703125" bestFit="1" customWidth="1"/>
    <col min="5" max="5" width="11.85546875" customWidth="1"/>
    <col min="9" max="9" width="11" customWidth="1"/>
  </cols>
  <sheetData>
    <row r="1" spans="1:13" ht="15.75" thickBot="1" x14ac:dyDescent="0.3">
      <c r="A1" s="1" t="s">
        <v>0</v>
      </c>
      <c r="B1" s="2" t="s">
        <v>1</v>
      </c>
      <c r="D1" t="s">
        <v>29</v>
      </c>
    </row>
    <row r="2" spans="1:13" ht="15.75" thickBot="1" x14ac:dyDescent="0.3">
      <c r="A2" s="3">
        <v>0.6</v>
      </c>
      <c r="B2" s="4">
        <v>1</v>
      </c>
    </row>
    <row r="3" spans="1:13" ht="16.5" thickBot="1" x14ac:dyDescent="0.3">
      <c r="A3" s="5">
        <v>0.75</v>
      </c>
      <c r="B3" s="6">
        <v>1.2</v>
      </c>
      <c r="H3" s="7"/>
      <c r="I3" s="44" t="s">
        <v>17</v>
      </c>
      <c r="J3" s="13" t="s">
        <v>0</v>
      </c>
      <c r="K3" s="51" t="s">
        <v>28</v>
      </c>
      <c r="L3" s="9"/>
      <c r="M3" s="10" t="s">
        <v>1</v>
      </c>
    </row>
    <row r="4" spans="1:13" ht="16.5" thickBot="1" x14ac:dyDescent="0.3">
      <c r="A4" s="5">
        <v>0.8</v>
      </c>
      <c r="B4" s="6">
        <v>1.8</v>
      </c>
      <c r="D4" s="43" t="s">
        <v>3</v>
      </c>
      <c r="E4" s="44" t="s">
        <v>17</v>
      </c>
      <c r="H4" s="44" t="s">
        <v>17</v>
      </c>
      <c r="I4" s="45" t="s">
        <v>30</v>
      </c>
      <c r="J4" s="46" t="s">
        <v>16</v>
      </c>
      <c r="K4" s="47" t="s">
        <v>31</v>
      </c>
      <c r="L4" s="2" t="s">
        <v>5</v>
      </c>
      <c r="M4" s="15" t="s">
        <v>35</v>
      </c>
    </row>
    <row r="5" spans="1:13" ht="16.5" thickBot="1" x14ac:dyDescent="0.3">
      <c r="A5" s="5">
        <v>0.9</v>
      </c>
      <c r="B5" s="6">
        <v>2</v>
      </c>
      <c r="D5" s="16" t="s">
        <v>7</v>
      </c>
      <c r="E5" s="17" t="s">
        <v>0</v>
      </c>
      <c r="H5" s="13" t="s">
        <v>0</v>
      </c>
      <c r="I5" s="48" t="s">
        <v>16</v>
      </c>
      <c r="J5" s="49" t="s">
        <v>15</v>
      </c>
      <c r="K5" s="47" t="s">
        <v>32</v>
      </c>
      <c r="L5" s="2" t="s">
        <v>8</v>
      </c>
      <c r="M5" s="15" t="s">
        <v>18</v>
      </c>
    </row>
    <row r="6" spans="1:13" ht="16.5" thickBot="1" x14ac:dyDescent="0.3">
      <c r="A6" s="5">
        <v>1.1000000000000001</v>
      </c>
      <c r="B6" s="6">
        <v>3</v>
      </c>
      <c r="D6" s="43" t="s">
        <v>27</v>
      </c>
      <c r="E6" s="51" t="s">
        <v>28</v>
      </c>
      <c r="H6" s="51" t="s">
        <v>28</v>
      </c>
      <c r="I6" s="47" t="s">
        <v>31</v>
      </c>
      <c r="J6" s="47" t="s">
        <v>32</v>
      </c>
      <c r="K6" s="50" t="s">
        <v>33</v>
      </c>
      <c r="L6" s="2" t="s">
        <v>19</v>
      </c>
      <c r="M6" s="51" t="s">
        <v>34</v>
      </c>
    </row>
    <row r="7" spans="1:13" x14ac:dyDescent="0.25">
      <c r="A7" s="41"/>
      <c r="B7" s="42"/>
    </row>
    <row r="8" spans="1:13" ht="15.75" thickBot="1" x14ac:dyDescent="0.3">
      <c r="A8" s="52"/>
      <c r="B8" s="53"/>
    </row>
    <row r="12" spans="1:13" ht="15.75" thickBot="1" x14ac:dyDescent="0.3"/>
    <row r="13" spans="1:13" ht="15.75" thickBot="1" x14ac:dyDescent="0.3">
      <c r="A13" s="1" t="s">
        <v>0</v>
      </c>
      <c r="B13" s="2" t="s">
        <v>1</v>
      </c>
      <c r="C13" s="2" t="s">
        <v>30</v>
      </c>
      <c r="D13" s="2" t="s">
        <v>16</v>
      </c>
      <c r="E13" s="2" t="s">
        <v>15</v>
      </c>
      <c r="F13" s="47" t="s">
        <v>31</v>
      </c>
      <c r="G13" s="47" t="s">
        <v>32</v>
      </c>
      <c r="H13" s="50" t="s">
        <v>33</v>
      </c>
      <c r="I13" s="15" t="s">
        <v>35</v>
      </c>
      <c r="J13" s="54" t="s">
        <v>18</v>
      </c>
      <c r="K13" s="54" t="s">
        <v>36</v>
      </c>
    </row>
    <row r="14" spans="1:13" x14ac:dyDescent="0.25">
      <c r="A14" s="3">
        <v>0.6</v>
      </c>
      <c r="B14" s="4">
        <v>1</v>
      </c>
      <c r="C14" s="26">
        <f xml:space="preserve"> A14^6</f>
        <v>4.6655999999999996E-2</v>
      </c>
      <c r="D14" s="27">
        <f>A14^4</f>
        <v>0.12959999999999999</v>
      </c>
      <c r="E14" s="27">
        <f xml:space="preserve"> A14 ^2</f>
        <v>0.36</v>
      </c>
      <c r="F14" s="27">
        <f>A14^3 * LN(A14)</f>
        <v>-0.11033833473345399</v>
      </c>
      <c r="G14" s="55">
        <f>A14 * LN(A14)</f>
        <v>-0.30649537425959444</v>
      </c>
      <c r="H14" s="27">
        <f xml:space="preserve"> LN(A14)^2</f>
        <v>0.2609428178959135</v>
      </c>
      <c r="I14">
        <f xml:space="preserve"> A14^3 * B14</f>
        <v>0.216</v>
      </c>
      <c r="J14" s="27">
        <f xml:space="preserve"> A14 * B14</f>
        <v>0.6</v>
      </c>
      <c r="K14" s="27">
        <f xml:space="preserve"> LN(A14) *B14</f>
        <v>-0.51082562376599072</v>
      </c>
    </row>
    <row r="15" spans="1:13" x14ac:dyDescent="0.25">
      <c r="A15" s="5">
        <v>0.75</v>
      </c>
      <c r="B15" s="6">
        <v>1.2</v>
      </c>
      <c r="C15" s="26">
        <f t="shared" ref="C15:C18" si="0" xml:space="preserve"> A15^6</f>
        <v>0.177978515625</v>
      </c>
      <c r="D15" s="27">
        <f t="shared" ref="D15:D18" si="1">A15^4</f>
        <v>0.31640625</v>
      </c>
      <c r="E15" s="27">
        <f xml:space="preserve"> A15 ^2</f>
        <v>0.5625</v>
      </c>
      <c r="F15" s="27">
        <f t="shared" ref="F15:F18" si="2">A15^3 * LN(A15)</f>
        <v>-0.12136587431559506</v>
      </c>
      <c r="G15" s="55">
        <f t="shared" ref="G15:G18" si="3">A15 * LN(A15)</f>
        <v>-0.21576155433883568</v>
      </c>
      <c r="H15" s="27">
        <f t="shared" ref="H15:H18" si="4" xml:space="preserve"> LN(A15)^2</f>
        <v>8.2760974810151711E-2</v>
      </c>
      <c r="I15">
        <f t="shared" ref="I15:I18" si="5" xml:space="preserve"> A15^3 * B15</f>
        <v>0.50624999999999998</v>
      </c>
      <c r="J15" s="27">
        <f xml:space="preserve"> A15 * B15</f>
        <v>0.89999999999999991</v>
      </c>
      <c r="K15" s="27">
        <f t="shared" ref="K15:K18" si="6" xml:space="preserve"> LN(A15) *B15</f>
        <v>-0.34521848694213708</v>
      </c>
    </row>
    <row r="16" spans="1:13" x14ac:dyDescent="0.25">
      <c r="A16" s="5">
        <v>0.8</v>
      </c>
      <c r="B16" s="6">
        <v>1.8</v>
      </c>
      <c r="C16" s="26">
        <f t="shared" si="0"/>
        <v>0.26214400000000015</v>
      </c>
      <c r="D16" s="27">
        <f t="shared" si="1"/>
        <v>0.40960000000000019</v>
      </c>
      <c r="E16" s="27">
        <f xml:space="preserve"> A16 ^2</f>
        <v>0.64000000000000012</v>
      </c>
      <c r="F16" s="27">
        <f t="shared" si="2"/>
        <v>-0.11424949827287539</v>
      </c>
      <c r="G16" s="55">
        <f t="shared" si="3"/>
        <v>-0.17851484105136778</v>
      </c>
      <c r="H16" s="27">
        <f t="shared" si="4"/>
        <v>4.979304449311734E-2</v>
      </c>
      <c r="I16">
        <f t="shared" si="5"/>
        <v>0.9216000000000002</v>
      </c>
      <c r="J16" s="27">
        <f xml:space="preserve"> A16 * B16</f>
        <v>1.4400000000000002</v>
      </c>
      <c r="K16" s="27">
        <f t="shared" si="6"/>
        <v>-0.40165839236557749</v>
      </c>
    </row>
    <row r="17" spans="1:15" x14ac:dyDescent="0.25">
      <c r="A17" s="5">
        <v>0.9</v>
      </c>
      <c r="B17" s="6">
        <v>2</v>
      </c>
      <c r="C17" s="26">
        <f t="shared" si="0"/>
        <v>0.53144100000000016</v>
      </c>
      <c r="D17" s="27">
        <f t="shared" si="1"/>
        <v>0.65610000000000013</v>
      </c>
      <c r="E17" s="27">
        <f xml:space="preserve"> A17 ^2</f>
        <v>0.81</v>
      </c>
      <c r="F17" s="27">
        <f t="shared" si="2"/>
        <v>-7.6807815914555364E-2</v>
      </c>
      <c r="G17" s="55">
        <f t="shared" si="3"/>
        <v>-9.4824464092043662E-2</v>
      </c>
      <c r="H17" s="27">
        <f t="shared" si="4"/>
        <v>1.1100838259683056E-2</v>
      </c>
      <c r="I17">
        <f t="shared" si="5"/>
        <v>1.4580000000000002</v>
      </c>
      <c r="J17" s="27">
        <f xml:space="preserve"> A17 * B17</f>
        <v>1.8</v>
      </c>
      <c r="K17" s="27">
        <f t="shared" si="6"/>
        <v>-0.21072103131565256</v>
      </c>
    </row>
    <row r="18" spans="1:15" ht="15.75" thickBot="1" x14ac:dyDescent="0.3">
      <c r="A18" s="5">
        <v>1.1000000000000001</v>
      </c>
      <c r="B18" s="6">
        <v>3</v>
      </c>
      <c r="C18" s="26">
        <f t="shared" si="0"/>
        <v>1.7715610000000008</v>
      </c>
      <c r="D18" s="27">
        <f t="shared" si="1"/>
        <v>1.4641000000000004</v>
      </c>
      <c r="E18" s="27">
        <f xml:space="preserve"> A18 ^2</f>
        <v>1.2100000000000002</v>
      </c>
      <c r="F18" s="27">
        <f t="shared" si="2"/>
        <v>0.12685784931955651</v>
      </c>
      <c r="G18" s="55">
        <f t="shared" si="3"/>
        <v>0.10484119778475744</v>
      </c>
      <c r="H18" s="27">
        <f t="shared" si="4"/>
        <v>9.0840303743327487E-3</v>
      </c>
      <c r="I18">
        <f t="shared" si="5"/>
        <v>3.9930000000000012</v>
      </c>
      <c r="J18" s="27">
        <f xml:space="preserve"> A18 * B18</f>
        <v>3.3000000000000003</v>
      </c>
      <c r="K18" s="27">
        <f t="shared" si="6"/>
        <v>0.2859305394129748</v>
      </c>
    </row>
    <row r="19" spans="1:15" ht="15.75" thickBot="1" x14ac:dyDescent="0.3">
      <c r="A19" s="28">
        <f>SUM(A14:A18)</f>
        <v>4.1500000000000004</v>
      </c>
      <c r="B19" s="28">
        <f t="shared" ref="B19:K19" si="7">SUM(B14:B18)</f>
        <v>9</v>
      </c>
      <c r="C19" s="28">
        <f t="shared" si="7"/>
        <v>2.7897805156250008</v>
      </c>
      <c r="D19" s="28">
        <f t="shared" si="7"/>
        <v>2.9758062500000007</v>
      </c>
      <c r="E19" s="28">
        <f t="shared" si="7"/>
        <v>3.5825000000000005</v>
      </c>
      <c r="F19" s="28">
        <f t="shared" si="7"/>
        <v>-0.29590367391692329</v>
      </c>
      <c r="G19" s="28">
        <f t="shared" si="7"/>
        <v>-0.69075503595708421</v>
      </c>
      <c r="H19" s="28">
        <f t="shared" si="7"/>
        <v>0.41368170583319835</v>
      </c>
      <c r="I19" s="28">
        <f t="shared" si="7"/>
        <v>7.094850000000001</v>
      </c>
      <c r="J19" s="28">
        <f t="shared" si="7"/>
        <v>8.0400000000000009</v>
      </c>
      <c r="K19" s="28">
        <f t="shared" si="7"/>
        <v>-1.1824929949763829</v>
      </c>
    </row>
    <row r="20" spans="1:15" x14ac:dyDescent="0.25">
      <c r="A20" s="57"/>
      <c r="B20" s="58"/>
      <c r="C20" s="26"/>
      <c r="D20" s="27"/>
      <c r="E20" s="27"/>
      <c r="F20" s="27"/>
      <c r="G20" s="55"/>
      <c r="H20" s="56"/>
      <c r="J20" s="27"/>
      <c r="K20" s="27"/>
    </row>
    <row r="23" spans="1:15" ht="15.75" thickBot="1" x14ac:dyDescent="0.3">
      <c r="J23" t="s">
        <v>0</v>
      </c>
      <c r="K23">
        <v>2.9758062500000007</v>
      </c>
      <c r="L23">
        <v>3.5825000000000005</v>
      </c>
      <c r="M23">
        <v>-0.69075503595708421</v>
      </c>
      <c r="N23" t="s">
        <v>8</v>
      </c>
      <c r="O23">
        <v>8.0400000000000009</v>
      </c>
    </row>
    <row r="24" spans="1:15" ht="16.5" thickBot="1" x14ac:dyDescent="0.3">
      <c r="A24" s="7"/>
      <c r="B24" s="44" t="s">
        <v>17</v>
      </c>
      <c r="C24" s="13" t="s">
        <v>0</v>
      </c>
      <c r="D24" s="51" t="s">
        <v>28</v>
      </c>
      <c r="E24" s="9"/>
      <c r="F24" s="10" t="s">
        <v>1</v>
      </c>
      <c r="J24" t="s">
        <v>17</v>
      </c>
      <c r="K24">
        <v>2.7897805156250008</v>
      </c>
      <c r="L24">
        <v>2.9758062500000007</v>
      </c>
      <c r="M24">
        <v>-0.29590367391692329</v>
      </c>
      <c r="N24" t="s">
        <v>5</v>
      </c>
      <c r="O24">
        <v>7.094850000000001</v>
      </c>
    </row>
    <row r="25" spans="1:15" ht="15.75" thickBot="1" x14ac:dyDescent="0.3">
      <c r="A25" s="44" t="s">
        <v>0</v>
      </c>
      <c r="B25" s="45">
        <v>2.9758062500000007</v>
      </c>
      <c r="C25" s="46">
        <v>3.5825000000000005</v>
      </c>
      <c r="D25" s="47">
        <v>-0.69075503595708421</v>
      </c>
      <c r="E25" s="2" t="s">
        <v>8</v>
      </c>
      <c r="F25" s="15">
        <v>8.0400000000000009</v>
      </c>
    </row>
    <row r="26" spans="1:15" ht="16.5" thickBot="1" x14ac:dyDescent="0.3">
      <c r="A26" s="13" t="s">
        <v>17</v>
      </c>
      <c r="B26" s="48">
        <v>2.7897805156250008</v>
      </c>
      <c r="C26" s="49">
        <v>2.9758062500000007</v>
      </c>
      <c r="D26" s="47">
        <v>-0.29590367391692329</v>
      </c>
      <c r="E26" s="2" t="s">
        <v>5</v>
      </c>
      <c r="F26" s="15">
        <v>7.094850000000001</v>
      </c>
      <c r="H26" t="s">
        <v>20</v>
      </c>
      <c r="I26">
        <f xml:space="preserve"> - B26/$B$25</f>
        <v>-0.93748728285821703</v>
      </c>
    </row>
    <row r="27" spans="1:15" ht="15.75" thickBot="1" x14ac:dyDescent="0.3">
      <c r="A27" s="51" t="s">
        <v>28</v>
      </c>
      <c r="B27" s="47">
        <f xml:space="preserve"> F19</f>
        <v>-0.29590367391692329</v>
      </c>
      <c r="C27" s="47">
        <f xml:space="preserve"> G19</f>
        <v>-0.69075503595708421</v>
      </c>
      <c r="D27" s="50">
        <f xml:space="preserve"> H19</f>
        <v>0.41368170583319835</v>
      </c>
      <c r="E27" s="2" t="s">
        <v>19</v>
      </c>
      <c r="F27" s="51">
        <f xml:space="preserve"> K19</f>
        <v>-1.1824929949763829</v>
      </c>
      <c r="H27" t="s">
        <v>21</v>
      </c>
      <c r="I27">
        <f xml:space="preserve"> - B27/$B$25</f>
        <v>9.9436471684580682E-2</v>
      </c>
    </row>
    <row r="28" spans="1:15" ht="16.5" thickBot="1" x14ac:dyDescent="0.3">
      <c r="A28" s="7"/>
      <c r="B28" s="59"/>
      <c r="C28" s="59"/>
      <c r="D28" s="60"/>
      <c r="E28" s="60"/>
    </row>
    <row r="29" spans="1:15" ht="16.5" thickBot="1" x14ac:dyDescent="0.3">
      <c r="A29" s="7"/>
      <c r="B29" s="13" t="s">
        <v>17</v>
      </c>
      <c r="C29" s="13" t="s">
        <v>0</v>
      </c>
      <c r="D29" s="13" t="s">
        <v>28</v>
      </c>
      <c r="E29" s="9"/>
      <c r="F29" s="10" t="s">
        <v>1</v>
      </c>
    </row>
    <row r="30" spans="1:15" ht="16.5" thickBot="1" x14ac:dyDescent="0.3">
      <c r="A30" s="13" t="s">
        <v>0</v>
      </c>
      <c r="B30" s="45">
        <v>2.9758062500000007</v>
      </c>
      <c r="C30" s="46">
        <v>3.5825000000000005</v>
      </c>
      <c r="D30" s="47">
        <v>-0.69075503595708421</v>
      </c>
      <c r="E30" s="2" t="s">
        <v>8</v>
      </c>
      <c r="F30" s="15">
        <v>8.0400000000000009</v>
      </c>
    </row>
    <row r="31" spans="1:15" ht="16.5" thickBot="1" x14ac:dyDescent="0.3">
      <c r="A31" s="13" t="s">
        <v>17</v>
      </c>
      <c r="B31" s="48">
        <f xml:space="preserve"> B26 + B25*$I$26</f>
        <v>0</v>
      </c>
      <c r="C31" s="48">
        <f t="shared" ref="C31:D31" si="8" xml:space="preserve"> C26 + C25*$I$26</f>
        <v>-0.38274194083956248</v>
      </c>
      <c r="D31" s="48">
        <f t="shared" si="8"/>
        <v>0.35167038786311355</v>
      </c>
      <c r="E31" s="2" t="s">
        <v>5</v>
      </c>
      <c r="F31" s="48">
        <f xml:space="preserve"> F26 + F25*$I$26</f>
        <v>-0.44254775418006442</v>
      </c>
    </row>
    <row r="32" spans="1:15" ht="15.75" thickBot="1" x14ac:dyDescent="0.3">
      <c r="A32" s="51" t="s">
        <v>28</v>
      </c>
      <c r="B32" s="47">
        <f xml:space="preserve"> B27 + B25 *$I$27</f>
        <v>0</v>
      </c>
      <c r="C32" s="47">
        <f t="shared" ref="C32:D32" si="9" xml:space="preserve"> C27 + C25 *$I$27</f>
        <v>-0.33452387614707385</v>
      </c>
      <c r="D32" s="47">
        <f t="shared" si="9"/>
        <v>0.34499546225927025</v>
      </c>
      <c r="E32" s="2" t="s">
        <v>19</v>
      </c>
      <c r="F32" s="47">
        <f xml:space="preserve"> F27 + F25 *$I$27</f>
        <v>-0.38302376263235416</v>
      </c>
      <c r="H32" t="s">
        <v>21</v>
      </c>
      <c r="I32">
        <f xml:space="preserve"> -C32 / C31</f>
        <v>-0.87401938604711038</v>
      </c>
    </row>
    <row r="33" spans="1:12" ht="15.75" thickBot="1" x14ac:dyDescent="0.3"/>
    <row r="34" spans="1:12" ht="16.5" thickBot="1" x14ac:dyDescent="0.3">
      <c r="A34" s="7"/>
      <c r="B34" s="13" t="s">
        <v>17</v>
      </c>
      <c r="C34" s="13" t="s">
        <v>0</v>
      </c>
      <c r="D34" s="13" t="s">
        <v>28</v>
      </c>
      <c r="E34" s="9"/>
      <c r="F34" s="10" t="s">
        <v>1</v>
      </c>
    </row>
    <row r="35" spans="1:12" ht="16.5" thickBot="1" x14ac:dyDescent="0.3">
      <c r="A35" s="13" t="s">
        <v>0</v>
      </c>
      <c r="B35" s="45">
        <v>2.9758062500000007</v>
      </c>
      <c r="C35" s="46">
        <v>3.5825000000000005</v>
      </c>
      <c r="D35" s="47">
        <v>-0.69075503595708421</v>
      </c>
      <c r="E35" s="2" t="s">
        <v>5</v>
      </c>
      <c r="F35" s="15">
        <v>8.0400000000000009</v>
      </c>
    </row>
    <row r="36" spans="1:12" ht="16.5" thickBot="1" x14ac:dyDescent="0.3">
      <c r="A36" s="13" t="s">
        <v>17</v>
      </c>
      <c r="B36" s="48">
        <v>0</v>
      </c>
      <c r="C36" s="48">
        <v>-0.38274194083956248</v>
      </c>
      <c r="D36" s="48">
        <v>0.35167038786311355</v>
      </c>
      <c r="E36" s="2" t="s">
        <v>8</v>
      </c>
      <c r="F36" s="48">
        <v>-0.44254775418006442</v>
      </c>
    </row>
    <row r="37" spans="1:12" ht="15.75" thickBot="1" x14ac:dyDescent="0.3">
      <c r="A37" s="51" t="s">
        <v>28</v>
      </c>
      <c r="B37" s="47">
        <v>0</v>
      </c>
      <c r="C37" s="47">
        <f xml:space="preserve"> C32 + C31 *$I$32</f>
        <v>0</v>
      </c>
      <c r="D37" s="47">
        <f xml:space="preserve"> D32 + D31 *$I$32</f>
        <v>3.7628725768202587E-2</v>
      </c>
      <c r="E37" s="2" t="s">
        <v>19</v>
      </c>
      <c r="F37" s="47">
        <f xml:space="preserve"> F32 + F31 *$I$32</f>
        <v>3.7715537726332737E-3</v>
      </c>
    </row>
    <row r="39" spans="1:12" ht="15.75" thickBot="1" x14ac:dyDescent="0.3"/>
    <row r="40" spans="1:12" x14ac:dyDescent="0.25">
      <c r="D40" s="40" t="s">
        <v>22</v>
      </c>
      <c r="E40" s="4">
        <f xml:space="preserve"> F37 / D37</f>
        <v>0.10023070661139291</v>
      </c>
    </row>
    <row r="41" spans="1:12" x14ac:dyDescent="0.25">
      <c r="D41" s="41" t="s">
        <v>23</v>
      </c>
      <c r="E41" s="6">
        <f xml:space="preserve"> (F36-D36*E40) / (C36)</f>
        <v>1.2483500621902555</v>
      </c>
    </row>
    <row r="42" spans="1:12" ht="15.75" thickBot="1" x14ac:dyDescent="0.3">
      <c r="D42" s="52" t="s">
        <v>24</v>
      </c>
      <c r="E42" s="23">
        <f xml:space="preserve"> (F35-D35*E40-C35*E41)/(B35)</f>
        <v>1.2221967634998971</v>
      </c>
    </row>
    <row r="44" spans="1:12" x14ac:dyDescent="0.25">
      <c r="I44" t="s">
        <v>38</v>
      </c>
      <c r="J44" t="s">
        <v>39</v>
      </c>
    </row>
    <row r="45" spans="1:12" x14ac:dyDescent="0.25">
      <c r="A45" t="s">
        <v>37</v>
      </c>
    </row>
    <row r="46" spans="1:12" ht="15.75" thickBot="1" x14ac:dyDescent="0.3"/>
    <row r="47" spans="1:12" x14ac:dyDescent="0.25">
      <c r="A47" s="31" t="s">
        <v>0</v>
      </c>
      <c r="B47" s="31" t="s">
        <v>11</v>
      </c>
      <c r="C47" s="31" t="s">
        <v>1</v>
      </c>
      <c r="D47" s="31" t="s">
        <v>12</v>
      </c>
      <c r="E47" s="116" t="s">
        <v>13</v>
      </c>
      <c r="H47" s="113" t="s">
        <v>0</v>
      </c>
      <c r="I47" s="113" t="s">
        <v>11</v>
      </c>
      <c r="J47" s="113" t="s">
        <v>1</v>
      </c>
      <c r="K47" s="113" t="s">
        <v>12</v>
      </c>
      <c r="L47" s="113" t="s">
        <v>13</v>
      </c>
    </row>
    <row r="48" spans="1:12" x14ac:dyDescent="0.25">
      <c r="A48" s="56">
        <v>0.6</v>
      </c>
      <c r="B48" s="56">
        <f xml:space="preserve">  $E$42* A48^3 +$E$41*A48 +$E$40*LN(A48)</f>
        <v>0.96180412500486034</v>
      </c>
      <c r="C48" s="56">
        <v>1</v>
      </c>
      <c r="D48" s="56">
        <f xml:space="preserve"> C48 - B48</f>
        <v>3.8195874995139656E-2</v>
      </c>
      <c r="E48" s="56">
        <f xml:space="preserve"> POWER(D48,2)</f>
        <v>1.4589248666443348E-3</v>
      </c>
      <c r="H48" s="56">
        <v>0.6</v>
      </c>
      <c r="I48" s="56">
        <f xml:space="preserve"> SIN(H48) + 2.0054 * H48^2</f>
        <v>1.2865864733950354</v>
      </c>
      <c r="J48" s="56">
        <v>1</v>
      </c>
      <c r="K48" s="56">
        <f xml:space="preserve"> J48 - I48</f>
        <v>-0.2865864733950354</v>
      </c>
      <c r="L48" s="56">
        <f xml:space="preserve"> POWER(K48,2)</f>
        <v>8.213180673300334E-2</v>
      </c>
    </row>
    <row r="49" spans="1:14" x14ac:dyDescent="0.25">
      <c r="A49" s="56">
        <v>0.75</v>
      </c>
      <c r="B49" s="56">
        <f t="shared" ref="B49:B54" si="10" xml:space="preserve">  $E$42* A49^3 +$E$41*A49 +$E$40*LN(A49)</f>
        <v>1.4230422288429387</v>
      </c>
      <c r="C49" s="56">
        <v>1.2</v>
      </c>
      <c r="D49" s="56">
        <f t="shared" ref="D49:D54" si="11" xml:space="preserve"> C49 - B49</f>
        <v>-0.22304222884293878</v>
      </c>
      <c r="E49" s="56">
        <f t="shared" ref="E49:E54" si="12" xml:space="preserve"> POWER(D49,2)</f>
        <v>4.974783584722587E-2</v>
      </c>
      <c r="H49" s="56">
        <v>0.75</v>
      </c>
      <c r="I49" s="56">
        <f t="shared" ref="I49:I53" si="13" xml:space="preserve"> SIN(H49) + 2.0054 * H49^2</f>
        <v>1.809676260023334</v>
      </c>
      <c r="J49" s="56">
        <v>1.2</v>
      </c>
      <c r="K49" s="56">
        <f t="shared" ref="K49:K53" si="14" xml:space="preserve"> J49 - I49</f>
        <v>-0.60967626002333408</v>
      </c>
      <c r="L49" s="56">
        <f t="shared" ref="L49:L53" si="15" xml:space="preserve"> POWER(K49,2)</f>
        <v>0.37170514203604005</v>
      </c>
    </row>
    <row r="50" spans="1:14" x14ac:dyDescent="0.25">
      <c r="A50" s="56">
        <v>0.8</v>
      </c>
      <c r="B50" s="56">
        <f t="shared" si="10"/>
        <v>1.602078956840153</v>
      </c>
      <c r="C50" s="56">
        <v>1.8</v>
      </c>
      <c r="D50" s="56">
        <f t="shared" si="11"/>
        <v>0.19792104315984704</v>
      </c>
      <c r="E50" s="56">
        <f t="shared" si="12"/>
        <v>3.9172739325482035E-2</v>
      </c>
      <c r="H50" s="56">
        <v>0.8</v>
      </c>
      <c r="I50" s="56">
        <f t="shared" si="13"/>
        <v>2.0008120908995228</v>
      </c>
      <c r="J50" s="56">
        <v>1.8</v>
      </c>
      <c r="K50" s="56">
        <f t="shared" si="14"/>
        <v>-0.20081209089952279</v>
      </c>
      <c r="L50" s="56">
        <f t="shared" si="15"/>
        <v>4.0325495851438201E-2</v>
      </c>
    </row>
    <row r="51" spans="1:14" x14ac:dyDescent="0.25">
      <c r="A51" s="56">
        <v>0.9</v>
      </c>
      <c r="B51" s="56">
        <f t="shared" si="10"/>
        <v>2.0039361376293305</v>
      </c>
      <c r="C51" s="56">
        <v>2</v>
      </c>
      <c r="D51" s="56">
        <f t="shared" si="11"/>
        <v>-3.9361376293305383E-3</v>
      </c>
      <c r="E51" s="56">
        <f t="shared" si="12"/>
        <v>1.5493179437031832E-5</v>
      </c>
      <c r="H51" s="56">
        <v>0.9</v>
      </c>
      <c r="I51" s="56">
        <f t="shared" si="13"/>
        <v>2.4077009096274833</v>
      </c>
      <c r="J51" s="56">
        <v>2</v>
      </c>
      <c r="K51" s="56">
        <f t="shared" si="14"/>
        <v>-0.40770090962748329</v>
      </c>
      <c r="L51" s="56">
        <f t="shared" si="15"/>
        <v>0.1662200317110773</v>
      </c>
    </row>
    <row r="52" spans="1:14" ht="15.75" thickBot="1" x14ac:dyDescent="0.3">
      <c r="A52" s="56">
        <v>1.1000000000000001</v>
      </c>
      <c r="B52" s="56">
        <f t="shared" si="10"/>
        <v>3.0094819672966913</v>
      </c>
      <c r="C52" s="56">
        <v>3</v>
      </c>
      <c r="D52" s="56">
        <f t="shared" si="11"/>
        <v>-9.4819672966912627E-3</v>
      </c>
      <c r="E52" s="56">
        <f t="shared" si="12"/>
        <v>8.9907703815522618E-5</v>
      </c>
      <c r="H52" s="114">
        <v>1.1000000000000001</v>
      </c>
      <c r="I52" s="114">
        <f t="shared" si="13"/>
        <v>3.3177413600614356</v>
      </c>
      <c r="J52" s="56">
        <v>3</v>
      </c>
      <c r="K52" s="56">
        <f t="shared" si="14"/>
        <v>-0.31774136006143561</v>
      </c>
      <c r="L52" s="56">
        <f t="shared" si="15"/>
        <v>0.10095957189369087</v>
      </c>
    </row>
    <row r="53" spans="1:14" ht="15.75" thickBot="1" x14ac:dyDescent="0.3">
      <c r="A53" s="61">
        <v>0.56799999999999995</v>
      </c>
      <c r="B53" s="117">
        <f t="shared" si="10"/>
        <v>0.87633703872713442</v>
      </c>
      <c r="E53" s="112">
        <f xml:space="preserve"> SUM(E48:E52)</f>
        <v>9.0484900922604791E-2</v>
      </c>
      <c r="H53" s="115">
        <v>0.56799999999999995</v>
      </c>
      <c r="I53" s="51">
        <f t="shared" si="13"/>
        <v>1.1849373382424413</v>
      </c>
      <c r="L53" s="112">
        <f xml:space="preserve"> SUM(L48:L52)</f>
        <v>0.76134204822524976</v>
      </c>
    </row>
    <row r="54" spans="1:14" x14ac:dyDescent="0.25">
      <c r="A54" s="111"/>
      <c r="B54" s="110"/>
    </row>
    <row r="58" spans="1:14" ht="15.75" thickBot="1" x14ac:dyDescent="0.3"/>
    <row r="59" spans="1:14" x14ac:dyDescent="0.25">
      <c r="M59" s="31"/>
      <c r="N59" s="32"/>
    </row>
    <row r="60" spans="1:14" ht="15.75" thickBot="1" x14ac:dyDescent="0.3">
      <c r="M60" s="33"/>
      <c r="N60" s="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C2ACC-41D3-4FEF-8488-F861D5781AEB}">
  <dimension ref="A1:L13"/>
  <sheetViews>
    <sheetView workbookViewId="0">
      <selection activeCell="B6" sqref="B6"/>
    </sheetView>
  </sheetViews>
  <sheetFormatPr defaultRowHeight="15" x14ac:dyDescent="0.25"/>
  <sheetData>
    <row r="1" spans="1:12" ht="15.75" thickBot="1" x14ac:dyDescent="0.3">
      <c r="B1" s="62" t="s">
        <v>40</v>
      </c>
      <c r="C1" t="s">
        <v>55</v>
      </c>
      <c r="H1" s="63" t="s">
        <v>41</v>
      </c>
      <c r="I1" s="64">
        <v>-2.5</v>
      </c>
      <c r="J1" t="s">
        <v>42</v>
      </c>
    </row>
    <row r="2" spans="1:12" x14ac:dyDescent="0.25">
      <c r="B2" s="62" t="s">
        <v>43</v>
      </c>
      <c r="C2" t="s">
        <v>56</v>
      </c>
      <c r="H2" s="65"/>
      <c r="I2" s="66"/>
    </row>
    <row r="3" spans="1:12" x14ac:dyDescent="0.25">
      <c r="B3" s="62" t="s">
        <v>44</v>
      </c>
      <c r="C3" t="s">
        <v>45</v>
      </c>
    </row>
    <row r="4" spans="1:12" ht="15.75" thickBot="1" x14ac:dyDescent="0.3">
      <c r="E4" s="67">
        <v>1E-4</v>
      </c>
      <c r="F4" s="67">
        <v>1E-4</v>
      </c>
      <c r="H4" s="68" t="s">
        <v>46</v>
      </c>
      <c r="I4" s="68"/>
      <c r="K4" s="68" t="s">
        <v>47</v>
      </c>
      <c r="L4" s="68"/>
    </row>
    <row r="5" spans="1:12" ht="15.75" thickBot="1" x14ac:dyDescent="0.3">
      <c r="A5" s="69" t="s">
        <v>0</v>
      </c>
      <c r="B5" s="69" t="s">
        <v>48</v>
      </c>
      <c r="C5" s="69" t="s">
        <v>49</v>
      </c>
      <c r="D5" s="69" t="s">
        <v>50</v>
      </c>
      <c r="E5" s="69" t="s">
        <v>51</v>
      </c>
      <c r="F5" s="69" t="s">
        <v>52</v>
      </c>
      <c r="H5" s="70" t="s">
        <v>53</v>
      </c>
      <c r="I5" s="4" t="e">
        <f xml:space="preserve"> 0.2 * I1^2 -2*LN(I1-2) + EXP(0.2*I1) -4</f>
        <v>#NUM!</v>
      </c>
      <c r="K5" s="70" t="s">
        <v>53</v>
      </c>
      <c r="L5" s="4" t="e">
        <f xml:space="preserve"> 0.2 * I2^2 -2*LN(I2-2) + EXP(0.2*I2) -4</f>
        <v>#NUM!</v>
      </c>
    </row>
    <row r="6" spans="1:12" ht="15.75" thickBot="1" x14ac:dyDescent="0.3">
      <c r="A6">
        <v>44</v>
      </c>
      <c r="B6">
        <f xml:space="preserve"> 3*A6^2 -140*A6 + 150 + 1200/(4*A6+ 1)</f>
        <v>-195.22033898305085</v>
      </c>
      <c r="C6">
        <f xml:space="preserve"> 6*A6 -140  + 4800/(4*A6 + 1)^2</f>
        <v>124.15321267834913</v>
      </c>
      <c r="D6">
        <f>A6 - B6/C6</f>
        <v>45.572414718649441</v>
      </c>
      <c r="E6">
        <f xml:space="preserve"> D6 -A6</f>
        <v>1.5724147186494406</v>
      </c>
      <c r="F6">
        <f xml:space="preserve"> 3*D6^2 -140*D6 + 150 + 1200/(4*D6+ 1)</f>
        <v>6.9439034582709764</v>
      </c>
      <c r="H6" s="70" t="s">
        <v>40</v>
      </c>
      <c r="I6" s="4">
        <f xml:space="preserve"> 0.4 * I1 - (2/(I1-2)) + 0.2*EXP(0.2*I1)</f>
        <v>-0.43424942361302887</v>
      </c>
      <c r="K6" s="70" t="s">
        <v>40</v>
      </c>
      <c r="L6" s="4">
        <f xml:space="preserve"> 0.4 * I2 - (2/(I2-2)) + 0.2*EXP(0.2*I2)</f>
        <v>1.2</v>
      </c>
    </row>
    <row r="7" spans="1:12" ht="15.75" thickBot="1" x14ac:dyDescent="0.3">
      <c r="A7">
        <f xml:space="preserve"> D6</f>
        <v>45.572414718649441</v>
      </c>
      <c r="B7">
        <f xml:space="preserve"> 3*A7^2 -140*A7 + 150 + 1200/(4*A7+ 1)</f>
        <v>6.9439034582709764</v>
      </c>
      <c r="C7">
        <f xml:space="preserve"> 6*A7 -140  + 4800/(4*A7 + 1)^2</f>
        <v>133.5773662951645</v>
      </c>
      <c r="D7" s="71">
        <f>A7 - B7/C7</f>
        <v>45.520430586525386</v>
      </c>
      <c r="E7" s="72">
        <f xml:space="preserve"> D7 -A7</f>
        <v>-5.1984132124054838E-2</v>
      </c>
      <c r="F7" s="72">
        <f t="shared" ref="F7" si="0">SIN(D7) + 0.99*D7^2 + 2*D7</f>
        <v>2143.4288325631146</v>
      </c>
      <c r="H7" s="70" t="s">
        <v>43</v>
      </c>
      <c r="I7" s="35">
        <f xml:space="preserve"> 0.4  - (2/(I1-2)^2) + 0.04*EXP(0.2*I1)</f>
        <v>0.32549579428973996</v>
      </c>
      <c r="K7" s="70" t="s">
        <v>43</v>
      </c>
      <c r="L7" s="35">
        <f xml:space="preserve"> 0.4  - (2/(I2-2)^2) + 0.04*EXP(0.2*I2)</f>
        <v>-5.9999999999999977E-2</v>
      </c>
    </row>
    <row r="8" spans="1:12" ht="15.75" thickBot="1" x14ac:dyDescent="0.3">
      <c r="A8">
        <f xml:space="preserve"> D7</f>
        <v>45.520430586525386</v>
      </c>
      <c r="B8">
        <f xml:space="preserve"> 3*A8^2 -140*A8 + 150 + 1200/(4*A8+ 1)</f>
        <v>2.2970261612216269E-2</v>
      </c>
      <c r="C8">
        <f xml:space="preserve"> 6*A8 -140  + 4800/(4*A8 + 1)^2</f>
        <v>133.26578623634651</v>
      </c>
      <c r="D8" s="74">
        <f>A8 - B8/C8</f>
        <v>45.520258222242994</v>
      </c>
      <c r="E8" s="72">
        <f xml:space="preserve"> D8 -A8</f>
        <v>-1.7236428239186807E-4</v>
      </c>
      <c r="F8" s="72">
        <f t="shared" ref="F8:F9" si="1">SIN(D8) + 0.99*D8^2 + 2*D8</f>
        <v>2143.4129469494233</v>
      </c>
      <c r="H8" s="73" t="s">
        <v>54</v>
      </c>
      <c r="I8" s="35" t="e">
        <f xml:space="preserve"> ABS(I5*I7/(I6)^2)</f>
        <v>#NUM!</v>
      </c>
      <c r="K8" s="73" t="s">
        <v>54</v>
      </c>
      <c r="L8" s="35" t="e">
        <f xml:space="preserve"> ABS(L5*L7/(L6)^2)</f>
        <v>#NUM!</v>
      </c>
    </row>
    <row r="9" spans="1:12" x14ac:dyDescent="0.25">
      <c r="A9">
        <f xml:space="preserve"> D8</f>
        <v>45.520258222242994</v>
      </c>
      <c r="B9">
        <f xml:space="preserve"> 3*A9^2 -140*A9 + 150 + 1200/(4*A9+ 1)</f>
        <v>4.9455288105626494E-5</v>
      </c>
      <c r="C9">
        <f xml:space="preserve"> 6*A9 -140  + 4800/(4*A9 + 1)^2</f>
        <v>133.2647531292163</v>
      </c>
      <c r="D9" s="71">
        <f>A9 - B9/C9</f>
        <v>45.520257851137451</v>
      </c>
      <c r="E9" s="72">
        <f xml:space="preserve"> D9 -A9</f>
        <v>-3.7110554274022434E-7</v>
      </c>
      <c r="F9" s="72">
        <f t="shared" si="1"/>
        <v>2143.4129127472456</v>
      </c>
    </row>
    <row r="10" spans="1:12" x14ac:dyDescent="0.25">
      <c r="A10">
        <f xml:space="preserve"> D9</f>
        <v>45.520257851137451</v>
      </c>
      <c r="B10">
        <f xml:space="preserve"> 3*A10^2 -140*A10 + 150 + 1200/(4*A10+ 1)</f>
        <v>1.0628761515363294E-7</v>
      </c>
      <c r="C10">
        <f xml:space="preserve"> 6*A10 -140  + 4800/(4*A10 + 1)^2</f>
        <v>133.26475090490527</v>
      </c>
      <c r="D10" s="71">
        <f>A10 - B10/C10</f>
        <v>45.520257850339881</v>
      </c>
      <c r="E10" s="72">
        <f xml:space="preserve"> D10 -A10</f>
        <v>-7.9757001003599726E-10</v>
      </c>
      <c r="F10" s="72">
        <f t="shared" ref="F10:F12" si="2">SIN(D10) + 0.99*D10^2 + 2*D10</f>
        <v>2143.4129126737389</v>
      </c>
    </row>
    <row r="11" spans="1:12" x14ac:dyDescent="0.25">
      <c r="A11">
        <f xml:space="preserve"> D10</f>
        <v>45.520257850339881</v>
      </c>
      <c r="B11">
        <f xml:space="preserve"> 3*A11^2 -140*A11 + 150 + 1200/(4*A11+ 1)</f>
        <v>2.2923707376776292E-10</v>
      </c>
      <c r="C11">
        <f xml:space="preserve"> 6*A11 -140  + 4800/(4*A11 + 1)^2</f>
        <v>133.26475090012485</v>
      </c>
      <c r="D11" s="71">
        <f>A11 - B11/C11</f>
        <v>45.520257850338162</v>
      </c>
      <c r="E11" s="72">
        <f xml:space="preserve"> D11 -A11</f>
        <v>-1.7195134205394424E-12</v>
      </c>
      <c r="F11" s="72">
        <f t="shared" si="2"/>
        <v>2143.4129126735802</v>
      </c>
    </row>
    <row r="12" spans="1:12" x14ac:dyDescent="0.25">
      <c r="A12">
        <f xml:space="preserve"> D11</f>
        <v>45.520257850338162</v>
      </c>
      <c r="B12">
        <f xml:space="preserve"> 3*A12^2 -140*A12 + 150 + 1200/(4*A12+ 1)</f>
        <v>2.9132252166164108E-13</v>
      </c>
      <c r="C12">
        <f xml:space="preserve"> 6*A12 -140  + 4800/(4*A12 + 1)^2</f>
        <v>133.26475090011451</v>
      </c>
      <c r="D12" s="71">
        <f>A12 - B12/C12</f>
        <v>45.520257850338162</v>
      </c>
      <c r="E12" s="72">
        <f xml:space="preserve"> D12 -A12</f>
        <v>0</v>
      </c>
      <c r="F12" s="72">
        <f t="shared" si="2"/>
        <v>2143.4129126735802</v>
      </c>
    </row>
    <row r="13" spans="1:12" x14ac:dyDescent="0.25">
      <c r="A13">
        <f xml:space="preserve"> D12</f>
        <v>45.520257850338162</v>
      </c>
      <c r="B13">
        <f xml:space="preserve"> 3*A13^2 -140*A13 + 150 + 1200/(4*A13+ 1)</f>
        <v>2.9132252166164108E-13</v>
      </c>
      <c r="C13">
        <f xml:space="preserve"> 6*A13 -140  + 4800/(4*A13 + 1)^2</f>
        <v>133.26475090011451</v>
      </c>
      <c r="D13" s="71">
        <f>A13 - B13/C13</f>
        <v>45.520257850338162</v>
      </c>
      <c r="E13" s="72">
        <f xml:space="preserve"> D13 -A13</f>
        <v>0</v>
      </c>
      <c r="F13" s="72">
        <f t="shared" ref="F13:F19" si="3">SIN(D13) + 0.99*D13^2 + 2*D13</f>
        <v>2143.4129126735802</v>
      </c>
    </row>
  </sheetData>
  <mergeCells count="2">
    <mergeCell ref="H4:I4"/>
    <mergeCell ref="K4:L4"/>
  </mergeCells>
  <conditionalFormatting sqref="E6">
    <cfRule type="cellIs" dxfId="0" priority="1" operator="lessThan">
      <formula>$E$6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AD44-3F78-48AC-B00F-FE6D108CF53D}">
  <dimension ref="A1:V61"/>
  <sheetViews>
    <sheetView topLeftCell="A29" workbookViewId="0">
      <selection activeCell="T55" sqref="T55"/>
    </sheetView>
  </sheetViews>
  <sheetFormatPr defaultRowHeight="15" x14ac:dyDescent="0.25"/>
  <cols>
    <col min="3" max="3" width="10.28515625" customWidth="1"/>
    <col min="4" max="4" width="17.140625" customWidth="1"/>
    <col min="5" max="5" width="18.140625" customWidth="1"/>
    <col min="6" max="6" width="12.5703125" customWidth="1"/>
    <col min="7" max="7" width="17" customWidth="1"/>
    <col min="8" max="8" width="15.140625" customWidth="1"/>
    <col min="10" max="10" width="9.5703125" customWidth="1"/>
    <col min="11" max="11" width="14" customWidth="1"/>
    <col min="12" max="12" width="19.7109375" customWidth="1"/>
    <col min="13" max="13" width="25" customWidth="1"/>
    <col min="17" max="17" width="14.85546875" customWidth="1"/>
    <col min="18" max="18" width="11.7109375" customWidth="1"/>
    <col min="20" max="20" width="15.42578125" customWidth="1"/>
    <col min="21" max="21" width="10" customWidth="1"/>
    <col min="22" max="22" width="13.28515625" customWidth="1"/>
    <col min="23" max="23" width="9.42578125" customWidth="1"/>
    <col min="25" max="25" width="14.28515625" customWidth="1"/>
    <col min="26" max="26" width="9.7109375" customWidth="1"/>
  </cols>
  <sheetData>
    <row r="1" spans="1:10" ht="15.75" thickBot="1" x14ac:dyDescent="0.3">
      <c r="A1" s="75" t="s">
        <v>57</v>
      </c>
      <c r="B1" s="76">
        <v>1.5</v>
      </c>
      <c r="C1" s="2" t="s">
        <v>58</v>
      </c>
      <c r="D1" s="51">
        <v>4</v>
      </c>
      <c r="F1" s="77" t="s">
        <v>59</v>
      </c>
      <c r="G1" s="78" t="s">
        <v>60</v>
      </c>
      <c r="I1" t="s">
        <v>141</v>
      </c>
    </row>
    <row r="2" spans="1:10" ht="15.75" thickBot="1" x14ac:dyDescent="0.3">
      <c r="A2" s="79" t="s">
        <v>61</v>
      </c>
      <c r="B2" s="80">
        <v>0</v>
      </c>
      <c r="C2" s="81" t="s">
        <v>62</v>
      </c>
      <c r="D2" s="51">
        <v>6</v>
      </c>
      <c r="F2" s="82" t="s">
        <v>63</v>
      </c>
      <c r="G2" s="83" t="s">
        <v>64</v>
      </c>
      <c r="I2" s="65" t="s">
        <v>142</v>
      </c>
      <c r="J2" t="s">
        <v>65</v>
      </c>
    </row>
    <row r="3" spans="1:10" ht="15.75" thickBot="1" x14ac:dyDescent="0.3">
      <c r="A3" s="79" t="s">
        <v>66</v>
      </c>
      <c r="B3" s="80">
        <v>5</v>
      </c>
      <c r="F3" s="82" t="s">
        <v>67</v>
      </c>
      <c r="G3" s="83" t="s">
        <v>68</v>
      </c>
    </row>
    <row r="4" spans="1:10" ht="15.75" thickBot="1" x14ac:dyDescent="0.3">
      <c r="A4" s="84" t="s">
        <v>69</v>
      </c>
      <c r="B4" s="85">
        <f xml:space="preserve"> (B1 - B2) / B3</f>
        <v>0.3</v>
      </c>
    </row>
    <row r="5" spans="1:10" ht="15.75" thickBot="1" x14ac:dyDescent="0.3">
      <c r="A5" s="86" t="s">
        <v>66</v>
      </c>
      <c r="B5" s="87">
        <v>2</v>
      </c>
    </row>
    <row r="6" spans="1:10" ht="15.75" thickBot="1" x14ac:dyDescent="0.3">
      <c r="C6" s="62"/>
      <c r="D6" s="88"/>
      <c r="E6" s="88"/>
      <c r="H6" s="35" t="s">
        <v>70</v>
      </c>
      <c r="I6" s="89"/>
      <c r="J6" s="35" t="s">
        <v>71</v>
      </c>
    </row>
    <row r="7" spans="1:10" ht="15.75" thickBot="1" x14ac:dyDescent="0.3">
      <c r="C7" s="62"/>
      <c r="H7" s="35" t="s">
        <v>72</v>
      </c>
      <c r="I7" s="90"/>
      <c r="J7" s="35" t="s">
        <v>73</v>
      </c>
    </row>
    <row r="8" spans="1:10" ht="15.75" thickBot="1" x14ac:dyDescent="0.3">
      <c r="C8" s="91" t="s">
        <v>74</v>
      </c>
      <c r="D8" s="92" t="s">
        <v>75</v>
      </c>
      <c r="E8" s="93"/>
    </row>
    <row r="9" spans="1:10" ht="15.75" thickBot="1" x14ac:dyDescent="0.3">
      <c r="C9" s="91" t="s">
        <v>76</v>
      </c>
      <c r="D9" s="92" t="s">
        <v>77</v>
      </c>
      <c r="E9" s="93"/>
    </row>
    <row r="10" spans="1:10" ht="15.75" thickBot="1" x14ac:dyDescent="0.3">
      <c r="C10" s="91" t="s">
        <v>78</v>
      </c>
      <c r="D10" s="92" t="s">
        <v>79</v>
      </c>
      <c r="E10" s="93"/>
    </row>
    <row r="11" spans="1:10" x14ac:dyDescent="0.25">
      <c r="A11" s="21" t="s">
        <v>80</v>
      </c>
    </row>
    <row r="12" spans="1:10" ht="15.75" thickBot="1" x14ac:dyDescent="0.3"/>
    <row r="13" spans="1:10" ht="15.75" thickBot="1" x14ac:dyDescent="0.3">
      <c r="A13" s="94" t="s">
        <v>81</v>
      </c>
      <c r="B13" s="94" t="s">
        <v>82</v>
      </c>
      <c r="C13" s="94" t="s">
        <v>83</v>
      </c>
      <c r="D13" s="94" t="s">
        <v>84</v>
      </c>
      <c r="E13" s="94" t="s">
        <v>85</v>
      </c>
      <c r="F13" s="95" t="s">
        <v>86</v>
      </c>
      <c r="G13" s="94" t="s">
        <v>87</v>
      </c>
      <c r="H13" s="94" t="s">
        <v>88</v>
      </c>
    </row>
    <row r="14" spans="1:10" x14ac:dyDescent="0.25">
      <c r="A14" s="7">
        <f xml:space="preserve"> $B$2</f>
        <v>0</v>
      </c>
      <c r="B14" s="7">
        <f xml:space="preserve"> D1</f>
        <v>4</v>
      </c>
      <c r="C14">
        <f xml:space="preserve"> D2</f>
        <v>6</v>
      </c>
      <c r="D14" s="7">
        <f xml:space="preserve"> C14</f>
        <v>6</v>
      </c>
      <c r="F14" s="7">
        <f xml:space="preserve"> A14 + $B$4</f>
        <v>0.3</v>
      </c>
      <c r="G14" s="7">
        <f xml:space="preserve"> B14 + $B$4* D14</f>
        <v>5.8</v>
      </c>
      <c r="H14" s="7">
        <f xml:space="preserve"> C14 + $B$4* E14</f>
        <v>6</v>
      </c>
    </row>
    <row r="15" spans="1:10" x14ac:dyDescent="0.25">
      <c r="A15" s="7"/>
      <c r="B15" s="7"/>
      <c r="C15" s="7" t="s">
        <v>89</v>
      </c>
      <c r="D15" s="7"/>
      <c r="E15" s="7"/>
      <c r="G15" s="7"/>
    </row>
    <row r="16" spans="1:10" x14ac:dyDescent="0.25">
      <c r="A16" s="7"/>
      <c r="B16" s="7"/>
      <c r="C16" s="7"/>
      <c r="D16" s="7"/>
      <c r="E16" s="7"/>
      <c r="G16" s="7"/>
    </row>
    <row r="17" spans="1:12" x14ac:dyDescent="0.25">
      <c r="A17" s="7"/>
      <c r="B17" s="7"/>
      <c r="C17" s="7"/>
      <c r="D17" s="7"/>
      <c r="E17" s="7"/>
      <c r="G17" s="7"/>
    </row>
    <row r="18" spans="1:12" x14ac:dyDescent="0.25">
      <c r="G18" s="7"/>
    </row>
    <row r="19" spans="1:12" ht="15.75" thickBot="1" x14ac:dyDescent="0.3">
      <c r="G19" s="7"/>
    </row>
    <row r="20" spans="1:12" ht="15.75" thickBot="1" x14ac:dyDescent="0.3">
      <c r="B20" s="96" t="s">
        <v>90</v>
      </c>
      <c r="C20" s="97"/>
      <c r="D20" s="98" t="s">
        <v>84</v>
      </c>
      <c r="E20" s="99"/>
      <c r="G20" s="7"/>
    </row>
    <row r="21" spans="1:12" ht="15.75" thickBot="1" x14ac:dyDescent="0.3">
      <c r="B21" s="96" t="s">
        <v>91</v>
      </c>
      <c r="C21" s="97"/>
      <c r="D21" s="98" t="s">
        <v>92</v>
      </c>
      <c r="E21" s="99"/>
    </row>
    <row r="22" spans="1:12" ht="15.75" thickBot="1" x14ac:dyDescent="0.3">
      <c r="B22" s="96" t="s">
        <v>93</v>
      </c>
      <c r="C22" s="97"/>
      <c r="D22" s="100" t="s">
        <v>77</v>
      </c>
      <c r="E22" s="101"/>
    </row>
    <row r="23" spans="1:12" ht="15.75" thickBot="1" x14ac:dyDescent="0.3">
      <c r="B23" s="96" t="s">
        <v>94</v>
      </c>
      <c r="C23" s="97"/>
      <c r="D23" s="100" t="s">
        <v>79</v>
      </c>
      <c r="E23" s="101"/>
    </row>
    <row r="24" spans="1:12" ht="15.75" thickBot="1" x14ac:dyDescent="0.3">
      <c r="B24" s="96" t="s">
        <v>95</v>
      </c>
      <c r="C24" s="97"/>
      <c r="D24" s="102" t="s">
        <v>96</v>
      </c>
      <c r="E24" s="103"/>
    </row>
    <row r="25" spans="1:12" ht="15.75" thickBot="1" x14ac:dyDescent="0.3">
      <c r="B25" s="96" t="s">
        <v>97</v>
      </c>
      <c r="C25" s="97"/>
      <c r="D25" s="102" t="s">
        <v>98</v>
      </c>
      <c r="E25" s="103"/>
    </row>
    <row r="26" spans="1:12" ht="15.75" thickBot="1" x14ac:dyDescent="0.3">
      <c r="B26" s="96" t="s">
        <v>76</v>
      </c>
      <c r="C26" s="97"/>
      <c r="D26" s="102" t="s">
        <v>99</v>
      </c>
      <c r="E26" s="103"/>
    </row>
    <row r="27" spans="1:12" ht="15.75" thickBot="1" x14ac:dyDescent="0.3">
      <c r="B27" s="96" t="s">
        <v>78</v>
      </c>
      <c r="C27" s="97"/>
      <c r="D27" s="102" t="s">
        <v>100</v>
      </c>
      <c r="E27" s="103"/>
    </row>
    <row r="28" spans="1:12" x14ac:dyDescent="0.25">
      <c r="A28" s="21" t="s">
        <v>101</v>
      </c>
    </row>
    <row r="29" spans="1:12" ht="15.75" thickBot="1" x14ac:dyDescent="0.3"/>
    <row r="30" spans="1:12" ht="15.75" thickBot="1" x14ac:dyDescent="0.3">
      <c r="A30" s="94" t="s">
        <v>81</v>
      </c>
      <c r="B30" s="94" t="s">
        <v>82</v>
      </c>
      <c r="C30" s="94" t="s">
        <v>83</v>
      </c>
      <c r="D30" s="94" t="s">
        <v>102</v>
      </c>
      <c r="E30" s="94" t="s">
        <v>85</v>
      </c>
      <c r="F30" s="95" t="s">
        <v>86</v>
      </c>
      <c r="G30" s="94" t="s">
        <v>103</v>
      </c>
      <c r="H30" s="94" t="s">
        <v>104</v>
      </c>
      <c r="I30" s="94" t="s">
        <v>105</v>
      </c>
      <c r="J30" s="94" t="s">
        <v>106</v>
      </c>
      <c r="K30" s="94" t="s">
        <v>87</v>
      </c>
      <c r="L30" s="94" t="s">
        <v>88</v>
      </c>
    </row>
    <row r="31" spans="1:12" x14ac:dyDescent="0.25">
      <c r="A31" s="7">
        <f>B2</f>
        <v>0</v>
      </c>
      <c r="B31" s="7">
        <f>D1</f>
        <v>4</v>
      </c>
      <c r="D31" s="7"/>
      <c r="F31" s="7">
        <f xml:space="preserve"> A31 + $B$4</f>
        <v>0.3</v>
      </c>
      <c r="G31" s="7">
        <f xml:space="preserve"> B31 + $B$4* D31</f>
        <v>4</v>
      </c>
      <c r="H31" s="7">
        <f xml:space="preserve"> C31 + $B$4* E31</f>
        <v>0</v>
      </c>
      <c r="I31" s="7"/>
      <c r="K31" s="7">
        <f xml:space="preserve"> B31 + ($B$4/2) * (D31+I31)</f>
        <v>4</v>
      </c>
      <c r="L31" s="7">
        <f xml:space="preserve"> C31 + ($B$4/2) * (E31+J31)</f>
        <v>0</v>
      </c>
    </row>
    <row r="32" spans="1:12" x14ac:dyDescent="0.25">
      <c r="A32" s="7"/>
      <c r="B32" s="7"/>
      <c r="C32" s="7"/>
      <c r="D32" s="7" t="s">
        <v>89</v>
      </c>
      <c r="E32" s="7"/>
      <c r="F32" s="7"/>
      <c r="G32" s="7"/>
    </row>
    <row r="38" spans="1:20" x14ac:dyDescent="0.25">
      <c r="H38" s="7"/>
    </row>
    <row r="39" spans="1:20" x14ac:dyDescent="0.25">
      <c r="H39" s="7"/>
    </row>
    <row r="40" spans="1:20" x14ac:dyDescent="0.25">
      <c r="A40" s="7"/>
      <c r="B40" s="7"/>
      <c r="C40" s="7"/>
      <c r="D40" s="7"/>
      <c r="E40" s="7"/>
      <c r="F40" s="7"/>
      <c r="G40" s="7"/>
      <c r="H40" s="7"/>
    </row>
    <row r="41" spans="1:20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</row>
    <row r="42" spans="1:20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</row>
    <row r="43" spans="1:20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</row>
    <row r="44" spans="1:20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</row>
    <row r="45" spans="1:20" ht="15.75" thickBot="1" x14ac:dyDescent="0.3">
      <c r="B45" s="96" t="s">
        <v>76</v>
      </c>
      <c r="C45" s="97"/>
      <c r="D45" s="104" t="s">
        <v>107</v>
      </c>
      <c r="E45" s="105"/>
      <c r="F45" s="106"/>
      <c r="H45" s="96" t="s">
        <v>78</v>
      </c>
      <c r="I45" s="97"/>
      <c r="J45" s="104" t="s">
        <v>108</v>
      </c>
      <c r="K45" s="105"/>
      <c r="L45" s="106"/>
      <c r="M45" s="7"/>
      <c r="N45" s="7"/>
      <c r="O45" s="7"/>
      <c r="P45" s="7"/>
      <c r="Q45" s="7"/>
      <c r="R45" s="7"/>
      <c r="S45" s="7"/>
      <c r="T45" s="7"/>
    </row>
    <row r="46" spans="1:20" ht="15.75" thickBot="1" x14ac:dyDescent="0.3">
      <c r="B46" s="96" t="s">
        <v>109</v>
      </c>
      <c r="C46" s="97"/>
      <c r="D46" s="104" t="s">
        <v>84</v>
      </c>
      <c r="E46" s="105"/>
      <c r="F46" s="106"/>
      <c r="H46" s="96" t="s">
        <v>110</v>
      </c>
      <c r="I46" s="97"/>
      <c r="J46" s="104" t="s">
        <v>92</v>
      </c>
      <c r="K46" s="105"/>
      <c r="L46" s="106"/>
    </row>
    <row r="47" spans="1:20" ht="15.75" thickBot="1" x14ac:dyDescent="0.3">
      <c r="B47" s="96" t="s">
        <v>111</v>
      </c>
      <c r="C47" s="97"/>
      <c r="D47" s="104" t="s">
        <v>112</v>
      </c>
      <c r="E47" s="105"/>
      <c r="F47" s="106"/>
      <c r="H47" s="96" t="s">
        <v>113</v>
      </c>
      <c r="I47" s="97"/>
      <c r="J47" s="104" t="s">
        <v>114</v>
      </c>
      <c r="K47" s="105"/>
      <c r="L47" s="106"/>
    </row>
    <row r="48" spans="1:20" ht="15.75" thickBot="1" x14ac:dyDescent="0.3">
      <c r="B48" s="96" t="s">
        <v>115</v>
      </c>
      <c r="C48" s="97"/>
      <c r="D48" s="104" t="s">
        <v>116</v>
      </c>
      <c r="E48" s="105"/>
      <c r="F48" s="106"/>
      <c r="H48" s="96" t="s">
        <v>117</v>
      </c>
      <c r="I48" s="97"/>
      <c r="J48" s="104" t="s">
        <v>118</v>
      </c>
      <c r="K48" s="105"/>
      <c r="L48" s="106"/>
    </row>
    <row r="49" spans="1:22" ht="15.75" thickBot="1" x14ac:dyDescent="0.3">
      <c r="B49" s="96" t="s">
        <v>119</v>
      </c>
      <c r="C49" s="97"/>
      <c r="D49" s="104" t="s">
        <v>120</v>
      </c>
      <c r="E49" s="105"/>
      <c r="F49" s="106"/>
      <c r="H49" s="96" t="s">
        <v>121</v>
      </c>
      <c r="I49" s="97"/>
      <c r="J49" s="104" t="s">
        <v>122</v>
      </c>
      <c r="K49" s="105"/>
      <c r="L49" s="106"/>
    </row>
    <row r="50" spans="1:22" ht="15.75" thickBot="1" x14ac:dyDescent="0.3">
      <c r="D50" s="107" t="s">
        <v>123</v>
      </c>
    </row>
    <row r="52" spans="1:22" ht="15.75" thickBot="1" x14ac:dyDescent="0.3">
      <c r="A52" s="21" t="s">
        <v>124</v>
      </c>
    </row>
    <row r="53" spans="1:22" ht="15.75" thickBot="1" x14ac:dyDescent="0.3">
      <c r="C53" s="108" t="s">
        <v>125</v>
      </c>
      <c r="D53" s="109"/>
      <c r="H53" s="108" t="s">
        <v>125</v>
      </c>
      <c r="I53" s="109"/>
      <c r="M53" s="108" t="s">
        <v>125</v>
      </c>
      <c r="N53" s="109"/>
      <c r="R53" s="108" t="s">
        <v>125</v>
      </c>
      <c r="S53" s="109"/>
    </row>
    <row r="54" spans="1:22" ht="15.75" thickBot="1" x14ac:dyDescent="0.3">
      <c r="A54" s="94" t="s">
        <v>81</v>
      </c>
      <c r="B54" s="94" t="s">
        <v>82</v>
      </c>
      <c r="C54" s="94" t="s">
        <v>83</v>
      </c>
      <c r="D54" s="94" t="s">
        <v>126</v>
      </c>
      <c r="E54" s="94" t="s">
        <v>127</v>
      </c>
      <c r="F54" s="95" t="s">
        <v>128</v>
      </c>
      <c r="G54" s="94" t="s">
        <v>129</v>
      </c>
      <c r="H54" s="94" t="s">
        <v>130</v>
      </c>
      <c r="I54" s="94" t="s">
        <v>131</v>
      </c>
      <c r="J54" s="94" t="s">
        <v>132</v>
      </c>
      <c r="K54" s="94" t="s">
        <v>128</v>
      </c>
      <c r="L54" s="94" t="s">
        <v>133</v>
      </c>
      <c r="M54" s="94" t="s">
        <v>134</v>
      </c>
      <c r="N54" s="94" t="s">
        <v>135</v>
      </c>
      <c r="O54" s="94" t="s">
        <v>136</v>
      </c>
      <c r="P54" s="94" t="s">
        <v>86</v>
      </c>
      <c r="Q54" s="94" t="s">
        <v>137</v>
      </c>
      <c r="R54" s="94" t="s">
        <v>138</v>
      </c>
      <c r="S54" s="94" t="s">
        <v>139</v>
      </c>
      <c r="T54" s="94" t="s">
        <v>140</v>
      </c>
      <c r="U54" s="94" t="s">
        <v>87</v>
      </c>
      <c r="V54" s="94" t="s">
        <v>88</v>
      </c>
    </row>
    <row r="55" spans="1:22" x14ac:dyDescent="0.25">
      <c r="A55" s="7">
        <f xml:space="preserve"> $B$2</f>
        <v>0</v>
      </c>
      <c r="B55" s="7">
        <f>D1</f>
        <v>4</v>
      </c>
      <c r="C55">
        <f xml:space="preserve"> D2</f>
        <v>6</v>
      </c>
      <c r="D55" s="7">
        <f xml:space="preserve"> (20 -A55*C55 -0.8*B55) /2</f>
        <v>8.4</v>
      </c>
      <c r="E55">
        <f>((1/10)*C55*B55*(-4/3)*A55^2)*3</f>
        <v>0</v>
      </c>
      <c r="F55" s="7">
        <f xml:space="preserve"> A55 + $B$4/2</f>
        <v>0.15</v>
      </c>
      <c r="G55" s="7">
        <f xml:space="preserve"> $B55 + ($B$4/2)* D55</f>
        <v>5.26</v>
      </c>
      <c r="H55" s="7">
        <f xml:space="preserve"> $C55 + ($B$4/2)* E55</f>
        <v>6</v>
      </c>
      <c r="I55" s="7">
        <f xml:space="preserve"> (20 -F55*H55 -0.8*G55) /2</f>
        <v>7.4460000000000006</v>
      </c>
      <c r="J55">
        <f>((1/10)*H55*G55*(-4/3)*F55^2)*3</f>
        <v>-0.28404000000000001</v>
      </c>
      <c r="K55">
        <f xml:space="preserve"> A55 + $B$4/2</f>
        <v>0.15</v>
      </c>
      <c r="L55" s="7">
        <f xml:space="preserve"> $B55 + ($B$4/2)* I55</f>
        <v>5.1169000000000002</v>
      </c>
      <c r="M55" s="7">
        <f xml:space="preserve"> $C55 + ($B$4/2)* J55</f>
        <v>5.9573939999999999</v>
      </c>
      <c r="N55" s="7">
        <f xml:space="preserve"> (20 -K55*M55 -0.8*L55) /2</f>
        <v>7.5064354499999997</v>
      </c>
      <c r="O55">
        <f>((1/10)*M55*L55*(-4/3)*K55^2)*3</f>
        <v>-0.27435050422740004</v>
      </c>
      <c r="P55" s="7">
        <f xml:space="preserve"> A55 + $B$4</f>
        <v>0.3</v>
      </c>
      <c r="Q55" s="7">
        <f xml:space="preserve"> $B55 + ($B$4)* N55</f>
        <v>6.2519306349999999</v>
      </c>
      <c r="R55" s="7">
        <f xml:space="preserve"> $C55 + ($B$4)* O55</f>
        <v>5.91769484873178</v>
      </c>
      <c r="S55" s="7">
        <f xml:space="preserve"> (20 -P55*R55 -0.8*Q55) /2</f>
        <v>6.6115735186902329</v>
      </c>
      <c r="T55">
        <f xml:space="preserve"> ( (1/10) * R55*Q55  -(4/3) * P55^2 ) * 3</f>
        <v>10.739105314010374</v>
      </c>
      <c r="U55" s="7">
        <f xml:space="preserve"> $B55 + ($B$4/6) * (D55+2*I55+2*N55+S55)</f>
        <v>6.245822220934512</v>
      </c>
      <c r="V55" s="7">
        <f xml:space="preserve"> C55 + ($B$4/6) * (E55+2*J55+2*O55+T55)</f>
        <v>6.4811162152777788</v>
      </c>
    </row>
    <row r="56" spans="1:22" x14ac:dyDescent="0.25">
      <c r="A56" s="7">
        <f xml:space="preserve"> P55</f>
        <v>0.3</v>
      </c>
      <c r="B56" s="7">
        <f>U55</f>
        <v>6.245822220934512</v>
      </c>
      <c r="C56" s="7">
        <f xml:space="preserve"> V55</f>
        <v>6.4811162152777788</v>
      </c>
      <c r="D56" s="7">
        <f xml:space="preserve"> C56</f>
        <v>6.4811162152777788</v>
      </c>
      <c r="E56">
        <f xml:space="preserve"> -2*B56^2 -COS(A56) +3*C56</f>
        <v>-59.532578274330902</v>
      </c>
      <c r="F56" s="7">
        <f xml:space="preserve"> A56 + $B$4/2</f>
        <v>0.44999999999999996</v>
      </c>
      <c r="G56" s="7">
        <f xml:space="preserve"> $B56 + ($B$4/2)* D56</f>
        <v>7.2179896532261791</v>
      </c>
      <c r="H56" s="7">
        <f xml:space="preserve"> $C56 + ($B$4/2)* E56</f>
        <v>-2.4487705258718568</v>
      </c>
      <c r="I56" s="7">
        <f xml:space="preserve"> H56</f>
        <v>-2.4487705258718568</v>
      </c>
      <c r="J56">
        <f xml:space="preserve"> -2*G56^2 -COS(F56) +3*H56</f>
        <v>-112.44550794812859</v>
      </c>
      <c r="K56">
        <f xml:space="preserve"> A56 + $B$4/2</f>
        <v>0.44999999999999996</v>
      </c>
      <c r="L56" s="7">
        <f xml:space="preserve"> $B56 + ($B$4/2)* I56</f>
        <v>5.8785066420537335</v>
      </c>
      <c r="M56" s="7">
        <f xml:space="preserve"> $C56 + ($B$4/2)* J56</f>
        <v>-10.385709976941509</v>
      </c>
      <c r="N56" s="7">
        <f>M56</f>
        <v>-10.385709976941509</v>
      </c>
      <c r="O56">
        <f xml:space="preserve"> -2*L56^2 -COS(K56) +3*M56</f>
        <v>-101.17125771451693</v>
      </c>
      <c r="P56" s="7">
        <f xml:space="preserve"> A56 + $B$4</f>
        <v>0.6</v>
      </c>
      <c r="Q56" s="7">
        <f xml:space="preserve"> $B56 + ($B$4)* N56</f>
        <v>3.1301092278520595</v>
      </c>
      <c r="R56" s="7">
        <f xml:space="preserve"> $C56 + ($B$4)* O56</f>
        <v>-23.870261099077297</v>
      </c>
      <c r="S56" s="7">
        <f>R56</f>
        <v>-23.870261099077297</v>
      </c>
      <c r="T56">
        <f xml:space="preserve"> -2*Q56^2 -COS(P56) +3*R56</f>
        <v>-92.031286468710803</v>
      </c>
      <c r="U56" s="7">
        <f xml:space="preserve"> $B56 + ($B$4/6) * (D56+2*I56+2*N56+S56)</f>
        <v>4.0929169264632002</v>
      </c>
      <c r="V56" s="7">
        <f xml:space="preserve"> C56 + ($B$4/6) * (E56+2*J56+2*O56+T56)</f>
        <v>-22.458753588138858</v>
      </c>
    </row>
    <row r="57" spans="1:22" x14ac:dyDescent="0.25">
      <c r="A57" s="7">
        <f t="shared" ref="A57:A61" si="0" xml:space="preserve"> P56</f>
        <v>0.6</v>
      </c>
      <c r="B57" s="7">
        <f t="shared" ref="B57:B61" si="1">U56</f>
        <v>4.0929169264632002</v>
      </c>
      <c r="C57" s="7">
        <f t="shared" ref="C57:C61" si="2" xml:space="preserve"> V56</f>
        <v>-22.458753588138858</v>
      </c>
      <c r="D57" s="7">
        <f t="shared" ref="D57:D61" si="3" xml:space="preserve"> C57</f>
        <v>-22.458753588138858</v>
      </c>
      <c r="E57">
        <f t="shared" ref="E57:E61" si="4" xml:space="preserve"> -2*B57^2 -COS(A57) +3*C57</f>
        <v>-101.70553431318419</v>
      </c>
      <c r="F57" s="7">
        <f t="shared" ref="F57:F61" si="5" xml:space="preserve"> A57 + $B$4/2</f>
        <v>0.75</v>
      </c>
      <c r="G57" s="7">
        <f t="shared" ref="G57:G61" si="6" xml:space="preserve"> $B57 + ($B$4/2)* D57</f>
        <v>0.7241038882423716</v>
      </c>
      <c r="H57" s="7">
        <f t="shared" ref="H57:H61" si="7" xml:space="preserve"> $C57 + ($B$4/2)* E57</f>
        <v>-37.714583735116484</v>
      </c>
      <c r="I57" s="7">
        <f t="shared" ref="I57:I61" si="8" xml:space="preserve"> H57</f>
        <v>-37.714583735116484</v>
      </c>
      <c r="J57">
        <f t="shared" ref="J57:J61" si="9" xml:space="preserve"> -2*G57^2 -COS(F57) +3*H57</f>
        <v>-114.9240929561587</v>
      </c>
      <c r="K57">
        <f t="shared" ref="K57:K61" si="10" xml:space="preserve"> A57 + $B$4/2</f>
        <v>0.75</v>
      </c>
      <c r="L57" s="7">
        <f t="shared" ref="L57:L61" si="11" xml:space="preserve"> $B57 + ($B$4/2)* I57</f>
        <v>-1.5642706338042727</v>
      </c>
      <c r="M57" s="7">
        <f t="shared" ref="M57:M61" si="12" xml:space="preserve"> $C57 + ($B$4/2)* J57</f>
        <v>-39.697367531562662</v>
      </c>
      <c r="N57" s="7">
        <f t="shared" ref="N57:N61" si="13">M57</f>
        <v>-39.697367531562662</v>
      </c>
      <c r="O57">
        <f t="shared" ref="O57:O61" si="14" xml:space="preserve"> -2*L57^2 -COS(K57) +3*M57</f>
        <v>-124.71767669512666</v>
      </c>
      <c r="P57" s="7">
        <f t="shared" ref="P57:P61" si="15" xml:space="preserve"> A57 + $B$4</f>
        <v>0.89999999999999991</v>
      </c>
      <c r="Q57" s="7">
        <f t="shared" ref="Q57:Q61" si="16" xml:space="preserve"> $B57 + ($B$4)* N57</f>
        <v>-7.8162933330055981</v>
      </c>
      <c r="R57" s="7">
        <f t="shared" ref="R57:R61" si="17" xml:space="preserve"> $C57 + ($B$4)* O57</f>
        <v>-59.874056596676851</v>
      </c>
      <c r="S57" s="7">
        <f t="shared" ref="S57:S61" si="18">R57</f>
        <v>-59.874056596676851</v>
      </c>
      <c r="T57">
        <f t="shared" ref="T57:T61" si="19" xml:space="preserve"> -2*Q57^2 -COS(P57) +3*R57</f>
        <v>-302.43266269347674</v>
      </c>
      <c r="U57" s="7">
        <f t="shared" ref="U57:U61" si="20" xml:space="preserve"> $B57 + ($B$4/6) * (D57+2*I57+2*N57+S57)</f>
        <v>-7.7649187094454977</v>
      </c>
      <c r="V57" s="7">
        <f t="shared" ref="V57:V61" si="21" xml:space="preserve"> C57 + ($B$4/6) * (E57+2*J57+2*O57+T57)</f>
        <v>-66.62984040360044</v>
      </c>
    </row>
    <row r="58" spans="1:22" x14ac:dyDescent="0.25">
      <c r="A58" s="7">
        <f t="shared" si="0"/>
        <v>0.89999999999999991</v>
      </c>
      <c r="B58" s="7">
        <f t="shared" si="1"/>
        <v>-7.7649187094454977</v>
      </c>
      <c r="C58" s="7">
        <f t="shared" si="2"/>
        <v>-66.62984040360044</v>
      </c>
      <c r="D58" s="7">
        <f t="shared" si="3"/>
        <v>-66.62984040360044</v>
      </c>
      <c r="E58">
        <f t="shared" si="4"/>
        <v>-321.09905630766548</v>
      </c>
      <c r="F58" s="7">
        <f t="shared" si="5"/>
        <v>1.0499999999999998</v>
      </c>
      <c r="G58" s="7">
        <f t="shared" si="6"/>
        <v>-17.759394769985562</v>
      </c>
      <c r="H58" s="7">
        <f t="shared" si="7"/>
        <v>-114.79469884975026</v>
      </c>
      <c r="I58" s="7">
        <f t="shared" si="8"/>
        <v>-114.79469884975026</v>
      </c>
      <c r="J58">
        <f t="shared" si="9"/>
        <v>-975.67387278952356</v>
      </c>
      <c r="K58">
        <f t="shared" si="10"/>
        <v>1.0499999999999998</v>
      </c>
      <c r="L58" s="7">
        <f t="shared" si="11"/>
        <v>-24.984123536908037</v>
      </c>
      <c r="M58" s="7">
        <f t="shared" si="12"/>
        <v>-212.98092132202896</v>
      </c>
      <c r="N58" s="7">
        <f t="shared" si="13"/>
        <v>-212.98092132202896</v>
      </c>
      <c r="O58">
        <f t="shared" si="14"/>
        <v>-1887.8531928289431</v>
      </c>
      <c r="P58" s="7">
        <f t="shared" si="15"/>
        <v>1.2</v>
      </c>
      <c r="Q58" s="7">
        <f t="shared" si="16"/>
        <v>-71.659195106054185</v>
      </c>
      <c r="R58" s="7">
        <f t="shared" si="17"/>
        <v>-632.9857982522833</v>
      </c>
      <c r="S58" s="7">
        <f t="shared" si="18"/>
        <v>-632.9857982522833</v>
      </c>
      <c r="T58">
        <f t="shared" si="19"/>
        <v>-12169.400239006407</v>
      </c>
      <c r="U58" s="7">
        <f t="shared" si="20"/>
        <v>-75.523262659417597</v>
      </c>
      <c r="V58" s="7">
        <f t="shared" si="21"/>
        <v>-977.50751173115077</v>
      </c>
    </row>
    <row r="59" spans="1:22" x14ac:dyDescent="0.25">
      <c r="A59" s="7">
        <f t="shared" si="0"/>
        <v>1.2</v>
      </c>
      <c r="B59" s="7">
        <f t="shared" si="1"/>
        <v>-75.523262659417597</v>
      </c>
      <c r="C59" s="7">
        <f t="shared" si="2"/>
        <v>-977.50751173115077</v>
      </c>
      <c r="D59" s="7">
        <f t="shared" si="3"/>
        <v>-977.50751173115077</v>
      </c>
      <c r="E59">
        <f t="shared" si="4"/>
        <v>-14340.411298394691</v>
      </c>
      <c r="F59" s="7">
        <f t="shared" si="5"/>
        <v>1.3499999999999999</v>
      </c>
      <c r="G59" s="7">
        <f t="shared" si="6"/>
        <v>-222.1493894190902</v>
      </c>
      <c r="H59" s="7">
        <f t="shared" si="7"/>
        <v>-3128.5692064903542</v>
      </c>
      <c r="I59" s="7">
        <f t="shared" si="8"/>
        <v>-3128.5692064903542</v>
      </c>
      <c r="J59">
        <f t="shared" si="9"/>
        <v>-108086.62906470733</v>
      </c>
      <c r="K59">
        <f t="shared" si="10"/>
        <v>1.3499999999999999</v>
      </c>
      <c r="L59" s="7">
        <f t="shared" si="11"/>
        <v>-544.80864363297076</v>
      </c>
      <c r="M59" s="7">
        <f t="shared" si="12"/>
        <v>-17190.501871437249</v>
      </c>
      <c r="N59" s="7">
        <f t="shared" si="13"/>
        <v>-17190.501871437249</v>
      </c>
      <c r="O59">
        <f t="shared" si="14"/>
        <v>-645204.64097539347</v>
      </c>
      <c r="P59" s="7">
        <f t="shared" si="15"/>
        <v>1.5</v>
      </c>
      <c r="Q59" s="7">
        <f t="shared" si="16"/>
        <v>-5232.6738240905925</v>
      </c>
      <c r="R59" s="7">
        <f t="shared" si="17"/>
        <v>-194538.89980434917</v>
      </c>
      <c r="S59" s="7">
        <f t="shared" si="18"/>
        <v>-194538.89980434917</v>
      </c>
      <c r="T59">
        <f t="shared" si="19"/>
        <v>-55345367.46879597</v>
      </c>
      <c r="U59" s="7">
        <f t="shared" si="20"/>
        <v>-11883.250736256194</v>
      </c>
      <c r="V59" s="7">
        <f t="shared" si="21"/>
        <v>-2844292.0285204593</v>
      </c>
    </row>
    <row r="60" spans="1:22" x14ac:dyDescent="0.25">
      <c r="A60" s="7">
        <f t="shared" si="0"/>
        <v>1.5</v>
      </c>
      <c r="B60" s="7">
        <f t="shared" si="1"/>
        <v>-11883.250736256194</v>
      </c>
      <c r="C60" s="7">
        <f t="shared" si="2"/>
        <v>-2844292.0285204593</v>
      </c>
      <c r="D60" s="7">
        <f t="shared" si="3"/>
        <v>-2844292.0285204593</v>
      </c>
      <c r="E60">
        <f t="shared" si="4"/>
        <v>-290956172.27776533</v>
      </c>
      <c r="F60" s="7">
        <f t="shared" si="5"/>
        <v>1.65</v>
      </c>
      <c r="G60" s="7">
        <f t="shared" si="6"/>
        <v>-438527.05501432507</v>
      </c>
      <c r="H60" s="7">
        <f t="shared" si="7"/>
        <v>-46487717.870185256</v>
      </c>
      <c r="I60" s="7">
        <f t="shared" si="8"/>
        <v>-46487717.870185256</v>
      </c>
      <c r="J60">
        <f t="shared" si="9"/>
        <v>-384751419112.60522</v>
      </c>
      <c r="K60">
        <f t="shared" si="10"/>
        <v>1.65</v>
      </c>
      <c r="L60" s="7">
        <f t="shared" si="11"/>
        <v>-6985040.9312640447</v>
      </c>
      <c r="M60" s="7">
        <f t="shared" si="12"/>
        <v>-57715557158.919304</v>
      </c>
      <c r="N60" s="7">
        <f t="shared" si="13"/>
        <v>-57715557158.919304</v>
      </c>
      <c r="O60">
        <f t="shared" si="14"/>
        <v>-97754740294344.828</v>
      </c>
      <c r="P60" s="7">
        <f t="shared" si="15"/>
        <v>1.8</v>
      </c>
      <c r="Q60" s="7">
        <f t="shared" si="16"/>
        <v>-17314679030.926525</v>
      </c>
      <c r="R60" s="7">
        <f t="shared" si="17"/>
        <v>-29326424932595.477</v>
      </c>
      <c r="S60" s="7">
        <f t="shared" si="18"/>
        <v>-29326424932595.477</v>
      </c>
      <c r="T60">
        <f t="shared" si="19"/>
        <v>-5.9959630786728821E+20</v>
      </c>
      <c r="U60" s="7">
        <f t="shared" si="20"/>
        <v>-1472097605215.3049</v>
      </c>
      <c r="V60" s="7">
        <f t="shared" si="21"/>
        <v>-2.9979825207330972E+19</v>
      </c>
    </row>
    <row r="61" spans="1:22" x14ac:dyDescent="0.25">
      <c r="A61" s="7"/>
      <c r="B61" s="7"/>
      <c r="C61" s="7"/>
      <c r="D61" s="7"/>
      <c r="F61" s="7"/>
      <c r="G61" s="7"/>
      <c r="H61" s="7"/>
      <c r="I61" s="7"/>
      <c r="L61" s="7"/>
      <c r="M61" s="7"/>
      <c r="N61" s="7"/>
      <c r="P61" s="7"/>
      <c r="Q61" s="7"/>
      <c r="R61" s="7"/>
      <c r="S61" s="7"/>
      <c r="U61" s="7"/>
      <c r="V61" s="7"/>
    </row>
  </sheetData>
  <mergeCells count="37">
    <mergeCell ref="M53:N53"/>
    <mergeCell ref="R53:S53"/>
    <mergeCell ref="B49:C49"/>
    <mergeCell ref="D49:F49"/>
    <mergeCell ref="H49:I49"/>
    <mergeCell ref="J49:L49"/>
    <mergeCell ref="C53:D53"/>
    <mergeCell ref="H53:I53"/>
    <mergeCell ref="B47:C47"/>
    <mergeCell ref="D47:F47"/>
    <mergeCell ref="H47:I47"/>
    <mergeCell ref="J47:L47"/>
    <mergeCell ref="B48:C48"/>
    <mergeCell ref="D48:F48"/>
    <mergeCell ref="H48:I48"/>
    <mergeCell ref="J48:L48"/>
    <mergeCell ref="B27:C27"/>
    <mergeCell ref="B45:C45"/>
    <mergeCell ref="D45:F45"/>
    <mergeCell ref="H45:I45"/>
    <mergeCell ref="J45:L45"/>
    <mergeCell ref="B46:C46"/>
    <mergeCell ref="D46:F46"/>
    <mergeCell ref="H46:I46"/>
    <mergeCell ref="J46:L46"/>
    <mergeCell ref="B21:C21"/>
    <mergeCell ref="B22:C22"/>
    <mergeCell ref="B23:C23"/>
    <mergeCell ref="B24:C24"/>
    <mergeCell ref="B25:C25"/>
    <mergeCell ref="B26:C26"/>
    <mergeCell ref="D6:E6"/>
    <mergeCell ref="I6:I7"/>
    <mergeCell ref="D8:E8"/>
    <mergeCell ref="D9:E9"/>
    <mergeCell ref="D10:E10"/>
    <mergeCell ref="B20:C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Gabriel Actis Agudiak</dc:creator>
  <cp:lastModifiedBy>Lucas Gabriel Actis Agudiak</cp:lastModifiedBy>
  <dcterms:created xsi:type="dcterms:W3CDTF">2015-06-05T18:17:20Z</dcterms:created>
  <dcterms:modified xsi:type="dcterms:W3CDTF">2021-06-26T19:51:54Z</dcterms:modified>
</cp:coreProperties>
</file>