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i\Desktop\"/>
    </mc:Choice>
  </mc:AlternateContent>
  <xr:revisionPtr revIDLastSave="0" documentId="13_ncr:1_{70C09352-9FAC-4925-BC2B-47B0498B4B06}" xr6:coauthVersionLast="47" xr6:coauthVersionMax="47" xr10:uidLastSave="{00000000-0000-0000-0000-000000000000}"/>
  <bookViews>
    <workbookView xWindow="-28920" yWindow="-1935" windowWidth="29040" windowHeight="15840" firstSheet="1" activeTab="7" xr2:uid="{55C88ADC-B533-451B-A434-275BB6D34749}"/>
  </bookViews>
  <sheets>
    <sheet name="Euler (todos) y Runge Kutta" sheetId="1" r:id="rId1"/>
    <sheet name="Ejercicio 1" sheetId="2" r:id="rId2"/>
    <sheet name="Ejercicio 2" sheetId="3" r:id="rId3"/>
    <sheet name="4-a Ejercicio 1a, 1b, 1c" sheetId="4" r:id="rId4"/>
    <sheet name="4-a Ejercicio 2a, 2b, 2c" sheetId="6" r:id="rId5"/>
    <sheet name="4a - Ejercicio 3" sheetId="7" r:id="rId6"/>
    <sheet name="4a - Ejercicio 4" sheetId="8" r:id="rId7"/>
    <sheet name="4a - Ejercicio 5" sheetId="9" r:id="rId8"/>
    <sheet name="4a - Ejercicio 6" sheetId="10" r:id="rId9"/>
  </sheets>
  <definedNames>
    <definedName name="_h" localSheetId="5">'4a - Ejercicio 3'!$B$19</definedName>
    <definedName name="_h" localSheetId="6">'4a - Ejercicio 4'!$B$19</definedName>
    <definedName name="_h" localSheetId="7">'4a - Ejercicio 5'!$B$19</definedName>
    <definedName name="_h" localSheetId="8">'4a - Ejercicio 6'!$B$21</definedName>
    <definedName name="_h" localSheetId="3">'4-a Ejercicio 1a, 1b, 1c'!$B$19</definedName>
    <definedName name="_h" localSheetId="4">'4-a Ejercicio 2a, 2b, 2c'!$B$21</definedName>
    <definedName name="_h" localSheetId="1">'Ejercicio 1'!$B$21</definedName>
    <definedName name="_h" localSheetId="2">'Ejercicio 2'!$B$22</definedName>
    <definedName name="_hEulerMejorado" localSheetId="4">'4-a Ejercicio 2a, 2b, 2c'!$B$22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1" i="1" l="1"/>
  <c r="D31" i="1"/>
  <c r="I24" i="1"/>
  <c r="J24" i="1"/>
  <c r="I21" i="1"/>
  <c r="J21" i="1"/>
  <c r="K21" i="1"/>
  <c r="L21" i="1"/>
  <c r="J22" i="1" s="1"/>
  <c r="I22" i="1"/>
  <c r="I23" i="1"/>
  <c r="K20" i="1"/>
  <c r="L20" i="1" s="1"/>
  <c r="J20" i="1"/>
  <c r="I20" i="1"/>
  <c r="L19" i="1"/>
  <c r="K19" i="1"/>
  <c r="E13" i="10"/>
  <c r="F13" i="10"/>
  <c r="G12" i="10"/>
  <c r="I12" i="10" s="1"/>
  <c r="J12" i="10" s="1"/>
  <c r="K12" i="10" s="1"/>
  <c r="H12" i="10"/>
  <c r="F12" i="10"/>
  <c r="E12" i="10"/>
  <c r="K11" i="10"/>
  <c r="J11" i="10"/>
  <c r="I11" i="10"/>
  <c r="H11" i="10"/>
  <c r="G11" i="10"/>
  <c r="D10" i="9"/>
  <c r="E10" i="9"/>
  <c r="D9" i="9"/>
  <c r="E9" i="9"/>
  <c r="H9" i="9" s="1"/>
  <c r="I9" i="9" s="1"/>
  <c r="K9" i="9" s="1"/>
  <c r="F9" i="9"/>
  <c r="G9" i="9"/>
  <c r="J9" i="9" s="1"/>
  <c r="M9" i="9"/>
  <c r="F8" i="9"/>
  <c r="G8" i="9"/>
  <c r="H8" i="9"/>
  <c r="I8" i="9"/>
  <c r="J8" i="9"/>
  <c r="M8" i="9"/>
  <c r="E8" i="9"/>
  <c r="D8" i="9"/>
  <c r="P7" i="9"/>
  <c r="O7" i="9"/>
  <c r="N7" i="9"/>
  <c r="M7" i="9"/>
  <c r="L7" i="9"/>
  <c r="K7" i="9"/>
  <c r="J7" i="9"/>
  <c r="I7" i="9"/>
  <c r="H7" i="9"/>
  <c r="G7" i="9"/>
  <c r="F7" i="9"/>
  <c r="B19" i="9"/>
  <c r="E11" i="8"/>
  <c r="F11" i="8"/>
  <c r="E10" i="8"/>
  <c r="F10" i="8"/>
  <c r="G10" i="8"/>
  <c r="I10" i="8" s="1"/>
  <c r="J10" i="8" s="1"/>
  <c r="K10" i="8" s="1"/>
  <c r="H10" i="8"/>
  <c r="G9" i="8"/>
  <c r="H9" i="8"/>
  <c r="I9" i="8"/>
  <c r="J9" i="8"/>
  <c r="K9" i="8" s="1"/>
  <c r="F9" i="8"/>
  <c r="E9" i="8"/>
  <c r="K8" i="8"/>
  <c r="J8" i="8"/>
  <c r="I8" i="8"/>
  <c r="H8" i="8"/>
  <c r="G8" i="8"/>
  <c r="B19" i="8"/>
  <c r="D10" i="7"/>
  <c r="E10" i="7"/>
  <c r="D9" i="7"/>
  <c r="F9" i="7" s="1"/>
  <c r="G9" i="7" s="1"/>
  <c r="E9" i="7"/>
  <c r="F8" i="7"/>
  <c r="G8" i="7" s="1"/>
  <c r="E8" i="7"/>
  <c r="D8" i="7"/>
  <c r="G7" i="7"/>
  <c r="F7" i="7"/>
  <c r="B19" i="7"/>
  <c r="E28" i="6"/>
  <c r="F28" i="6"/>
  <c r="E25" i="6"/>
  <c r="F25" i="6"/>
  <c r="G25" i="6"/>
  <c r="I25" i="6" s="1"/>
  <c r="H25" i="6"/>
  <c r="J25" i="6" s="1"/>
  <c r="K25" i="6" s="1"/>
  <c r="F26" i="6" s="1"/>
  <c r="G24" i="6"/>
  <c r="I24" i="6" s="1"/>
  <c r="J24" i="6" s="1"/>
  <c r="K24" i="6" s="1"/>
  <c r="H24" i="6"/>
  <c r="F24" i="6"/>
  <c r="E24" i="6"/>
  <c r="K23" i="6"/>
  <c r="J23" i="6"/>
  <c r="I23" i="6"/>
  <c r="H23" i="6"/>
  <c r="G23" i="6"/>
  <c r="B22" i="6"/>
  <c r="N15" i="6"/>
  <c r="E16" i="6" s="1"/>
  <c r="K15" i="6"/>
  <c r="I15" i="6"/>
  <c r="H15" i="6"/>
  <c r="J15" i="6" s="1"/>
  <c r="G15" i="6"/>
  <c r="J8" i="6"/>
  <c r="K8" i="6" s="1"/>
  <c r="F9" i="6" s="1"/>
  <c r="I8" i="6"/>
  <c r="H8" i="6"/>
  <c r="E9" i="6" s="1"/>
  <c r="G8" i="6"/>
  <c r="B21" i="6"/>
  <c r="E24" i="4"/>
  <c r="F24" i="4"/>
  <c r="G23" i="4"/>
  <c r="H23" i="4"/>
  <c r="K23" i="4" s="1"/>
  <c r="I23" i="4"/>
  <c r="J23" i="4"/>
  <c r="L23" i="4" s="1"/>
  <c r="N23" i="4"/>
  <c r="F23" i="4"/>
  <c r="E23" i="4"/>
  <c r="Q22" i="4"/>
  <c r="P22" i="4"/>
  <c r="O22" i="4"/>
  <c r="N22" i="4"/>
  <c r="M22" i="4"/>
  <c r="L22" i="4"/>
  <c r="K22" i="4"/>
  <c r="J22" i="4"/>
  <c r="I22" i="4"/>
  <c r="H22" i="4"/>
  <c r="G22" i="4"/>
  <c r="E17" i="4"/>
  <c r="F17" i="4"/>
  <c r="G16" i="4"/>
  <c r="H16" i="4"/>
  <c r="I16" i="4"/>
  <c r="J16" i="4"/>
  <c r="K16" i="4" s="1"/>
  <c r="F16" i="4"/>
  <c r="E16" i="4"/>
  <c r="K15" i="4"/>
  <c r="J15" i="4"/>
  <c r="I15" i="4"/>
  <c r="H15" i="4"/>
  <c r="G7" i="4"/>
  <c r="H7" i="4" s="1"/>
  <c r="F8" i="4" s="1"/>
  <c r="G8" i="4" s="1"/>
  <c r="H8" i="4" s="1"/>
  <c r="F9" i="4" s="1"/>
  <c r="G15" i="4"/>
  <c r="E9" i="4"/>
  <c r="E8" i="4"/>
  <c r="B19" i="4"/>
  <c r="E29" i="3"/>
  <c r="F29" i="3"/>
  <c r="G29" i="3"/>
  <c r="I29" i="3" s="1"/>
  <c r="H29" i="3"/>
  <c r="N29" i="3"/>
  <c r="E28" i="3"/>
  <c r="F28" i="3"/>
  <c r="I28" i="3" s="1"/>
  <c r="G28" i="3"/>
  <c r="H28" i="3"/>
  <c r="J28" i="3" s="1"/>
  <c r="L28" i="3" s="1"/>
  <c r="N28" i="3"/>
  <c r="E27" i="3"/>
  <c r="F27" i="3"/>
  <c r="G27" i="3"/>
  <c r="I27" i="3" s="1"/>
  <c r="H27" i="3"/>
  <c r="N27" i="3"/>
  <c r="E26" i="3"/>
  <c r="F26" i="3"/>
  <c r="I26" i="3" s="1"/>
  <c r="G26" i="3"/>
  <c r="H26" i="3"/>
  <c r="J26" i="3" s="1"/>
  <c r="L26" i="3" s="1"/>
  <c r="N26" i="3"/>
  <c r="E25" i="3"/>
  <c r="F25" i="3"/>
  <c r="I25" i="3" s="1"/>
  <c r="G25" i="3"/>
  <c r="H25" i="3"/>
  <c r="K25" i="3" s="1"/>
  <c r="N25" i="3"/>
  <c r="G24" i="3"/>
  <c r="H24" i="3"/>
  <c r="K24" i="3" s="1"/>
  <c r="I24" i="3"/>
  <c r="J24" i="3"/>
  <c r="L24" i="3" s="1"/>
  <c r="N24" i="3"/>
  <c r="F24" i="3"/>
  <c r="E24" i="3"/>
  <c r="Q23" i="3"/>
  <c r="P23" i="3"/>
  <c r="O23" i="3"/>
  <c r="N23" i="3"/>
  <c r="M23" i="3"/>
  <c r="L23" i="3"/>
  <c r="K23" i="3"/>
  <c r="J23" i="3"/>
  <c r="I23" i="3"/>
  <c r="H23" i="3"/>
  <c r="G23" i="3"/>
  <c r="E17" i="3"/>
  <c r="G17" i="3" s="1"/>
  <c r="F17" i="3"/>
  <c r="E16" i="3"/>
  <c r="F16" i="3"/>
  <c r="G16" i="3"/>
  <c r="H16" i="3"/>
  <c r="E12" i="3"/>
  <c r="E13" i="3" s="1"/>
  <c r="H11" i="3"/>
  <c r="F12" i="3" s="1"/>
  <c r="G11" i="3"/>
  <c r="I11" i="2"/>
  <c r="H11" i="2"/>
  <c r="J11" i="2" s="1"/>
  <c r="K11" i="2" s="1"/>
  <c r="F12" i="2" s="1"/>
  <c r="G11" i="2"/>
  <c r="B21" i="2"/>
  <c r="I33" i="1"/>
  <c r="J33" i="1"/>
  <c r="K33" i="1"/>
  <c r="M33" i="1" s="1"/>
  <c r="L33" i="1"/>
  <c r="N33" i="1" s="1"/>
  <c r="R33" i="1"/>
  <c r="I34" i="1"/>
  <c r="L34" i="1" s="1"/>
  <c r="R34" i="1"/>
  <c r="I35" i="1"/>
  <c r="L35" i="1"/>
  <c r="O35" i="1" s="1"/>
  <c r="R35" i="1"/>
  <c r="I36" i="1"/>
  <c r="R36" i="1" s="1"/>
  <c r="K32" i="1"/>
  <c r="L32" i="1"/>
  <c r="M32" i="1"/>
  <c r="N32" i="1"/>
  <c r="P32" i="1" s="1"/>
  <c r="Q32" i="1" s="1"/>
  <c r="S32" i="1" s="1"/>
  <c r="O32" i="1"/>
  <c r="R32" i="1"/>
  <c r="J32" i="1"/>
  <c r="I32" i="1"/>
  <c r="U31" i="1"/>
  <c r="T31" i="1"/>
  <c r="S31" i="1"/>
  <c r="R31" i="1"/>
  <c r="Q31" i="1"/>
  <c r="P31" i="1"/>
  <c r="O31" i="1"/>
  <c r="N31" i="1"/>
  <c r="L31" i="1"/>
  <c r="M31" i="1"/>
  <c r="K31" i="1"/>
  <c r="A33" i="1"/>
  <c r="B33" i="1"/>
  <c r="C33" i="1"/>
  <c r="E33" i="1" s="1"/>
  <c r="D33" i="1"/>
  <c r="A34" i="1" s="1"/>
  <c r="C32" i="1"/>
  <c r="E32" i="1" s="1"/>
  <c r="F32" i="1" s="1"/>
  <c r="G32" i="1" s="1"/>
  <c r="D32" i="1"/>
  <c r="B32" i="1"/>
  <c r="A32" i="1"/>
  <c r="F31" i="1"/>
  <c r="E31" i="1"/>
  <c r="C31" i="1"/>
  <c r="K22" i="1" l="1"/>
  <c r="L22" i="1" s="1"/>
  <c r="J23" i="1" s="1"/>
  <c r="L9" i="9"/>
  <c r="N9" i="9" s="1"/>
  <c r="O9" i="9" s="1"/>
  <c r="P9" i="9" s="1"/>
  <c r="K8" i="9"/>
  <c r="L8" i="9" s="1"/>
  <c r="N8" i="9" s="1"/>
  <c r="O8" i="9" s="1"/>
  <c r="E26" i="6"/>
  <c r="H16" i="6"/>
  <c r="K16" i="6" s="1"/>
  <c r="N16" i="6"/>
  <c r="E17" i="6" s="1"/>
  <c r="G9" i="6"/>
  <c r="I9" i="6" s="1"/>
  <c r="J9" i="6" s="1"/>
  <c r="K9" i="6" s="1"/>
  <c r="F10" i="6" s="1"/>
  <c r="H9" i="6"/>
  <c r="E10" i="6" s="1"/>
  <c r="L15" i="6"/>
  <c r="M15" i="6" s="1"/>
  <c r="M23" i="4"/>
  <c r="O23" i="4" s="1"/>
  <c r="P23" i="4" s="1"/>
  <c r="Q23" i="4" s="1"/>
  <c r="H17" i="3"/>
  <c r="J29" i="3"/>
  <c r="K29" i="3"/>
  <c r="K28" i="3"/>
  <c r="M28" i="3" s="1"/>
  <c r="O28" i="3" s="1"/>
  <c r="P28" i="3" s="1"/>
  <c r="J27" i="3"/>
  <c r="L27" i="3" s="1"/>
  <c r="K27" i="3"/>
  <c r="K26" i="3"/>
  <c r="M26" i="3" s="1"/>
  <c r="O26" i="3" s="1"/>
  <c r="P26" i="3" s="1"/>
  <c r="J25" i="3"/>
  <c r="L25" i="3" s="1"/>
  <c r="M25" i="3" s="1"/>
  <c r="O25" i="3" s="1"/>
  <c r="P25" i="3" s="1"/>
  <c r="M24" i="3"/>
  <c r="O24" i="3" s="1"/>
  <c r="P24" i="3" s="1"/>
  <c r="Q24" i="3" s="1"/>
  <c r="E14" i="3"/>
  <c r="G12" i="3"/>
  <c r="H12" i="3" s="1"/>
  <c r="F13" i="3" s="1"/>
  <c r="G13" i="3" s="1"/>
  <c r="H13" i="3" s="1"/>
  <c r="F14" i="3" s="1"/>
  <c r="E12" i="2"/>
  <c r="P33" i="1"/>
  <c r="O34" i="1"/>
  <c r="L36" i="1"/>
  <c r="O33" i="1"/>
  <c r="Q33" i="1" s="1"/>
  <c r="S33" i="1" s="1"/>
  <c r="T33" i="1" s="1"/>
  <c r="T32" i="1"/>
  <c r="U32" i="1"/>
  <c r="D34" i="1"/>
  <c r="F33" i="1"/>
  <c r="G33" i="1" s="1"/>
  <c r="B34" i="1" s="1"/>
  <c r="K23" i="1" l="1"/>
  <c r="L23" i="1" s="1"/>
  <c r="P8" i="9"/>
  <c r="G26" i="6"/>
  <c r="H26" i="6"/>
  <c r="O15" i="6"/>
  <c r="P15" i="6" s="1"/>
  <c r="Q15" i="6" s="1"/>
  <c r="F16" i="6" s="1"/>
  <c r="G16" i="6" s="1"/>
  <c r="I16" i="6" s="1"/>
  <c r="J16" i="6" s="1"/>
  <c r="L16" i="6" s="1"/>
  <c r="M16" i="6" s="1"/>
  <c r="O16" i="6" s="1"/>
  <c r="P16" i="6" s="1"/>
  <c r="Q16" i="6" s="1"/>
  <c r="F17" i="6" s="1"/>
  <c r="L29" i="3"/>
  <c r="M29" i="3" s="1"/>
  <c r="Q28" i="3"/>
  <c r="M27" i="3"/>
  <c r="Q26" i="3"/>
  <c r="Q25" i="3"/>
  <c r="E15" i="3"/>
  <c r="G14" i="3"/>
  <c r="H14" i="3" s="1"/>
  <c r="F15" i="3" s="1"/>
  <c r="H12" i="2"/>
  <c r="G12" i="2"/>
  <c r="I12" i="2" s="1"/>
  <c r="O36" i="1"/>
  <c r="U33" i="1"/>
  <c r="J34" i="1" s="1"/>
  <c r="A35" i="1"/>
  <c r="E34" i="1"/>
  <c r="F34" i="1" s="1"/>
  <c r="G34" i="1" s="1"/>
  <c r="B35" i="1" s="1"/>
  <c r="C34" i="1"/>
  <c r="E27" i="6" l="1"/>
  <c r="I26" i="6"/>
  <c r="J26" i="6" s="1"/>
  <c r="K26" i="6" s="1"/>
  <c r="F27" i="6" s="1"/>
  <c r="O29" i="3"/>
  <c r="P29" i="3" s="1"/>
  <c r="Q29" i="3" s="1"/>
  <c r="O27" i="3"/>
  <c r="P27" i="3" s="1"/>
  <c r="Q27" i="3" s="1"/>
  <c r="G15" i="3"/>
  <c r="H15" i="3" s="1"/>
  <c r="E13" i="2"/>
  <c r="J12" i="2"/>
  <c r="K12" i="2" s="1"/>
  <c r="F13" i="2" s="1"/>
  <c r="K34" i="1"/>
  <c r="M34" i="1" s="1"/>
  <c r="N34" i="1" s="1"/>
  <c r="P34" i="1" s="1"/>
  <c r="Q34" i="1" s="1"/>
  <c r="S34" i="1" s="1"/>
  <c r="T34" i="1" s="1"/>
  <c r="C35" i="1"/>
  <c r="D35" i="1"/>
  <c r="G27" i="6" l="1"/>
  <c r="H27" i="6"/>
  <c r="U34" i="1"/>
  <c r="J35" i="1" s="1"/>
  <c r="A36" i="1"/>
  <c r="E35" i="1"/>
  <c r="F35" i="1" s="1"/>
  <c r="G35" i="1" s="1"/>
  <c r="B36" i="1" s="1"/>
  <c r="I27" i="6" l="1"/>
  <c r="J27" i="6" s="1"/>
  <c r="K27" i="6" s="1"/>
  <c r="M35" i="1"/>
  <c r="N35" i="1" s="1"/>
  <c r="K35" i="1"/>
  <c r="D36" i="1"/>
  <c r="C36" i="1"/>
  <c r="P35" i="1" l="1"/>
  <c r="Q35" i="1" s="1"/>
  <c r="S35" i="1" s="1"/>
  <c r="T35" i="1" s="1"/>
  <c r="E36" i="1"/>
  <c r="F36" i="1" s="1"/>
  <c r="G36" i="1" s="1"/>
  <c r="U35" i="1" l="1"/>
  <c r="J36" i="1" s="1"/>
  <c r="K36" i="1" l="1"/>
  <c r="M36" i="1" s="1"/>
  <c r="N36" i="1" s="1"/>
  <c r="P36" i="1" s="1"/>
  <c r="Q36" i="1" s="1"/>
  <c r="S36" i="1" s="1"/>
  <c r="T36" i="1" s="1"/>
  <c r="U36" i="1" l="1"/>
</calcChain>
</file>

<file path=xl/sharedStrings.xml><?xml version="1.0" encoding="utf-8"?>
<sst xmlns="http://schemas.openxmlformats.org/spreadsheetml/2006/main" count="336" uniqueCount="131">
  <si>
    <t>El crecimiento de las ventas de una empresa se describe a través de la siguiente ecuación diferencial:</t>
  </si>
  <si>
    <t>2xy-y'+6=0</t>
  </si>
  <si>
    <t>Donde x es el tiempo en años e "y" es el monto de ventas en miles de pesos.</t>
  </si>
  <si>
    <t xml:space="preserve">Si se conoce que las ventas actuales (t=0) son de $500000. calcular cuál será el valor de las ventas a los 6 meses utilizando </t>
  </si>
  <si>
    <t>5 pasos</t>
  </si>
  <si>
    <t>Fórmulas generales</t>
  </si>
  <si>
    <t>Yi+1 = Yi +hf(Xi;Yi)</t>
  </si>
  <si>
    <t>Yi+1 = Yi + h/2 [f(Xi;Yi) + f(Xi+1;Yi+1)]</t>
  </si>
  <si>
    <t>Yi+1 = Yi + h/6[K1+2K2+2K3+K4]</t>
  </si>
  <si>
    <t>K1 = f(Xi;Yi)</t>
  </si>
  <si>
    <t>k2 = f(Xi+h/2;Yi+h/2*K1)</t>
  </si>
  <si>
    <t>K3 = f(Xi+h/2;Yi+h/2*K2)</t>
  </si>
  <si>
    <t>K4 = f(Xi+h;Yi+h*K3)</t>
  </si>
  <si>
    <t>1) Planteo del modelo</t>
  </si>
  <si>
    <t>Despejar y'</t>
  </si>
  <si>
    <t>y' = 2xy+6</t>
  </si>
  <si>
    <t>2) Condición inicial</t>
  </si>
  <si>
    <t>y(0) = 500</t>
  </si>
  <si>
    <t>3) Condición final (objetivo)</t>
  </si>
  <si>
    <t>y(0,5)</t>
  </si>
  <si>
    <t>5) Método de Euler 1er Orden</t>
  </si>
  <si>
    <t>Euler 1er Orden</t>
  </si>
  <si>
    <t xml:space="preserve">h = (0,5 - 0) / 5 </t>
  </si>
  <si>
    <t>h =</t>
  </si>
  <si>
    <t>Xi</t>
  </si>
  <si>
    <t>Yi</t>
  </si>
  <si>
    <t>f(Xi;Yi)</t>
  </si>
  <si>
    <t>Yi+1</t>
  </si>
  <si>
    <t>Ese Yi+1 pertenece a X = 0,1 (x se incrementa a partir de h)</t>
  </si>
  <si>
    <t>Ese 512,212 es la y(0,2)</t>
  </si>
  <si>
    <t>Pertenece a X = 0,5</t>
  </si>
  <si>
    <t>RTA: la empresa a los seis meses vendera 610,579 miles de pesos</t>
  </si>
  <si>
    <t>Euler Mejorado</t>
  </si>
  <si>
    <t>5) Método de Euler Mejorado</t>
  </si>
  <si>
    <t>Xi+1</t>
  </si>
  <si>
    <t>EULER</t>
  </si>
  <si>
    <t>f(Xi+1;Yi+1)</t>
  </si>
  <si>
    <t>RTA: la empresa a los seis meses vendera 645,299 miles de pesos</t>
  </si>
  <si>
    <t>5) Método de Runge Kutta - 4to Orden</t>
  </si>
  <si>
    <t>Runge Kutta</t>
  </si>
  <si>
    <t>4to Orden</t>
  </si>
  <si>
    <t>K1</t>
  </si>
  <si>
    <t>Xi + h/2</t>
  </si>
  <si>
    <t>K2</t>
  </si>
  <si>
    <t>K3</t>
  </si>
  <si>
    <t>Xi+h</t>
  </si>
  <si>
    <t>Yi+h*K3</t>
  </si>
  <si>
    <t>K4</t>
  </si>
  <si>
    <t>Yi + h/2 * K1</t>
  </si>
  <si>
    <t>Yi + h/2 * K2</t>
  </si>
  <si>
    <t>RTA: la empresa a los seis meses vendera 645,5664 miles de pesos</t>
  </si>
  <si>
    <t>La tasa de variación de las ventas de una empresa se representan a partir de la sig ec:</t>
  </si>
  <si>
    <t>y'-2xy+0,5x^2-0,2y=0</t>
  </si>
  <si>
    <t>Donde "y" representa las ventas en miles de pesos y "x" el tiempo en años.</t>
  </si>
  <si>
    <t>Se pide calcular las ventas a los seis meses utilizando dos pasos y sabiendo que hoy (t=0) las ventas son por 40000</t>
  </si>
  <si>
    <t>Utilizar Euler Mejorado</t>
  </si>
  <si>
    <t>y' = 2xy - 0,5x^2 + 0,2y</t>
  </si>
  <si>
    <t>y(0) = 40</t>
  </si>
  <si>
    <t>y(0,5) = ?</t>
  </si>
  <si>
    <t>4) Paso de cálculo (h)</t>
  </si>
  <si>
    <t>h = (0,5 - 0) / 2</t>
  </si>
  <si>
    <t xml:space="preserve">h = </t>
  </si>
  <si>
    <t>5) Euler Mejorado</t>
  </si>
  <si>
    <t>La población de un determinado país es, actualmente, de 60 millones de habitantes. La siguiente ecuación</t>
  </si>
  <si>
    <t>describe la variación de esa población:</t>
  </si>
  <si>
    <t>Donde y representa la población en millones y x el tiempo en años.</t>
  </si>
  <si>
    <t>Suponiendo el momento actual como x = 0, se pide calcular la población que existía hace tres años, utilizando un</t>
  </si>
  <si>
    <t>paso de cálculo equivalente a 6 meses. Utilizar el método de Euler y de Runge Kutta de 4to.Orden y comparar soluciones.</t>
  </si>
  <si>
    <t>y’ + 0,3xy - x^2 = 0</t>
  </si>
  <si>
    <t>y' = -0,3xy + x^2</t>
  </si>
  <si>
    <t>y(0) = 60</t>
  </si>
  <si>
    <t>3) Condición final</t>
  </si>
  <si>
    <t>y(-3) = ?</t>
  </si>
  <si>
    <t>5) Euler</t>
  </si>
  <si>
    <t>(negativo pq quiero valores pasados)</t>
  </si>
  <si>
    <t>6) Runge Kutta 4to Orden</t>
  </si>
  <si>
    <t>Dada la ec: y' - x^2 -0,4x + y = 0,5 encontrar el valor de y(0,8) sabiendo que y(0,1) = 10</t>
  </si>
  <si>
    <t>Utilizando dos pasos de Euler. Trabajar con 4 cifras decimales</t>
  </si>
  <si>
    <t>y' = 0,5 + x^2 + 0,4x - y</t>
  </si>
  <si>
    <t>y(0,1) = 10</t>
  </si>
  <si>
    <t>y(0,8) = ?</t>
  </si>
  <si>
    <t xml:space="preserve">4) Paso de cálculo (h) </t>
  </si>
  <si>
    <t>h = (0,8 - 0,1) / 2</t>
  </si>
  <si>
    <t>1b) Euler Mejorado</t>
  </si>
  <si>
    <t>1a) Euler</t>
  </si>
  <si>
    <t>1c) Runge 4to Orden</t>
  </si>
  <si>
    <t>Dada la sig ec 4 * x2 - y' + y/x = 5*cos(x) encontrar el valor de y cuando x= 4 sabiendo</t>
  </si>
  <si>
    <t>que y(3.5)=50 utilizando Euler Mejorando 2 pasos</t>
  </si>
  <si>
    <t>1) Platear el modelo</t>
  </si>
  <si>
    <t>4 * x2 + y/x = 5 * cos(x) + y'</t>
  </si>
  <si>
    <t>4 * x2 + y/x - 5 * cos(x) = y'</t>
  </si>
  <si>
    <t>y' = 4 * x2 + y/x - 5 * cos(x)</t>
  </si>
  <si>
    <t>y(3.5) = 50</t>
  </si>
  <si>
    <t>y(4) = ?</t>
  </si>
  <si>
    <t>4) Paso de calculo (h)</t>
  </si>
  <si>
    <t>h = (4-3,5) / 2</t>
  </si>
  <si>
    <t>2a) Euler Mejorado</t>
  </si>
  <si>
    <t>2b) Runge Kutta 4to Orden</t>
  </si>
  <si>
    <t>2c) Euler Mejorado 5 pasos</t>
  </si>
  <si>
    <t>Dada la ecuación: y' = x^2 - 2/(y+140) encontrar el valor de y(2,5) sabiendo que y(1) = 60</t>
  </si>
  <si>
    <t>Utilizando 3 pasos de Euler</t>
  </si>
  <si>
    <t>1) Armar el modelo</t>
  </si>
  <si>
    <t>y' = x^2 - 2/(y+140)</t>
  </si>
  <si>
    <t>2) Condicion inicial</t>
  </si>
  <si>
    <t>y(1) = 60</t>
  </si>
  <si>
    <t>3) Condicion final</t>
  </si>
  <si>
    <t>y(2,5) = ?</t>
  </si>
  <si>
    <t>4) Paso de cálculo</t>
  </si>
  <si>
    <t>h = (2,5-1) / 3</t>
  </si>
  <si>
    <t>Dada la sig ec y'-0,2x^2 = 0,3 - y/x encontrar el valor de y(5,5) sabiendo que y(4) = 1000 utilizando</t>
  </si>
  <si>
    <t>3 pasos de euler mejorado</t>
  </si>
  <si>
    <t xml:space="preserve">y' = 0,3 - y/x + 0,2x^2 </t>
  </si>
  <si>
    <t>y(4) = 1000</t>
  </si>
  <si>
    <t>y(5,5) = ?</t>
  </si>
  <si>
    <t>h = (5,5-4) / 3</t>
  </si>
  <si>
    <t>Dada la ecuación: y/(y+x) - 0,2e^x - y' = 0 encontrar el valor de y(2,5) sabiendo que y(1) = 15</t>
  </si>
  <si>
    <t>3 pasos runge kutta 4to orden</t>
  </si>
  <si>
    <t>y' = y/(y+x) - 0,2e^x</t>
  </si>
  <si>
    <t>y(1) = 15</t>
  </si>
  <si>
    <t>h = (2,5-1)/3</t>
  </si>
  <si>
    <t>5) Runge Kutta 4to Orden</t>
  </si>
  <si>
    <t>La velocidad de crecimiento de una población de animales se presenta con la siguiente ecuación:</t>
  </si>
  <si>
    <t>y' + 2x - 0,5y = e^-x</t>
  </si>
  <si>
    <t>Donde "y" representa la cnt de individuos en miles y "x" representa el tiempo en años</t>
  </si>
  <si>
    <t>Se conoce y(1) = 12 y se pide calcular la cnt de individuos que habla luego de 1 año de estudio</t>
  </si>
  <si>
    <t>de la especia. Utilizar un paso h equivalente a 6 mese. Euler Mejorado. 4 cifras</t>
  </si>
  <si>
    <t>1) Armado del modelo</t>
  </si>
  <si>
    <t>y' = e^-x - 2x + 0,5y</t>
  </si>
  <si>
    <t>y(1) = 12</t>
  </si>
  <si>
    <t>y(2) = ?</t>
  </si>
  <si>
    <t>4) h (Paso de cálculo)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</si>
</sst>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ill="1"/>
    <xf numFmtId="0" fontId="1" fillId="2" borderId="0" xfId="0" applyFont="1" applyFill="1"/>
    <xf numFmtId="0" fontId="0" fillId="0" borderId="0" xfId="0" applyAlignment="1">
      <alignment horizontal="center"/>
    </xf>
    <xf numFmtId="0" fontId="0" fillId="3" borderId="0" xfId="0" applyFill="1"/>
    <xf numFmtId="0" fontId="1" fillId="4" borderId="0" xfId="0" applyFont="1" applyFill="1" applyAlignment="1">
      <alignment horizontal="center"/>
    </xf>
    <xf numFmtId="0" fontId="1" fillId="5" borderId="0" xfId="0" applyFont="1" applyFill="1"/>
    <xf numFmtId="0" fontId="0" fillId="6" borderId="0" xfId="0" applyFill="1"/>
    <xf numFmtId="0" fontId="1" fillId="0" borderId="0" xfId="0" applyFont="1"/>
    <xf numFmtId="0" fontId="0" fillId="2" borderId="0" xfId="0" applyFill="1" applyAlignment="1"/>
    <xf numFmtId="0" fontId="0" fillId="0" borderId="0" xfId="0" applyFill="1" applyAlignment="1"/>
    <xf numFmtId="0" fontId="0" fillId="7" borderId="0" xfId="0" applyFill="1"/>
    <xf numFmtId="0" fontId="1" fillId="7" borderId="0" xfId="0" applyFont="1" applyFill="1" applyAlignment="1">
      <alignment horizontal="center"/>
    </xf>
    <xf numFmtId="0" fontId="0" fillId="0" borderId="0" xfId="0" applyFill="1"/>
    <xf numFmtId="164" fontId="0" fillId="0" borderId="0" xfId="0" applyNumberFormat="1"/>
    <xf numFmtId="2" fontId="0" fillId="0" borderId="0" xfId="0" applyNumberFormat="1"/>
    <xf numFmtId="164" fontId="1" fillId="5" borderId="0" xfId="0" applyNumberFormat="1" applyFont="1" applyFill="1"/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3B764-7770-4F24-9DD4-952CD327167E}">
  <dimension ref="A1:Z38"/>
  <sheetViews>
    <sheetView topLeftCell="A4" zoomScaleNormal="100" workbookViewId="0">
      <selection activeCell="X33" sqref="X33"/>
    </sheetView>
  </sheetViews>
  <sheetFormatPr defaultRowHeight="15" x14ac:dyDescent="0.25"/>
  <cols>
    <col min="6" max="6" width="11.42578125" customWidth="1"/>
    <col min="13" max="13" width="12.85546875" customWidth="1"/>
    <col min="16" max="16" width="13.28515625" customWidth="1"/>
  </cols>
  <sheetData>
    <row r="1" spans="1:12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x14ac:dyDescent="0.25">
      <c r="A2" s="2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spans="1:12" x14ac:dyDescent="0.25">
      <c r="A3" s="1" t="s">
        <v>2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1:12" x14ac:dyDescent="0.25">
      <c r="A4" s="1" t="s">
        <v>3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12" x14ac:dyDescent="0.25">
      <c r="A5" s="1" t="s">
        <v>4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</row>
    <row r="7" spans="1:12" x14ac:dyDescent="0.25">
      <c r="A7" s="2" t="s">
        <v>5</v>
      </c>
    </row>
    <row r="8" spans="1:12" x14ac:dyDescent="0.25">
      <c r="A8" s="17" t="s">
        <v>6</v>
      </c>
      <c r="B8" s="17"/>
      <c r="C8" s="17"/>
      <c r="D8" s="17"/>
      <c r="E8" s="4" t="s">
        <v>21</v>
      </c>
      <c r="F8" s="4"/>
    </row>
    <row r="9" spans="1:12" x14ac:dyDescent="0.25">
      <c r="A9" s="17" t="s">
        <v>7</v>
      </c>
      <c r="B9" s="17"/>
      <c r="C9" s="17"/>
      <c r="D9" s="17"/>
      <c r="E9" s="7" t="s">
        <v>32</v>
      </c>
      <c r="F9" s="7"/>
    </row>
    <row r="10" spans="1:12" x14ac:dyDescent="0.25">
      <c r="A10" s="17" t="s">
        <v>8</v>
      </c>
      <c r="B10" s="17"/>
      <c r="C10" s="17"/>
      <c r="D10" s="17"/>
      <c r="E10" s="11" t="s">
        <v>39</v>
      </c>
      <c r="F10" s="11"/>
    </row>
    <row r="11" spans="1:12" x14ac:dyDescent="0.25">
      <c r="A11" s="17" t="s">
        <v>9</v>
      </c>
      <c r="B11" s="17"/>
      <c r="C11" s="17"/>
      <c r="D11" s="17"/>
      <c r="E11" s="11" t="s">
        <v>40</v>
      </c>
      <c r="F11" s="11"/>
    </row>
    <row r="12" spans="1:12" x14ac:dyDescent="0.25">
      <c r="A12" s="17" t="s">
        <v>10</v>
      </c>
      <c r="B12" s="17"/>
      <c r="C12" s="17"/>
      <c r="D12" s="17"/>
      <c r="E12" s="11"/>
      <c r="F12" s="11"/>
    </row>
    <row r="13" spans="1:12" x14ac:dyDescent="0.25">
      <c r="A13" s="17" t="s">
        <v>11</v>
      </c>
      <c r="B13" s="17"/>
      <c r="C13" s="17"/>
      <c r="D13" s="17"/>
      <c r="E13" s="11"/>
      <c r="F13" s="11"/>
    </row>
    <row r="14" spans="1:12" x14ac:dyDescent="0.25">
      <c r="A14" s="17" t="s">
        <v>12</v>
      </c>
      <c r="B14" s="17"/>
      <c r="C14" s="17"/>
      <c r="D14" s="17"/>
      <c r="E14" s="11"/>
      <c r="F14" s="11"/>
    </row>
    <row r="15" spans="1:12" x14ac:dyDescent="0.25">
      <c r="E15" s="13"/>
      <c r="F15" s="13"/>
    </row>
    <row r="16" spans="1:12" x14ac:dyDescent="0.25">
      <c r="A16" s="1" t="s">
        <v>13</v>
      </c>
      <c r="E16" t="s">
        <v>18</v>
      </c>
      <c r="I16" s="8" t="s">
        <v>20</v>
      </c>
    </row>
    <row r="17" spans="1:26" x14ac:dyDescent="0.25">
      <c r="A17" s="1" t="s">
        <v>14</v>
      </c>
      <c r="E17" t="s">
        <v>19</v>
      </c>
    </row>
    <row r="18" spans="1:26" x14ac:dyDescent="0.25">
      <c r="A18" s="1" t="s">
        <v>15</v>
      </c>
      <c r="I18" s="5" t="s">
        <v>24</v>
      </c>
      <c r="J18" s="5" t="s">
        <v>25</v>
      </c>
      <c r="K18" s="5" t="s">
        <v>26</v>
      </c>
      <c r="L18" s="5" t="s">
        <v>27</v>
      </c>
    </row>
    <row r="19" spans="1:26" x14ac:dyDescent="0.25">
      <c r="E19" t="s">
        <v>130</v>
      </c>
      <c r="I19">
        <v>0</v>
      </c>
      <c r="J19">
        <v>500</v>
      </c>
      <c r="K19">
        <f>2*I19*J19+6</f>
        <v>6</v>
      </c>
      <c r="L19">
        <f>J19+$F$21*K19</f>
        <v>500.6</v>
      </c>
      <c r="M19" t="s">
        <v>28</v>
      </c>
    </row>
    <row r="20" spans="1:26" x14ac:dyDescent="0.25">
      <c r="A20" s="1" t="s">
        <v>16</v>
      </c>
      <c r="E20" t="s">
        <v>22</v>
      </c>
      <c r="I20">
        <f>I19+$F$21</f>
        <v>0.1</v>
      </c>
      <c r="J20">
        <f>L19</f>
        <v>500.6</v>
      </c>
      <c r="K20">
        <f>2*I20*J20+6</f>
        <v>106.12</v>
      </c>
      <c r="L20">
        <f>J20+$F$21*K20</f>
        <v>511.21200000000005</v>
      </c>
      <c r="M20" t="s">
        <v>29</v>
      </c>
    </row>
    <row r="21" spans="1:26" x14ac:dyDescent="0.25">
      <c r="A21" s="1" t="s">
        <v>17</v>
      </c>
      <c r="E21" t="s">
        <v>23</v>
      </c>
      <c r="F21">
        <v>0.1</v>
      </c>
      <c r="I21">
        <f t="shared" ref="I21:I23" si="0">I20+$F$21</f>
        <v>0.2</v>
      </c>
      <c r="J21">
        <f t="shared" ref="J21:J23" si="1">L20</f>
        <v>511.21200000000005</v>
      </c>
      <c r="K21">
        <f t="shared" ref="K21:K23" si="2">2*I21*J21+6</f>
        <v>210.48480000000004</v>
      </c>
      <c r="L21">
        <f t="shared" ref="L21:L23" si="3">J21+$F$21*K21</f>
        <v>532.26048000000003</v>
      </c>
      <c r="U21" s="17" t="s">
        <v>8</v>
      </c>
      <c r="V21" s="17"/>
      <c r="W21" s="17"/>
      <c r="X21" s="17"/>
      <c r="Y21" s="11" t="s">
        <v>39</v>
      </c>
      <c r="Z21" s="11"/>
    </row>
    <row r="22" spans="1:26" x14ac:dyDescent="0.25">
      <c r="I22">
        <f t="shared" si="0"/>
        <v>0.30000000000000004</v>
      </c>
      <c r="J22">
        <f t="shared" si="1"/>
        <v>532.26048000000003</v>
      </c>
      <c r="K22">
        <f t="shared" si="2"/>
        <v>325.35628800000006</v>
      </c>
      <c r="L22">
        <f t="shared" si="3"/>
        <v>564.79610880000007</v>
      </c>
      <c r="U22" s="17" t="s">
        <v>9</v>
      </c>
      <c r="V22" s="17"/>
      <c r="W22" s="17"/>
      <c r="X22" s="17"/>
      <c r="Y22" s="11" t="s">
        <v>40</v>
      </c>
      <c r="Z22" s="11"/>
    </row>
    <row r="23" spans="1:26" x14ac:dyDescent="0.25">
      <c r="I23">
        <f t="shared" si="0"/>
        <v>0.4</v>
      </c>
      <c r="J23">
        <f t="shared" si="1"/>
        <v>564.79610880000007</v>
      </c>
      <c r="K23">
        <f t="shared" si="2"/>
        <v>457.83688704000008</v>
      </c>
      <c r="L23">
        <f t="shared" si="3"/>
        <v>610.57979750400011</v>
      </c>
      <c r="M23" t="s">
        <v>30</v>
      </c>
      <c r="U23" s="17" t="s">
        <v>10</v>
      </c>
      <c r="V23" s="17"/>
      <c r="W23" s="17"/>
      <c r="X23" s="17"/>
      <c r="Y23" s="11"/>
      <c r="Z23" s="11"/>
    </row>
    <row r="24" spans="1:26" x14ac:dyDescent="0.25">
      <c r="I24" s="6">
        <f t="shared" ref="I24" si="4">I23+$F$21</f>
        <v>0.5</v>
      </c>
      <c r="J24" s="6">
        <f t="shared" ref="J24" si="5">L23</f>
        <v>610.57979750400011</v>
      </c>
      <c r="U24" s="17" t="s">
        <v>11</v>
      </c>
      <c r="V24" s="17"/>
      <c r="W24" s="17"/>
      <c r="X24" s="17"/>
      <c r="Y24" s="11"/>
      <c r="Z24" s="11"/>
    </row>
    <row r="25" spans="1:26" x14ac:dyDescent="0.25">
      <c r="U25" s="17" t="s">
        <v>12</v>
      </c>
      <c r="V25" s="17"/>
      <c r="W25" s="17"/>
      <c r="X25" s="17"/>
      <c r="Y25" s="11"/>
      <c r="Z25" s="11"/>
    </row>
    <row r="26" spans="1:26" x14ac:dyDescent="0.25">
      <c r="D26" s="17"/>
      <c r="E26" s="17"/>
      <c r="F26" s="17"/>
      <c r="G26" s="17"/>
      <c r="I26" t="s">
        <v>31</v>
      </c>
    </row>
    <row r="28" spans="1:26" x14ac:dyDescent="0.25">
      <c r="A28" s="8" t="s">
        <v>33</v>
      </c>
      <c r="I28" s="8" t="s">
        <v>38</v>
      </c>
    </row>
    <row r="29" spans="1:26" x14ac:dyDescent="0.25">
      <c r="E29" s="3" t="s">
        <v>35</v>
      </c>
      <c r="F29" s="9" t="s">
        <v>6</v>
      </c>
      <c r="G29" s="9"/>
      <c r="H29" s="10"/>
      <c r="I29" s="10"/>
    </row>
    <row r="30" spans="1:26" x14ac:dyDescent="0.25">
      <c r="A30" s="5" t="s">
        <v>24</v>
      </c>
      <c r="B30" s="5" t="s">
        <v>25</v>
      </c>
      <c r="C30" s="5" t="s">
        <v>26</v>
      </c>
      <c r="D30" s="5" t="s">
        <v>34</v>
      </c>
      <c r="E30" s="5" t="s">
        <v>27</v>
      </c>
      <c r="F30" s="5" t="s">
        <v>36</v>
      </c>
      <c r="G30" s="5" t="s">
        <v>27</v>
      </c>
      <c r="I30" s="5" t="s">
        <v>24</v>
      </c>
      <c r="J30" s="5" t="s">
        <v>25</v>
      </c>
      <c r="K30" s="12" t="s">
        <v>41</v>
      </c>
      <c r="L30" s="5" t="s">
        <v>42</v>
      </c>
      <c r="M30" s="5" t="s">
        <v>48</v>
      </c>
      <c r="N30" s="12" t="s">
        <v>43</v>
      </c>
      <c r="O30" s="5" t="s">
        <v>42</v>
      </c>
      <c r="P30" s="5" t="s">
        <v>49</v>
      </c>
      <c r="Q30" s="12" t="s">
        <v>44</v>
      </c>
      <c r="R30" s="5" t="s">
        <v>45</v>
      </c>
      <c r="S30" s="5" t="s">
        <v>46</v>
      </c>
      <c r="T30" s="12" t="s">
        <v>47</v>
      </c>
      <c r="U30" s="5" t="s">
        <v>27</v>
      </c>
    </row>
    <row r="31" spans="1:26" x14ac:dyDescent="0.25">
      <c r="A31">
        <v>0</v>
      </c>
      <c r="B31">
        <v>500</v>
      </c>
      <c r="C31">
        <f>2*A31*B31+6</f>
        <v>6</v>
      </c>
      <c r="D31">
        <f>A31+$F$21</f>
        <v>0.1</v>
      </c>
      <c r="E31">
        <f>B31+$F$21*C31</f>
        <v>500.6</v>
      </c>
      <c r="F31">
        <f>2*D31*E31+6</f>
        <v>106.12</v>
      </c>
      <c r="G31">
        <f>B31+($F$21/2)*(C31+F31)</f>
        <v>505.60599999999999</v>
      </c>
      <c r="I31">
        <v>0</v>
      </c>
      <c r="J31">
        <v>500</v>
      </c>
      <c r="K31">
        <f>2*I31*J31+6</f>
        <v>6</v>
      </c>
      <c r="L31">
        <f>I31+$F$21/2</f>
        <v>0.05</v>
      </c>
      <c r="M31">
        <f>J31+$F$21/2 * K31</f>
        <v>500.3</v>
      </c>
      <c r="N31">
        <f>2*L31*M31+6</f>
        <v>56.03</v>
      </c>
      <c r="O31">
        <f>L31</f>
        <v>0.05</v>
      </c>
      <c r="P31">
        <f>J31+$F$21/2 * N31</f>
        <v>502.80149999999998</v>
      </c>
      <c r="Q31">
        <f>2*O31*P31+6</f>
        <v>56.280149999999999</v>
      </c>
      <c r="R31">
        <f>I31+$F$21</f>
        <v>0.1</v>
      </c>
      <c r="S31">
        <f>J31+$F$21*Q31</f>
        <v>505.628015</v>
      </c>
      <c r="T31">
        <f>2*R31*S31+6</f>
        <v>107.12560300000001</v>
      </c>
      <c r="U31">
        <f>J31+($F$21/6)*(K31+2*N31+2*Q31+T31)</f>
        <v>505.62909838333331</v>
      </c>
    </row>
    <row r="32" spans="1:26" x14ac:dyDescent="0.25">
      <c r="A32">
        <f>D31</f>
        <v>0.1</v>
      </c>
      <c r="B32">
        <f>G31</f>
        <v>505.60599999999999</v>
      </c>
      <c r="C32">
        <f>2*A32*B32+6</f>
        <v>107.1212</v>
      </c>
      <c r="D32">
        <f>A32+$F$21</f>
        <v>0.2</v>
      </c>
      <c r="E32">
        <f>B32+$F$21*C32</f>
        <v>516.31812000000002</v>
      </c>
      <c r="F32">
        <f>2*D32*E32+6</f>
        <v>212.52724800000001</v>
      </c>
      <c r="G32">
        <f>B32+($F$21/2)*(C32+F32)</f>
        <v>521.58842240000001</v>
      </c>
      <c r="I32">
        <f>R31</f>
        <v>0.1</v>
      </c>
      <c r="J32">
        <f>U31</f>
        <v>505.62909838333331</v>
      </c>
      <c r="K32">
        <f>2*I32*J32+6</f>
        <v>107.12581967666667</v>
      </c>
      <c r="L32">
        <f>I32+$F$21/2</f>
        <v>0.15000000000000002</v>
      </c>
      <c r="M32">
        <f>J32+$F$21/2 * K32</f>
        <v>510.98538936716665</v>
      </c>
      <c r="N32">
        <f>2*L32*M32+6</f>
        <v>159.29561681015002</v>
      </c>
      <c r="O32">
        <f>L32</f>
        <v>0.15000000000000002</v>
      </c>
      <c r="P32">
        <f>J32+$F$21/2 * N32</f>
        <v>513.59387922384076</v>
      </c>
      <c r="Q32">
        <f>2*O32*P32+6</f>
        <v>160.07816376715226</v>
      </c>
      <c r="R32">
        <f>I32+$F$21</f>
        <v>0.2</v>
      </c>
      <c r="S32">
        <f>J32+$F$21*Q32</f>
        <v>521.63691476004851</v>
      </c>
      <c r="T32">
        <f>2*R32*S32+6</f>
        <v>214.65476590401943</v>
      </c>
      <c r="U32">
        <f>J32+($F$21/6)*(K32+2*N32+2*Q32+T32)</f>
        <v>521.63790082892149</v>
      </c>
    </row>
    <row r="33" spans="1:21" x14ac:dyDescent="0.25">
      <c r="A33">
        <f t="shared" ref="A33:A36" si="6">D32</f>
        <v>0.2</v>
      </c>
      <c r="B33">
        <f t="shared" ref="B33:B36" si="7">G32</f>
        <v>521.58842240000001</v>
      </c>
      <c r="C33">
        <f t="shared" ref="C33:C36" si="8">2*A33*B33+6</f>
        <v>214.63536896000002</v>
      </c>
      <c r="D33">
        <f t="shared" ref="D33:D36" si="9">A33+$F$21</f>
        <v>0.30000000000000004</v>
      </c>
      <c r="E33">
        <f t="shared" ref="E33:E36" si="10">B33+$F$21*C33</f>
        <v>543.05195929600006</v>
      </c>
      <c r="F33">
        <f t="shared" ref="F33:F36" si="11">2*D33*E33+6</f>
        <v>331.83117557760011</v>
      </c>
      <c r="G33">
        <f t="shared" ref="G33:G36" si="12">B33+($F$21/2)*(C33+F33)</f>
        <v>548.91174962688001</v>
      </c>
      <c r="I33">
        <f t="shared" ref="I33:I36" si="13">R32</f>
        <v>0.2</v>
      </c>
      <c r="J33">
        <f t="shared" ref="J33:J36" si="14">U32</f>
        <v>521.63790082892149</v>
      </c>
      <c r="K33">
        <f t="shared" ref="K33:K36" si="15">2*I33*J33+6</f>
        <v>214.6551603315686</v>
      </c>
      <c r="L33">
        <f t="shared" ref="L33:L36" si="16">I33+$F$21/2</f>
        <v>0.25</v>
      </c>
      <c r="M33">
        <f t="shared" ref="M33:M36" si="17">J33+$F$21/2 * K33</f>
        <v>532.37065884549997</v>
      </c>
      <c r="N33">
        <f t="shared" ref="N33:N36" si="18">2*L33*M33+6</f>
        <v>272.18532942274999</v>
      </c>
      <c r="O33">
        <f t="shared" ref="O33:O36" si="19">L33</f>
        <v>0.25</v>
      </c>
      <c r="P33">
        <f t="shared" ref="P33:P36" si="20">J33+$F$21/2 * N33</f>
        <v>535.247167300059</v>
      </c>
      <c r="Q33">
        <f t="shared" ref="Q33:Q36" si="21">2*O33*P33+6</f>
        <v>273.6235836500295</v>
      </c>
      <c r="R33">
        <f t="shared" ref="R33:R36" si="22">I33+$F$21</f>
        <v>0.30000000000000004</v>
      </c>
      <c r="S33">
        <f t="shared" ref="S33:S36" si="23">J33+$F$21*Q33</f>
        <v>549.00025919392442</v>
      </c>
      <c r="T33">
        <f t="shared" ref="T33:T36" si="24">2*R33*S33+6</f>
        <v>335.40015551635469</v>
      </c>
      <c r="U33">
        <f t="shared" ref="U33:U36" si="25">J33+($F$21/6)*(K33+2*N33+2*Q33+T33)</f>
        <v>548.99911986214624</v>
      </c>
    </row>
    <row r="34" spans="1:21" x14ac:dyDescent="0.25">
      <c r="A34">
        <f t="shared" si="6"/>
        <v>0.30000000000000004</v>
      </c>
      <c r="B34">
        <f t="shared" si="7"/>
        <v>548.91174962688001</v>
      </c>
      <c r="C34">
        <f t="shared" si="8"/>
        <v>335.34704977612807</v>
      </c>
      <c r="D34">
        <f t="shared" si="9"/>
        <v>0.4</v>
      </c>
      <c r="E34">
        <f t="shared" si="10"/>
        <v>582.44645460449283</v>
      </c>
      <c r="F34">
        <f t="shared" si="11"/>
        <v>471.95716368359427</v>
      </c>
      <c r="G34">
        <f t="shared" si="12"/>
        <v>589.27696029986612</v>
      </c>
      <c r="I34">
        <f t="shared" si="13"/>
        <v>0.30000000000000004</v>
      </c>
      <c r="J34">
        <f t="shared" si="14"/>
        <v>548.99911986214624</v>
      </c>
      <c r="K34">
        <f t="shared" si="15"/>
        <v>335.39947191728777</v>
      </c>
      <c r="L34">
        <f t="shared" si="16"/>
        <v>0.35000000000000003</v>
      </c>
      <c r="M34">
        <f t="shared" si="17"/>
        <v>565.76909345801062</v>
      </c>
      <c r="N34">
        <f t="shared" si="18"/>
        <v>402.03836542060748</v>
      </c>
      <c r="O34">
        <f t="shared" si="19"/>
        <v>0.35000000000000003</v>
      </c>
      <c r="P34">
        <f t="shared" si="20"/>
        <v>569.10103813317664</v>
      </c>
      <c r="Q34">
        <f t="shared" si="21"/>
        <v>404.37072669322367</v>
      </c>
      <c r="R34">
        <f t="shared" si="22"/>
        <v>0.4</v>
      </c>
      <c r="S34">
        <f t="shared" si="23"/>
        <v>589.43619253146858</v>
      </c>
      <c r="T34">
        <f t="shared" si="24"/>
        <v>477.54895402517491</v>
      </c>
      <c r="U34">
        <f t="shared" si="25"/>
        <v>589.42856336498164</v>
      </c>
    </row>
    <row r="35" spans="1:21" x14ac:dyDescent="0.25">
      <c r="A35">
        <f t="shared" si="6"/>
        <v>0.4</v>
      </c>
      <c r="B35">
        <f t="shared" si="7"/>
        <v>589.27696029986612</v>
      </c>
      <c r="C35">
        <f t="shared" si="8"/>
        <v>477.42156823989291</v>
      </c>
      <c r="D35">
        <f t="shared" si="9"/>
        <v>0.5</v>
      </c>
      <c r="E35">
        <f t="shared" si="10"/>
        <v>637.01911712385538</v>
      </c>
      <c r="F35">
        <f t="shared" si="11"/>
        <v>643.01911712385538</v>
      </c>
      <c r="G35">
        <f t="shared" si="12"/>
        <v>645.29899456805356</v>
      </c>
      <c r="I35">
        <f t="shared" si="13"/>
        <v>0.4</v>
      </c>
      <c r="J35">
        <f t="shared" si="14"/>
        <v>589.42856336498164</v>
      </c>
      <c r="K35">
        <f t="shared" si="15"/>
        <v>477.54285069198534</v>
      </c>
      <c r="L35">
        <f t="shared" si="16"/>
        <v>0.45</v>
      </c>
      <c r="M35">
        <f t="shared" si="17"/>
        <v>613.30570589958086</v>
      </c>
      <c r="N35">
        <f t="shared" si="18"/>
        <v>557.97513530962283</v>
      </c>
      <c r="O35">
        <f t="shared" si="19"/>
        <v>0.45</v>
      </c>
      <c r="P35">
        <f t="shared" si="20"/>
        <v>617.32732013046279</v>
      </c>
      <c r="Q35">
        <f t="shared" si="21"/>
        <v>561.59458811741649</v>
      </c>
      <c r="R35">
        <f t="shared" si="22"/>
        <v>0.5</v>
      </c>
      <c r="S35">
        <f t="shared" si="23"/>
        <v>645.58802217672326</v>
      </c>
      <c r="T35">
        <f t="shared" si="24"/>
        <v>651.58802217672326</v>
      </c>
      <c r="U35">
        <f t="shared" si="25"/>
        <v>645.56640202702806</v>
      </c>
    </row>
    <row r="36" spans="1:21" x14ac:dyDescent="0.25">
      <c r="A36" s="6">
        <f t="shared" si="6"/>
        <v>0.5</v>
      </c>
      <c r="B36" s="6">
        <f t="shared" si="7"/>
        <v>645.29899456805356</v>
      </c>
      <c r="C36">
        <f t="shared" si="8"/>
        <v>651.29899456805356</v>
      </c>
      <c r="D36">
        <f t="shared" si="9"/>
        <v>0.6</v>
      </c>
      <c r="E36">
        <f t="shared" si="10"/>
        <v>710.42889402485889</v>
      </c>
      <c r="F36">
        <f t="shared" si="11"/>
        <v>858.5146728298306</v>
      </c>
      <c r="G36">
        <f t="shared" si="12"/>
        <v>720.78967793794777</v>
      </c>
      <c r="I36" s="6">
        <f t="shared" si="13"/>
        <v>0.5</v>
      </c>
      <c r="J36" s="6">
        <f t="shared" si="14"/>
        <v>645.56640202702806</v>
      </c>
      <c r="K36">
        <f t="shared" si="15"/>
        <v>651.56640202702806</v>
      </c>
      <c r="L36">
        <f t="shared" si="16"/>
        <v>0.55000000000000004</v>
      </c>
      <c r="M36">
        <f t="shared" si="17"/>
        <v>678.1447221283795</v>
      </c>
      <c r="N36">
        <f t="shared" si="18"/>
        <v>751.95919434121754</v>
      </c>
      <c r="O36">
        <f t="shared" si="19"/>
        <v>0.55000000000000004</v>
      </c>
      <c r="P36">
        <f t="shared" si="20"/>
        <v>683.16436174408898</v>
      </c>
      <c r="Q36">
        <f t="shared" si="21"/>
        <v>757.48079791849796</v>
      </c>
      <c r="R36">
        <f t="shared" si="22"/>
        <v>0.6</v>
      </c>
      <c r="S36">
        <f t="shared" si="23"/>
        <v>721.31448181887788</v>
      </c>
      <c r="T36">
        <f t="shared" si="24"/>
        <v>871.57737818265343</v>
      </c>
      <c r="U36">
        <f t="shared" si="25"/>
        <v>721.26679810584665</v>
      </c>
    </row>
    <row r="38" spans="1:21" x14ac:dyDescent="0.25">
      <c r="A38" t="s">
        <v>37</v>
      </c>
      <c r="I38" t="s">
        <v>50</v>
      </c>
    </row>
  </sheetData>
  <mergeCells count="13">
    <mergeCell ref="D26:G26"/>
    <mergeCell ref="U21:X21"/>
    <mergeCell ref="U22:X22"/>
    <mergeCell ref="U23:X23"/>
    <mergeCell ref="U24:X24"/>
    <mergeCell ref="U25:X25"/>
    <mergeCell ref="A14:D14"/>
    <mergeCell ref="A8:D8"/>
    <mergeCell ref="A9:D9"/>
    <mergeCell ref="A10:D10"/>
    <mergeCell ref="A11:D11"/>
    <mergeCell ref="A12:D12"/>
    <mergeCell ref="A13:D1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7D6B4-1694-41BE-A919-745E5102F296}">
  <dimension ref="A1:K21"/>
  <sheetViews>
    <sheetView workbookViewId="0">
      <selection activeCell="A4" sqref="A4:C5"/>
    </sheetView>
  </sheetViews>
  <sheetFormatPr defaultRowHeight="15" x14ac:dyDescent="0.25"/>
  <cols>
    <col min="10" max="10" width="12.140625" customWidth="1"/>
  </cols>
  <sheetData>
    <row r="1" spans="1:11" x14ac:dyDescent="0.25">
      <c r="A1" s="1" t="s">
        <v>51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x14ac:dyDescent="0.25">
      <c r="A2" s="2" t="s">
        <v>52</v>
      </c>
      <c r="B2" s="1"/>
      <c r="C2" s="1"/>
      <c r="D2" s="1"/>
      <c r="E2" s="1"/>
      <c r="F2" s="1"/>
      <c r="G2" s="1"/>
      <c r="H2" s="1"/>
      <c r="I2" s="1"/>
      <c r="J2" s="1"/>
      <c r="K2" s="1"/>
    </row>
    <row r="3" spans="1:11" x14ac:dyDescent="0.25">
      <c r="A3" s="1" t="s">
        <v>53</v>
      </c>
      <c r="B3" s="1"/>
      <c r="C3" s="1"/>
      <c r="D3" s="1"/>
      <c r="E3" s="1"/>
      <c r="F3" s="1"/>
      <c r="G3" s="1"/>
      <c r="H3" s="1"/>
      <c r="I3" s="1"/>
      <c r="J3" s="1"/>
      <c r="K3" s="1"/>
    </row>
    <row r="4" spans="1:11" x14ac:dyDescent="0.25">
      <c r="A4" s="1" t="s">
        <v>54</v>
      </c>
      <c r="B4" s="1"/>
      <c r="C4" s="1"/>
      <c r="D4" s="1"/>
      <c r="E4" s="1"/>
      <c r="F4" s="1"/>
      <c r="G4" s="1"/>
      <c r="H4" s="1"/>
      <c r="I4" s="1"/>
      <c r="J4" s="1"/>
      <c r="K4" s="1"/>
    </row>
    <row r="5" spans="1:11" x14ac:dyDescent="0.25">
      <c r="A5" s="1" t="s">
        <v>55</v>
      </c>
      <c r="B5" s="1"/>
      <c r="C5" s="1"/>
      <c r="D5" s="1"/>
      <c r="E5" s="1"/>
      <c r="F5" s="1"/>
      <c r="G5" s="1"/>
      <c r="H5" s="1"/>
      <c r="I5" s="1"/>
      <c r="J5" s="1"/>
      <c r="K5" s="1"/>
    </row>
    <row r="7" spans="1:11" x14ac:dyDescent="0.25">
      <c r="A7" s="1" t="s">
        <v>13</v>
      </c>
      <c r="E7" t="s">
        <v>62</v>
      </c>
      <c r="H7" s="17" t="s">
        <v>7</v>
      </c>
      <c r="I7" s="17"/>
      <c r="J7" s="17"/>
      <c r="K7" s="17"/>
    </row>
    <row r="9" spans="1:11" x14ac:dyDescent="0.25">
      <c r="A9" s="1" t="s">
        <v>56</v>
      </c>
      <c r="I9" s="3" t="s">
        <v>35</v>
      </c>
      <c r="J9" s="9" t="s">
        <v>6</v>
      </c>
      <c r="K9" s="9"/>
    </row>
    <row r="10" spans="1:11" x14ac:dyDescent="0.25">
      <c r="E10" s="5" t="s">
        <v>24</v>
      </c>
      <c r="F10" s="5" t="s">
        <v>25</v>
      </c>
      <c r="G10" s="5" t="s">
        <v>26</v>
      </c>
      <c r="H10" s="5" t="s">
        <v>34</v>
      </c>
      <c r="I10" s="5" t="s">
        <v>27</v>
      </c>
      <c r="J10" s="5" t="s">
        <v>36</v>
      </c>
      <c r="K10" s="5" t="s">
        <v>27</v>
      </c>
    </row>
    <row r="11" spans="1:11" x14ac:dyDescent="0.25">
      <c r="A11" t="s">
        <v>16</v>
      </c>
      <c r="E11">
        <v>0</v>
      </c>
      <c r="F11">
        <v>40</v>
      </c>
      <c r="G11">
        <f>2*E11*F11 - 0.5*E11^2 + 0.2*F11</f>
        <v>8</v>
      </c>
      <c r="H11">
        <f>E11+_h</f>
        <v>0.25</v>
      </c>
      <c r="I11">
        <f>F11+ _h * G11</f>
        <v>42</v>
      </c>
      <c r="J11">
        <f>2*H11*I11 - 0.5*H11^2 + 0.2*I11</f>
        <v>29.368749999999999</v>
      </c>
      <c r="K11">
        <f>F11 + _h/2 * (G11+J11)</f>
        <v>44.671093749999997</v>
      </c>
    </row>
    <row r="12" spans="1:11" x14ac:dyDescent="0.25">
      <c r="E12">
        <f>H11</f>
        <v>0.25</v>
      </c>
      <c r="F12">
        <f>K11</f>
        <v>44.671093749999997</v>
      </c>
      <c r="G12">
        <f>2*E12*F12 - 0.5*E12^2 + 0.2*F12</f>
        <v>31.238515624999998</v>
      </c>
      <c r="H12">
        <f>E12+_h</f>
        <v>0.5</v>
      </c>
      <c r="I12">
        <f>F12+ _h * G12</f>
        <v>52.480722656249995</v>
      </c>
      <c r="J12">
        <f>2*H12*I12 - 0.5*H12^2 + 0.2*I12</f>
        <v>62.851867187499991</v>
      </c>
      <c r="K12">
        <f>F12 + _h/2 * (G12+J12)</f>
        <v>56.4323916015625</v>
      </c>
    </row>
    <row r="13" spans="1:11" x14ac:dyDescent="0.25">
      <c r="A13" t="s">
        <v>57</v>
      </c>
      <c r="E13" s="6">
        <f>H12</f>
        <v>0.5</v>
      </c>
      <c r="F13" s="6">
        <f>K12</f>
        <v>56.4323916015625</v>
      </c>
    </row>
    <row r="15" spans="1:11" x14ac:dyDescent="0.25">
      <c r="A15" t="s">
        <v>18</v>
      </c>
    </row>
    <row r="17" spans="1:2" x14ac:dyDescent="0.25">
      <c r="A17" t="s">
        <v>58</v>
      </c>
    </row>
    <row r="19" spans="1:2" x14ac:dyDescent="0.25">
      <c r="A19" t="s">
        <v>59</v>
      </c>
    </row>
    <row r="20" spans="1:2" x14ac:dyDescent="0.25">
      <c r="A20" t="s">
        <v>60</v>
      </c>
    </row>
    <row r="21" spans="1:2" x14ac:dyDescent="0.25">
      <c r="A21" t="s">
        <v>61</v>
      </c>
      <c r="B21">
        <f>0.5/2</f>
        <v>0.25</v>
      </c>
    </row>
  </sheetData>
  <mergeCells count="1">
    <mergeCell ref="H7:K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5A1BFE-9599-4A1B-A486-5E2FA2BEDB99}">
  <dimension ref="A1:R29"/>
  <sheetViews>
    <sheetView workbookViewId="0">
      <selection activeCell="G8" sqref="G8:J8"/>
    </sheetView>
  </sheetViews>
  <sheetFormatPr defaultRowHeight="15" x14ac:dyDescent="0.25"/>
  <cols>
    <col min="8" max="8" width="11.42578125" customWidth="1"/>
    <col min="9" max="9" width="13.5703125" customWidth="1"/>
    <col min="11" max="11" width="12.42578125" customWidth="1"/>
    <col min="12" max="12" width="13" customWidth="1"/>
  </cols>
  <sheetData>
    <row r="1" spans="1:18" x14ac:dyDescent="0.25">
      <c r="A1" s="1" t="s">
        <v>63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8" x14ac:dyDescent="0.25">
      <c r="A2" s="1" t="s">
        <v>64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spans="1:18" x14ac:dyDescent="0.25">
      <c r="A3" s="2" t="s">
        <v>68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1:18" x14ac:dyDescent="0.25">
      <c r="A4" s="1" t="s">
        <v>65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18" x14ac:dyDescent="0.25">
      <c r="A5" s="1" t="s">
        <v>66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</row>
    <row r="6" spans="1:18" x14ac:dyDescent="0.25">
      <c r="A6" s="1" t="s">
        <v>67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</row>
    <row r="8" spans="1:18" x14ac:dyDescent="0.25">
      <c r="A8" s="1" t="s">
        <v>13</v>
      </c>
      <c r="E8" t="s">
        <v>73</v>
      </c>
      <c r="G8" s="17" t="s">
        <v>6</v>
      </c>
      <c r="H8" s="17"/>
      <c r="I8" s="17"/>
      <c r="J8" s="17"/>
    </row>
    <row r="9" spans="1:18" x14ac:dyDescent="0.25">
      <c r="M9" s="17" t="s">
        <v>8</v>
      </c>
      <c r="N9" s="17"/>
      <c r="O9" s="17"/>
      <c r="P9" s="17"/>
      <c r="Q9" s="11" t="s">
        <v>39</v>
      </c>
      <c r="R9" s="11"/>
    </row>
    <row r="10" spans="1:18" x14ac:dyDescent="0.25">
      <c r="A10" s="1" t="s">
        <v>69</v>
      </c>
      <c r="E10" s="5" t="s">
        <v>24</v>
      </c>
      <c r="F10" s="5" t="s">
        <v>25</v>
      </c>
      <c r="G10" s="5" t="s">
        <v>26</v>
      </c>
      <c r="H10" s="5" t="s">
        <v>27</v>
      </c>
      <c r="M10" s="17" t="s">
        <v>9</v>
      </c>
      <c r="N10" s="17"/>
      <c r="O10" s="17"/>
      <c r="P10" s="17"/>
      <c r="Q10" s="11" t="s">
        <v>40</v>
      </c>
      <c r="R10" s="11"/>
    </row>
    <row r="11" spans="1:18" x14ac:dyDescent="0.25">
      <c r="E11">
        <v>0</v>
      </c>
      <c r="F11">
        <v>60</v>
      </c>
      <c r="G11">
        <f t="shared" ref="G11:G17" si="0">-0.3*E11*F11+E11^2</f>
        <v>0</v>
      </c>
      <c r="H11">
        <f t="shared" ref="H11:H17" si="1">F11+ _h *G11</f>
        <v>60</v>
      </c>
      <c r="M11" s="17" t="s">
        <v>10</v>
      </c>
      <c r="N11" s="17"/>
      <c r="O11" s="17"/>
      <c r="P11" s="17"/>
      <c r="Q11" s="11"/>
      <c r="R11" s="11"/>
    </row>
    <row r="12" spans="1:18" x14ac:dyDescent="0.25">
      <c r="A12" t="s">
        <v>16</v>
      </c>
      <c r="E12">
        <f t="shared" ref="E12:E17" si="2">E11+_h</f>
        <v>-0.5</v>
      </c>
      <c r="F12">
        <f t="shared" ref="F12:F17" si="3">H11</f>
        <v>60</v>
      </c>
      <c r="G12">
        <f t="shared" si="0"/>
        <v>9.25</v>
      </c>
      <c r="H12">
        <f t="shared" si="1"/>
        <v>55.375</v>
      </c>
      <c r="M12" s="17" t="s">
        <v>11</v>
      </c>
      <c r="N12" s="17"/>
      <c r="O12" s="17"/>
      <c r="P12" s="17"/>
      <c r="Q12" s="11"/>
      <c r="R12" s="11"/>
    </row>
    <row r="13" spans="1:18" x14ac:dyDescent="0.25">
      <c r="E13">
        <f t="shared" si="2"/>
        <v>-1</v>
      </c>
      <c r="F13">
        <f t="shared" si="3"/>
        <v>55.375</v>
      </c>
      <c r="G13">
        <f t="shared" si="0"/>
        <v>17.612500000000001</v>
      </c>
      <c r="H13">
        <f t="shared" si="1"/>
        <v>46.568750000000001</v>
      </c>
      <c r="M13" s="17" t="s">
        <v>12</v>
      </c>
      <c r="N13" s="17"/>
      <c r="O13" s="17"/>
      <c r="P13" s="17"/>
      <c r="Q13" s="11"/>
      <c r="R13" s="11"/>
    </row>
    <row r="14" spans="1:18" x14ac:dyDescent="0.25">
      <c r="A14" t="s">
        <v>70</v>
      </c>
      <c r="E14">
        <f t="shared" si="2"/>
        <v>-1.5</v>
      </c>
      <c r="F14">
        <f t="shared" si="3"/>
        <v>46.568750000000001</v>
      </c>
      <c r="G14">
        <f t="shared" si="0"/>
        <v>23.205937499999997</v>
      </c>
      <c r="H14">
        <f t="shared" si="1"/>
        <v>34.965781250000006</v>
      </c>
    </row>
    <row r="15" spans="1:18" x14ac:dyDescent="0.25">
      <c r="E15">
        <f t="shared" si="2"/>
        <v>-2</v>
      </c>
      <c r="F15">
        <f t="shared" si="3"/>
        <v>34.965781250000006</v>
      </c>
      <c r="G15">
        <f t="shared" si="0"/>
        <v>24.979468750000002</v>
      </c>
      <c r="H15">
        <f t="shared" si="1"/>
        <v>22.476046875000005</v>
      </c>
    </row>
    <row r="16" spans="1:18" x14ac:dyDescent="0.25">
      <c r="A16" t="s">
        <v>71</v>
      </c>
      <c r="E16">
        <f t="shared" si="2"/>
        <v>-2.5</v>
      </c>
      <c r="F16">
        <f t="shared" si="3"/>
        <v>22.476046875000005</v>
      </c>
      <c r="G16">
        <f t="shared" si="0"/>
        <v>23.107035156250003</v>
      </c>
      <c r="H16">
        <f t="shared" si="1"/>
        <v>10.922529296875004</v>
      </c>
    </row>
    <row r="17" spans="1:17" x14ac:dyDescent="0.25">
      <c r="E17" s="6">
        <f t="shared" si="2"/>
        <v>-3</v>
      </c>
      <c r="F17" s="6">
        <f t="shared" si="3"/>
        <v>10.922529296875004</v>
      </c>
      <c r="G17">
        <f t="shared" si="0"/>
        <v>18.830276367187501</v>
      </c>
      <c r="H17">
        <f t="shared" si="1"/>
        <v>1.507391113281253</v>
      </c>
    </row>
    <row r="18" spans="1:17" x14ac:dyDescent="0.25">
      <c r="A18" t="s">
        <v>72</v>
      </c>
    </row>
    <row r="20" spans="1:17" x14ac:dyDescent="0.25">
      <c r="A20" t="s">
        <v>59</v>
      </c>
      <c r="E20" t="s">
        <v>75</v>
      </c>
    </row>
    <row r="22" spans="1:17" x14ac:dyDescent="0.25">
      <c r="A22" t="s">
        <v>61</v>
      </c>
      <c r="B22">
        <v>-0.5</v>
      </c>
      <c r="E22" s="5" t="s">
        <v>24</v>
      </c>
      <c r="F22" s="5" t="s">
        <v>25</v>
      </c>
      <c r="G22" s="12" t="s">
        <v>41</v>
      </c>
      <c r="H22" s="5" t="s">
        <v>42</v>
      </c>
      <c r="I22" s="5" t="s">
        <v>48</v>
      </c>
      <c r="J22" s="12" t="s">
        <v>43</v>
      </c>
      <c r="K22" s="5" t="s">
        <v>42</v>
      </c>
      <c r="L22" s="5" t="s">
        <v>49</v>
      </c>
      <c r="M22" s="12" t="s">
        <v>44</v>
      </c>
      <c r="N22" s="5" t="s">
        <v>45</v>
      </c>
      <c r="O22" s="5" t="s">
        <v>46</v>
      </c>
      <c r="P22" s="12" t="s">
        <v>47</v>
      </c>
      <c r="Q22" s="5" t="s">
        <v>27</v>
      </c>
    </row>
    <row r="23" spans="1:17" x14ac:dyDescent="0.25">
      <c r="A23" t="s">
        <v>74</v>
      </c>
      <c r="E23">
        <v>0</v>
      </c>
      <c r="F23">
        <v>60</v>
      </c>
      <c r="G23">
        <f t="shared" ref="G23:G29" si="4">-0.3*E23*F23 +E23^2</f>
        <v>0</v>
      </c>
      <c r="H23">
        <f t="shared" ref="H23:H29" si="5">E23 + _h/2</f>
        <v>-0.25</v>
      </c>
      <c r="I23">
        <f t="shared" ref="I23:I29" si="6">F23 + _h/2 *G23</f>
        <v>60</v>
      </c>
      <c r="J23">
        <f t="shared" ref="J23:J29" si="7">-0.3*H23*I23 +H23^2</f>
        <v>4.5625</v>
      </c>
      <c r="K23">
        <f t="shared" ref="K23:K29" si="8">H23</f>
        <v>-0.25</v>
      </c>
      <c r="L23">
        <f t="shared" ref="L23:L29" si="9">F23 + _h/2 *J23</f>
        <v>58.859375</v>
      </c>
      <c r="M23">
        <f t="shared" ref="M23:M29" si="10">-0.3*K23*L23 + K23^2</f>
        <v>4.4769531249999996</v>
      </c>
      <c r="N23">
        <f t="shared" ref="N23:N29" si="11">E23 + _h</f>
        <v>-0.5</v>
      </c>
      <c r="O23">
        <f t="shared" ref="O23:O29" si="12">F23 + _h *M23</f>
        <v>57.761523437500003</v>
      </c>
      <c r="P23">
        <f t="shared" ref="P23:P29" si="13">-0.3*N23*O23 +N23^2</f>
        <v>8.9142285156250001</v>
      </c>
      <c r="Q23">
        <f t="shared" ref="Q23:Q29" si="14">F23 + (_h/6) * (G23+2*J23+2*M23+P23)</f>
        <v>57.750572102864581</v>
      </c>
    </row>
    <row r="24" spans="1:17" x14ac:dyDescent="0.25">
      <c r="E24">
        <f t="shared" ref="E24:E29" si="15">N23</f>
        <v>-0.5</v>
      </c>
      <c r="F24">
        <f t="shared" ref="F24:F29" si="16">Q23</f>
        <v>57.750572102864581</v>
      </c>
      <c r="G24">
        <f t="shared" si="4"/>
        <v>8.9125858154296864</v>
      </c>
      <c r="H24">
        <f t="shared" si="5"/>
        <v>-0.75</v>
      </c>
      <c r="I24">
        <f t="shared" si="6"/>
        <v>55.522425649007161</v>
      </c>
      <c r="J24">
        <f t="shared" si="7"/>
        <v>13.055045771026609</v>
      </c>
      <c r="K24">
        <f t="shared" si="8"/>
        <v>-0.75</v>
      </c>
      <c r="L24">
        <f t="shared" si="9"/>
        <v>54.486810660107928</v>
      </c>
      <c r="M24">
        <f t="shared" si="10"/>
        <v>12.822032398524282</v>
      </c>
      <c r="N24">
        <f t="shared" si="11"/>
        <v>-1</v>
      </c>
      <c r="O24">
        <f t="shared" si="12"/>
        <v>51.339555903602438</v>
      </c>
      <c r="P24">
        <f t="shared" si="13"/>
        <v>16.40186677108073</v>
      </c>
      <c r="Q24">
        <f t="shared" si="14"/>
        <v>51.328188025730228</v>
      </c>
    </row>
    <row r="25" spans="1:17" x14ac:dyDescent="0.25">
      <c r="E25">
        <f t="shared" si="15"/>
        <v>-1</v>
      </c>
      <c r="F25">
        <f t="shared" si="16"/>
        <v>51.328188025730228</v>
      </c>
      <c r="G25">
        <f t="shared" si="4"/>
        <v>16.398456407719067</v>
      </c>
      <c r="H25">
        <f t="shared" si="5"/>
        <v>-1.25</v>
      </c>
      <c r="I25">
        <f t="shared" si="6"/>
        <v>47.228573923800461</v>
      </c>
      <c r="J25">
        <f t="shared" si="7"/>
        <v>19.273215221425172</v>
      </c>
      <c r="K25">
        <f t="shared" si="8"/>
        <v>-1.25</v>
      </c>
      <c r="L25">
        <f t="shared" si="9"/>
        <v>46.509884220373934</v>
      </c>
      <c r="M25">
        <f t="shared" si="10"/>
        <v>19.003706582640227</v>
      </c>
      <c r="N25">
        <f t="shared" si="11"/>
        <v>-1.5</v>
      </c>
      <c r="O25">
        <f t="shared" si="12"/>
        <v>41.826334734410111</v>
      </c>
      <c r="P25">
        <f t="shared" si="13"/>
        <v>21.071850630484548</v>
      </c>
      <c r="Q25">
        <f t="shared" si="14"/>
        <v>41.826175471869028</v>
      </c>
    </row>
    <row r="26" spans="1:17" x14ac:dyDescent="0.25">
      <c r="E26">
        <f t="shared" si="15"/>
        <v>-1.5</v>
      </c>
      <c r="F26">
        <f t="shared" si="16"/>
        <v>41.826175471869028</v>
      </c>
      <c r="G26">
        <f t="shared" si="4"/>
        <v>21.07177896234106</v>
      </c>
      <c r="H26">
        <f t="shared" si="5"/>
        <v>-1.75</v>
      </c>
      <c r="I26">
        <f t="shared" si="6"/>
        <v>36.558230731283764</v>
      </c>
      <c r="J26">
        <f t="shared" si="7"/>
        <v>22.255571133923976</v>
      </c>
      <c r="K26">
        <f t="shared" si="8"/>
        <v>-1.75</v>
      </c>
      <c r="L26">
        <f t="shared" si="9"/>
        <v>36.262282688388034</v>
      </c>
      <c r="M26">
        <f t="shared" si="10"/>
        <v>22.100198411403717</v>
      </c>
      <c r="N26">
        <f t="shared" si="11"/>
        <v>-2</v>
      </c>
      <c r="O26">
        <f t="shared" si="12"/>
        <v>30.77607626616717</v>
      </c>
      <c r="P26">
        <f t="shared" si="13"/>
        <v>22.465645759700301</v>
      </c>
      <c r="Q26">
        <f t="shared" si="14"/>
        <v>30.805428487477634</v>
      </c>
    </row>
    <row r="27" spans="1:17" x14ac:dyDescent="0.25">
      <c r="E27">
        <f t="shared" si="15"/>
        <v>-2</v>
      </c>
      <c r="F27">
        <f t="shared" si="16"/>
        <v>30.805428487477634</v>
      </c>
      <c r="G27">
        <f t="shared" si="4"/>
        <v>22.483257092486578</v>
      </c>
      <c r="H27">
        <f t="shared" si="5"/>
        <v>-2.25</v>
      </c>
      <c r="I27">
        <f t="shared" si="6"/>
        <v>25.184614214355989</v>
      </c>
      <c r="J27">
        <f t="shared" si="7"/>
        <v>22.062114594690289</v>
      </c>
      <c r="K27">
        <f t="shared" si="8"/>
        <v>-2.25</v>
      </c>
      <c r="L27">
        <f t="shared" si="9"/>
        <v>25.289899838805063</v>
      </c>
      <c r="M27">
        <f t="shared" si="10"/>
        <v>22.133182391193415</v>
      </c>
      <c r="N27">
        <f t="shared" si="11"/>
        <v>-2.5</v>
      </c>
      <c r="O27">
        <f t="shared" si="12"/>
        <v>19.738837291880927</v>
      </c>
      <c r="P27">
        <f t="shared" si="13"/>
        <v>21.054127968910695</v>
      </c>
      <c r="Q27">
        <f t="shared" si="14"/>
        <v>19.81143023471391</v>
      </c>
    </row>
    <row r="28" spans="1:17" x14ac:dyDescent="0.25">
      <c r="E28">
        <f t="shared" si="15"/>
        <v>-2.5</v>
      </c>
      <c r="F28">
        <f t="shared" si="16"/>
        <v>19.81143023471391</v>
      </c>
      <c r="G28">
        <f t="shared" si="4"/>
        <v>21.108572676035433</v>
      </c>
      <c r="H28">
        <f t="shared" si="5"/>
        <v>-2.75</v>
      </c>
      <c r="I28">
        <f t="shared" si="6"/>
        <v>14.534287065705051</v>
      </c>
      <c r="J28">
        <f t="shared" si="7"/>
        <v>19.553286829206666</v>
      </c>
      <c r="K28">
        <f t="shared" si="8"/>
        <v>-2.75</v>
      </c>
      <c r="L28">
        <f t="shared" si="9"/>
        <v>14.923108527412243</v>
      </c>
      <c r="M28">
        <f t="shared" si="10"/>
        <v>19.8740645351151</v>
      </c>
      <c r="N28">
        <f t="shared" si="11"/>
        <v>-3</v>
      </c>
      <c r="O28">
        <f t="shared" si="12"/>
        <v>9.8743979671563604</v>
      </c>
      <c r="P28">
        <f t="shared" si="13"/>
        <v>17.886958170440721</v>
      </c>
      <c r="Q28">
        <f t="shared" si="14"/>
        <v>9.9905774367872695</v>
      </c>
    </row>
    <row r="29" spans="1:17" x14ac:dyDescent="0.25">
      <c r="E29" s="6">
        <f t="shared" si="15"/>
        <v>-3</v>
      </c>
      <c r="F29" s="6">
        <f t="shared" si="16"/>
        <v>9.9905774367872695</v>
      </c>
      <c r="G29">
        <f t="shared" si="4"/>
        <v>17.991519693108543</v>
      </c>
      <c r="H29">
        <f t="shared" si="5"/>
        <v>-3.25</v>
      </c>
      <c r="I29">
        <f t="shared" si="6"/>
        <v>5.4926975135101337</v>
      </c>
      <c r="J29">
        <f t="shared" si="7"/>
        <v>15.917880075672381</v>
      </c>
      <c r="K29">
        <f t="shared" si="8"/>
        <v>-3.25</v>
      </c>
      <c r="L29">
        <f t="shared" si="9"/>
        <v>6.0111074178691748</v>
      </c>
      <c r="M29">
        <f t="shared" si="10"/>
        <v>16.423329732422445</v>
      </c>
      <c r="N29">
        <f t="shared" si="11"/>
        <v>-3.5</v>
      </c>
      <c r="O29">
        <f t="shared" si="12"/>
        <v>1.7789125705760469</v>
      </c>
      <c r="P29">
        <f t="shared" si="13"/>
        <v>14.11785819910485</v>
      </c>
      <c r="Q29">
        <f t="shared" si="14"/>
        <v>1.9245943110870165</v>
      </c>
    </row>
  </sheetData>
  <mergeCells count="6">
    <mergeCell ref="M13:P13"/>
    <mergeCell ref="G8:J8"/>
    <mergeCell ref="M9:P9"/>
    <mergeCell ref="M10:P10"/>
    <mergeCell ref="M11:P11"/>
    <mergeCell ref="M12:P1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8DCB5-AAEE-4FE6-8986-810B7DED1BA2}">
  <dimension ref="A1:T24"/>
  <sheetViews>
    <sheetView workbookViewId="0">
      <selection activeCell="F24" sqref="F24"/>
    </sheetView>
  </sheetViews>
  <sheetFormatPr defaultRowHeight="15" x14ac:dyDescent="0.25"/>
  <cols>
    <col min="6" max="6" width="9.85546875" customWidth="1"/>
    <col min="9" max="9" width="12.5703125" customWidth="1"/>
    <col min="10" max="10" width="12.28515625" customWidth="1"/>
    <col min="12" max="12" width="12.28515625" customWidth="1"/>
  </cols>
  <sheetData>
    <row r="1" spans="1:20" x14ac:dyDescent="0.25">
      <c r="A1" s="1" t="s">
        <v>76</v>
      </c>
      <c r="B1" s="1"/>
      <c r="C1" s="1"/>
      <c r="D1" s="1"/>
      <c r="E1" s="1"/>
      <c r="F1" s="1"/>
      <c r="G1" s="1"/>
      <c r="H1" s="1"/>
      <c r="I1" s="1"/>
    </row>
    <row r="2" spans="1:20" x14ac:dyDescent="0.25">
      <c r="A2" s="1" t="s">
        <v>77</v>
      </c>
      <c r="B2" s="1"/>
      <c r="C2" s="1"/>
      <c r="D2" s="1"/>
      <c r="E2" s="1"/>
      <c r="F2" s="1"/>
      <c r="G2" s="1"/>
      <c r="H2" s="1"/>
      <c r="I2" s="1"/>
    </row>
    <row r="4" spans="1:20" x14ac:dyDescent="0.25">
      <c r="A4" t="s">
        <v>13</v>
      </c>
      <c r="E4" t="s">
        <v>84</v>
      </c>
      <c r="G4" s="17" t="s">
        <v>6</v>
      </c>
      <c r="H4" s="17"/>
      <c r="I4" s="17"/>
      <c r="J4" s="17"/>
      <c r="O4" s="17" t="s">
        <v>8</v>
      </c>
      <c r="P4" s="17"/>
      <c r="Q4" s="17"/>
      <c r="R4" s="17"/>
      <c r="S4" s="11" t="s">
        <v>39</v>
      </c>
      <c r="T4" s="11"/>
    </row>
    <row r="5" spans="1:20" x14ac:dyDescent="0.25">
      <c r="O5" s="17" t="s">
        <v>9</v>
      </c>
      <c r="P5" s="17"/>
      <c r="Q5" s="17"/>
      <c r="R5" s="17"/>
      <c r="S5" s="11" t="s">
        <v>40</v>
      </c>
      <c r="T5" s="11"/>
    </row>
    <row r="6" spans="1:20" x14ac:dyDescent="0.25">
      <c r="A6" t="s">
        <v>78</v>
      </c>
      <c r="E6" s="5" t="s">
        <v>24</v>
      </c>
      <c r="F6" s="5" t="s">
        <v>25</v>
      </c>
      <c r="G6" s="5" t="s">
        <v>26</v>
      </c>
      <c r="H6" s="5" t="s">
        <v>27</v>
      </c>
      <c r="O6" s="17" t="s">
        <v>10</v>
      </c>
      <c r="P6" s="17"/>
      <c r="Q6" s="17"/>
      <c r="R6" s="17"/>
      <c r="S6" s="11"/>
      <c r="T6" s="11"/>
    </row>
    <row r="7" spans="1:20" x14ac:dyDescent="0.25">
      <c r="E7" s="14">
        <v>0.1</v>
      </c>
      <c r="F7" s="14">
        <v>10</v>
      </c>
      <c r="G7" s="14">
        <f>0.5 + E7^2 + 0.4*E7  - F7</f>
        <v>-9.4499999999999993</v>
      </c>
      <c r="H7" s="14">
        <f>F7 + _h *G7</f>
        <v>6.6924999999999999</v>
      </c>
      <c r="O7" s="17" t="s">
        <v>11</v>
      </c>
      <c r="P7" s="17"/>
      <c r="Q7" s="17"/>
      <c r="R7" s="17"/>
      <c r="S7" s="11"/>
      <c r="T7" s="11"/>
    </row>
    <row r="8" spans="1:20" x14ac:dyDescent="0.25">
      <c r="A8" t="s">
        <v>16</v>
      </c>
      <c r="E8" s="14">
        <f>E7+_h</f>
        <v>0.45000000000000007</v>
      </c>
      <c r="F8" s="14">
        <f>H7</f>
        <v>6.6924999999999999</v>
      </c>
      <c r="G8" s="14">
        <f>0.5 + E8^2 +0.4*E8 -F8</f>
        <v>-5.81</v>
      </c>
      <c r="H8" s="14">
        <f>F8 + _h *G8</f>
        <v>4.6589999999999998</v>
      </c>
      <c r="O8" s="17" t="s">
        <v>12</v>
      </c>
      <c r="P8" s="17"/>
      <c r="Q8" s="17"/>
      <c r="R8" s="17"/>
      <c r="S8" s="11"/>
      <c r="T8" s="11"/>
    </row>
    <row r="9" spans="1:20" x14ac:dyDescent="0.25">
      <c r="E9" s="16">
        <f>E8+_h</f>
        <v>0.8</v>
      </c>
      <c r="F9" s="16">
        <f t="shared" ref="F9" si="0">H8</f>
        <v>4.6589999999999998</v>
      </c>
      <c r="G9" s="14"/>
      <c r="H9" s="14"/>
    </row>
    <row r="10" spans="1:20" x14ac:dyDescent="0.25">
      <c r="A10" t="s">
        <v>79</v>
      </c>
      <c r="E10" s="14"/>
      <c r="F10" s="14"/>
      <c r="G10" s="14"/>
      <c r="H10" s="14"/>
    </row>
    <row r="11" spans="1:20" x14ac:dyDescent="0.25">
      <c r="E11" s="14" t="s">
        <v>83</v>
      </c>
      <c r="F11" s="14"/>
      <c r="G11" s="14"/>
      <c r="H11" s="17" t="s">
        <v>7</v>
      </c>
      <c r="I11" s="17"/>
      <c r="J11" s="17"/>
      <c r="K11" s="17"/>
    </row>
    <row r="12" spans="1:20" x14ac:dyDescent="0.25">
      <c r="A12" t="s">
        <v>71</v>
      </c>
      <c r="E12" s="14"/>
      <c r="F12" s="14"/>
      <c r="G12" s="14"/>
      <c r="H12" s="14"/>
    </row>
    <row r="13" spans="1:20" x14ac:dyDescent="0.25">
      <c r="I13" s="3" t="s">
        <v>35</v>
      </c>
      <c r="J13" s="9" t="s">
        <v>6</v>
      </c>
      <c r="K13" s="9"/>
    </row>
    <row r="14" spans="1:20" x14ac:dyDescent="0.25">
      <c r="A14" t="s">
        <v>80</v>
      </c>
      <c r="E14" s="5" t="s">
        <v>24</v>
      </c>
      <c r="F14" s="5" t="s">
        <v>25</v>
      </c>
      <c r="G14" s="5" t="s">
        <v>26</v>
      </c>
      <c r="H14" s="5" t="s">
        <v>34</v>
      </c>
      <c r="I14" s="5" t="s">
        <v>27</v>
      </c>
      <c r="J14" s="5" t="s">
        <v>36</v>
      </c>
      <c r="K14" s="5" t="s">
        <v>27</v>
      </c>
    </row>
    <row r="15" spans="1:20" x14ac:dyDescent="0.25">
      <c r="E15" s="14">
        <v>0.1</v>
      </c>
      <c r="F15" s="14">
        <v>10</v>
      </c>
      <c r="G15" s="14">
        <f>0.5 + E15^2 + 0.4*E15 -F15</f>
        <v>-9.4499999999999993</v>
      </c>
      <c r="H15" s="14">
        <f>E15+_h</f>
        <v>0.45000000000000007</v>
      </c>
      <c r="I15" s="14">
        <f>F15 + _h *G15</f>
        <v>6.6924999999999999</v>
      </c>
      <c r="J15" s="14">
        <f>0.5 + H15^2 + 0.4*H15 -I15</f>
        <v>-5.81</v>
      </c>
      <c r="K15" s="14">
        <f>F15 + (_h/2) * (G15+J15)</f>
        <v>7.3294999999999995</v>
      </c>
    </row>
    <row r="16" spans="1:20" x14ac:dyDescent="0.25">
      <c r="A16" t="s">
        <v>81</v>
      </c>
      <c r="E16" s="14">
        <f>H15</f>
        <v>0.45000000000000007</v>
      </c>
      <c r="F16" s="14">
        <f>K15</f>
        <v>7.3294999999999995</v>
      </c>
      <c r="G16" s="14">
        <f>0.5 + E16^2 + 0.4*E16 -F16</f>
        <v>-6.4469999999999992</v>
      </c>
      <c r="H16" s="14">
        <f>E16+_h</f>
        <v>0.8</v>
      </c>
      <c r="I16" s="14">
        <f>F16 + _h *G16</f>
        <v>5.0730499999999994</v>
      </c>
      <c r="J16" s="14">
        <f>0.5 + H16^2 + 0.4*H16 -I16</f>
        <v>-3.6130499999999994</v>
      </c>
      <c r="K16" s="14">
        <f>F16 + (_h/2) * (G16+J16)</f>
        <v>5.5689912499999998</v>
      </c>
    </row>
    <row r="17" spans="1:17" x14ac:dyDescent="0.25">
      <c r="E17" s="16">
        <f>H16</f>
        <v>0.8</v>
      </c>
      <c r="F17" s="16">
        <f>K16</f>
        <v>5.5689912499999998</v>
      </c>
      <c r="G17" s="14"/>
      <c r="H17" s="14"/>
      <c r="I17" s="14"/>
      <c r="J17" s="14"/>
      <c r="K17" s="14"/>
    </row>
    <row r="18" spans="1:17" x14ac:dyDescent="0.25">
      <c r="A18" t="s">
        <v>82</v>
      </c>
      <c r="E18" s="14"/>
      <c r="F18" s="14"/>
      <c r="G18" s="14"/>
      <c r="H18" s="14"/>
      <c r="I18" s="14"/>
      <c r="J18" s="14"/>
      <c r="K18" s="14"/>
    </row>
    <row r="19" spans="1:17" x14ac:dyDescent="0.25">
      <c r="A19" t="s">
        <v>61</v>
      </c>
      <c r="B19" s="15">
        <f>(0.8 - 0.1)/2</f>
        <v>0.35000000000000003</v>
      </c>
      <c r="E19" s="14" t="s">
        <v>85</v>
      </c>
      <c r="F19" s="14"/>
      <c r="G19" s="14"/>
      <c r="H19" s="14"/>
      <c r="I19" s="14"/>
      <c r="J19" s="14"/>
      <c r="K19" s="14"/>
    </row>
    <row r="20" spans="1:17" x14ac:dyDescent="0.25">
      <c r="E20" s="14"/>
      <c r="F20" s="14"/>
      <c r="G20" s="14"/>
      <c r="H20" s="14"/>
    </row>
    <row r="21" spans="1:17" x14ac:dyDescent="0.25">
      <c r="E21" s="5" t="s">
        <v>24</v>
      </c>
      <c r="F21" s="5" t="s">
        <v>25</v>
      </c>
      <c r="G21" s="12" t="s">
        <v>41</v>
      </c>
      <c r="H21" s="5" t="s">
        <v>42</v>
      </c>
      <c r="I21" s="5" t="s">
        <v>48</v>
      </c>
      <c r="J21" s="12" t="s">
        <v>43</v>
      </c>
      <c r="K21" s="5" t="s">
        <v>42</v>
      </c>
      <c r="L21" s="5" t="s">
        <v>49</v>
      </c>
      <c r="M21" s="12" t="s">
        <v>44</v>
      </c>
      <c r="N21" s="5" t="s">
        <v>45</v>
      </c>
      <c r="O21" s="5" t="s">
        <v>46</v>
      </c>
      <c r="P21" s="12" t="s">
        <v>47</v>
      </c>
      <c r="Q21" s="5" t="s">
        <v>27</v>
      </c>
    </row>
    <row r="22" spans="1:17" x14ac:dyDescent="0.25">
      <c r="E22" s="14">
        <v>0.1</v>
      </c>
      <c r="F22" s="14">
        <v>10</v>
      </c>
      <c r="G22" s="14">
        <f>0.5 + E22^2 + 0.4*E22 -F22</f>
        <v>-9.4499999999999993</v>
      </c>
      <c r="H22" s="14">
        <f>E22 + _h/2</f>
        <v>0.27500000000000002</v>
      </c>
      <c r="I22" s="14">
        <f>F22 + _h/2 *G22</f>
        <v>8.3462499999999995</v>
      </c>
      <c r="J22" s="14">
        <f>0.5 + H22^2 + 0.4*H22 -I22</f>
        <v>-7.6606249999999996</v>
      </c>
      <c r="K22" s="14">
        <f>H22</f>
        <v>0.27500000000000002</v>
      </c>
      <c r="L22" s="14">
        <f>F22 + _h/2 *J22</f>
        <v>8.6593906250000003</v>
      </c>
      <c r="M22" s="14">
        <f>0.5 +K22^2 + 0.4*K22 -L22</f>
        <v>-7.9737656250000004</v>
      </c>
      <c r="N22" s="14">
        <f>E22+_h</f>
        <v>0.45000000000000007</v>
      </c>
      <c r="O22" s="14">
        <f>F22 + _h * M22</f>
        <v>7.2091820312500001</v>
      </c>
      <c r="P22" s="14">
        <f>0.5 +N22^2 + 0.4 *N22 -O22</f>
        <v>-6.3266820312499998</v>
      </c>
      <c r="Q22" s="14">
        <f>F22 + (_h/6) * (G22+2*J22+2*M22+P22)</f>
        <v>7.2556813085937497</v>
      </c>
    </row>
    <row r="23" spans="1:17" x14ac:dyDescent="0.25">
      <c r="E23" s="14">
        <f>N22</f>
        <v>0.45000000000000007</v>
      </c>
      <c r="F23" s="14">
        <f>Q22</f>
        <v>7.2556813085937497</v>
      </c>
      <c r="G23" s="14">
        <f>0.5 + E23^2 + 0.4*E23 -F23</f>
        <v>-6.3731813085937494</v>
      </c>
      <c r="H23" s="14">
        <f>E23 + _h/2</f>
        <v>0.62500000000000011</v>
      </c>
      <c r="I23" s="14">
        <f>F23 + _h/2 *G23</f>
        <v>6.1403745795898432</v>
      </c>
      <c r="J23" s="14">
        <f>0.5 + H23^2 + 0.4*H23 -I23</f>
        <v>-4.9997495795898432</v>
      </c>
      <c r="K23" s="14">
        <f>H23</f>
        <v>0.62500000000000011</v>
      </c>
      <c r="L23" s="14">
        <f>F23 + _h/2 *J23</f>
        <v>6.3807251321655274</v>
      </c>
      <c r="M23" s="14">
        <f>0.5 +K23^2 + 0.4*K23 -L23</f>
        <v>-5.2401001321655274</v>
      </c>
      <c r="N23" s="14">
        <f>E23+_h</f>
        <v>0.8</v>
      </c>
      <c r="O23" s="14">
        <f>F23 + _h * M23</f>
        <v>5.4216462623358153</v>
      </c>
      <c r="P23" s="14">
        <f>0.5 +N23^2 + 0.4 *N23 -O23</f>
        <v>-3.9616462623358153</v>
      </c>
      <c r="Q23" s="14">
        <f>F23 + (_h/6) * (G23+2*J23+2*M23+P23)</f>
        <v>5.4581672339180649</v>
      </c>
    </row>
    <row r="24" spans="1:17" x14ac:dyDescent="0.25">
      <c r="E24" s="16">
        <f>N23</f>
        <v>0.8</v>
      </c>
      <c r="F24" s="16">
        <f>Q23</f>
        <v>5.4581672339180649</v>
      </c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</row>
  </sheetData>
  <mergeCells count="7">
    <mergeCell ref="G4:J4"/>
    <mergeCell ref="H11:K11"/>
    <mergeCell ref="O4:R4"/>
    <mergeCell ref="O5:R5"/>
    <mergeCell ref="O6:R6"/>
    <mergeCell ref="O7:R7"/>
    <mergeCell ref="O8:R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56CD7-85B5-4745-959F-6EEA6E82B103}">
  <dimension ref="A1:S28"/>
  <sheetViews>
    <sheetView workbookViewId="0">
      <selection activeCell="F10" sqref="F10"/>
    </sheetView>
  </sheetViews>
  <sheetFormatPr defaultRowHeight="15" x14ac:dyDescent="0.25"/>
  <cols>
    <col min="8" max="8" width="10.140625" customWidth="1"/>
    <col min="9" max="9" width="12.28515625" customWidth="1"/>
    <col min="10" max="10" width="12.7109375" customWidth="1"/>
    <col min="12" max="12" width="12.7109375" customWidth="1"/>
  </cols>
  <sheetData>
    <row r="1" spans="1:19" x14ac:dyDescent="0.25">
      <c r="A1" s="1" t="s">
        <v>86</v>
      </c>
      <c r="B1" s="1"/>
      <c r="C1" s="1"/>
      <c r="D1" s="1"/>
      <c r="E1" s="1"/>
      <c r="F1" s="1"/>
      <c r="G1" s="1"/>
      <c r="H1" s="1"/>
      <c r="I1" s="1"/>
    </row>
    <row r="2" spans="1:19" x14ac:dyDescent="0.25">
      <c r="A2" s="1" t="s">
        <v>87</v>
      </c>
      <c r="B2" s="1"/>
      <c r="C2" s="1"/>
      <c r="D2" s="1"/>
      <c r="E2" s="1"/>
      <c r="F2" s="1"/>
      <c r="G2" s="1"/>
      <c r="H2" s="1"/>
      <c r="I2" s="1"/>
    </row>
    <row r="4" spans="1:19" x14ac:dyDescent="0.25">
      <c r="A4" t="s">
        <v>88</v>
      </c>
      <c r="E4" t="s">
        <v>96</v>
      </c>
      <c r="H4" s="17" t="s">
        <v>7</v>
      </c>
      <c r="I4" s="17"/>
      <c r="J4" s="17"/>
      <c r="K4" s="17"/>
      <c r="N4" s="17" t="s">
        <v>8</v>
      </c>
      <c r="O4" s="17"/>
      <c r="P4" s="17"/>
      <c r="Q4" s="17"/>
      <c r="R4" s="11" t="s">
        <v>39</v>
      </c>
      <c r="S4" s="11"/>
    </row>
    <row r="5" spans="1:19" x14ac:dyDescent="0.25">
      <c r="N5" s="17" t="s">
        <v>9</v>
      </c>
      <c r="O5" s="17"/>
      <c r="P5" s="17"/>
      <c r="Q5" s="17"/>
      <c r="R5" s="11" t="s">
        <v>40</v>
      </c>
      <c r="S5" s="11"/>
    </row>
    <row r="6" spans="1:19" x14ac:dyDescent="0.25">
      <c r="A6" t="s">
        <v>89</v>
      </c>
      <c r="I6" s="3" t="s">
        <v>35</v>
      </c>
      <c r="J6" s="9" t="s">
        <v>6</v>
      </c>
      <c r="K6" s="9"/>
      <c r="N6" s="17" t="s">
        <v>10</v>
      </c>
      <c r="O6" s="17"/>
      <c r="P6" s="17"/>
      <c r="Q6" s="17"/>
      <c r="R6" s="11"/>
      <c r="S6" s="11"/>
    </row>
    <row r="7" spans="1:19" x14ac:dyDescent="0.25">
      <c r="A7" t="s">
        <v>90</v>
      </c>
      <c r="E7" s="5" t="s">
        <v>24</v>
      </c>
      <c r="F7" s="5" t="s">
        <v>25</v>
      </c>
      <c r="G7" s="5" t="s">
        <v>26</v>
      </c>
      <c r="H7" s="5" t="s">
        <v>34</v>
      </c>
      <c r="I7" s="5" t="s">
        <v>27</v>
      </c>
      <c r="J7" s="5" t="s">
        <v>36</v>
      </c>
      <c r="K7" s="5" t="s">
        <v>27</v>
      </c>
      <c r="N7" s="17" t="s">
        <v>11</v>
      </c>
      <c r="O7" s="17"/>
      <c r="P7" s="17"/>
      <c r="Q7" s="17"/>
      <c r="R7" s="11"/>
      <c r="S7" s="11"/>
    </row>
    <row r="8" spans="1:19" x14ac:dyDescent="0.25">
      <c r="A8" s="8" t="s">
        <v>91</v>
      </c>
      <c r="E8" s="14">
        <v>3.5</v>
      </c>
      <c r="F8" s="14">
        <v>50</v>
      </c>
      <c r="G8" s="14">
        <f>4*E8^2 + F8/E8 - 5 * COS(E8)</f>
        <v>67.967997722168263</v>
      </c>
      <c r="H8" s="14">
        <f>E8+_h</f>
        <v>3.75</v>
      </c>
      <c r="I8" s="14">
        <f>F8 + _h *G8</f>
        <v>66.991999430542066</v>
      </c>
      <c r="J8" s="14">
        <f>4*H8^2 + I8/H8 - 5 * COS(H8)</f>
        <v>78.21732996817569</v>
      </c>
      <c r="K8" s="14">
        <f>F8 + (_h/2) *(G8+J8)</f>
        <v>68.273165961292989</v>
      </c>
      <c r="N8" s="17" t="s">
        <v>12</v>
      </c>
      <c r="O8" s="17"/>
      <c r="P8" s="17"/>
      <c r="Q8" s="17"/>
      <c r="R8" s="11"/>
      <c r="S8" s="11"/>
    </row>
    <row r="9" spans="1:19" x14ac:dyDescent="0.25">
      <c r="E9" s="14">
        <f>H8</f>
        <v>3.75</v>
      </c>
      <c r="F9" s="14">
        <f>K8</f>
        <v>68.273165961292989</v>
      </c>
      <c r="G9" s="14">
        <f>4*E9^2 + F9/E9 - 5 * COS(E9)</f>
        <v>78.558974376375943</v>
      </c>
      <c r="H9" s="14">
        <f>E9+_h</f>
        <v>4</v>
      </c>
      <c r="I9" s="14">
        <f>F9 + _h *G9</f>
        <v>87.912909555386975</v>
      </c>
      <c r="J9" s="14">
        <f>4*H9^2 + I9/H9 - 5 * COS(H9)</f>
        <v>89.246445493164813</v>
      </c>
      <c r="K9" s="14">
        <f>F9 + (_h/2) *(G9+J9)</f>
        <v>89.248843444985582</v>
      </c>
    </row>
    <row r="10" spans="1:19" x14ac:dyDescent="0.25">
      <c r="A10" t="s">
        <v>16</v>
      </c>
      <c r="E10" s="16">
        <f>H9</f>
        <v>4</v>
      </c>
      <c r="F10" s="16">
        <f>K9</f>
        <v>89.248843444985582</v>
      </c>
      <c r="G10" s="14"/>
      <c r="H10" s="14"/>
      <c r="I10" s="14"/>
      <c r="J10" s="14"/>
      <c r="K10" s="14"/>
    </row>
    <row r="12" spans="1:19" x14ac:dyDescent="0.25">
      <c r="A12" t="s">
        <v>92</v>
      </c>
      <c r="E12" t="s">
        <v>97</v>
      </c>
    </row>
    <row r="14" spans="1:19" x14ac:dyDescent="0.25">
      <c r="A14" t="s">
        <v>71</v>
      </c>
      <c r="E14" s="5" t="s">
        <v>24</v>
      </c>
      <c r="F14" s="5" t="s">
        <v>25</v>
      </c>
      <c r="G14" s="12" t="s">
        <v>41</v>
      </c>
      <c r="H14" s="5" t="s">
        <v>42</v>
      </c>
      <c r="I14" s="5" t="s">
        <v>48</v>
      </c>
      <c r="J14" s="12" t="s">
        <v>43</v>
      </c>
      <c r="K14" s="5" t="s">
        <v>42</v>
      </c>
      <c r="L14" s="5" t="s">
        <v>49</v>
      </c>
      <c r="M14" s="12" t="s">
        <v>44</v>
      </c>
      <c r="N14" s="5" t="s">
        <v>45</v>
      </c>
      <c r="O14" s="5" t="s">
        <v>46</v>
      </c>
      <c r="P14" s="12" t="s">
        <v>47</v>
      </c>
      <c r="Q14" s="5" t="s">
        <v>27</v>
      </c>
    </row>
    <row r="15" spans="1:19" x14ac:dyDescent="0.25">
      <c r="E15" s="14">
        <v>3.5</v>
      </c>
      <c r="F15" s="14">
        <v>50</v>
      </c>
      <c r="G15" s="14">
        <f>4*E15^2 + F15/E15 - 5* COS(E15)</f>
        <v>67.967997722168263</v>
      </c>
      <c r="H15" s="14">
        <f>E15+ _h/2</f>
        <v>3.625</v>
      </c>
      <c r="I15" s="14">
        <f>F15 + _h/2 *G15</f>
        <v>58.495999715271033</v>
      </c>
      <c r="J15" s="14">
        <f>4*H15^2 + I15/H15 - 5* COS(H15)</f>
        <v>73.126409183676074</v>
      </c>
      <c r="K15" s="14">
        <f>H15</f>
        <v>3.625</v>
      </c>
      <c r="L15" s="14">
        <f>F15 + _h/2 *J15</f>
        <v>59.140801147959507</v>
      </c>
      <c r="M15" s="14">
        <f xml:space="preserve"> 4*K15^2 + L15/L15 - 5 * COS(K15)</f>
        <v>57.989581676015099</v>
      </c>
      <c r="N15" s="14">
        <f>E15 + _h</f>
        <v>3.75</v>
      </c>
      <c r="O15" s="14">
        <f>F15 + _h *M15</f>
        <v>64.49739541900378</v>
      </c>
      <c r="P15" s="14">
        <f>4*N15^2+O15/N15-5*COS(N15)</f>
        <v>77.552102231765488</v>
      </c>
      <c r="Q15" s="14">
        <f>F15 + (_h/6) * (G15+2*J15+2*M15+P15)</f>
        <v>66.989670069721512</v>
      </c>
    </row>
    <row r="16" spans="1:19" x14ac:dyDescent="0.25">
      <c r="A16" t="s">
        <v>93</v>
      </c>
      <c r="E16" s="14">
        <f>N15</f>
        <v>3.75</v>
      </c>
      <c r="F16" s="14">
        <f>Q15</f>
        <v>66.989670069721512</v>
      </c>
      <c r="G16" s="14">
        <f>4*E16^2 + F16/E16 - 5* COS(E16)</f>
        <v>78.21670880529021</v>
      </c>
      <c r="H16" s="14">
        <f>E16+ _h/2</f>
        <v>3.875</v>
      </c>
      <c r="I16" s="14">
        <f>F16 + _h/2 *G16</f>
        <v>76.766758670382785</v>
      </c>
      <c r="J16" s="14">
        <f>4*H16^2 + I16/H16 - 5* COS(H16)</f>
        <v>83.587765556806517</v>
      </c>
      <c r="K16" s="14">
        <f>H16</f>
        <v>3.875</v>
      </c>
      <c r="L16" s="14">
        <f>F16 + _h/2 *J16</f>
        <v>77.438140764322327</v>
      </c>
      <c r="M16" s="14">
        <f xml:space="preserve"> 4*K16^2 + L16/L16 - 5 * COS(K16)</f>
        <v>64.776989125739988</v>
      </c>
      <c r="N16" s="14">
        <f>E16 + _h</f>
        <v>4</v>
      </c>
      <c r="O16" s="14">
        <f>F16 + _h *M16</f>
        <v>83.183917351156509</v>
      </c>
      <c r="P16" s="14">
        <f>4*N16^2+O16/N16-5*COS(N16)</f>
        <v>88.064197442107201</v>
      </c>
      <c r="Q16" s="14">
        <f>F16 + (_h/6) * (G16+2*J16+2*M16+P16)</f>
        <v>86.281770720241951</v>
      </c>
    </row>
    <row r="17" spans="1:17" x14ac:dyDescent="0.25">
      <c r="E17" s="16">
        <f>N16</f>
        <v>4</v>
      </c>
      <c r="F17" s="16">
        <f>Q16</f>
        <v>86.281770720241951</v>
      </c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</row>
    <row r="18" spans="1:17" x14ac:dyDescent="0.25">
      <c r="A18" t="s">
        <v>94</v>
      </c>
    </row>
    <row r="19" spans="1:17" x14ac:dyDescent="0.25">
      <c r="E19" t="s">
        <v>98</v>
      </c>
      <c r="I19" s="17" t="s">
        <v>7</v>
      </c>
      <c r="J19" s="17"/>
      <c r="K19" s="17"/>
      <c r="L19" s="17"/>
    </row>
    <row r="20" spans="1:17" x14ac:dyDescent="0.25">
      <c r="A20" t="s">
        <v>95</v>
      </c>
    </row>
    <row r="21" spans="1:17" x14ac:dyDescent="0.25">
      <c r="A21" t="s">
        <v>61</v>
      </c>
      <c r="B21">
        <f>(4-3.5)/2</f>
        <v>0.25</v>
      </c>
      <c r="I21" s="3" t="s">
        <v>35</v>
      </c>
      <c r="J21" s="9" t="s">
        <v>6</v>
      </c>
      <c r="K21" s="9"/>
    </row>
    <row r="22" spans="1:17" x14ac:dyDescent="0.25">
      <c r="B22">
        <f>(4-3.5)/5</f>
        <v>0.1</v>
      </c>
      <c r="E22" s="5" t="s">
        <v>24</v>
      </c>
      <c r="F22" s="5" t="s">
        <v>25</v>
      </c>
      <c r="G22" s="5" t="s">
        <v>26</v>
      </c>
      <c r="H22" s="5" t="s">
        <v>34</v>
      </c>
      <c r="I22" s="5" t="s">
        <v>27</v>
      </c>
      <c r="J22" s="5" t="s">
        <v>36</v>
      </c>
      <c r="K22" s="5" t="s">
        <v>27</v>
      </c>
    </row>
    <row r="23" spans="1:17" x14ac:dyDescent="0.25">
      <c r="E23" s="14">
        <v>3.5</v>
      </c>
      <c r="F23" s="14">
        <v>50</v>
      </c>
      <c r="G23" s="14">
        <f>4*E23^2 + F23/E23 - 5* COS(E23)</f>
        <v>67.967997722168263</v>
      </c>
      <c r="H23" s="14">
        <f>E23+_hEulerMejorado</f>
        <v>3.6</v>
      </c>
      <c r="I23" s="14">
        <f>F23 + _hEulerMejorado *G23</f>
        <v>56.796799772216829</v>
      </c>
      <c r="J23" s="14">
        <f>4*H23^2 +I23/H23 - 5 * COS(H23)</f>
        <v>72.100680907286517</v>
      </c>
      <c r="K23" s="14">
        <f>F23 + _hEulerMejorado/2 * (G23+J23)</f>
        <v>57.003433931472742</v>
      </c>
    </row>
    <row r="24" spans="1:17" x14ac:dyDescent="0.25">
      <c r="E24" s="14">
        <f>H23</f>
        <v>3.6</v>
      </c>
      <c r="F24" s="14">
        <f>K23</f>
        <v>57.003433931472742</v>
      </c>
      <c r="G24" s="14">
        <f>4*E24^2 + F24/E24 - 5* COS(E24)</f>
        <v>72.158079284857621</v>
      </c>
      <c r="H24" s="14">
        <f>E24+_hEulerMejorado</f>
        <v>3.7</v>
      </c>
      <c r="I24" s="14">
        <f>F24 + _hEulerMejorado *G24</f>
        <v>64.219241859958501</v>
      </c>
      <c r="J24" s="14">
        <f>4*H24^2 +I24/H24 - 5 * COS(H24)</f>
        <v>76.357052012594878</v>
      </c>
      <c r="K24" s="14">
        <f>F24 + _hEulerMejorado/2 * (G24+J24)</f>
        <v>64.42919049634537</v>
      </c>
    </row>
    <row r="25" spans="1:17" x14ac:dyDescent="0.25">
      <c r="E25" s="14">
        <f t="shared" ref="E25:E27" si="0">H24</f>
        <v>3.7</v>
      </c>
      <c r="F25" s="14">
        <f t="shared" ref="F25:F27" si="1">K24</f>
        <v>64.42919049634537</v>
      </c>
      <c r="G25" s="14">
        <f t="shared" ref="G25:G27" si="2">4*E25^2 + F25/E25 - 5* COS(E25)</f>
        <v>76.413794887294031</v>
      </c>
      <c r="H25" s="14">
        <f>E25+_hEulerMejorado</f>
        <v>3.8000000000000003</v>
      </c>
      <c r="I25" s="14">
        <f>F25 + _hEulerMejorado *G25</f>
        <v>72.070569985074769</v>
      </c>
      <c r="J25" s="14">
        <f t="shared" ref="J25:J27" si="3">4*H25^2 +I25/H25 - 5 * COS(H25)</f>
        <v>80.680778029328607</v>
      </c>
      <c r="K25" s="14">
        <f>F25 + _hEulerMejorado/2 * (G25+J25)</f>
        <v>72.283919142176501</v>
      </c>
    </row>
    <row r="26" spans="1:17" x14ac:dyDescent="0.25">
      <c r="E26" s="14">
        <f t="shared" si="0"/>
        <v>3.8000000000000003</v>
      </c>
      <c r="F26" s="14">
        <f t="shared" si="1"/>
        <v>72.283919142176501</v>
      </c>
      <c r="G26" s="14">
        <f t="shared" si="2"/>
        <v>80.73692254435538</v>
      </c>
      <c r="H26" s="14">
        <f>E26+_hEulerMejorado</f>
        <v>3.9000000000000004</v>
      </c>
      <c r="I26" s="14">
        <f>F26 + _hEulerMejorado *G26</f>
        <v>80.357611396612043</v>
      </c>
      <c r="J26" s="14">
        <f t="shared" si="3"/>
        <v>85.074177263721751</v>
      </c>
      <c r="K26" s="14">
        <f>F26 + _hEulerMejorado/2 * (G26+J26)</f>
        <v>80.574474132580363</v>
      </c>
    </row>
    <row r="27" spans="1:17" x14ac:dyDescent="0.25">
      <c r="E27" s="14">
        <f t="shared" si="0"/>
        <v>3.9000000000000004</v>
      </c>
      <c r="F27" s="14">
        <f t="shared" si="1"/>
        <v>80.574474132580363</v>
      </c>
      <c r="G27" s="14">
        <f t="shared" si="2"/>
        <v>85.129783093457206</v>
      </c>
      <c r="H27" s="14">
        <f>E27+_hEulerMejorado</f>
        <v>4</v>
      </c>
      <c r="I27" s="14">
        <f>F27 + _hEulerMejorado *G27</f>
        <v>89.087452441926089</v>
      </c>
      <c r="J27" s="14">
        <f t="shared" si="3"/>
        <v>89.540081214799585</v>
      </c>
      <c r="K27" s="14">
        <f>F27 + _hEulerMejorado/2 * (G27+J27)</f>
        <v>89.307967347993198</v>
      </c>
    </row>
    <row r="28" spans="1:17" x14ac:dyDescent="0.25">
      <c r="E28" s="16">
        <f t="shared" ref="E28" si="4">H27</f>
        <v>4</v>
      </c>
      <c r="F28" s="16">
        <f t="shared" ref="F28" si="5">K27</f>
        <v>89.307967347993198</v>
      </c>
      <c r="G28" s="14"/>
      <c r="H28" s="14"/>
      <c r="I28" s="14"/>
      <c r="J28" s="14"/>
      <c r="K28" s="14"/>
    </row>
  </sheetData>
  <mergeCells count="7">
    <mergeCell ref="I19:L19"/>
    <mergeCell ref="H4:K4"/>
    <mergeCell ref="N4:Q4"/>
    <mergeCell ref="N5:Q5"/>
    <mergeCell ref="N6:Q6"/>
    <mergeCell ref="N7:Q7"/>
    <mergeCell ref="N8:Q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83A63-703A-4766-9979-A98015E1EA98}">
  <dimension ref="A1:I19"/>
  <sheetViews>
    <sheetView workbookViewId="0">
      <selection activeCell="F15" sqref="F15"/>
    </sheetView>
  </sheetViews>
  <sheetFormatPr defaultRowHeight="15" x14ac:dyDescent="0.25"/>
  <sheetData>
    <row r="1" spans="1:9" x14ac:dyDescent="0.25">
      <c r="A1" s="1" t="s">
        <v>99</v>
      </c>
      <c r="B1" s="1"/>
      <c r="C1" s="1"/>
      <c r="D1" s="1"/>
      <c r="E1" s="1"/>
      <c r="F1" s="1"/>
      <c r="G1" s="1"/>
      <c r="H1" s="1"/>
      <c r="I1" s="1"/>
    </row>
    <row r="2" spans="1:9" x14ac:dyDescent="0.25">
      <c r="A2" s="1" t="s">
        <v>100</v>
      </c>
      <c r="B2" s="1"/>
      <c r="C2" s="1"/>
      <c r="D2" s="1"/>
      <c r="E2" s="1"/>
      <c r="F2" s="1"/>
      <c r="G2" s="1"/>
      <c r="H2" s="1"/>
      <c r="I2" s="1"/>
    </row>
    <row r="4" spans="1:9" x14ac:dyDescent="0.25">
      <c r="A4" t="s">
        <v>101</v>
      </c>
      <c r="D4" t="s">
        <v>73</v>
      </c>
      <c r="F4" s="17" t="s">
        <v>6</v>
      </c>
      <c r="G4" s="17"/>
      <c r="H4" s="17"/>
      <c r="I4" s="17"/>
    </row>
    <row r="6" spans="1:9" x14ac:dyDescent="0.25">
      <c r="A6" t="s">
        <v>102</v>
      </c>
      <c r="D6" s="5" t="s">
        <v>24</v>
      </c>
      <c r="E6" s="5" t="s">
        <v>25</v>
      </c>
      <c r="F6" s="5" t="s">
        <v>26</v>
      </c>
      <c r="G6" s="5" t="s">
        <v>27</v>
      </c>
    </row>
    <row r="7" spans="1:9" x14ac:dyDescent="0.25">
      <c r="D7">
        <v>1</v>
      </c>
      <c r="E7">
        <v>60</v>
      </c>
      <c r="F7">
        <f>D7^2 - 2/(E7+140)</f>
        <v>0.99</v>
      </c>
      <c r="G7">
        <f>E7+ _h *F7</f>
        <v>60.494999999999997</v>
      </c>
    </row>
    <row r="8" spans="1:9" x14ac:dyDescent="0.25">
      <c r="A8" t="s">
        <v>103</v>
      </c>
      <c r="D8">
        <f>D7+_h</f>
        <v>1.5</v>
      </c>
      <c r="E8">
        <f>G7</f>
        <v>60.494999999999997</v>
      </c>
      <c r="F8">
        <f>D8^2 - 2/(E8+140)</f>
        <v>2.2400246888949851</v>
      </c>
      <c r="G8">
        <f>E8+ _h *F8</f>
        <v>61.615012344447493</v>
      </c>
    </row>
    <row r="9" spans="1:9" x14ac:dyDescent="0.25">
      <c r="D9">
        <f>D8+_h</f>
        <v>2</v>
      </c>
      <c r="E9">
        <f>G8</f>
        <v>61.615012344447493</v>
      </c>
      <c r="F9">
        <f>D9^2 - 2/(E9+140)</f>
        <v>3.9900801037743006</v>
      </c>
      <c r="G9">
        <f>E9+ _h *F9</f>
        <v>63.610052396334645</v>
      </c>
    </row>
    <row r="10" spans="1:9" x14ac:dyDescent="0.25">
      <c r="A10" t="s">
        <v>104</v>
      </c>
      <c r="D10" s="6">
        <f>D9+_h</f>
        <v>2.5</v>
      </c>
      <c r="E10" s="6">
        <f>G9</f>
        <v>63.610052396334645</v>
      </c>
    </row>
    <row r="12" spans="1:9" x14ac:dyDescent="0.25">
      <c r="A12" t="s">
        <v>105</v>
      </c>
    </row>
    <row r="14" spans="1:9" x14ac:dyDescent="0.25">
      <c r="A14" t="s">
        <v>106</v>
      </c>
    </row>
    <row r="16" spans="1:9" x14ac:dyDescent="0.25">
      <c r="A16" t="s">
        <v>107</v>
      </c>
    </row>
    <row r="18" spans="1:2" x14ac:dyDescent="0.25">
      <c r="A18" t="s">
        <v>108</v>
      </c>
    </row>
    <row r="19" spans="1:2" x14ac:dyDescent="0.25">
      <c r="A19" t="s">
        <v>61</v>
      </c>
      <c r="B19">
        <f>(2.5-1)/3</f>
        <v>0.5</v>
      </c>
    </row>
  </sheetData>
  <mergeCells count="1">
    <mergeCell ref="F4:I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DC43FA-33E2-46C9-A08E-982B10B710F9}">
  <dimension ref="A1:K19"/>
  <sheetViews>
    <sheetView workbookViewId="0">
      <selection activeCell="I20" sqref="I20"/>
    </sheetView>
  </sheetViews>
  <sheetFormatPr defaultRowHeight="15" x14ac:dyDescent="0.25"/>
  <cols>
    <col min="5" max="5" width="9.28515625" bestFit="1" customWidth="1"/>
    <col min="6" max="6" width="9.5703125" bestFit="1" customWidth="1"/>
    <col min="7" max="9" width="9.28515625" bestFit="1" customWidth="1"/>
    <col min="10" max="10" width="14" customWidth="1"/>
    <col min="11" max="11" width="9.28515625" bestFit="1" customWidth="1"/>
  </cols>
  <sheetData>
    <row r="1" spans="1:11" x14ac:dyDescent="0.25">
      <c r="A1" s="1" t="s">
        <v>109</v>
      </c>
      <c r="B1" s="1"/>
      <c r="C1" s="1"/>
      <c r="D1" s="1"/>
      <c r="E1" s="1"/>
      <c r="F1" s="1"/>
      <c r="G1" s="1"/>
      <c r="H1" s="1"/>
      <c r="I1" s="1"/>
      <c r="J1" s="1"/>
    </row>
    <row r="2" spans="1:11" x14ac:dyDescent="0.25">
      <c r="A2" s="1" t="s">
        <v>110</v>
      </c>
      <c r="B2" s="1"/>
      <c r="C2" s="1"/>
      <c r="D2" s="1"/>
      <c r="E2" s="1"/>
      <c r="F2" s="1"/>
      <c r="G2" s="1"/>
      <c r="H2" s="1"/>
      <c r="I2" s="1"/>
      <c r="J2" s="1"/>
    </row>
    <row r="4" spans="1:11" x14ac:dyDescent="0.25">
      <c r="A4" t="s">
        <v>13</v>
      </c>
      <c r="E4" t="s">
        <v>62</v>
      </c>
      <c r="H4" s="17" t="s">
        <v>7</v>
      </c>
      <c r="I4" s="17"/>
      <c r="J4" s="17"/>
      <c r="K4" s="17"/>
    </row>
    <row r="6" spans="1:11" x14ac:dyDescent="0.25">
      <c r="A6" t="s">
        <v>111</v>
      </c>
      <c r="I6" s="3" t="s">
        <v>35</v>
      </c>
      <c r="J6" s="9" t="s">
        <v>6</v>
      </c>
      <c r="K6" s="9"/>
    </row>
    <row r="7" spans="1:11" x14ac:dyDescent="0.25">
      <c r="E7" s="5" t="s">
        <v>24</v>
      </c>
      <c r="F7" s="5" t="s">
        <v>25</v>
      </c>
      <c r="G7" s="5" t="s">
        <v>26</v>
      </c>
      <c r="H7" s="5" t="s">
        <v>34</v>
      </c>
      <c r="I7" s="5" t="s">
        <v>27</v>
      </c>
      <c r="J7" s="5" t="s">
        <v>36</v>
      </c>
      <c r="K7" s="5" t="s">
        <v>27</v>
      </c>
    </row>
    <row r="8" spans="1:11" x14ac:dyDescent="0.25">
      <c r="A8" t="s">
        <v>16</v>
      </c>
      <c r="E8" s="14">
        <v>4</v>
      </c>
      <c r="F8" s="14">
        <v>1000</v>
      </c>
      <c r="G8" s="14">
        <f>0.3 - F8/E8 + 0.2*E8^2</f>
        <v>-246.5</v>
      </c>
      <c r="H8" s="14">
        <f>E8+_h</f>
        <v>4.5</v>
      </c>
      <c r="I8" s="14">
        <f>F8 + _h *G8</f>
        <v>876.75</v>
      </c>
      <c r="J8" s="14">
        <f>0.3 - I8/H8 + 0.2*H8^2</f>
        <v>-190.48333333333332</v>
      </c>
      <c r="K8" s="14">
        <f>F8 + (_h/2) * (G8+J8)</f>
        <v>890.75416666666661</v>
      </c>
    </row>
    <row r="9" spans="1:11" x14ac:dyDescent="0.25">
      <c r="E9" s="14">
        <f>H8</f>
        <v>4.5</v>
      </c>
      <c r="F9" s="14">
        <f>K8</f>
        <v>890.75416666666661</v>
      </c>
      <c r="G9" s="14">
        <f>0.3 - F9/E9 + 0.2*E9^2</f>
        <v>-193.59537037037035</v>
      </c>
      <c r="H9" s="14">
        <f>E9+_h</f>
        <v>5</v>
      </c>
      <c r="I9" s="14">
        <f>F9 + _h *G9</f>
        <v>793.95648148148143</v>
      </c>
      <c r="J9" s="14">
        <f>0.3 - I9/H9 + 0.2*H9^2</f>
        <v>-153.49129629629627</v>
      </c>
      <c r="K9" s="14">
        <f>F9 + (_h/2) * (G9+J9)</f>
        <v>803.98249999999996</v>
      </c>
    </row>
    <row r="10" spans="1:11" x14ac:dyDescent="0.25">
      <c r="A10" t="s">
        <v>112</v>
      </c>
      <c r="E10" s="14">
        <f>H9</f>
        <v>5</v>
      </c>
      <c r="F10" s="14">
        <f>K9</f>
        <v>803.98249999999996</v>
      </c>
      <c r="G10" s="14">
        <f>0.3 - F10/E10 + 0.2*E10^2</f>
        <v>-155.49649999999997</v>
      </c>
      <c r="H10" s="14">
        <f>E10+_h</f>
        <v>5.5</v>
      </c>
      <c r="I10" s="14">
        <f>F10 + _h *G10</f>
        <v>726.23424999999997</v>
      </c>
      <c r="J10" s="14">
        <f>0.3 - I10/H10 + 0.2*H10^2</f>
        <v>-125.6925909090909</v>
      </c>
      <c r="K10" s="14">
        <f>F10 + (_h/2) * (G10+J10)</f>
        <v>733.68522727272727</v>
      </c>
    </row>
    <row r="11" spans="1:11" x14ac:dyDescent="0.25">
      <c r="E11" s="16">
        <f>H10</f>
        <v>5.5</v>
      </c>
      <c r="F11" s="16">
        <f>K10</f>
        <v>733.68522727272727</v>
      </c>
      <c r="G11" s="14"/>
      <c r="H11" s="14"/>
      <c r="I11" s="14"/>
      <c r="J11" s="14"/>
      <c r="K11" s="14"/>
    </row>
    <row r="12" spans="1:11" x14ac:dyDescent="0.25">
      <c r="A12" t="s">
        <v>71</v>
      </c>
    </row>
    <row r="14" spans="1:11" x14ac:dyDescent="0.25">
      <c r="A14" t="s">
        <v>113</v>
      </c>
    </row>
    <row r="16" spans="1:11" x14ac:dyDescent="0.25">
      <c r="A16" t="s">
        <v>59</v>
      </c>
    </row>
    <row r="18" spans="1:2" x14ac:dyDescent="0.25">
      <c r="A18" t="s">
        <v>114</v>
      </c>
    </row>
    <row r="19" spans="1:2" x14ac:dyDescent="0.25">
      <c r="A19" t="s">
        <v>61</v>
      </c>
      <c r="B19">
        <f>(5.5-4)/3</f>
        <v>0.5</v>
      </c>
    </row>
  </sheetData>
  <mergeCells count="1">
    <mergeCell ref="H4:K4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F658A-C9BA-4C7F-A8AE-71198FFC3EB8}">
  <dimension ref="A1:Z19"/>
  <sheetViews>
    <sheetView tabSelected="1" workbookViewId="0">
      <selection activeCell="E13" sqref="E13"/>
    </sheetView>
  </sheetViews>
  <sheetFormatPr defaultRowHeight="15" x14ac:dyDescent="0.25"/>
  <cols>
    <col min="2" max="2" width="10.42578125" customWidth="1"/>
    <col min="7" max="7" width="10.140625" customWidth="1"/>
    <col min="8" max="8" width="12.42578125" customWidth="1"/>
    <col min="10" max="10" width="12.140625" customWidth="1"/>
    <col min="11" max="11" width="12.42578125" customWidth="1"/>
    <col min="14" max="14" width="9.85546875" customWidth="1"/>
  </cols>
  <sheetData>
    <row r="1" spans="1:26" x14ac:dyDescent="0.25">
      <c r="A1" s="1" t="s">
        <v>115</v>
      </c>
      <c r="B1" s="1"/>
      <c r="C1" s="1"/>
      <c r="D1" s="1"/>
      <c r="E1" s="1"/>
      <c r="F1" s="1"/>
      <c r="G1" s="1"/>
      <c r="H1" s="1"/>
      <c r="I1" s="1"/>
    </row>
    <row r="2" spans="1:26" x14ac:dyDescent="0.25">
      <c r="A2" s="1" t="s">
        <v>116</v>
      </c>
      <c r="B2" s="1"/>
      <c r="C2" s="1"/>
      <c r="D2" s="1"/>
      <c r="E2" s="1"/>
      <c r="F2" s="1"/>
      <c r="G2" s="1"/>
      <c r="H2" s="1"/>
      <c r="I2" s="1"/>
      <c r="U2" s="17" t="s">
        <v>8</v>
      </c>
      <c r="V2" s="17"/>
      <c r="W2" s="17"/>
      <c r="X2" s="17"/>
      <c r="Y2" s="11" t="s">
        <v>39</v>
      </c>
      <c r="Z2" s="11"/>
    </row>
    <row r="3" spans="1:26" x14ac:dyDescent="0.25">
      <c r="U3" s="17" t="s">
        <v>9</v>
      </c>
      <c r="V3" s="17"/>
      <c r="W3" s="17"/>
      <c r="X3" s="17"/>
      <c r="Y3" s="11" t="s">
        <v>40</v>
      </c>
      <c r="Z3" s="11"/>
    </row>
    <row r="4" spans="1:26" x14ac:dyDescent="0.25">
      <c r="A4" t="s">
        <v>101</v>
      </c>
      <c r="D4" t="s">
        <v>120</v>
      </c>
      <c r="U4" s="17" t="s">
        <v>10</v>
      </c>
      <c r="V4" s="17"/>
      <c r="W4" s="17"/>
      <c r="X4" s="17"/>
      <c r="Y4" s="11"/>
      <c r="Z4" s="11"/>
    </row>
    <row r="5" spans="1:26" x14ac:dyDescent="0.25">
      <c r="U5" s="17" t="s">
        <v>11</v>
      </c>
      <c r="V5" s="17"/>
      <c r="W5" s="17"/>
      <c r="X5" s="17"/>
      <c r="Y5" s="11"/>
      <c r="Z5" s="11"/>
    </row>
    <row r="6" spans="1:26" x14ac:dyDescent="0.25">
      <c r="A6" t="s">
        <v>117</v>
      </c>
      <c r="D6" s="5" t="s">
        <v>24</v>
      </c>
      <c r="E6" s="5" t="s">
        <v>25</v>
      </c>
      <c r="F6" s="12" t="s">
        <v>41</v>
      </c>
      <c r="G6" s="5" t="s">
        <v>42</v>
      </c>
      <c r="H6" s="5" t="s">
        <v>48</v>
      </c>
      <c r="I6" s="12" t="s">
        <v>43</v>
      </c>
      <c r="J6" s="5" t="s">
        <v>42</v>
      </c>
      <c r="K6" s="5" t="s">
        <v>49</v>
      </c>
      <c r="L6" s="12" t="s">
        <v>44</v>
      </c>
      <c r="M6" s="5" t="s">
        <v>45</v>
      </c>
      <c r="N6" s="5" t="s">
        <v>46</v>
      </c>
      <c r="O6" s="12" t="s">
        <v>47</v>
      </c>
      <c r="P6" s="5" t="s">
        <v>27</v>
      </c>
      <c r="U6" s="17" t="s">
        <v>12</v>
      </c>
      <c r="V6" s="17"/>
      <c r="W6" s="17"/>
      <c r="X6" s="17"/>
      <c r="Y6" s="11"/>
      <c r="Z6" s="11"/>
    </row>
    <row r="7" spans="1:26" x14ac:dyDescent="0.25">
      <c r="D7" s="14">
        <v>1</v>
      </c>
      <c r="E7" s="14">
        <v>15</v>
      </c>
      <c r="F7" s="14">
        <f>E7/(E7+D7) - 0.2*EXP(D7)</f>
        <v>0.39384363430819092</v>
      </c>
      <c r="G7" s="14">
        <f>D7 + _h/2</f>
        <v>1.25</v>
      </c>
      <c r="H7" s="14">
        <f>E7 + _h/2 *F7</f>
        <v>15.098460908577048</v>
      </c>
      <c r="I7" s="14">
        <f>H7/(H7+G7) - 0.2*EXP(G7)</f>
        <v>0.22547161165028962</v>
      </c>
      <c r="J7" s="14">
        <f>G7</f>
        <v>1.25</v>
      </c>
      <c r="K7" s="14">
        <f>E7 + _h/2 *I7</f>
        <v>15.056367902912573</v>
      </c>
      <c r="L7" s="14">
        <f>K7/(K7+J7) - 0.2*EXP(J7)</f>
        <v>0.22527423951436187</v>
      </c>
      <c r="M7" s="14">
        <f>D7+_h</f>
        <v>1.5</v>
      </c>
      <c r="N7" s="14">
        <f>E7 + _h *L7</f>
        <v>15.112637119757181</v>
      </c>
      <c r="O7" s="14">
        <f>N7/(N7+M7) - 0.2*EXP(M7)</f>
        <v>1.3369477484787784E-2</v>
      </c>
      <c r="P7" s="14">
        <f>E7 + (_h/6) * (F7+2*I7+2*L7+O7)</f>
        <v>15.109058734510191</v>
      </c>
    </row>
    <row r="8" spans="1:26" x14ac:dyDescent="0.25">
      <c r="A8" t="s">
        <v>103</v>
      </c>
      <c r="D8" s="14">
        <f>M7</f>
        <v>1.5</v>
      </c>
      <c r="E8" s="14">
        <f>P7</f>
        <v>15.109058734510191</v>
      </c>
      <c r="F8" s="14">
        <f>E8/(E8+D8) - 0.2*EXP(D8)</f>
        <v>1.3350024118947812E-2</v>
      </c>
      <c r="G8" s="14">
        <f>D8 + _h/2</f>
        <v>1.75</v>
      </c>
      <c r="H8" s="14">
        <f>E8 + _h/2 *F8</f>
        <v>15.112396240539928</v>
      </c>
      <c r="I8" s="14">
        <f>H8/(H8+G8) - 0.2*EXP(G8)</f>
        <v>-0.25470175200073242</v>
      </c>
      <c r="J8" s="14">
        <f>G8</f>
        <v>1.75</v>
      </c>
      <c r="K8" s="14">
        <f>E8 + _h/2 *I8</f>
        <v>15.045383296510007</v>
      </c>
      <c r="L8" s="14">
        <f>K8/(K8+J8) - 0.2*EXP(J8)</f>
        <v>-0.25511583513000469</v>
      </c>
      <c r="M8" s="14">
        <f>D8+_h</f>
        <v>2</v>
      </c>
      <c r="N8" s="14">
        <f>E8 + _h *L8</f>
        <v>14.981500816945188</v>
      </c>
      <c r="O8" s="14">
        <f>N8/(N8+M8) - 0.2*EXP(M8)</f>
        <v>-0.59558644010142026</v>
      </c>
      <c r="P8" s="14">
        <f>E8 + (_h/6) * (F8+2*I8+2*L8+O8)</f>
        <v>14.975569435323195</v>
      </c>
    </row>
    <row r="9" spans="1:26" x14ac:dyDescent="0.25">
      <c r="D9" s="14">
        <f>M8</f>
        <v>2</v>
      </c>
      <c r="E9" s="14">
        <f>P8</f>
        <v>14.975569435323195</v>
      </c>
      <c r="F9" s="14">
        <f>E9/(E9+D9) - 0.2*EXP(D9)</f>
        <v>-0.59562759157972367</v>
      </c>
      <c r="G9" s="14">
        <f>D9 + _h/2</f>
        <v>2.25</v>
      </c>
      <c r="H9" s="14">
        <f>E9 + _h/2 *F9</f>
        <v>14.826662537428264</v>
      </c>
      <c r="I9" s="14">
        <f>H9/(H9+G9) - 0.2*EXP(G9)</f>
        <v>-1.0293059342478927</v>
      </c>
      <c r="J9" s="14">
        <f>G9</f>
        <v>2.25</v>
      </c>
      <c r="K9" s="14">
        <f>E9 + _h/2 *I9</f>
        <v>14.718242951761221</v>
      </c>
      <c r="L9" s="14">
        <f>K9/(K9+J9) - 0.2*EXP(J9)</f>
        <v>-1.0301478146337506</v>
      </c>
      <c r="M9" s="14">
        <f>D9+_h</f>
        <v>2.5</v>
      </c>
      <c r="N9" s="14">
        <f>E9 + _h *L9</f>
        <v>14.460495528006319</v>
      </c>
      <c r="O9" s="14">
        <f>N9/(N9+M9) - 0.2*EXP(M9)</f>
        <v>-1.5839001458258997</v>
      </c>
      <c r="P9" s="14">
        <f>E9 + (_h/6) * (F9+2*I9+2*L9+O9)</f>
        <v>14.450699832392452</v>
      </c>
    </row>
    <row r="10" spans="1:26" x14ac:dyDescent="0.25">
      <c r="A10" t="s">
        <v>118</v>
      </c>
      <c r="D10" s="16">
        <f>M9</f>
        <v>2.5</v>
      </c>
      <c r="E10" s="16">
        <f>P9</f>
        <v>14.450699832392452</v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</row>
    <row r="12" spans="1:26" x14ac:dyDescent="0.25">
      <c r="A12" t="s">
        <v>71</v>
      </c>
    </row>
    <row r="14" spans="1:26" x14ac:dyDescent="0.25">
      <c r="A14" t="s">
        <v>106</v>
      </c>
    </row>
    <row r="16" spans="1:26" x14ac:dyDescent="0.25">
      <c r="A16" t="s">
        <v>59</v>
      </c>
    </row>
    <row r="18" spans="1:2" x14ac:dyDescent="0.25">
      <c r="A18" t="s">
        <v>119</v>
      </c>
    </row>
    <row r="19" spans="1:2" x14ac:dyDescent="0.25">
      <c r="A19" t="s">
        <v>61</v>
      </c>
      <c r="B19">
        <f>(2.5-1)/3</f>
        <v>0.5</v>
      </c>
    </row>
  </sheetData>
  <mergeCells count="5">
    <mergeCell ref="U2:X2"/>
    <mergeCell ref="U3:X3"/>
    <mergeCell ref="U4:X4"/>
    <mergeCell ref="U5:X5"/>
    <mergeCell ref="U6:X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F51E-F20E-479F-8E41-C305F4A14CC4}">
  <dimension ref="A1:K21"/>
  <sheetViews>
    <sheetView workbookViewId="0">
      <selection activeCell="G23" sqref="G23"/>
    </sheetView>
  </sheetViews>
  <sheetFormatPr defaultRowHeight="15" x14ac:dyDescent="0.25"/>
  <cols>
    <col min="10" max="10" width="13.140625" customWidth="1"/>
  </cols>
  <sheetData>
    <row r="1" spans="1:11" x14ac:dyDescent="0.25">
      <c r="A1" s="1" t="s">
        <v>121</v>
      </c>
      <c r="B1" s="1"/>
      <c r="C1" s="1"/>
      <c r="D1" s="1"/>
      <c r="E1" s="1"/>
      <c r="F1" s="1"/>
      <c r="G1" s="1"/>
      <c r="H1" s="1"/>
      <c r="I1" s="1"/>
      <c r="J1" s="1"/>
    </row>
    <row r="2" spans="1:11" x14ac:dyDescent="0.25">
      <c r="A2" s="2" t="s">
        <v>122</v>
      </c>
      <c r="B2" s="1"/>
      <c r="C2" s="1"/>
      <c r="D2" s="1"/>
      <c r="E2" s="1"/>
      <c r="F2" s="1"/>
      <c r="G2" s="1"/>
      <c r="H2" s="1"/>
      <c r="I2" s="1"/>
      <c r="J2" s="1"/>
    </row>
    <row r="3" spans="1:11" x14ac:dyDescent="0.25">
      <c r="A3" s="1" t="s">
        <v>123</v>
      </c>
      <c r="B3" s="1"/>
      <c r="C3" s="1"/>
      <c r="D3" s="1"/>
      <c r="E3" s="1"/>
      <c r="F3" s="1"/>
      <c r="G3" s="1"/>
      <c r="H3" s="1"/>
      <c r="I3" s="1"/>
      <c r="J3" s="1"/>
    </row>
    <row r="4" spans="1:11" x14ac:dyDescent="0.25">
      <c r="A4" s="1" t="s">
        <v>124</v>
      </c>
      <c r="B4" s="1"/>
      <c r="C4" s="1"/>
      <c r="D4" s="1"/>
      <c r="E4" s="1"/>
      <c r="F4" s="1"/>
      <c r="G4" s="1"/>
      <c r="H4" s="1"/>
      <c r="I4" s="1"/>
      <c r="J4" s="1"/>
    </row>
    <row r="5" spans="1:11" x14ac:dyDescent="0.25">
      <c r="A5" s="1" t="s">
        <v>125</v>
      </c>
      <c r="B5" s="1"/>
      <c r="C5" s="1"/>
      <c r="D5" s="1"/>
      <c r="E5" s="1"/>
      <c r="F5" s="1"/>
      <c r="G5" s="1"/>
      <c r="H5" s="1"/>
      <c r="I5" s="1"/>
      <c r="J5" s="1"/>
    </row>
    <row r="7" spans="1:11" x14ac:dyDescent="0.25">
      <c r="A7" s="1" t="s">
        <v>126</v>
      </c>
      <c r="E7" t="s">
        <v>62</v>
      </c>
      <c r="H7" s="17" t="s">
        <v>7</v>
      </c>
      <c r="I7" s="17"/>
      <c r="J7" s="17"/>
      <c r="K7" s="17"/>
    </row>
    <row r="9" spans="1:11" x14ac:dyDescent="0.25">
      <c r="A9" s="1" t="s">
        <v>127</v>
      </c>
      <c r="I9" s="3" t="s">
        <v>35</v>
      </c>
      <c r="J9" s="9" t="s">
        <v>6</v>
      </c>
      <c r="K9" s="9"/>
    </row>
    <row r="10" spans="1:11" x14ac:dyDescent="0.25">
      <c r="E10" s="5" t="s">
        <v>24</v>
      </c>
      <c r="F10" s="5" t="s">
        <v>25</v>
      </c>
      <c r="G10" s="5" t="s">
        <v>26</v>
      </c>
      <c r="H10" s="5" t="s">
        <v>34</v>
      </c>
      <c r="I10" s="5" t="s">
        <v>27</v>
      </c>
      <c r="J10" s="5" t="s">
        <v>36</v>
      </c>
      <c r="K10" s="5" t="s">
        <v>27</v>
      </c>
    </row>
    <row r="11" spans="1:11" x14ac:dyDescent="0.25">
      <c r="A11" t="s">
        <v>16</v>
      </c>
      <c r="E11" s="14">
        <v>1</v>
      </c>
      <c r="F11" s="14">
        <v>12</v>
      </c>
      <c r="G11" s="14">
        <f>EXP(-E11) - 2*E11 + 0.5*F11</f>
        <v>4.3678794411714428</v>
      </c>
      <c r="H11" s="14">
        <f>E11+_h</f>
        <v>1.5</v>
      </c>
      <c r="I11" s="14">
        <f>F11 + _h *G11</f>
        <v>14.183939720585721</v>
      </c>
      <c r="J11" s="14">
        <f>EXP(-H11) - 2*H11 + 0.5*I11</f>
        <v>4.3151000204412906</v>
      </c>
      <c r="K11" s="14">
        <f>F11 + (_h/2) * (G11+J11)</f>
        <v>14.170744865403183</v>
      </c>
    </row>
    <row r="12" spans="1:11" x14ac:dyDescent="0.25">
      <c r="E12" s="14">
        <f>H11</f>
        <v>1.5</v>
      </c>
      <c r="F12" s="14">
        <f>K11</f>
        <v>14.170744865403183</v>
      </c>
      <c r="G12" s="14">
        <f>EXP(-E12) - 2*E12 + 0.5*F12</f>
        <v>4.3085025928500214</v>
      </c>
      <c r="H12" s="14">
        <f>E12+_h</f>
        <v>2</v>
      </c>
      <c r="I12" s="14">
        <f>F12 + _h *G12</f>
        <v>16.324996161828192</v>
      </c>
      <c r="J12" s="14">
        <f>EXP(-H12) - 2*H12 + 0.5*I12</f>
        <v>4.2978333641507085</v>
      </c>
      <c r="K12" s="14">
        <f>F12 + (_h/2) * (G12+J12)</f>
        <v>16.322328854653364</v>
      </c>
    </row>
    <row r="13" spans="1:11" x14ac:dyDescent="0.25">
      <c r="A13" t="s">
        <v>128</v>
      </c>
      <c r="E13" s="16">
        <f>H12</f>
        <v>2</v>
      </c>
      <c r="F13" s="16">
        <f>K12</f>
        <v>16.322328854653364</v>
      </c>
      <c r="G13" s="14"/>
      <c r="H13" s="14"/>
      <c r="I13" s="14"/>
      <c r="J13" s="14"/>
      <c r="K13" s="14"/>
    </row>
    <row r="15" spans="1:11" x14ac:dyDescent="0.25">
      <c r="A15" t="s">
        <v>71</v>
      </c>
    </row>
    <row r="17" spans="1:2" x14ac:dyDescent="0.25">
      <c r="A17" t="s">
        <v>129</v>
      </c>
    </row>
    <row r="19" spans="1:2" x14ac:dyDescent="0.25">
      <c r="A19" t="s">
        <v>59</v>
      </c>
    </row>
    <row r="21" spans="1:2" x14ac:dyDescent="0.25">
      <c r="A21" t="s">
        <v>23</v>
      </c>
      <c r="B21">
        <v>0.5</v>
      </c>
    </row>
  </sheetData>
  <mergeCells count="1">
    <mergeCell ref="H7:K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9</vt:i4>
      </vt:variant>
    </vt:vector>
  </HeadingPairs>
  <TitlesOfParts>
    <vt:vector size="18" baseType="lpstr">
      <vt:lpstr>Euler (todos) y Runge Kutta</vt:lpstr>
      <vt:lpstr>Ejercicio 1</vt:lpstr>
      <vt:lpstr>Ejercicio 2</vt:lpstr>
      <vt:lpstr>4-a Ejercicio 1a, 1b, 1c</vt:lpstr>
      <vt:lpstr>4-a Ejercicio 2a, 2b, 2c</vt:lpstr>
      <vt:lpstr>4a - Ejercicio 3</vt:lpstr>
      <vt:lpstr>4a - Ejercicio 4</vt:lpstr>
      <vt:lpstr>4a - Ejercicio 5</vt:lpstr>
      <vt:lpstr>4a - Ejercicio 6</vt:lpstr>
      <vt:lpstr>'4a - Ejercicio 3'!_h</vt:lpstr>
      <vt:lpstr>'4a - Ejercicio 4'!_h</vt:lpstr>
      <vt:lpstr>'4a - Ejercicio 5'!_h</vt:lpstr>
      <vt:lpstr>'4a - Ejercicio 6'!_h</vt:lpstr>
      <vt:lpstr>'4-a Ejercicio 1a, 1b, 1c'!_h</vt:lpstr>
      <vt:lpstr>'4-a Ejercicio 2a, 2b, 2c'!_h</vt:lpstr>
      <vt:lpstr>'Ejercicio 1'!_h</vt:lpstr>
      <vt:lpstr>'Ejercicio 2'!_h</vt:lpstr>
      <vt:lpstr>'4-a Ejercicio 2a, 2b, 2c'!_hEulerMejorado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Gabi</dc:creator>
  <cp:lastModifiedBy>Gabi</cp:lastModifiedBy>
  <dcterms:created xsi:type="dcterms:W3CDTF">2021-06-16T19:21:32Z</dcterms:created>
  <dcterms:modified xsi:type="dcterms:W3CDTF">2021-06-23T23:23:19Z</dcterms:modified>
</cp:coreProperties>
</file>