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no_31\Desktop\msu 2\Parcial\"/>
    </mc:Choice>
  </mc:AlternateContent>
  <xr:revisionPtr revIDLastSave="0" documentId="13_ncr:1_{9883A013-3E9D-4836-A432-4F45B1899FAC}" xr6:coauthVersionLast="47" xr6:coauthVersionMax="47" xr10:uidLastSave="{00000000-0000-0000-0000-000000000000}"/>
  <bookViews>
    <workbookView xWindow="-120" yWindow="-120" windowWidth="20730" windowHeight="11160" activeTab="1" xr2:uid="{2D0A16AD-F9AB-4231-8BE7-5C20F86C8344}"/>
  </bookViews>
  <sheets>
    <sheet name="Minimos Cuadrados" sheetId="2" r:id="rId1"/>
    <sheet name="Ec.Diferencial" sheetId="1" r:id="rId2"/>
    <sheet name="Newton-Raphson" sheetId="3" r:id="rId3"/>
  </sheets>
  <definedNames>
    <definedName name="a">'Minimos Cuadrados'!$C$24</definedName>
    <definedName name="b">'Minimos Cuadrados'!$C$25</definedName>
    <definedName name="d">'Minimos Cuadrados'!$C$26</definedName>
    <definedName name="h">Ec.Diferencial!$E$4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4" i="1" l="1"/>
  <c r="J23" i="1"/>
  <c r="I23" i="1"/>
  <c r="E23" i="1"/>
  <c r="D23" i="1"/>
  <c r="C77" i="1"/>
  <c r="H75" i="1"/>
  <c r="H76" i="1"/>
  <c r="F75" i="1"/>
  <c r="G75" i="1"/>
  <c r="G76" i="1"/>
  <c r="F76" i="1"/>
  <c r="D39" i="1"/>
  <c r="E39" i="1"/>
  <c r="G10" i="1"/>
  <c r="F10" i="1"/>
  <c r="C76" i="1"/>
  <c r="B77" i="1"/>
  <c r="G77" i="1" s="1"/>
  <c r="B78" i="1" s="1"/>
  <c r="G78" i="1" s="1"/>
  <c r="B79" i="1" s="1"/>
  <c r="G79" i="1" s="1"/>
  <c r="B80" i="1" s="1"/>
  <c r="G80" i="1" s="1"/>
  <c r="B81" i="1" s="1"/>
  <c r="G81" i="1" s="1"/>
  <c r="B82" i="1" s="1"/>
  <c r="G82" i="1" s="1"/>
  <c r="B83" i="1" s="1"/>
  <c r="G83" i="1" s="1"/>
  <c r="B84" i="1" s="1"/>
  <c r="G84" i="1" s="1"/>
  <c r="B85" i="1" s="1"/>
  <c r="G85" i="1" s="1"/>
  <c r="B86" i="1" s="1"/>
  <c r="G86" i="1" s="1"/>
  <c r="B87" i="1" s="1"/>
  <c r="G87" i="1" s="1"/>
  <c r="B88" i="1" s="1"/>
  <c r="G88" i="1" s="1"/>
  <c r="B89" i="1" s="1"/>
  <c r="G89" i="1" s="1"/>
  <c r="B90" i="1" s="1"/>
  <c r="G90" i="1" s="1"/>
  <c r="B76" i="1"/>
  <c r="A77" i="1"/>
  <c r="F77" i="1" s="1"/>
  <c r="A78" i="1" s="1"/>
  <c r="F78" i="1" s="1"/>
  <c r="A79" i="1" s="1"/>
  <c r="F79" i="1" s="1"/>
  <c r="A80" i="1" s="1"/>
  <c r="F80" i="1" s="1"/>
  <c r="A81" i="1" s="1"/>
  <c r="F81" i="1" s="1"/>
  <c r="A82" i="1" s="1"/>
  <c r="F82" i="1" s="1"/>
  <c r="A83" i="1" s="1"/>
  <c r="F83" i="1" s="1"/>
  <c r="A84" i="1" s="1"/>
  <c r="F84" i="1" s="1"/>
  <c r="A85" i="1" s="1"/>
  <c r="F85" i="1" s="1"/>
  <c r="A86" i="1" s="1"/>
  <c r="F86" i="1" s="1"/>
  <c r="A87" i="1" s="1"/>
  <c r="F87" i="1" s="1"/>
  <c r="A88" i="1" s="1"/>
  <c r="F88" i="1" s="1"/>
  <c r="A89" i="1" s="1"/>
  <c r="F89" i="1" s="1"/>
  <c r="A90" i="1" s="1"/>
  <c r="F90" i="1" s="1"/>
  <c r="A76" i="1"/>
  <c r="C75" i="1"/>
  <c r="B75" i="1"/>
  <c r="A75" i="1"/>
  <c r="B72" i="1"/>
  <c r="D4" i="1" l="1"/>
  <c r="T105" i="3"/>
  <c r="X49" i="3"/>
  <c r="C11" i="2"/>
  <c r="C15" i="2"/>
  <c r="D15" i="2" s="1"/>
  <c r="C16" i="2"/>
  <c r="C17" i="2"/>
  <c r="C18" i="2"/>
  <c r="C14" i="2"/>
  <c r="D14" i="2" s="1"/>
  <c r="D16" i="2"/>
  <c r="D18" i="2"/>
  <c r="D17" i="2"/>
  <c r="H5" i="2"/>
  <c r="H6" i="2"/>
  <c r="H7" i="2"/>
  <c r="H8" i="2"/>
  <c r="H4" i="2"/>
  <c r="F4" i="2"/>
  <c r="E15" i="2"/>
  <c r="E16" i="2"/>
  <c r="E17" i="2"/>
  <c r="E18" i="2"/>
  <c r="F18" i="2" s="1"/>
  <c r="E14" i="2"/>
  <c r="K5" i="2"/>
  <c r="K6" i="2"/>
  <c r="K7" i="2"/>
  <c r="K8" i="2"/>
  <c r="K4" i="2"/>
  <c r="J5" i="2"/>
  <c r="J6" i="2"/>
  <c r="J7" i="2"/>
  <c r="J8" i="2"/>
  <c r="J4" i="2"/>
  <c r="I5" i="2"/>
  <c r="I6" i="2"/>
  <c r="I7" i="2"/>
  <c r="I8" i="2"/>
  <c r="I4" i="2"/>
  <c r="G5" i="2"/>
  <c r="G6" i="2"/>
  <c r="G7" i="2"/>
  <c r="G8" i="2"/>
  <c r="G4" i="2"/>
  <c r="F5" i="2"/>
  <c r="F6" i="2"/>
  <c r="F7" i="2"/>
  <c r="F8" i="2"/>
  <c r="D5" i="2"/>
  <c r="D6" i="2"/>
  <c r="D7" i="2"/>
  <c r="D8" i="2"/>
  <c r="D4" i="2"/>
  <c r="E10" i="1"/>
  <c r="C6" i="2"/>
  <c r="X24" i="3"/>
  <c r="T83" i="3"/>
  <c r="M60" i="3"/>
  <c r="M86" i="3"/>
  <c r="B79" i="3"/>
  <c r="S45" i="3"/>
  <c r="C40" i="3"/>
  <c r="S19" i="3"/>
  <c r="M30" i="3"/>
  <c r="F15" i="2"/>
  <c r="F16" i="2"/>
  <c r="F17" i="2"/>
  <c r="F14" i="2"/>
  <c r="C5" i="2"/>
  <c r="C7" i="2"/>
  <c r="C8" i="2"/>
  <c r="C4" i="2"/>
  <c r="A11" i="2"/>
  <c r="B11" i="2"/>
  <c r="E5" i="2"/>
  <c r="E6" i="2"/>
  <c r="E7" i="2"/>
  <c r="E8" i="2"/>
  <c r="E4" i="2"/>
  <c r="G15" i="2"/>
  <c r="G16" i="2"/>
  <c r="H16" i="2" s="1"/>
  <c r="G17" i="2"/>
  <c r="H17" i="2" s="1"/>
  <c r="G18" i="2"/>
  <c r="H18" i="2" s="1"/>
  <c r="G14" i="2"/>
  <c r="H14" i="2" s="1"/>
  <c r="B21" i="2"/>
  <c r="A21" i="2"/>
  <c r="H77" i="1" l="1"/>
  <c r="C78" i="1" s="1"/>
  <c r="J11" i="2"/>
  <c r="K11" i="2"/>
  <c r="I11" i="2"/>
  <c r="D11" i="2"/>
  <c r="E11" i="2"/>
  <c r="G11" i="2"/>
  <c r="F21" i="2"/>
  <c r="E21" i="2"/>
  <c r="D21" i="2"/>
  <c r="G21" i="2"/>
  <c r="C21" i="2"/>
  <c r="H15" i="2"/>
  <c r="H21" i="2" s="1"/>
  <c r="H78" i="1" l="1"/>
  <c r="C79" i="1" s="1"/>
  <c r="F11" i="2"/>
  <c r="E4" i="1"/>
  <c r="H11" i="2"/>
  <c r="H79" i="1" l="1"/>
  <c r="C80" i="1" s="1"/>
  <c r="H10" i="1"/>
  <c r="H23" i="1"/>
  <c r="G23" i="1"/>
  <c r="F23" i="1"/>
  <c r="A24" i="1" s="1"/>
  <c r="A11" i="1"/>
  <c r="I10" i="1"/>
  <c r="J10" i="1"/>
  <c r="C11" i="1" s="1"/>
  <c r="K10" i="1"/>
  <c r="D11" i="1" s="1"/>
  <c r="P39" i="1"/>
  <c r="A40" i="1" s="1"/>
  <c r="K39" i="1"/>
  <c r="H39" i="1"/>
  <c r="G39" i="1"/>
  <c r="F39" i="1"/>
  <c r="L23" i="1" l="1"/>
  <c r="H80" i="1"/>
  <c r="C81" i="1" s="1"/>
  <c r="J39" i="1"/>
  <c r="I39" i="1"/>
  <c r="K23" i="1"/>
  <c r="F11" i="1"/>
  <c r="J11" i="1" s="1"/>
  <c r="C12" i="1" s="1"/>
  <c r="H11" i="1"/>
  <c r="A12" i="1" s="1"/>
  <c r="E11" i="1"/>
  <c r="B11" i="1"/>
  <c r="G11" i="1" s="1"/>
  <c r="P40" i="1"/>
  <c r="A41" i="1" s="1"/>
  <c r="K40" i="1"/>
  <c r="F40" i="1"/>
  <c r="F24" i="1"/>
  <c r="A25" i="1" s="1"/>
  <c r="F25" i="1" s="1"/>
  <c r="H81" i="1" l="1"/>
  <c r="C82" i="1" s="1"/>
  <c r="A26" i="1"/>
  <c r="F26" i="1" s="1"/>
  <c r="M39" i="1"/>
  <c r="L39" i="1"/>
  <c r="K11" i="1"/>
  <c r="D12" i="1" s="1"/>
  <c r="H12" i="1"/>
  <c r="A13" i="1" s="1"/>
  <c r="H13" i="1" s="1"/>
  <c r="E12" i="1"/>
  <c r="C24" i="1"/>
  <c r="B24" i="1"/>
  <c r="F41" i="1"/>
  <c r="P41" i="1"/>
  <c r="A42" i="1" s="1"/>
  <c r="I11" i="1"/>
  <c r="B12" i="1" s="1"/>
  <c r="G12" i="1" s="1"/>
  <c r="E24" i="1" l="1"/>
  <c r="D24" i="1"/>
  <c r="G24" i="1" s="1"/>
  <c r="I24" i="1" s="1"/>
  <c r="H82" i="1"/>
  <c r="C83" i="1" s="1"/>
  <c r="N39" i="1"/>
  <c r="Q39" i="1" s="1"/>
  <c r="O39" i="1"/>
  <c r="R39" i="1" s="1"/>
  <c r="H24" i="1"/>
  <c r="A27" i="1"/>
  <c r="F27" i="1" s="1"/>
  <c r="F12" i="1"/>
  <c r="J12" i="1" s="1"/>
  <c r="C13" i="1" s="1"/>
  <c r="K12" i="1"/>
  <c r="D13" i="1" s="1"/>
  <c r="K41" i="1"/>
  <c r="I12" i="1"/>
  <c r="B13" i="1" s="1"/>
  <c r="F42" i="1"/>
  <c r="P42" i="1"/>
  <c r="A43" i="1" s="1"/>
  <c r="A14" i="1"/>
  <c r="H14" i="1" s="1"/>
  <c r="K24" i="1" l="1"/>
  <c r="B25" i="1" s="1"/>
  <c r="H83" i="1"/>
  <c r="C84" i="1" s="1"/>
  <c r="L24" i="1"/>
  <c r="C25" i="1" s="1"/>
  <c r="G13" i="1"/>
  <c r="K13" i="1" s="1"/>
  <c r="D14" i="1" s="1"/>
  <c r="T39" i="1"/>
  <c r="V39" i="1" s="1"/>
  <c r="C40" i="1" s="1"/>
  <c r="S39" i="1"/>
  <c r="U39" i="1" s="1"/>
  <c r="B40" i="1" s="1"/>
  <c r="A28" i="1"/>
  <c r="F28" i="1" s="1"/>
  <c r="E13" i="1"/>
  <c r="F13" i="1"/>
  <c r="J13" i="1" s="1"/>
  <c r="C14" i="1" s="1"/>
  <c r="E14" i="1" s="1"/>
  <c r="K42" i="1"/>
  <c r="F43" i="1"/>
  <c r="A15" i="1"/>
  <c r="H15" i="1" s="1"/>
  <c r="D25" i="1" l="1"/>
  <c r="E25" i="1"/>
  <c r="H25" i="1" s="1"/>
  <c r="H84" i="1"/>
  <c r="C85" i="1" s="1"/>
  <c r="E40" i="1"/>
  <c r="H40" i="1" s="1"/>
  <c r="D40" i="1"/>
  <c r="G40" i="1" s="1"/>
  <c r="A29" i="1"/>
  <c r="F29" i="1" s="1"/>
  <c r="F14" i="1"/>
  <c r="J14" i="1" s="1"/>
  <c r="C15" i="1" s="1"/>
  <c r="P43" i="1"/>
  <c r="A44" i="1" s="1"/>
  <c r="K43" i="1"/>
  <c r="I13" i="1"/>
  <c r="B14" i="1" s="1"/>
  <c r="G14" i="1" s="1"/>
  <c r="A16" i="1"/>
  <c r="H16" i="1" s="1"/>
  <c r="A17" i="1" s="1"/>
  <c r="H85" i="1" l="1"/>
  <c r="C86" i="1" s="1"/>
  <c r="J40" i="1"/>
  <c r="M40" i="1" s="1"/>
  <c r="I40" i="1"/>
  <c r="L40" i="1" s="1"/>
  <c r="G25" i="1"/>
  <c r="A30" i="1"/>
  <c r="F30" i="1" s="1"/>
  <c r="E15" i="1"/>
  <c r="P44" i="1"/>
  <c r="K44" i="1"/>
  <c r="F44" i="1"/>
  <c r="K14" i="1"/>
  <c r="D15" i="1" s="1"/>
  <c r="H17" i="1"/>
  <c r="A18" i="1" s="1"/>
  <c r="H18" i="1" s="1"/>
  <c r="A19" i="1" s="1"/>
  <c r="H19" i="1" s="1"/>
  <c r="I14" i="1"/>
  <c r="B15" i="1" s="1"/>
  <c r="G15" i="1" s="1"/>
  <c r="I25" i="1" l="1"/>
  <c r="J25" i="1"/>
  <c r="H86" i="1"/>
  <c r="C87" i="1" s="1"/>
  <c r="L25" i="1"/>
  <c r="C26" i="1" s="1"/>
  <c r="O40" i="1"/>
  <c r="N40" i="1"/>
  <c r="Q40" i="1" s="1"/>
  <c r="K25" i="1"/>
  <c r="B26" i="1" s="1"/>
  <c r="A31" i="1"/>
  <c r="F31" i="1" s="1"/>
  <c r="A32" i="1" s="1"/>
  <c r="F32" i="1" s="1"/>
  <c r="A33" i="1" s="1"/>
  <c r="F33" i="1" s="1"/>
  <c r="F15" i="1"/>
  <c r="J15" i="1" s="1"/>
  <c r="C16" i="1" s="1"/>
  <c r="K15" i="1"/>
  <c r="D16" i="1" s="1"/>
  <c r="I15" i="1"/>
  <c r="E26" i="1" l="1"/>
  <c r="H26" i="1" s="1"/>
  <c r="D26" i="1"/>
  <c r="G26" i="1" s="1"/>
  <c r="J26" i="1" s="1"/>
  <c r="H87" i="1"/>
  <c r="C88" i="1" s="1"/>
  <c r="E16" i="1"/>
  <c r="F16" i="1"/>
  <c r="J16" i="1" s="1"/>
  <c r="C17" i="1" s="1"/>
  <c r="R40" i="1"/>
  <c r="S40" i="1" s="1"/>
  <c r="U40" i="1" s="1"/>
  <c r="B16" i="1"/>
  <c r="G16" i="1" s="1"/>
  <c r="I26" i="1" l="1"/>
  <c r="K26" i="1" s="1"/>
  <c r="B27" i="1" s="1"/>
  <c r="H88" i="1"/>
  <c r="C89" i="1" s="1"/>
  <c r="L26" i="1"/>
  <c r="C27" i="1" s="1"/>
  <c r="T40" i="1"/>
  <c r="V40" i="1" s="1"/>
  <c r="C41" i="1" s="1"/>
  <c r="E17" i="1"/>
  <c r="B41" i="1"/>
  <c r="K16" i="1"/>
  <c r="D17" i="1" s="1"/>
  <c r="I16" i="1"/>
  <c r="B17" i="1" s="1"/>
  <c r="G17" i="1" s="1"/>
  <c r="E27" i="1" l="1"/>
  <c r="H27" i="1" s="1"/>
  <c r="D27" i="1"/>
  <c r="G27" i="1" s="1"/>
  <c r="J27" i="1" s="1"/>
  <c r="H89" i="1"/>
  <c r="C90" i="1" s="1"/>
  <c r="H90" i="1" s="1"/>
  <c r="D41" i="1"/>
  <c r="G41" i="1" s="1"/>
  <c r="E41" i="1"/>
  <c r="H41" i="1" s="1"/>
  <c r="F17" i="1"/>
  <c r="J17" i="1" s="1"/>
  <c r="C18" i="1" s="1"/>
  <c r="E18" i="1" s="1"/>
  <c r="K17" i="1"/>
  <c r="D18" i="1" s="1"/>
  <c r="I17" i="1"/>
  <c r="B18" i="1" s="1"/>
  <c r="I27" i="1" l="1"/>
  <c r="L27" i="1"/>
  <c r="C28" i="1" s="1"/>
  <c r="G18" i="1"/>
  <c r="K18" i="1" s="1"/>
  <c r="D19" i="1" s="1"/>
  <c r="J41" i="1"/>
  <c r="M41" i="1" s="1"/>
  <c r="I41" i="1"/>
  <c r="L41" i="1" s="1"/>
  <c r="F18" i="1"/>
  <c r="J18" i="1" s="1"/>
  <c r="C19" i="1" s="1"/>
  <c r="E19" i="1" s="1"/>
  <c r="I18" i="1"/>
  <c r="B19" i="1" s="1"/>
  <c r="N41" i="1" l="1"/>
  <c r="Q41" i="1" s="1"/>
  <c r="O41" i="1"/>
  <c r="G19" i="1"/>
  <c r="K19" i="1" s="1"/>
  <c r="K27" i="1"/>
  <c r="B28" i="1" s="1"/>
  <c r="F19" i="1"/>
  <c r="J19" i="1" s="1"/>
  <c r="I19" i="1"/>
  <c r="D28" i="1" l="1"/>
  <c r="G28" i="1" s="1"/>
  <c r="E28" i="1"/>
  <c r="R41" i="1"/>
  <c r="T41" i="1" s="1"/>
  <c r="V41" i="1" s="1"/>
  <c r="J28" i="1" l="1"/>
  <c r="S41" i="1"/>
  <c r="U41" i="1" s="1"/>
  <c r="B42" i="1" s="1"/>
  <c r="C42" i="1"/>
  <c r="H28" i="1"/>
  <c r="I28" i="1" l="1"/>
  <c r="K28" i="1" s="1"/>
  <c r="B29" i="1" s="1"/>
  <c r="D42" i="1"/>
  <c r="G42" i="1" s="1"/>
  <c r="E42" i="1"/>
  <c r="L28" i="1"/>
  <c r="C29" i="1" s="1"/>
  <c r="D29" i="1" l="1"/>
  <c r="E29" i="1"/>
  <c r="G29" i="1"/>
  <c r="H29" i="1"/>
  <c r="H42" i="1"/>
  <c r="I42" i="1" s="1"/>
  <c r="J29" i="1" l="1"/>
  <c r="I29" i="1"/>
  <c r="K29" i="1" s="1"/>
  <c r="B30" i="1" s="1"/>
  <c r="J42" i="1"/>
  <c r="M42" i="1" s="1"/>
  <c r="L42" i="1"/>
  <c r="N42" i="1" l="1"/>
  <c r="Q42" i="1" s="1"/>
  <c r="O42" i="1"/>
  <c r="R42" i="1" s="1"/>
  <c r="L29" i="1"/>
  <c r="C30" i="1" s="1"/>
  <c r="E30" i="1" s="1"/>
  <c r="D30" i="1" l="1"/>
  <c r="G30" i="1" s="1"/>
  <c r="T42" i="1"/>
  <c r="V42" i="1" s="1"/>
  <c r="C43" i="1" s="1"/>
  <c r="S42" i="1"/>
  <c r="U42" i="1" s="1"/>
  <c r="B43" i="1" s="1"/>
  <c r="H30" i="1"/>
  <c r="J30" i="1" l="1"/>
  <c r="I30" i="1"/>
  <c r="K30" i="1"/>
  <c r="B31" i="1" s="1"/>
  <c r="L30" i="1"/>
  <c r="D43" i="1"/>
  <c r="G43" i="1" s="1"/>
  <c r="E43" i="1"/>
  <c r="H43" i="1" s="1"/>
  <c r="I43" i="1" l="1"/>
  <c r="L43" i="1" s="1"/>
  <c r="J43" i="1"/>
  <c r="M43" i="1" s="1"/>
  <c r="C31" i="1"/>
  <c r="E31" i="1" s="1"/>
  <c r="D31" i="1" l="1"/>
  <c r="G31" i="1" s="1"/>
  <c r="O43" i="1"/>
  <c r="R43" i="1" s="1"/>
  <c r="N43" i="1"/>
  <c r="Q43" i="1" s="1"/>
  <c r="H31" i="1"/>
  <c r="J31" i="1" l="1"/>
  <c r="I31" i="1"/>
  <c r="L31" i="1"/>
  <c r="C32" i="1" s="1"/>
  <c r="S43" i="1"/>
  <c r="T43" i="1"/>
  <c r="V43" i="1" s="1"/>
  <c r="K31" i="1"/>
  <c r="B32" i="1" s="1"/>
  <c r="E32" i="1" l="1"/>
  <c r="D32" i="1"/>
  <c r="H32" i="1"/>
  <c r="U43" i="1"/>
  <c r="B44" i="1" s="1"/>
  <c r="C44" i="1"/>
  <c r="D44" i="1" l="1"/>
  <c r="G44" i="1" s="1"/>
  <c r="E44" i="1"/>
  <c r="H44" i="1" s="1"/>
  <c r="G32" i="1"/>
  <c r="I32" i="1" l="1"/>
  <c r="J32" i="1"/>
  <c r="L32" i="1"/>
  <c r="C33" i="1" s="1"/>
  <c r="K32" i="1"/>
  <c r="B33" i="1" s="1"/>
  <c r="I44" i="1"/>
  <c r="L44" i="1" s="1"/>
  <c r="J44" i="1"/>
  <c r="M44" i="1" s="1"/>
  <c r="D33" i="1" l="1"/>
  <c r="E33" i="1"/>
  <c r="H33" i="1" s="1"/>
  <c r="N44" i="1"/>
  <c r="O44" i="1"/>
  <c r="G33" i="1"/>
  <c r="J33" i="1" l="1"/>
  <c r="I33" i="1"/>
  <c r="L33" i="1"/>
  <c r="R44" i="1"/>
  <c r="Q44" i="1"/>
  <c r="K33" i="1"/>
  <c r="S44" i="1" l="1"/>
  <c r="T44" i="1"/>
  <c r="V44" i="1" s="1"/>
  <c r="U44" i="1" l="1"/>
</calcChain>
</file>

<file path=xl/sharedStrings.xml><?xml version="1.0" encoding="utf-8"?>
<sst xmlns="http://schemas.openxmlformats.org/spreadsheetml/2006/main" count="183" uniqueCount="150">
  <si>
    <t>Euler</t>
  </si>
  <si>
    <t>xm</t>
  </si>
  <si>
    <t>ym</t>
  </si>
  <si>
    <t>xm+1</t>
  </si>
  <si>
    <t>ym+1</t>
  </si>
  <si>
    <t>Euler mejorado</t>
  </si>
  <si>
    <t>k1</t>
  </si>
  <si>
    <t>xm+h/2</t>
  </si>
  <si>
    <t>k2</t>
  </si>
  <si>
    <t>ym+h/2*k2</t>
  </si>
  <si>
    <t>k3</t>
  </si>
  <si>
    <t>ym+h*k3</t>
  </si>
  <si>
    <t>k4</t>
  </si>
  <si>
    <t>ym+h/2*k1</t>
  </si>
  <si>
    <t>zm</t>
  </si>
  <si>
    <t>l1</t>
  </si>
  <si>
    <t>zm+h/2*l1</t>
  </si>
  <si>
    <t>l2</t>
  </si>
  <si>
    <t>zm+h/2*l2</t>
  </si>
  <si>
    <t>l3</t>
  </si>
  <si>
    <t>l4</t>
  </si>
  <si>
    <t>zm+1</t>
  </si>
  <si>
    <t>zm+h*l3</t>
  </si>
  <si>
    <t>Runge Kutta sup</t>
  </si>
  <si>
    <t>g(xm,ym,zm)</t>
  </si>
  <si>
    <t>y(xm,ym,zm)</t>
  </si>
  <si>
    <t>ym+h*f()</t>
  </si>
  <si>
    <t>zm+h*g()</t>
  </si>
  <si>
    <t>1*</t>
  </si>
  <si>
    <t>2*</t>
  </si>
  <si>
    <t>3*</t>
  </si>
  <si>
    <t>f(1*,2*,3*)</t>
  </si>
  <si>
    <t>g(1*,2*,3*)</t>
  </si>
  <si>
    <t>xm+h</t>
  </si>
  <si>
    <t>x</t>
  </si>
  <si>
    <t>y</t>
  </si>
  <si>
    <t>x2</t>
  </si>
  <si>
    <t>xm + h</t>
  </si>
  <si>
    <t>xf - xi ---------&gt;</t>
  </si>
  <si>
    <t>cant pasos ---&gt;</t>
  </si>
  <si>
    <t>xf -------&gt;</t>
  </si>
  <si>
    <t>xi -------------&gt;</t>
  </si>
  <si>
    <t>&lt;--------h</t>
  </si>
  <si>
    <t>f1(x)</t>
  </si>
  <si>
    <t>s1</t>
  </si>
  <si>
    <t>f2(x)</t>
  </si>
  <si>
    <t>s2</t>
  </si>
  <si>
    <t>f3(x)</t>
  </si>
  <si>
    <t>s3</t>
  </si>
  <si>
    <t>c1</t>
  </si>
  <si>
    <t>c2</t>
  </si>
  <si>
    <t>c3</t>
  </si>
  <si>
    <t>c4</t>
  </si>
  <si>
    <t>incognitas</t>
  </si>
  <si>
    <t>y'=z</t>
  </si>
  <si>
    <t>y''=w</t>
  </si>
  <si>
    <t>y'''= (6x - 5z)/y^2</t>
  </si>
  <si>
    <t xml:space="preserve">wm </t>
  </si>
  <si>
    <t>f(xm,ym,zm, wm)</t>
  </si>
  <si>
    <t>g(xm,ym,zm, wm)</t>
  </si>
  <si>
    <t>h(xm, ym, zm, wm)</t>
  </si>
  <si>
    <t>wm+1</t>
  </si>
  <si>
    <t>wm+h*h()</t>
  </si>
  <si>
    <t>x4</t>
  </si>
  <si>
    <t>x2 * y</t>
  </si>
  <si>
    <t>Hacer gx-fx = 0</t>
  </si>
  <si>
    <t>Hacer g(x) - 8 = 0</t>
  </si>
  <si>
    <t>Encontrar la raiz en geogebra</t>
  </si>
  <si>
    <t>Valuar esa raiz en f(x)</t>
  </si>
  <si>
    <t>RAIZ = 8,0638188098105</t>
  </si>
  <si>
    <t>buscar la segunda raiz</t>
  </si>
  <si>
    <t>Raiz es = 8,4476500521934</t>
  </si>
  <si>
    <t>Hacer g(x) - 7 = 0</t>
  </si>
  <si>
    <t>Encontrar la raiz lejos de 0</t>
  </si>
  <si>
    <t>valuar esa raiz en f(x)</t>
  </si>
  <si>
    <t>Raiz = 6,9250654047507</t>
  </si>
  <si>
    <t>Hacer l(x) - c(x) = 108</t>
  </si>
  <si>
    <t>Las unidades son miles por eso 108</t>
  </si>
  <si>
    <t>Buscar la raiz por encima de 35</t>
  </si>
  <si>
    <t>la raiz es 58,013</t>
  </si>
  <si>
    <t>hacer f(50) osea f(50) = 120 * 50</t>
  </si>
  <si>
    <t>es 6000</t>
  </si>
  <si>
    <t>Ln(x) + 10x - 500 *e^-x -400 = 6000</t>
  </si>
  <si>
    <t>poner ecuacion en geogebra</t>
  </si>
  <si>
    <t>y encontrar la raiz</t>
  </si>
  <si>
    <t>Raiz = 639,3539538596826</t>
  </si>
  <si>
    <t>f(x) = 15 y sacar la raiz</t>
  </si>
  <si>
    <t>Raiz = 3,2913188205167</t>
  </si>
  <si>
    <t>Valuar la raiz en g(x)</t>
  </si>
  <si>
    <t>g(3,2913188205167)</t>
  </si>
  <si>
    <t>hacer g(x) - f(x) = 0</t>
  </si>
  <si>
    <t>buscar la segunda raiz en geogebra</t>
  </si>
  <si>
    <t>Raiz = 9.84454667</t>
  </si>
  <si>
    <t>poner la funcion en geogebra</t>
  </si>
  <si>
    <t>encontrar el maximo a partir de 700</t>
  </si>
  <si>
    <t>maximo = 2,08292588</t>
  </si>
  <si>
    <t>es 2083 pero bueno esta ahí</t>
  </si>
  <si>
    <t>valuar 30 en f(x)</t>
  </si>
  <si>
    <t>osea f(30) = 120 * 30</t>
  </si>
  <si>
    <t>es 3600</t>
  </si>
  <si>
    <t>ln(2x)+8x-300*e^(-0,0005x) -3500</t>
  </si>
  <si>
    <t>3500 por los 100 de ingreso fijo</t>
  </si>
  <si>
    <t>buscar la raiz en geogebra</t>
  </si>
  <si>
    <t>raiz = 466,3458630473066 y multiplicar por 1 millon</t>
  </si>
  <si>
    <t>Hacer l(x) - c(x) - 4 = 0</t>
  </si>
  <si>
    <t>4 porque esta en millones</t>
  </si>
  <si>
    <t>buscar raiz en geogebra</t>
  </si>
  <si>
    <t>Raiz = 29,088</t>
  </si>
  <si>
    <t>hacer f(x) - 14</t>
  </si>
  <si>
    <t xml:space="preserve">encontrar la raiz </t>
  </si>
  <si>
    <t>raiz = 3,8971641090804</t>
  </si>
  <si>
    <t>valuar esa raiz en g(x)</t>
  </si>
  <si>
    <t>hacer g(x) = 1000</t>
  </si>
  <si>
    <t>sacar la raiz en geogebra</t>
  </si>
  <si>
    <t>hacer f(x) = raiz</t>
  </si>
  <si>
    <t>raiz = 49,0218852031163</t>
  </si>
  <si>
    <t>raiz = 200</t>
  </si>
  <si>
    <t>esta en miles asi que hacer 1 millon / 1000</t>
  </si>
  <si>
    <t>ln(x)</t>
  </si>
  <si>
    <t>x3</t>
  </si>
  <si>
    <t>x2 * ln(x)</t>
  </si>
  <si>
    <t>x * ln(x)</t>
  </si>
  <si>
    <t>ln(x) ^ 2</t>
  </si>
  <si>
    <t>x * y</t>
  </si>
  <si>
    <t>ln(x) * y</t>
  </si>
  <si>
    <t>y' = (-0,8y -xz + 20)/2</t>
  </si>
  <si>
    <t>z' = (1/10 zy - 4/3 x^2) * 3</t>
  </si>
  <si>
    <t>Para los ejercicios</t>
  </si>
  <si>
    <t>que estan en la captura</t>
  </si>
  <si>
    <t>solo cambiar la h</t>
  </si>
  <si>
    <t>y' = -0,053 y + 0,089 xy</t>
  </si>
  <si>
    <t>z'= 1,027 z - 25,095 z/y</t>
  </si>
  <si>
    <t>Buscar la raiz por debajo de 50</t>
  </si>
  <si>
    <t>la raiz es 31,9136839</t>
  </si>
  <si>
    <t>como te pide en miles la multiplicas por 1000</t>
  </si>
  <si>
    <t>hacer g(x) = 1500</t>
  </si>
  <si>
    <t>sacar la raiz</t>
  </si>
  <si>
    <t>raiz = 214,2857142857143</t>
  </si>
  <si>
    <t>raiz = 59,372991</t>
  </si>
  <si>
    <t>Poner la funcion en el geogebra</t>
  </si>
  <si>
    <t>buscar el maximo y multiplicarlo por 1000</t>
  </si>
  <si>
    <t>maximo = 3,94316590</t>
  </si>
  <si>
    <t>xi</t>
  </si>
  <si>
    <t>xf</t>
  </si>
  <si>
    <t>yi</t>
  </si>
  <si>
    <t>zi</t>
  </si>
  <si>
    <t>h</t>
  </si>
  <si>
    <t>pasos</t>
  </si>
  <si>
    <t>2 ecuacione</t>
  </si>
  <si>
    <t>f(xm,ym,zm)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</si>
</sst>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Fill="1"/>
    <xf numFmtId="0" fontId="0" fillId="0" borderId="1" xfId="0" applyBorder="1" applyAlignment="1">
      <alignment horizontal="right"/>
    </xf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2" borderId="11" xfId="0" applyFill="1" applyBorder="1"/>
    <xf numFmtId="0" fontId="0" fillId="0" borderId="11" xfId="0" applyBorder="1"/>
    <xf numFmtId="0" fontId="0" fillId="3" borderId="0" xfId="0" applyFill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13" Type="http://schemas.openxmlformats.org/officeDocument/2006/relationships/image" Target="../media/image20.png"/><Relationship Id="rId18" Type="http://schemas.openxmlformats.org/officeDocument/2006/relationships/image" Target="../media/image25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12" Type="http://schemas.openxmlformats.org/officeDocument/2006/relationships/image" Target="../media/image19.png"/><Relationship Id="rId17" Type="http://schemas.openxmlformats.org/officeDocument/2006/relationships/image" Target="../media/image24.png"/><Relationship Id="rId2" Type="http://schemas.openxmlformats.org/officeDocument/2006/relationships/image" Target="../media/image9.png"/><Relationship Id="rId16" Type="http://schemas.openxmlformats.org/officeDocument/2006/relationships/image" Target="../media/image23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11" Type="http://schemas.openxmlformats.org/officeDocument/2006/relationships/image" Target="../media/image18.png"/><Relationship Id="rId5" Type="http://schemas.openxmlformats.org/officeDocument/2006/relationships/image" Target="../media/image12.png"/><Relationship Id="rId15" Type="http://schemas.openxmlformats.org/officeDocument/2006/relationships/image" Target="../media/image22.png"/><Relationship Id="rId10" Type="http://schemas.openxmlformats.org/officeDocument/2006/relationships/image" Target="../media/image17.png"/><Relationship Id="rId4" Type="http://schemas.openxmlformats.org/officeDocument/2006/relationships/image" Target="../media/image11.png"/><Relationship Id="rId9" Type="http://schemas.openxmlformats.org/officeDocument/2006/relationships/image" Target="../media/image16.png"/><Relationship Id="rId14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542925</xdr:colOff>
      <xdr:row>18</xdr:row>
      <xdr:rowOff>76200</xdr:rowOff>
    </xdr:from>
    <xdr:to>
      <xdr:col>22</xdr:col>
      <xdr:colOff>29992</xdr:colOff>
      <xdr:row>38</xdr:row>
      <xdr:rowOff>124363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880E7E-4132-472E-B852-70B1DE76D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925" y="3505200"/>
          <a:ext cx="10155067" cy="38581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</xdr:colOff>
      <xdr:row>46</xdr:row>
      <xdr:rowOff>47625</xdr:rowOff>
    </xdr:from>
    <xdr:to>
      <xdr:col>18</xdr:col>
      <xdr:colOff>162727</xdr:colOff>
      <xdr:row>52</xdr:row>
      <xdr:rowOff>143048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AD0DCC7-F308-4FFE-BCCE-B359C0E13D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8810625"/>
          <a:ext cx="5744377" cy="1238423"/>
        </a:xfrm>
        <a:prstGeom prst="rect">
          <a:avLst/>
        </a:prstGeom>
      </xdr:spPr>
    </xdr:pic>
    <xdr:clientData/>
  </xdr:twoCellAnchor>
  <xdr:twoCellAnchor editAs="oneCell">
    <xdr:from>
      <xdr:col>12</xdr:col>
      <xdr:colOff>57150</xdr:colOff>
      <xdr:row>18</xdr:row>
      <xdr:rowOff>47625</xdr:rowOff>
    </xdr:from>
    <xdr:to>
      <xdr:col>23</xdr:col>
      <xdr:colOff>410623</xdr:colOff>
      <xdr:row>24</xdr:row>
      <xdr:rowOff>19206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E866CE0-DC5D-4DDD-92BD-CB8C61337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8825" y="3476625"/>
          <a:ext cx="7506748" cy="1114581"/>
        </a:xfrm>
        <a:prstGeom prst="rect">
          <a:avLst/>
        </a:prstGeom>
      </xdr:spPr>
    </xdr:pic>
    <xdr:clientData/>
  </xdr:twoCellAnchor>
  <xdr:twoCellAnchor editAs="oneCell">
    <xdr:from>
      <xdr:col>11</xdr:col>
      <xdr:colOff>216354</xdr:colOff>
      <xdr:row>11</xdr:row>
      <xdr:rowOff>125186</xdr:rowOff>
    </xdr:from>
    <xdr:to>
      <xdr:col>15</xdr:col>
      <xdr:colOff>429077</xdr:colOff>
      <xdr:row>14</xdr:row>
      <xdr:rowOff>49055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A593591-DF1B-4D93-AF2A-AE02534E3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74604" y="2220686"/>
          <a:ext cx="3247116" cy="495369"/>
        </a:xfrm>
        <a:prstGeom prst="rect">
          <a:avLst/>
        </a:prstGeom>
      </xdr:spPr>
    </xdr:pic>
    <xdr:clientData/>
  </xdr:twoCellAnchor>
  <xdr:twoCellAnchor editAs="oneCell">
    <xdr:from>
      <xdr:col>11</xdr:col>
      <xdr:colOff>219075</xdr:colOff>
      <xdr:row>0</xdr:row>
      <xdr:rowOff>66675</xdr:rowOff>
    </xdr:from>
    <xdr:to>
      <xdr:col>17</xdr:col>
      <xdr:colOff>57719</xdr:colOff>
      <xdr:row>11</xdr:row>
      <xdr:rowOff>133652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7924DED-993F-4963-91BC-BB63327D3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34450" y="66675"/>
          <a:ext cx="4077269" cy="21624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161925</xdr:rowOff>
    </xdr:from>
    <xdr:to>
      <xdr:col>7</xdr:col>
      <xdr:colOff>409575</xdr:colOff>
      <xdr:row>61</xdr:row>
      <xdr:rowOff>133350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8F1601B-FA74-4051-A2CB-36ABBC0B2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734425"/>
          <a:ext cx="7600950" cy="3019425"/>
        </a:xfrm>
        <a:prstGeom prst="rect">
          <a:avLst/>
        </a:prstGeom>
      </xdr:spPr>
    </xdr:pic>
    <xdr:clientData/>
  </xdr:twoCellAnchor>
  <xdr:twoCellAnchor editAs="oneCell">
    <xdr:from>
      <xdr:col>12</xdr:col>
      <xdr:colOff>70759</xdr:colOff>
      <xdr:row>23</xdr:row>
      <xdr:rowOff>13878</xdr:rowOff>
    </xdr:from>
    <xdr:to>
      <xdr:col>18</xdr:col>
      <xdr:colOff>28575</xdr:colOff>
      <xdr:row>35</xdr:row>
      <xdr:rowOff>187778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5015B71C-9ABC-4043-8703-DCB109BDA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662434" y="4395378"/>
          <a:ext cx="4063091" cy="2459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259895</xdr:colOff>
      <xdr:row>0</xdr:row>
      <xdr:rowOff>68035</xdr:rowOff>
    </xdr:from>
    <xdr:to>
      <xdr:col>15</xdr:col>
      <xdr:colOff>244382</xdr:colOff>
      <xdr:row>23</xdr:row>
      <xdr:rowOff>106752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4F1EF5C-3F29-42C3-A9D7-5524BD3C08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2859" y="68035"/>
          <a:ext cx="5849166" cy="4420217"/>
        </a:xfrm>
        <a:prstGeom prst="rect">
          <a:avLst/>
        </a:prstGeom>
      </xdr:spPr>
    </xdr:pic>
    <xdr:clientData/>
  </xdr:twoCellAnchor>
  <xdr:twoCellAnchor editAs="oneCell">
    <xdr:from>
      <xdr:col>15</xdr:col>
      <xdr:colOff>377435</xdr:colOff>
      <xdr:row>0</xdr:row>
      <xdr:rowOff>66580</xdr:rowOff>
    </xdr:from>
    <xdr:to>
      <xdr:col>19</xdr:col>
      <xdr:colOff>1537975</xdr:colOff>
      <xdr:row>13</xdr:row>
      <xdr:rowOff>95505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22D3A23-5A6D-463A-9BC1-AFDBC8D45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28071" y="66580"/>
          <a:ext cx="5239481" cy="2505425"/>
        </a:xfrm>
        <a:prstGeom prst="rect">
          <a:avLst/>
        </a:prstGeom>
      </xdr:spPr>
    </xdr:pic>
    <xdr:clientData/>
  </xdr:twoCellAnchor>
  <xdr:twoCellAnchor editAs="oneCell">
    <xdr:from>
      <xdr:col>16</xdr:col>
      <xdr:colOff>169780</xdr:colOff>
      <xdr:row>19</xdr:row>
      <xdr:rowOff>7423</xdr:rowOff>
    </xdr:from>
    <xdr:to>
      <xdr:col>20</xdr:col>
      <xdr:colOff>262220</xdr:colOff>
      <xdr:row>39</xdr:row>
      <xdr:rowOff>112744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6423E68-2144-4439-804D-B2A172A81D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71593" y="3626923"/>
          <a:ext cx="5661162" cy="3915321"/>
        </a:xfrm>
        <a:prstGeom prst="rect">
          <a:avLst/>
        </a:prstGeom>
      </xdr:spPr>
    </xdr:pic>
    <xdr:clientData/>
  </xdr:twoCellAnchor>
  <xdr:twoCellAnchor editAs="oneCell">
    <xdr:from>
      <xdr:col>8</xdr:col>
      <xdr:colOff>513072</xdr:colOff>
      <xdr:row>30</xdr:row>
      <xdr:rowOff>148878</xdr:rowOff>
    </xdr:from>
    <xdr:to>
      <xdr:col>15</xdr:col>
      <xdr:colOff>564350</xdr:colOff>
      <xdr:row>53</xdr:row>
      <xdr:rowOff>16121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32F210C-A65A-499A-81C8-A4839642E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84837" y="5863878"/>
          <a:ext cx="6669953" cy="4248743"/>
        </a:xfrm>
        <a:prstGeom prst="rect">
          <a:avLst/>
        </a:prstGeom>
      </xdr:spPr>
    </xdr:pic>
    <xdr:clientData/>
  </xdr:twoCellAnchor>
  <xdr:twoCellAnchor editAs="oneCell">
    <xdr:from>
      <xdr:col>18</xdr:col>
      <xdr:colOff>71994</xdr:colOff>
      <xdr:row>49</xdr:row>
      <xdr:rowOff>94099</xdr:rowOff>
    </xdr:from>
    <xdr:to>
      <xdr:col>27</xdr:col>
      <xdr:colOff>584189</xdr:colOff>
      <xdr:row>78</xdr:row>
      <xdr:rowOff>37712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7B71DD4-960B-4075-BD22-CA71586FA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150194" y="9428599"/>
          <a:ext cx="10361045" cy="54681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51228</xdr:rowOff>
    </xdr:from>
    <xdr:to>
      <xdr:col>7</xdr:col>
      <xdr:colOff>688151</xdr:colOff>
      <xdr:row>35</xdr:row>
      <xdr:rowOff>118338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C2E6AA73-0F27-47FF-A27D-CE4751AB5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3670728"/>
          <a:ext cx="7097916" cy="31151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31057</xdr:rowOff>
    </xdr:from>
    <xdr:to>
      <xdr:col>7</xdr:col>
      <xdr:colOff>30835</xdr:colOff>
      <xdr:row>74</xdr:row>
      <xdr:rowOff>60115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84CDC1E2-5FCE-4EB1-895F-AD12B4DF9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0699057"/>
          <a:ext cx="6441160" cy="3458058"/>
        </a:xfrm>
        <a:prstGeom prst="rect">
          <a:avLst/>
        </a:prstGeom>
      </xdr:spPr>
    </xdr:pic>
    <xdr:clientData/>
  </xdr:twoCellAnchor>
  <xdr:twoCellAnchor editAs="oneCell">
    <xdr:from>
      <xdr:col>18</xdr:col>
      <xdr:colOff>591292</xdr:colOff>
      <xdr:row>5</xdr:row>
      <xdr:rowOff>32162</xdr:rowOff>
    </xdr:from>
    <xdr:to>
      <xdr:col>19</xdr:col>
      <xdr:colOff>313037</xdr:colOff>
      <xdr:row>6</xdr:row>
      <xdr:rowOff>117926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77C75972-0403-4A99-AE85-A739BC661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627928" y="984662"/>
          <a:ext cx="1514686" cy="276264"/>
        </a:xfrm>
        <a:prstGeom prst="rect">
          <a:avLst/>
        </a:prstGeom>
      </xdr:spPr>
    </xdr:pic>
    <xdr:clientData/>
  </xdr:twoCellAnchor>
  <xdr:twoCellAnchor editAs="oneCell">
    <xdr:from>
      <xdr:col>7</xdr:col>
      <xdr:colOff>51948</xdr:colOff>
      <xdr:row>60</xdr:row>
      <xdr:rowOff>122305</xdr:rowOff>
    </xdr:from>
    <xdr:to>
      <xdr:col>18</xdr:col>
      <xdr:colOff>122704</xdr:colOff>
      <xdr:row>79</xdr:row>
      <xdr:rowOff>103758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103C4B9B-5DB7-461C-9D86-D48F010C6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462273" y="11552305"/>
          <a:ext cx="9741353" cy="36009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68036</xdr:rowOff>
    </xdr:from>
    <xdr:to>
      <xdr:col>9</xdr:col>
      <xdr:colOff>240627</xdr:colOff>
      <xdr:row>15</xdr:row>
      <xdr:rowOff>135119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1C9FAF73-8B06-4784-8832-8C2E993DD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68036"/>
          <a:ext cx="8173591" cy="2924583"/>
        </a:xfrm>
        <a:prstGeom prst="rect">
          <a:avLst/>
        </a:prstGeom>
      </xdr:spPr>
    </xdr:pic>
    <xdr:clientData/>
  </xdr:twoCellAnchor>
  <xdr:twoCellAnchor editAs="oneCell">
    <xdr:from>
      <xdr:col>3</xdr:col>
      <xdr:colOff>437030</xdr:colOff>
      <xdr:row>25</xdr:row>
      <xdr:rowOff>168088</xdr:rowOff>
    </xdr:from>
    <xdr:to>
      <xdr:col>5</xdr:col>
      <xdr:colOff>475348</xdr:colOff>
      <xdr:row>27</xdr:row>
      <xdr:rowOff>110983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B19B384E-C087-45FD-8DE9-40790002D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798795" y="4930588"/>
          <a:ext cx="1562318" cy="3238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104775</xdr:rowOff>
    </xdr:from>
    <xdr:to>
      <xdr:col>6</xdr:col>
      <xdr:colOff>600947</xdr:colOff>
      <xdr:row>52</xdr:row>
      <xdr:rowOff>76515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E32C2984-51DC-490A-8CB3-4C2F420E6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7724775"/>
          <a:ext cx="6249272" cy="2257740"/>
        </a:xfrm>
        <a:prstGeom prst="rect">
          <a:avLst/>
        </a:prstGeom>
      </xdr:spPr>
    </xdr:pic>
    <xdr:clientData/>
  </xdr:twoCellAnchor>
  <xdr:twoCellAnchor editAs="oneCell">
    <xdr:from>
      <xdr:col>12</xdr:col>
      <xdr:colOff>1237930</xdr:colOff>
      <xdr:row>64</xdr:row>
      <xdr:rowOff>148159</xdr:rowOff>
    </xdr:from>
    <xdr:to>
      <xdr:col>14</xdr:col>
      <xdr:colOff>495303</xdr:colOff>
      <xdr:row>67</xdr:row>
      <xdr:rowOff>33923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68917261-2BA2-4794-85E8-4141DBF50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458255" y="12340159"/>
          <a:ext cx="2314898" cy="457264"/>
        </a:xfrm>
        <a:prstGeom prst="rect">
          <a:avLst/>
        </a:prstGeom>
      </xdr:spPr>
    </xdr:pic>
    <xdr:clientData/>
  </xdr:twoCellAnchor>
  <xdr:twoCellAnchor editAs="oneCell">
    <xdr:from>
      <xdr:col>20</xdr:col>
      <xdr:colOff>190500</xdr:colOff>
      <xdr:row>2</xdr:row>
      <xdr:rowOff>171450</xdr:rowOff>
    </xdr:from>
    <xdr:to>
      <xdr:col>26</xdr:col>
      <xdr:colOff>267414</xdr:colOff>
      <xdr:row>18</xdr:row>
      <xdr:rowOff>28980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B3F8914-A97C-4CA0-B6F7-5241860AEF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0278725" y="552450"/>
          <a:ext cx="5115639" cy="29055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80</xdr:row>
      <xdr:rowOff>93180</xdr:rowOff>
    </xdr:from>
    <xdr:to>
      <xdr:col>7</xdr:col>
      <xdr:colOff>367657</xdr:colOff>
      <xdr:row>98</xdr:row>
      <xdr:rowOff>17448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476E9E9E-A674-467F-B75A-99F6F6D7B1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5333180"/>
          <a:ext cx="6778396" cy="3353268"/>
        </a:xfrm>
        <a:prstGeom prst="rect">
          <a:avLst/>
        </a:prstGeom>
      </xdr:spPr>
    </xdr:pic>
    <xdr:clientData/>
  </xdr:twoCellAnchor>
  <xdr:twoCellAnchor editAs="oneCell">
    <xdr:from>
      <xdr:col>20</xdr:col>
      <xdr:colOff>612321</xdr:colOff>
      <xdr:row>24</xdr:row>
      <xdr:rowOff>122465</xdr:rowOff>
    </xdr:from>
    <xdr:to>
      <xdr:col>26</xdr:col>
      <xdr:colOff>693317</xdr:colOff>
      <xdr:row>42</xdr:row>
      <xdr:rowOff>65786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AA152D94-F83C-4024-B1A3-7D545BABF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0750892" y="4694465"/>
          <a:ext cx="5115639" cy="3372321"/>
        </a:xfrm>
        <a:prstGeom prst="rect">
          <a:avLst/>
        </a:prstGeom>
      </xdr:spPr>
    </xdr:pic>
    <xdr:clientData/>
  </xdr:twoCellAnchor>
  <xdr:twoCellAnchor editAs="oneCell">
    <xdr:from>
      <xdr:col>7</xdr:col>
      <xdr:colOff>447675</xdr:colOff>
      <xdr:row>86</xdr:row>
      <xdr:rowOff>76200</xdr:rowOff>
    </xdr:from>
    <xdr:to>
      <xdr:col>16</xdr:col>
      <xdr:colOff>239232</xdr:colOff>
      <xdr:row>107</xdr:row>
      <xdr:rowOff>152969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B74F8D41-6AD3-40A6-BEA7-FB1923D8E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858000" y="16459200"/>
          <a:ext cx="7935432" cy="4077269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571500</xdr:colOff>
      <xdr:row>83</xdr:row>
      <xdr:rowOff>17318</xdr:rowOff>
    </xdr:from>
    <xdr:to>
      <xdr:col>22</xdr:col>
      <xdr:colOff>452004</xdr:colOff>
      <xdr:row>100</xdr:row>
      <xdr:rowOff>160665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EE81491C-E6A3-4C00-8745-D1D08699B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5898091" y="15828818"/>
          <a:ext cx="6201640" cy="3381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BF71A-B1FE-424A-B473-3C4CBFF3EB79}">
  <dimension ref="A3:U26"/>
  <sheetViews>
    <sheetView workbookViewId="0">
      <selection activeCell="K11" sqref="K11"/>
    </sheetView>
  </sheetViews>
  <sheetFormatPr baseColWidth="10" defaultRowHeight="15" x14ac:dyDescent="0.25"/>
  <sheetData>
    <row r="3" spans="1:19" x14ac:dyDescent="0.25">
      <c r="A3" s="2" t="s">
        <v>34</v>
      </c>
      <c r="B3" s="2" t="s">
        <v>35</v>
      </c>
      <c r="C3" s="2" t="s">
        <v>63</v>
      </c>
      <c r="D3" s="2" t="s">
        <v>119</v>
      </c>
      <c r="E3" s="2" t="s">
        <v>36</v>
      </c>
      <c r="F3" s="5" t="s">
        <v>120</v>
      </c>
      <c r="G3" s="5" t="s">
        <v>121</v>
      </c>
      <c r="H3" s="8" t="s">
        <v>122</v>
      </c>
      <c r="I3" s="8" t="s">
        <v>64</v>
      </c>
      <c r="J3" s="8" t="s">
        <v>123</v>
      </c>
      <c r="K3" s="10" t="s">
        <v>124</v>
      </c>
    </row>
    <row r="4" spans="1:19" x14ac:dyDescent="0.25">
      <c r="A4">
        <v>1</v>
      </c>
      <c r="B4">
        <v>1.5</v>
      </c>
      <c r="C4">
        <f t="shared" ref="C4:C8" si="0">POWER(A4,4)</f>
        <v>1</v>
      </c>
      <c r="D4">
        <f>POWER(A4,3)</f>
        <v>1</v>
      </c>
      <c r="E4">
        <f t="shared" ref="E4:E8" si="1">POWER(A4,2)</f>
        <v>1</v>
      </c>
      <c r="F4">
        <f>LN(A4) * E4</f>
        <v>0</v>
      </c>
      <c r="G4">
        <f>A4 * LN(A4)</f>
        <v>0</v>
      </c>
      <c r="H4">
        <f>LN(A4) ^ 2</f>
        <v>0</v>
      </c>
      <c r="I4">
        <f xml:space="preserve"> E4 * B4</f>
        <v>1.5</v>
      </c>
      <c r="J4">
        <f>A4 * B4</f>
        <v>1.5</v>
      </c>
      <c r="K4" s="9">
        <f>LN(A4) * B4</f>
        <v>0</v>
      </c>
    </row>
    <row r="5" spans="1:19" x14ac:dyDescent="0.25">
      <c r="A5">
        <v>1.5</v>
      </c>
      <c r="B5">
        <v>2.6</v>
      </c>
      <c r="C5">
        <f t="shared" si="0"/>
        <v>5.0625</v>
      </c>
      <c r="D5">
        <f t="shared" ref="D5:D8" si="2">POWER(A5,3)</f>
        <v>3.375</v>
      </c>
      <c r="E5">
        <f t="shared" si="1"/>
        <v>2.25</v>
      </c>
      <c r="F5">
        <f t="shared" ref="F5:F8" si="3">LN(A5) * E5</f>
        <v>0.91229649324336992</v>
      </c>
      <c r="G5">
        <f t="shared" ref="G5:G8" si="4">A5 * LN(A5)</f>
        <v>0.60819766216224658</v>
      </c>
      <c r="H5">
        <f t="shared" ref="H5:H8" si="5">LN(A5) ^ 2</f>
        <v>0.16440195389316542</v>
      </c>
      <c r="I5">
        <f t="shared" ref="I5:I8" si="6" xml:space="preserve"> E5 * B5</f>
        <v>5.8500000000000005</v>
      </c>
      <c r="J5">
        <f t="shared" ref="J5:J8" si="7">A5 * B5</f>
        <v>3.9000000000000004</v>
      </c>
      <c r="K5" s="9">
        <f t="shared" ref="K5:K8" si="8">LN(A5) * B5</f>
        <v>1.0542092810812274</v>
      </c>
    </row>
    <row r="6" spans="1:19" x14ac:dyDescent="0.25">
      <c r="A6">
        <v>1.6</v>
      </c>
      <c r="B6">
        <v>3</v>
      </c>
      <c r="C6">
        <f>POWER(A6,4)</f>
        <v>6.553600000000003</v>
      </c>
      <c r="D6">
        <f t="shared" si="2"/>
        <v>4.096000000000001</v>
      </c>
      <c r="E6">
        <f t="shared" si="1"/>
        <v>2.5600000000000005</v>
      </c>
      <c r="F6">
        <f t="shared" si="3"/>
        <v>1.2032092908690835</v>
      </c>
      <c r="G6">
        <f t="shared" si="4"/>
        <v>0.75200580679317708</v>
      </c>
      <c r="H6">
        <f t="shared" si="5"/>
        <v>0.22090341150416293</v>
      </c>
      <c r="I6">
        <f t="shared" si="6"/>
        <v>7.6800000000000015</v>
      </c>
      <c r="J6">
        <f t="shared" si="7"/>
        <v>4.8000000000000007</v>
      </c>
      <c r="K6" s="9">
        <f t="shared" si="8"/>
        <v>1.4100108877372068</v>
      </c>
    </row>
    <row r="7" spans="1:19" x14ac:dyDescent="0.25">
      <c r="A7">
        <v>1.8</v>
      </c>
      <c r="B7">
        <v>4</v>
      </c>
      <c r="C7">
        <f t="shared" si="0"/>
        <v>10.497600000000002</v>
      </c>
      <c r="D7">
        <f t="shared" si="2"/>
        <v>5.8320000000000007</v>
      </c>
      <c r="E7">
        <f t="shared" si="1"/>
        <v>3.24</v>
      </c>
      <c r="F7">
        <f t="shared" si="3"/>
        <v>1.9044287942828659</v>
      </c>
      <c r="G7">
        <f t="shared" si="4"/>
        <v>1.0580159968238143</v>
      </c>
      <c r="H7">
        <f t="shared" si="5"/>
        <v>0.34549316343675601</v>
      </c>
      <c r="I7">
        <f t="shared" si="6"/>
        <v>12.96</v>
      </c>
      <c r="J7">
        <f t="shared" si="7"/>
        <v>7.2</v>
      </c>
      <c r="K7" s="9">
        <f t="shared" si="8"/>
        <v>2.3511466596084762</v>
      </c>
    </row>
    <row r="8" spans="1:19" x14ac:dyDescent="0.25">
      <c r="A8">
        <v>2</v>
      </c>
      <c r="B8">
        <v>3.2</v>
      </c>
      <c r="C8">
        <f t="shared" si="0"/>
        <v>16</v>
      </c>
      <c r="D8">
        <f t="shared" si="2"/>
        <v>8</v>
      </c>
      <c r="E8">
        <f t="shared" si="1"/>
        <v>4</v>
      </c>
      <c r="F8">
        <f t="shared" si="3"/>
        <v>2.7725887222397811</v>
      </c>
      <c r="G8">
        <f t="shared" si="4"/>
        <v>1.3862943611198906</v>
      </c>
      <c r="H8">
        <f t="shared" si="5"/>
        <v>0.48045301391820139</v>
      </c>
      <c r="I8">
        <f t="shared" si="6"/>
        <v>12.8</v>
      </c>
      <c r="J8">
        <f t="shared" si="7"/>
        <v>6.4</v>
      </c>
      <c r="K8" s="9">
        <f t="shared" si="8"/>
        <v>2.2180709777918248</v>
      </c>
    </row>
    <row r="9" spans="1:19" x14ac:dyDescent="0.25">
      <c r="K9" s="9"/>
    </row>
    <row r="10" spans="1:19" x14ac:dyDescent="0.25">
      <c r="I10" s="4"/>
    </row>
    <row r="11" spans="1:19" x14ac:dyDescent="0.25">
      <c r="A11" s="1">
        <f>SUM(A4:A10)</f>
        <v>7.8999999999999995</v>
      </c>
      <c r="B11" s="1">
        <f>SUM(B4:B10)</f>
        <v>14.3</v>
      </c>
      <c r="C11" s="1">
        <f>SUM(C4:C9)</f>
        <v>39.113700000000009</v>
      </c>
      <c r="D11" s="1">
        <f>SUM(D4:D9)</f>
        <v>22.303000000000001</v>
      </c>
      <c r="E11" s="1">
        <f>SUM(E4:E9)</f>
        <v>13.05</v>
      </c>
      <c r="F11" s="1">
        <f>SUM(F4:F10)</f>
        <v>6.7925233006351</v>
      </c>
      <c r="G11" s="1">
        <f>SUM(G4:G9)</f>
        <v>3.8045138268991288</v>
      </c>
      <c r="H11" s="1">
        <f>SUM(H4:H9)</f>
        <v>1.2112515427522856</v>
      </c>
      <c r="I11" s="1">
        <f>SUM(I4:I9)</f>
        <v>40.790000000000006</v>
      </c>
      <c r="J11" s="1">
        <f>SUM(J4:J9)</f>
        <v>23.800000000000004</v>
      </c>
      <c r="K11" s="1">
        <f>SUM(K4:K9)</f>
        <v>7.0334378062187355</v>
      </c>
    </row>
    <row r="12" spans="1:19" x14ac:dyDescent="0.25">
      <c r="S12" s="4"/>
    </row>
    <row r="13" spans="1:19" x14ac:dyDescent="0.25">
      <c r="A13" s="2" t="s">
        <v>34</v>
      </c>
      <c r="B13" s="2" t="s">
        <v>35</v>
      </c>
      <c r="C13" s="2" t="s">
        <v>43</v>
      </c>
      <c r="D13" s="2" t="s">
        <v>44</v>
      </c>
      <c r="E13" s="2" t="s">
        <v>45</v>
      </c>
      <c r="F13" s="2" t="s">
        <v>46</v>
      </c>
      <c r="G13" s="2" t="s">
        <v>47</v>
      </c>
      <c r="H13" s="2" t="s">
        <v>48</v>
      </c>
    </row>
    <row r="14" spans="1:19" x14ac:dyDescent="0.25">
      <c r="A14">
        <v>1</v>
      </c>
      <c r="B14">
        <v>1.5</v>
      </c>
      <c r="C14">
        <f>a * (A14^2) +b* A14 + d * LN(A14)</f>
        <v>1.4433600000000002</v>
      </c>
      <c r="D14">
        <f t="shared" ref="D14:D18" si="9">(B14-C14)^2</f>
        <v>3.2080895999999776E-3</v>
      </c>
      <c r="E14">
        <f>1.2875 * (A14^2) - 1.9447 * A14 + 2.5903</f>
        <v>1.9331</v>
      </c>
      <c r="F14">
        <f t="shared" ref="F14:F18" si="10">(B14-E14)^2</f>
        <v>0.18757561000000003</v>
      </c>
      <c r="G14">
        <f>2.37316301975992 * COS(A14*0.5) + 0.29919851288059*A14^2 + 4.19604536208156*A14</f>
        <v>6.5778903576265542</v>
      </c>
      <c r="H14">
        <f>(B14-G14)^2</f>
        <v>25.784970484076734</v>
      </c>
      <c r="L14" t="s">
        <v>36</v>
      </c>
      <c r="M14" t="s">
        <v>34</v>
      </c>
      <c r="N14" t="s">
        <v>118</v>
      </c>
      <c r="P14" t="s">
        <v>53</v>
      </c>
      <c r="Q14" t="s">
        <v>35</v>
      </c>
    </row>
    <row r="15" spans="1:19" x14ac:dyDescent="0.25">
      <c r="A15">
        <v>1.5</v>
      </c>
      <c r="B15">
        <v>2.6</v>
      </c>
      <c r="C15">
        <f>a * (A15^2) +b* A15 + d * LN(A15)</f>
        <v>2.9088019596407388</v>
      </c>
      <c r="D15">
        <f t="shared" si="9"/>
        <v>9.5358650277960449E-2</v>
      </c>
      <c r="E15">
        <f t="shared" ref="E15:E18" si="11">1.2875 * (A15^2) - 1.9447 * A15 + 2.5903</f>
        <v>2.570125</v>
      </c>
      <c r="F15">
        <f t="shared" si="10"/>
        <v>8.9251562500000572E-4</v>
      </c>
      <c r="G15">
        <f>2.37316301975992 * COS(A15*0.5) + 0.29919851288059*A15^2 + 4.19604536208156*A15</f>
        <v>8.7036816626849856</v>
      </c>
      <c r="H15">
        <f>(B15-G15)^2</f>
        <v>37.254929839396951</v>
      </c>
      <c r="K15" t="s">
        <v>36</v>
      </c>
      <c r="L15" s="2">
        <v>39.113700000000009</v>
      </c>
      <c r="M15" s="2">
        <v>22.303000000000001</v>
      </c>
      <c r="N15" s="2">
        <v>6.7925233006351</v>
      </c>
      <c r="O15" s="2"/>
      <c r="P15" s="7" t="s">
        <v>49</v>
      </c>
      <c r="Q15" s="2">
        <v>40.790000000000006</v>
      </c>
    </row>
    <row r="16" spans="1:19" x14ac:dyDescent="0.25">
      <c r="A16">
        <v>1.6</v>
      </c>
      <c r="B16">
        <v>3</v>
      </c>
      <c r="C16">
        <f>a * (A16^2) +b* A16 + d * LN(A16)</f>
        <v>3.0891217615167803</v>
      </c>
      <c r="D16">
        <f t="shared" si="9"/>
        <v>7.9426883758538635E-3</v>
      </c>
      <c r="E16">
        <f t="shared" si="11"/>
        <v>2.7747800000000002</v>
      </c>
      <c r="F16">
        <f t="shared" si="10"/>
        <v>5.0724048399999888E-2</v>
      </c>
      <c r="G16">
        <f>2.37316301975992 * COS(A16*0.5) + 0.29919851288059*A16^2 + 4.19604536208156*A16</f>
        <v>9.1330193705461227</v>
      </c>
      <c r="H16">
        <f>(B16-G16)^2</f>
        <v>37.613926599493958</v>
      </c>
      <c r="K16" t="s">
        <v>34</v>
      </c>
      <c r="L16" s="2">
        <v>22.303000000000001</v>
      </c>
      <c r="M16" s="2">
        <v>13.05</v>
      </c>
      <c r="N16" s="2">
        <v>3.8045138268991288</v>
      </c>
      <c r="O16" s="2"/>
      <c r="P16" s="7" t="s">
        <v>50</v>
      </c>
      <c r="Q16" s="2">
        <v>23.800000000000004</v>
      </c>
    </row>
    <row r="17" spans="1:21" x14ac:dyDescent="0.25">
      <c r="A17">
        <v>1.8</v>
      </c>
      <c r="B17">
        <v>4</v>
      </c>
      <c r="C17">
        <f>a * (A17^2) +b* A17 + d * LN(A17)</f>
        <v>3.3554902497953223</v>
      </c>
      <c r="D17">
        <f t="shared" si="9"/>
        <v>0.41539281810889606</v>
      </c>
      <c r="E17">
        <f t="shared" si="11"/>
        <v>3.2613400000000006</v>
      </c>
      <c r="F17">
        <f t="shared" si="10"/>
        <v>0.54561859559999915</v>
      </c>
      <c r="G17">
        <f>2.37316301975992 * COS(A17*0.5) + 0.29919851288059*A17^2 + 4.19604536208156*A17</f>
        <v>9.9974666228939988</v>
      </c>
      <c r="H17">
        <f>(B17-G17)^2</f>
        <v>35.96960589272755</v>
      </c>
      <c r="K17" t="s">
        <v>118</v>
      </c>
      <c r="L17" s="6">
        <v>6.7925233006351</v>
      </c>
      <c r="M17" s="6">
        <v>3.8045138268991288</v>
      </c>
      <c r="N17" s="6">
        <v>1.2112515427522856</v>
      </c>
      <c r="O17" s="2"/>
      <c r="P17" s="7" t="s">
        <v>51</v>
      </c>
      <c r="Q17" s="2">
        <v>7.0334378062187355</v>
      </c>
      <c r="U17" s="4"/>
    </row>
    <row r="18" spans="1:21" x14ac:dyDescent="0.25">
      <c r="A18">
        <v>2</v>
      </c>
      <c r="B18">
        <v>3.2</v>
      </c>
      <c r="C18">
        <f>a * (A18^2) +b* A18 + d * LN(A18)</f>
        <v>3.505433431002936</v>
      </c>
      <c r="D18">
        <f t="shared" si="9"/>
        <v>9.3289580774225181E-2</v>
      </c>
      <c r="E18">
        <f t="shared" si="11"/>
        <v>3.8509000000000002</v>
      </c>
      <c r="F18">
        <f t="shared" si="10"/>
        <v>0.42367081000000006</v>
      </c>
      <c r="G18">
        <f>2.37316301975992 * COS(A18*0.5) + 0.29919851288059*A18^2 + 4.19604536208156*A18</f>
        <v>10.871110227462763</v>
      </c>
      <c r="H18">
        <f>(B18-G18)^2</f>
        <v>58.845932121883806</v>
      </c>
      <c r="L18" s="2"/>
      <c r="M18" s="2"/>
      <c r="N18" s="2"/>
      <c r="O18" s="2"/>
      <c r="P18" s="7" t="s">
        <v>52</v>
      </c>
      <c r="Q18" s="2"/>
    </row>
    <row r="20" spans="1:21" x14ac:dyDescent="0.25">
      <c r="A20" s="4"/>
      <c r="B20" s="4"/>
      <c r="C20" s="4"/>
    </row>
    <row r="21" spans="1:21" x14ac:dyDescent="0.25">
      <c r="A21" s="1">
        <f t="shared" ref="A21:H21" si="12">SUM(A14:A20)</f>
        <v>7.8999999999999995</v>
      </c>
      <c r="B21" s="1">
        <f t="shared" si="12"/>
        <v>14.3</v>
      </c>
      <c r="C21" s="1">
        <f t="shared" si="12"/>
        <v>14.302207401955778</v>
      </c>
      <c r="D21" s="1">
        <f t="shared" si="12"/>
        <v>0.61519182713693554</v>
      </c>
      <c r="E21" s="1">
        <f t="shared" si="12"/>
        <v>14.390245</v>
      </c>
      <c r="F21" s="1">
        <f t="shared" si="12"/>
        <v>1.208481579624999</v>
      </c>
      <c r="G21" s="1">
        <f t="shared" si="12"/>
        <v>45.283168241214426</v>
      </c>
      <c r="H21" s="1">
        <f t="shared" si="12"/>
        <v>195.469364937579</v>
      </c>
    </row>
    <row r="24" spans="1:21" x14ac:dyDescent="0.25">
      <c r="C24">
        <v>-0.9093</v>
      </c>
    </row>
    <row r="25" spans="1:21" x14ac:dyDescent="0.25">
      <c r="C25">
        <v>2.3526600000000002</v>
      </c>
    </row>
    <row r="26" spans="1:21" x14ac:dyDescent="0.25">
      <c r="C26">
        <v>3.5163000000000002</v>
      </c>
      <c r="F26" s="4">
        <v>11.619389999999999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9A481-3C06-4607-BC82-317F0EE2BC0D}">
  <dimension ref="A2:V90"/>
  <sheetViews>
    <sheetView tabSelected="1" topLeftCell="A16" zoomScaleNormal="100" workbookViewId="0">
      <selection activeCell="K23" sqref="K23"/>
    </sheetView>
  </sheetViews>
  <sheetFormatPr baseColWidth="10" defaultColWidth="9.140625" defaultRowHeight="15" x14ac:dyDescent="0.25"/>
  <cols>
    <col min="1" max="1" width="11.5703125" customWidth="1"/>
    <col min="2" max="2" width="16.7109375" customWidth="1"/>
    <col min="3" max="3" width="13.85546875" customWidth="1"/>
    <col min="4" max="4" width="17" customWidth="1"/>
    <col min="5" max="5" width="17.7109375" customWidth="1"/>
    <col min="6" max="6" width="14" customWidth="1"/>
    <col min="7" max="7" width="17" customWidth="1"/>
    <col min="8" max="8" width="11" customWidth="1"/>
    <col min="9" max="9" width="12.7109375" customWidth="1"/>
    <col min="10" max="10" width="17.85546875" customWidth="1"/>
    <col min="11" max="11" width="11.28515625" customWidth="1"/>
    <col min="12" max="12" width="11.140625" customWidth="1"/>
    <col min="13" max="13" width="10.7109375" customWidth="1"/>
    <col min="15" max="15" width="14.28515625" customWidth="1"/>
  </cols>
  <sheetData>
    <row r="2" spans="1:11" x14ac:dyDescent="0.25">
      <c r="A2" t="s">
        <v>40</v>
      </c>
      <c r="B2" s="3">
        <v>0.5</v>
      </c>
      <c r="C2" t="s">
        <v>41</v>
      </c>
      <c r="D2" s="3">
        <v>0</v>
      </c>
    </row>
    <row r="4" spans="1:11" x14ac:dyDescent="0.25">
      <c r="A4" s="11" t="s">
        <v>127</v>
      </c>
      <c r="B4" s="12"/>
      <c r="C4" t="s">
        <v>38</v>
      </c>
      <c r="D4">
        <f>B2-D2</f>
        <v>0.5</v>
      </c>
      <c r="E4" s="1">
        <f>D4/D5</f>
        <v>0.25</v>
      </c>
      <c r="F4" s="1" t="s">
        <v>42</v>
      </c>
      <c r="H4" t="s">
        <v>54</v>
      </c>
    </row>
    <row r="5" spans="1:11" x14ac:dyDescent="0.25">
      <c r="A5" s="13" t="s">
        <v>128</v>
      </c>
      <c r="B5" s="14"/>
      <c r="C5" t="s">
        <v>39</v>
      </c>
      <c r="D5">
        <v>2</v>
      </c>
      <c r="H5" t="s">
        <v>55</v>
      </c>
    </row>
    <row r="6" spans="1:11" x14ac:dyDescent="0.25">
      <c r="A6" s="15" t="s">
        <v>129</v>
      </c>
      <c r="B6" s="16"/>
      <c r="H6" t="s">
        <v>56</v>
      </c>
    </row>
    <row r="8" spans="1:11" x14ac:dyDescent="0.25">
      <c r="A8" s="21" t="s">
        <v>0</v>
      </c>
      <c r="H8" t="s">
        <v>33</v>
      </c>
      <c r="I8" t="s">
        <v>26</v>
      </c>
      <c r="J8" t="s">
        <v>27</v>
      </c>
      <c r="K8" t="s">
        <v>62</v>
      </c>
    </row>
    <row r="9" spans="1:11" x14ac:dyDescent="0.25">
      <c r="A9" s="2" t="s">
        <v>1</v>
      </c>
      <c r="B9" s="2" t="s">
        <v>2</v>
      </c>
      <c r="C9" s="2" t="s">
        <v>14</v>
      </c>
      <c r="D9" s="2" t="s">
        <v>57</v>
      </c>
      <c r="E9" s="2" t="s">
        <v>58</v>
      </c>
      <c r="F9" s="2" t="s">
        <v>59</v>
      </c>
      <c r="G9" s="26" t="s">
        <v>60</v>
      </c>
      <c r="H9" s="2" t="s">
        <v>3</v>
      </c>
      <c r="I9" s="2" t="s">
        <v>4</v>
      </c>
      <c r="J9" s="2" t="s">
        <v>21</v>
      </c>
      <c r="K9" s="2" t="s">
        <v>61</v>
      </c>
    </row>
    <row r="10" spans="1:11" x14ac:dyDescent="0.25">
      <c r="A10" s="2">
        <v>-1</v>
      </c>
      <c r="B10" s="2">
        <v>4</v>
      </c>
      <c r="C10" s="2">
        <v>12</v>
      </c>
      <c r="D10" s="2">
        <v>-5</v>
      </c>
      <c r="E10" s="2">
        <f>C10</f>
        <v>12</v>
      </c>
      <c r="F10" s="2">
        <f>D10</f>
        <v>-5</v>
      </c>
      <c r="G10" s="2">
        <f>(10+(A10*(B10^2)))/(5*C10)</f>
        <v>-0.1</v>
      </c>
      <c r="H10" s="2">
        <f>A10+h</f>
        <v>-0.75</v>
      </c>
      <c r="I10" s="2">
        <f>B10+h*E10</f>
        <v>7</v>
      </c>
      <c r="J10" s="2">
        <f xml:space="preserve"> C10 + h * F10</f>
        <v>10.75</v>
      </c>
      <c r="K10" s="2">
        <f>D10+h*G10</f>
        <v>-5.0250000000000004</v>
      </c>
    </row>
    <row r="11" spans="1:11" x14ac:dyDescent="0.25">
      <c r="A11" s="2">
        <f>H10</f>
        <v>-0.75</v>
      </c>
      <c r="B11" s="2">
        <f>I10</f>
        <v>7</v>
      </c>
      <c r="C11" s="2">
        <f>J10</f>
        <v>10.75</v>
      </c>
      <c r="D11" s="2">
        <f>K10</f>
        <v>-5.0250000000000004</v>
      </c>
      <c r="E11" s="2">
        <f t="shared" ref="E11:E17" si="0">C11</f>
        <v>10.75</v>
      </c>
      <c r="F11" s="2">
        <f t="shared" ref="F11:F17" si="1">D11</f>
        <v>-5.0250000000000004</v>
      </c>
      <c r="G11" s="2">
        <f>(((10+(A11*(B11^2)))/(5*C11)))</f>
        <v>-0.49767441860465117</v>
      </c>
      <c r="H11" s="2">
        <f t="shared" ref="H11:H19" si="2">A11+h</f>
        <v>-0.5</v>
      </c>
      <c r="I11" s="2">
        <f t="shared" ref="I11:I19" si="3">B11+h*E11</f>
        <v>9.6875</v>
      </c>
      <c r="J11" s="2">
        <f t="shared" ref="J11:J19" si="4" xml:space="preserve"> C11 + h * F11</f>
        <v>9.4937500000000004</v>
      </c>
      <c r="K11" s="2">
        <f t="shared" ref="K11:K19" si="5">D11+h*G11</f>
        <v>-5.1494186046511627</v>
      </c>
    </row>
    <row r="12" spans="1:11" x14ac:dyDescent="0.25">
      <c r="A12" s="2">
        <f t="shared" ref="A12:C19" si="6">H11</f>
        <v>-0.5</v>
      </c>
      <c r="B12" s="2">
        <f t="shared" si="6"/>
        <v>9.6875</v>
      </c>
      <c r="C12" s="2">
        <f t="shared" si="6"/>
        <v>9.4937500000000004</v>
      </c>
      <c r="D12" s="2">
        <f t="shared" ref="D12:D19" si="7">K11</f>
        <v>-5.1494186046511627</v>
      </c>
      <c r="E12" s="2">
        <f t="shared" si="0"/>
        <v>9.4937500000000004</v>
      </c>
      <c r="F12" s="2">
        <f t="shared" si="1"/>
        <v>-5.1494186046511627</v>
      </c>
      <c r="G12" s="2">
        <f>((10+(A12*(B12^2)))/(5*C12))</f>
        <v>-0.77785549703752466</v>
      </c>
      <c r="H12" s="2">
        <f t="shared" si="2"/>
        <v>-0.25</v>
      </c>
      <c r="I12" s="2">
        <f t="shared" si="3"/>
        <v>12.0609375</v>
      </c>
      <c r="J12" s="2">
        <f t="shared" si="4"/>
        <v>8.2063953488372103</v>
      </c>
      <c r="K12" s="2">
        <f t="shared" si="5"/>
        <v>-5.3438824789105439</v>
      </c>
    </row>
    <row r="13" spans="1:11" x14ac:dyDescent="0.25">
      <c r="A13" s="2">
        <f t="shared" si="6"/>
        <v>-0.25</v>
      </c>
      <c r="B13" s="2">
        <f t="shared" si="6"/>
        <v>12.0609375</v>
      </c>
      <c r="C13" s="2">
        <f t="shared" si="6"/>
        <v>8.2063953488372103</v>
      </c>
      <c r="D13" s="2">
        <f t="shared" si="7"/>
        <v>-5.3438824789105439</v>
      </c>
      <c r="E13" s="2">
        <f t="shared" si="0"/>
        <v>8.2063953488372103</v>
      </c>
      <c r="F13" s="2">
        <f t="shared" si="1"/>
        <v>-5.3438824789105439</v>
      </c>
      <c r="G13" s="2">
        <f t="shared" ref="G13:G19" si="8">(((10+(A13*(B13^2)))/(5*C13)))</f>
        <v>-0.64258550128132741</v>
      </c>
      <c r="H13" s="2">
        <f t="shared" si="2"/>
        <v>0</v>
      </c>
      <c r="I13" s="2">
        <f t="shared" si="3"/>
        <v>14.112536337209303</v>
      </c>
      <c r="J13" s="2">
        <f t="shared" si="4"/>
        <v>6.8704247291095744</v>
      </c>
      <c r="K13" s="2">
        <f t="shared" si="5"/>
        <v>-5.5045288542308759</v>
      </c>
    </row>
    <row r="14" spans="1:11" x14ac:dyDescent="0.25">
      <c r="A14" s="2">
        <f t="shared" si="6"/>
        <v>0</v>
      </c>
      <c r="B14" s="2">
        <f t="shared" si="6"/>
        <v>14.112536337209303</v>
      </c>
      <c r="C14" s="2">
        <f t="shared" si="6"/>
        <v>6.8704247291095744</v>
      </c>
      <c r="D14" s="2">
        <f t="shared" si="7"/>
        <v>-5.5045288542308759</v>
      </c>
      <c r="E14" s="2">
        <f t="shared" si="0"/>
        <v>6.8704247291095744</v>
      </c>
      <c r="F14" s="2">
        <f t="shared" si="1"/>
        <v>-5.5045288542308759</v>
      </c>
      <c r="G14" s="2">
        <f t="shared" si="8"/>
        <v>0.29110281807267618</v>
      </c>
      <c r="H14" s="2">
        <f t="shared" si="2"/>
        <v>0.25</v>
      </c>
      <c r="I14" s="2">
        <f t="shared" si="3"/>
        <v>15.830142519486696</v>
      </c>
      <c r="J14" s="2">
        <f t="shared" si="4"/>
        <v>5.4942925155518552</v>
      </c>
      <c r="K14" s="2">
        <f t="shared" si="5"/>
        <v>-5.4317531497127067</v>
      </c>
    </row>
    <row r="15" spans="1:11" x14ac:dyDescent="0.25">
      <c r="A15" s="2">
        <f t="shared" si="6"/>
        <v>0.25</v>
      </c>
      <c r="B15" s="2">
        <f t="shared" si="6"/>
        <v>15.830142519486696</v>
      </c>
      <c r="C15" s="2">
        <f t="shared" si="6"/>
        <v>5.4942925155518552</v>
      </c>
      <c r="D15" s="2">
        <f t="shared" si="7"/>
        <v>-5.4317531497127067</v>
      </c>
      <c r="E15" s="2">
        <f t="shared" si="0"/>
        <v>5.4942925155518552</v>
      </c>
      <c r="F15" s="2">
        <f t="shared" si="1"/>
        <v>-5.4317531497127067</v>
      </c>
      <c r="G15" s="2">
        <f t="shared" si="8"/>
        <v>2.6445025575606156</v>
      </c>
      <c r="H15" s="2">
        <f t="shared" si="2"/>
        <v>0.5</v>
      </c>
      <c r="I15" s="2">
        <f t="shared" si="3"/>
        <v>17.203715648374661</v>
      </c>
      <c r="J15" s="2">
        <f t="shared" si="4"/>
        <v>4.1363542281236789</v>
      </c>
      <c r="K15" s="2">
        <f t="shared" si="5"/>
        <v>-4.7706275103225533</v>
      </c>
    </row>
    <row r="16" spans="1:11" x14ac:dyDescent="0.25">
      <c r="A16" s="2">
        <f t="shared" si="6"/>
        <v>0.5</v>
      </c>
      <c r="B16" s="2">
        <f t="shared" si="6"/>
        <v>17.203715648374661</v>
      </c>
      <c r="C16" s="2">
        <f t="shared" si="6"/>
        <v>4.1363542281236789</v>
      </c>
      <c r="D16" s="2">
        <f t="shared" si="7"/>
        <v>-4.7706275103225533</v>
      </c>
      <c r="E16" s="2">
        <f t="shared" si="0"/>
        <v>4.1363542281236789</v>
      </c>
      <c r="F16" s="2">
        <f t="shared" si="1"/>
        <v>-4.7706275103225533</v>
      </c>
      <c r="G16" s="2">
        <f t="shared" si="8"/>
        <v>7.6388001289110976</v>
      </c>
      <c r="H16" s="2">
        <f t="shared" si="2"/>
        <v>0.75</v>
      </c>
      <c r="I16" s="2">
        <f t="shared" si="3"/>
        <v>18.237804205405581</v>
      </c>
      <c r="J16" s="2">
        <f t="shared" si="4"/>
        <v>2.9436973505430406</v>
      </c>
      <c r="K16" s="2">
        <f t="shared" si="5"/>
        <v>-2.8609274780947791</v>
      </c>
    </row>
    <row r="17" spans="1:12" x14ac:dyDescent="0.25">
      <c r="A17" s="2">
        <f t="shared" si="6"/>
        <v>0.75</v>
      </c>
      <c r="B17" s="2">
        <f t="shared" si="6"/>
        <v>18.237804205405581</v>
      </c>
      <c r="C17" s="2">
        <f t="shared" si="6"/>
        <v>2.9436973505430406</v>
      </c>
      <c r="D17" s="2">
        <f t="shared" si="7"/>
        <v>-2.8609274780947791</v>
      </c>
      <c r="E17" s="2">
        <f t="shared" si="0"/>
        <v>2.9436973505430406</v>
      </c>
      <c r="F17" s="2">
        <f t="shared" si="1"/>
        <v>-2.8609274780947791</v>
      </c>
      <c r="G17" s="2">
        <f t="shared" si="8"/>
        <v>17.628383340982218</v>
      </c>
      <c r="H17" s="2">
        <f t="shared" si="2"/>
        <v>1</v>
      </c>
      <c r="I17" s="2">
        <f t="shared" si="3"/>
        <v>18.973728543041343</v>
      </c>
      <c r="J17" s="2">
        <f t="shared" si="4"/>
        <v>2.2284654810193461</v>
      </c>
      <c r="K17" s="2">
        <f t="shared" si="5"/>
        <v>1.5461683571507754</v>
      </c>
    </row>
    <row r="18" spans="1:12" x14ac:dyDescent="0.25">
      <c r="A18" s="2">
        <f t="shared" si="6"/>
        <v>1</v>
      </c>
      <c r="B18" s="2">
        <f t="shared" si="6"/>
        <v>18.973728543041343</v>
      </c>
      <c r="C18" s="2">
        <f t="shared" si="6"/>
        <v>2.2284654810193461</v>
      </c>
      <c r="D18" s="2">
        <f t="shared" si="7"/>
        <v>1.5461683571507754</v>
      </c>
      <c r="E18" s="2">
        <f>C18</f>
        <v>2.2284654810193461</v>
      </c>
      <c r="F18" s="25">
        <f>D18</f>
        <v>1.5461683571507754</v>
      </c>
      <c r="G18" s="2">
        <f t="shared" si="8"/>
        <v>33.206920006297345</v>
      </c>
      <c r="H18" s="2">
        <f t="shared" si="2"/>
        <v>1.25</v>
      </c>
      <c r="I18" s="2">
        <f t="shared" si="3"/>
        <v>19.530844913296178</v>
      </c>
      <c r="J18" s="2">
        <f t="shared" si="4"/>
        <v>2.6150075703070401</v>
      </c>
      <c r="K18" s="2">
        <f t="shared" si="5"/>
        <v>9.8478983587251108</v>
      </c>
    </row>
    <row r="19" spans="1:12" x14ac:dyDescent="0.25">
      <c r="A19" s="2">
        <f t="shared" si="6"/>
        <v>1.25</v>
      </c>
      <c r="B19" s="2">
        <f t="shared" si="6"/>
        <v>19.530844913296178</v>
      </c>
      <c r="C19" s="2">
        <f t="shared" si="6"/>
        <v>2.6150075703070401</v>
      </c>
      <c r="D19" s="2">
        <f t="shared" si="7"/>
        <v>9.8478983587251108</v>
      </c>
      <c r="E19" s="2">
        <f>C19</f>
        <v>2.6150075703070401</v>
      </c>
      <c r="F19" s="25">
        <f>D19</f>
        <v>9.8478983587251108</v>
      </c>
      <c r="G19" s="2">
        <f t="shared" si="8"/>
        <v>37.232578927247587</v>
      </c>
      <c r="H19" s="2">
        <f t="shared" si="2"/>
        <v>1.5</v>
      </c>
      <c r="I19" s="2">
        <f t="shared" si="3"/>
        <v>20.184596805872939</v>
      </c>
      <c r="J19" s="2">
        <f t="shared" si="4"/>
        <v>5.0769821599883178</v>
      </c>
      <c r="K19" s="2">
        <f t="shared" si="5"/>
        <v>19.156043090537008</v>
      </c>
    </row>
    <row r="20" spans="1:12" x14ac:dyDescent="0.25">
      <c r="E20" t="s">
        <v>130</v>
      </c>
      <c r="G20" t="s">
        <v>131</v>
      </c>
    </row>
    <row r="21" spans="1:12" x14ac:dyDescent="0.25">
      <c r="B21" s="21" t="s">
        <v>5</v>
      </c>
      <c r="F21" t="s">
        <v>28</v>
      </c>
      <c r="G21" t="s">
        <v>29</v>
      </c>
      <c r="H21" t="s">
        <v>30</v>
      </c>
    </row>
    <row r="22" spans="1:12" x14ac:dyDescent="0.25">
      <c r="A22" s="2" t="s">
        <v>1</v>
      </c>
      <c r="B22" s="2" t="s">
        <v>2</v>
      </c>
      <c r="C22" s="2" t="s">
        <v>14</v>
      </c>
      <c r="D22" s="25" t="s">
        <v>25</v>
      </c>
      <c r="E22" s="25" t="s">
        <v>24</v>
      </c>
      <c r="F22" s="2" t="s">
        <v>3</v>
      </c>
      <c r="G22" s="2" t="s">
        <v>26</v>
      </c>
      <c r="H22" s="2" t="s">
        <v>27</v>
      </c>
      <c r="I22" s="25" t="s">
        <v>31</v>
      </c>
      <c r="J22" s="25" t="s">
        <v>32</v>
      </c>
      <c r="K22" s="2" t="s">
        <v>4</v>
      </c>
      <c r="L22" s="2" t="s">
        <v>21</v>
      </c>
    </row>
    <row r="23" spans="1:12" x14ac:dyDescent="0.25">
      <c r="A23" s="2">
        <v>0</v>
      </c>
      <c r="B23" s="2">
        <v>5</v>
      </c>
      <c r="C23" s="2">
        <v>8</v>
      </c>
      <c r="D23" s="2">
        <f>3*B23+6*C23-2*A23</f>
        <v>63</v>
      </c>
      <c r="E23" s="2">
        <f xml:space="preserve"> (-3*A23+5+4*B23+C23)*1/2</f>
        <v>16.5</v>
      </c>
      <c r="F23" s="2">
        <f>A23+h</f>
        <v>0.25</v>
      </c>
      <c r="G23" s="2">
        <f>B23+h*(D23)</f>
        <v>20.75</v>
      </c>
      <c r="H23" s="2">
        <f>C23+h*E23</f>
        <v>12.125</v>
      </c>
      <c r="I23" s="2">
        <f>3*G23+6*H23-2*F23</f>
        <v>134.5</v>
      </c>
      <c r="J23" s="2">
        <f xml:space="preserve"> (-3*F23+5+4*G23+H23)*1/2</f>
        <v>49.6875</v>
      </c>
      <c r="K23" s="2">
        <f>B23+h/2 * (D23 + I23)</f>
        <v>29.6875</v>
      </c>
      <c r="L23" s="2">
        <f xml:space="preserve"> C23 + h/2 * (E23 + J23)</f>
        <v>16.2734375</v>
      </c>
    </row>
    <row r="24" spans="1:12" x14ac:dyDescent="0.25">
      <c r="A24" s="2">
        <f t="shared" ref="A24:A33" si="9">F23</f>
        <v>0.25</v>
      </c>
      <c r="B24" s="2">
        <f t="shared" ref="B24:C33" si="10">K23</f>
        <v>29.6875</v>
      </c>
      <c r="C24" s="2">
        <f t="shared" si="10"/>
        <v>16.2734375</v>
      </c>
      <c r="D24" s="2">
        <f t="shared" ref="D24:D33" si="11">3*B24+6*C24-2*A24</f>
        <v>186.203125</v>
      </c>
      <c r="E24" s="2">
        <f t="shared" ref="E24:E33" si="12" xml:space="preserve"> (-3*A24+5+4*B24+C24)*1/2</f>
        <v>69.63671875</v>
      </c>
      <c r="F24" s="2">
        <f t="shared" ref="F24:F33" si="13">A24+h</f>
        <v>0.5</v>
      </c>
      <c r="G24" s="2">
        <f t="shared" ref="G24:G33" si="14">B24+h*(D24)</f>
        <v>76.23828125</v>
      </c>
      <c r="H24" s="2">
        <f t="shared" ref="H24:H33" si="15">C24+h*E24</f>
        <v>33.6826171875</v>
      </c>
      <c r="I24" s="2">
        <f t="shared" ref="I24:I33" si="16">3*G24+6*H24-2*F24</f>
        <v>429.810546875</v>
      </c>
      <c r="J24" s="2">
        <f t="shared" ref="J24:J33" si="17" xml:space="preserve"> (-3*F24+5+4*G24+H24)*1/2</f>
        <v>171.06787109375</v>
      </c>
      <c r="K24" s="2">
        <f t="shared" ref="K24:K33" si="18">B24+h/2 * (D24 + I24)</f>
        <v>106.689208984375</v>
      </c>
      <c r="L24" s="2">
        <f t="shared" ref="L24:L33" si="19" xml:space="preserve"> C24 + h/2 * (E24 + J24)</f>
        <v>46.36151123046875</v>
      </c>
    </row>
    <row r="25" spans="1:12" x14ac:dyDescent="0.25">
      <c r="A25" s="2">
        <f t="shared" si="9"/>
        <v>0.5</v>
      </c>
      <c r="B25" s="2">
        <f t="shared" si="10"/>
        <v>106.689208984375</v>
      </c>
      <c r="C25" s="25">
        <f t="shared" si="10"/>
        <v>46.36151123046875</v>
      </c>
      <c r="D25" s="2">
        <f t="shared" si="11"/>
        <v>597.2366943359375</v>
      </c>
      <c r="E25" s="2">
        <f t="shared" si="12"/>
        <v>238.30917358398438</v>
      </c>
      <c r="F25" s="2">
        <f t="shared" si="13"/>
        <v>0.75</v>
      </c>
      <c r="G25" s="2">
        <f t="shared" si="14"/>
        <v>255.99838256835938</v>
      </c>
      <c r="H25" s="2">
        <f t="shared" si="15"/>
        <v>105.93880462646484</v>
      </c>
      <c r="I25" s="2">
        <f t="shared" si="16"/>
        <v>1402.1279754638672</v>
      </c>
      <c r="J25" s="2">
        <f t="shared" si="17"/>
        <v>566.34116744995117</v>
      </c>
      <c r="K25" s="2">
        <f t="shared" si="18"/>
        <v>356.60979270935059</v>
      </c>
      <c r="L25" s="2">
        <f t="shared" si="19"/>
        <v>146.94280385971069</v>
      </c>
    </row>
    <row r="26" spans="1:12" x14ac:dyDescent="0.25">
      <c r="A26" s="2">
        <f t="shared" si="9"/>
        <v>0.75</v>
      </c>
      <c r="B26" s="2">
        <f t="shared" si="10"/>
        <v>356.60979270935059</v>
      </c>
      <c r="C26" s="2">
        <f t="shared" si="10"/>
        <v>146.94280385971069</v>
      </c>
      <c r="D26" s="2">
        <f t="shared" si="11"/>
        <v>1949.9862012863159</v>
      </c>
      <c r="E26" s="2">
        <f t="shared" si="12"/>
        <v>788.06598734855652</v>
      </c>
      <c r="F26" s="2">
        <f t="shared" si="13"/>
        <v>1</v>
      </c>
      <c r="G26" s="2">
        <f t="shared" si="14"/>
        <v>844.10634303092957</v>
      </c>
      <c r="H26" s="2">
        <f t="shared" si="15"/>
        <v>343.95930069684982</v>
      </c>
      <c r="I26" s="2">
        <f t="shared" si="16"/>
        <v>4594.0748332738876</v>
      </c>
      <c r="J26" s="2">
        <f t="shared" si="17"/>
        <v>1861.192336410284</v>
      </c>
      <c r="K26" s="2">
        <f t="shared" si="18"/>
        <v>1174.617422029376</v>
      </c>
      <c r="L26" s="2">
        <f t="shared" si="19"/>
        <v>478.10009432956576</v>
      </c>
    </row>
    <row r="27" spans="1:12" x14ac:dyDescent="0.25">
      <c r="A27" s="2">
        <f t="shared" si="9"/>
        <v>1</v>
      </c>
      <c r="B27" s="2">
        <f t="shared" si="10"/>
        <v>1174.617422029376</v>
      </c>
      <c r="C27" s="2">
        <f t="shared" si="10"/>
        <v>478.10009432956576</v>
      </c>
      <c r="D27" s="2">
        <f t="shared" si="11"/>
        <v>6390.4528320655227</v>
      </c>
      <c r="E27" s="2">
        <f t="shared" si="12"/>
        <v>2589.2848912235349</v>
      </c>
      <c r="F27" s="2">
        <f t="shared" si="13"/>
        <v>1.25</v>
      </c>
      <c r="G27" s="2">
        <f t="shared" si="14"/>
        <v>2772.2306300457567</v>
      </c>
      <c r="H27" s="2">
        <f t="shared" si="15"/>
        <v>1125.4213171354495</v>
      </c>
      <c r="I27" s="2">
        <f t="shared" si="16"/>
        <v>15066.719792949967</v>
      </c>
      <c r="J27" s="2">
        <f t="shared" si="17"/>
        <v>6107.7969186592381</v>
      </c>
      <c r="K27" s="2">
        <f t="shared" si="18"/>
        <v>3856.7640001563122</v>
      </c>
      <c r="L27" s="2">
        <f t="shared" si="19"/>
        <v>1565.2353205649124</v>
      </c>
    </row>
    <row r="28" spans="1:12" x14ac:dyDescent="0.25">
      <c r="A28" s="2">
        <f t="shared" si="9"/>
        <v>1.25</v>
      </c>
      <c r="B28" s="2">
        <f t="shared" si="10"/>
        <v>3856.7640001563122</v>
      </c>
      <c r="C28" s="2">
        <f t="shared" si="10"/>
        <v>1565.2353205649124</v>
      </c>
      <c r="D28" s="2">
        <f t="shared" si="11"/>
        <v>20959.203923858411</v>
      </c>
      <c r="E28" s="2">
        <f t="shared" si="12"/>
        <v>8496.7706605950807</v>
      </c>
      <c r="F28" s="2">
        <f t="shared" si="13"/>
        <v>1.5</v>
      </c>
      <c r="G28" s="2">
        <f t="shared" si="14"/>
        <v>9096.564981120915</v>
      </c>
      <c r="H28" s="2">
        <f t="shared" si="15"/>
        <v>3689.4279857136826</v>
      </c>
      <c r="I28" s="2">
        <f t="shared" si="16"/>
        <v>49423.262857644841</v>
      </c>
      <c r="J28" s="2">
        <f t="shared" si="17"/>
        <v>20038.093955098673</v>
      </c>
      <c r="K28" s="2">
        <f t="shared" si="18"/>
        <v>12654.57234784422</v>
      </c>
      <c r="L28" s="2">
        <f t="shared" si="19"/>
        <v>5132.0933975266316</v>
      </c>
    </row>
    <row r="29" spans="1:12" x14ac:dyDescent="0.25">
      <c r="A29" s="2">
        <f t="shared" si="9"/>
        <v>1.5</v>
      </c>
      <c r="B29" s="2">
        <f t="shared" si="10"/>
        <v>12654.57234784422</v>
      </c>
      <c r="C29" s="2">
        <f t="shared" si="10"/>
        <v>5132.0933975266316</v>
      </c>
      <c r="D29" s="2">
        <f t="shared" si="11"/>
        <v>68753.27742869244</v>
      </c>
      <c r="E29" s="2">
        <f t="shared" si="12"/>
        <v>27875.441394451755</v>
      </c>
      <c r="F29" s="2">
        <f t="shared" si="13"/>
        <v>1.75</v>
      </c>
      <c r="G29" s="2">
        <f t="shared" si="14"/>
        <v>29842.89170501733</v>
      </c>
      <c r="H29" s="2">
        <f t="shared" si="15"/>
        <v>12100.95374613957</v>
      </c>
      <c r="I29" s="2">
        <f t="shared" si="16"/>
        <v>162130.89759188943</v>
      </c>
      <c r="J29" s="2">
        <f t="shared" si="17"/>
        <v>65736.13528310445</v>
      </c>
      <c r="K29" s="2">
        <f t="shared" si="18"/>
        <v>41515.094225416949</v>
      </c>
      <c r="L29" s="2">
        <f t="shared" si="19"/>
        <v>16833.540482221157</v>
      </c>
    </row>
    <row r="30" spans="1:12" x14ac:dyDescent="0.25">
      <c r="A30" s="2">
        <f t="shared" si="9"/>
        <v>1.75</v>
      </c>
      <c r="B30" s="2">
        <f t="shared" si="10"/>
        <v>41515.094225416949</v>
      </c>
      <c r="C30" s="2">
        <f t="shared" si="10"/>
        <v>16833.540482221157</v>
      </c>
      <c r="D30" s="2">
        <f t="shared" si="11"/>
        <v>225543.02556957779</v>
      </c>
      <c r="E30" s="2">
        <f t="shared" si="12"/>
        <v>91446.833691944485</v>
      </c>
      <c r="F30" s="2">
        <f t="shared" si="13"/>
        <v>2</v>
      </c>
      <c r="G30" s="2">
        <f t="shared" si="14"/>
        <v>97900.850617811404</v>
      </c>
      <c r="H30" s="2">
        <f t="shared" si="15"/>
        <v>39695.248905207278</v>
      </c>
      <c r="I30" s="2">
        <f t="shared" si="16"/>
        <v>531870.04528467788</v>
      </c>
      <c r="J30" s="2">
        <f t="shared" si="17"/>
        <v>215648.82568822644</v>
      </c>
      <c r="K30" s="2">
        <f t="shared" si="18"/>
        <v>136191.72808219891</v>
      </c>
      <c r="L30" s="2">
        <f t="shared" si="19"/>
        <v>55220.497904742522</v>
      </c>
    </row>
    <row r="31" spans="1:12" x14ac:dyDescent="0.25">
      <c r="A31" s="2">
        <f t="shared" si="9"/>
        <v>2</v>
      </c>
      <c r="B31" s="2">
        <f t="shared" si="10"/>
        <v>136191.72808219891</v>
      </c>
      <c r="C31" s="2">
        <f t="shared" si="10"/>
        <v>55220.497904742522</v>
      </c>
      <c r="D31" s="2">
        <f t="shared" si="11"/>
        <v>739894.17167505191</v>
      </c>
      <c r="E31" s="2">
        <f t="shared" si="12"/>
        <v>299993.20511676907</v>
      </c>
      <c r="F31" s="2">
        <f t="shared" si="13"/>
        <v>2.25</v>
      </c>
      <c r="G31" s="2">
        <f t="shared" si="14"/>
        <v>321165.27100096189</v>
      </c>
      <c r="H31" s="2">
        <f t="shared" si="15"/>
        <v>130218.79918393478</v>
      </c>
      <c r="I31" s="2">
        <f t="shared" si="16"/>
        <v>1744804.1081064944</v>
      </c>
      <c r="J31" s="2">
        <f t="shared" si="17"/>
        <v>707439.06659389113</v>
      </c>
      <c r="K31" s="2">
        <f t="shared" si="18"/>
        <v>446779.01305489219</v>
      </c>
      <c r="L31" s="2">
        <f t="shared" si="19"/>
        <v>181149.53186857505</v>
      </c>
    </row>
    <row r="32" spans="1:12" x14ac:dyDescent="0.25">
      <c r="A32" s="2">
        <f t="shared" si="9"/>
        <v>2.25</v>
      </c>
      <c r="B32" s="2">
        <f t="shared" si="10"/>
        <v>446779.01305489219</v>
      </c>
      <c r="C32" s="2">
        <f t="shared" si="10"/>
        <v>181149.53186857505</v>
      </c>
      <c r="D32" s="2">
        <f t="shared" si="11"/>
        <v>2427229.7303761272</v>
      </c>
      <c r="E32" s="2">
        <f t="shared" si="12"/>
        <v>984131.91704407195</v>
      </c>
      <c r="F32" s="2">
        <f t="shared" si="13"/>
        <v>2.5</v>
      </c>
      <c r="G32" s="2">
        <f t="shared" si="14"/>
        <v>1053586.445648924</v>
      </c>
      <c r="H32" s="2">
        <f t="shared" si="15"/>
        <v>427182.51112959301</v>
      </c>
      <c r="I32" s="2">
        <f t="shared" si="16"/>
        <v>5723849.4037243295</v>
      </c>
      <c r="J32" s="2">
        <f t="shared" si="17"/>
        <v>2320762.8968626447</v>
      </c>
      <c r="K32" s="2">
        <f t="shared" si="18"/>
        <v>1465663.9048174494</v>
      </c>
      <c r="L32" s="2">
        <f t="shared" si="19"/>
        <v>594261.38360691466</v>
      </c>
    </row>
    <row r="33" spans="1:22" x14ac:dyDescent="0.25">
      <c r="A33" s="2">
        <f t="shared" si="9"/>
        <v>2.5</v>
      </c>
      <c r="B33" s="2">
        <f t="shared" si="10"/>
        <v>1465663.9048174494</v>
      </c>
      <c r="C33" s="2">
        <f t="shared" si="10"/>
        <v>594261.38360691466</v>
      </c>
      <c r="D33" s="2">
        <f t="shared" si="11"/>
        <v>7962555.0160938371</v>
      </c>
      <c r="E33" s="2">
        <f t="shared" si="12"/>
        <v>3228457.251438356</v>
      </c>
      <c r="F33" s="2">
        <f t="shared" si="13"/>
        <v>2.75</v>
      </c>
      <c r="G33" s="2">
        <f t="shared" si="14"/>
        <v>3456302.6588409087</v>
      </c>
      <c r="H33" s="2">
        <f t="shared" si="15"/>
        <v>1401375.6964665037</v>
      </c>
      <c r="I33" s="2">
        <f t="shared" si="16"/>
        <v>18777156.655321747</v>
      </c>
      <c r="J33" s="2">
        <f t="shared" si="17"/>
        <v>7613291.5409150692</v>
      </c>
      <c r="K33" s="2">
        <f t="shared" si="18"/>
        <v>4808127.8637443967</v>
      </c>
      <c r="L33" s="2">
        <f t="shared" si="19"/>
        <v>1949479.9826510928</v>
      </c>
    </row>
    <row r="36" spans="1:22" x14ac:dyDescent="0.25">
      <c r="F36" t="s">
        <v>125</v>
      </c>
      <c r="H36" t="s">
        <v>126</v>
      </c>
    </row>
    <row r="37" spans="1:22" x14ac:dyDescent="0.25">
      <c r="B37" s="21" t="s">
        <v>23</v>
      </c>
    </row>
    <row r="38" spans="1:22" x14ac:dyDescent="0.25">
      <c r="A38" s="2" t="s">
        <v>1</v>
      </c>
      <c r="B38" s="2" t="s">
        <v>2</v>
      </c>
      <c r="C38" s="2" t="s">
        <v>14</v>
      </c>
      <c r="D38" s="26" t="s">
        <v>6</v>
      </c>
      <c r="E38" s="26" t="s">
        <v>15</v>
      </c>
      <c r="F38" s="2" t="s">
        <v>7</v>
      </c>
      <c r="G38" s="2" t="s">
        <v>13</v>
      </c>
      <c r="H38" s="2" t="s">
        <v>16</v>
      </c>
      <c r="I38" s="26" t="s">
        <v>8</v>
      </c>
      <c r="J38" s="26" t="s">
        <v>17</v>
      </c>
      <c r="K38" s="2" t="s">
        <v>7</v>
      </c>
      <c r="L38" s="2" t="s">
        <v>9</v>
      </c>
      <c r="M38" s="2" t="s">
        <v>18</v>
      </c>
      <c r="N38" s="26" t="s">
        <v>10</v>
      </c>
      <c r="O38" s="26" t="s">
        <v>19</v>
      </c>
      <c r="P38" s="2" t="s">
        <v>37</v>
      </c>
      <c r="Q38" s="2" t="s">
        <v>11</v>
      </c>
      <c r="R38" s="2" t="s">
        <v>22</v>
      </c>
      <c r="S38" s="26" t="s">
        <v>12</v>
      </c>
      <c r="T38" s="26" t="s">
        <v>20</v>
      </c>
      <c r="U38" s="2" t="s">
        <v>4</v>
      </c>
      <c r="V38" s="2" t="s">
        <v>21</v>
      </c>
    </row>
    <row r="39" spans="1:22" x14ac:dyDescent="0.25">
      <c r="A39" s="11">
        <v>0</v>
      </c>
      <c r="B39" s="17">
        <v>4</v>
      </c>
      <c r="C39" s="17">
        <v>6</v>
      </c>
      <c r="D39" s="17">
        <f>((10+0.04*(B39^2)+(6*A39*C39))/(2))</f>
        <v>5.32</v>
      </c>
      <c r="E39" s="17">
        <f>(-1/3 * B39 * C39 + 4 + 10*A39^2) * 3</f>
        <v>-12</v>
      </c>
      <c r="F39" s="17">
        <f t="shared" ref="F39:F44" si="20">A39+(h/2)</f>
        <v>0.125</v>
      </c>
      <c r="G39" s="17">
        <f t="shared" ref="G39:G44" si="21">B39+(h/2*D39)</f>
        <v>4.665</v>
      </c>
      <c r="H39" s="17">
        <f t="shared" ref="H39:H44" si="22">C39+h/2*E39</f>
        <v>4.5</v>
      </c>
      <c r="I39" s="17">
        <f>((10+0.04*(G39^2)+(6*F39*H39))/(2))</f>
        <v>7.1227444999999996</v>
      </c>
      <c r="J39" s="17">
        <f>(-1/3 * G39 * H39 + 4 + 10*F39^2) * 3</f>
        <v>-8.5237499999999997</v>
      </c>
      <c r="K39" s="17">
        <f t="shared" ref="K39:K44" si="23">A39+(h/2)</f>
        <v>0.125</v>
      </c>
      <c r="L39" s="17">
        <f t="shared" ref="L39:L44" si="24">B39+(h/2*I39)</f>
        <v>4.8903430624999995</v>
      </c>
      <c r="M39" s="17">
        <f t="shared" ref="M39:M44" si="25">C39+h/2*J39</f>
        <v>4.93453125</v>
      </c>
      <c r="N39" s="17">
        <f>((10+0.04*(L39^2)+(6*K39*M39))/(2))</f>
        <v>7.3287583241288381</v>
      </c>
      <c r="O39" s="17">
        <f>(-1/3*L39*M39+4+10*K39^2)*3</f>
        <v>-11.662800665126953</v>
      </c>
      <c r="P39" s="17">
        <f t="shared" ref="P39:P44" si="26">A39+h</f>
        <v>0.25</v>
      </c>
      <c r="Q39" s="17">
        <f t="shared" ref="Q39:R44" si="27">B39+h*N39</f>
        <v>5.8321895810322095</v>
      </c>
      <c r="R39" s="17">
        <f t="shared" si="27"/>
        <v>3.0842998337182617</v>
      </c>
      <c r="S39" s="17">
        <f>((10+0.04*(Q39^2)+(6*P39*R39))/(2))</f>
        <v>7.9935135814707099</v>
      </c>
      <c r="T39" s="17">
        <f>(-1/3*Q39*R39+4+10*P39^2)*3</f>
        <v>-4.1132213549910208</v>
      </c>
      <c r="U39" s="17">
        <f>B39+h/6 * (D39+ 2 * I39 + 2 * N39 + S39)</f>
        <v>5.759021634572016</v>
      </c>
      <c r="V39" s="12">
        <f xml:space="preserve"> C39 + h/6 * (E39 + 2 * J39 + 2 * O39 + T39)</f>
        <v>3.6464032214481286</v>
      </c>
    </row>
    <row r="40" spans="1:22" x14ac:dyDescent="0.25">
      <c r="A40" s="13">
        <f>P39</f>
        <v>0.25</v>
      </c>
      <c r="B40" s="18">
        <f t="shared" ref="B40:C44" si="28">U39</f>
        <v>5.759021634572016</v>
      </c>
      <c r="C40" s="18">
        <f t="shared" si="28"/>
        <v>3.6464032214481286</v>
      </c>
      <c r="D40" s="17">
        <f t="shared" ref="D40:D44" si="29">((10+0.04*(B40^2)+(6*A40*C40))/(2))</f>
        <v>8.3981290198354674</v>
      </c>
      <c r="E40" s="17">
        <f t="shared" ref="E40:E44" si="30">(-1/3 * B40 * C40 + 4 + 10*A40^2) * 3</f>
        <v>-7.1247150406928652</v>
      </c>
      <c r="F40" s="18">
        <f t="shared" si="20"/>
        <v>0.375</v>
      </c>
      <c r="G40" s="18">
        <f t="shared" si="21"/>
        <v>6.8087877620514492</v>
      </c>
      <c r="H40" s="18">
        <f t="shared" si="22"/>
        <v>2.7558138413615203</v>
      </c>
      <c r="I40" s="17">
        <f t="shared" ref="I40:I44" si="31">((10+0.04*(G40^2)+(6*F40*H40))/(2))</f>
        <v>9.0274823873049428</v>
      </c>
      <c r="J40" s="17">
        <f t="shared" ref="J40:J44" si="32">(-1/3 * G40 * H40 + 4 + 10*F40^2) * 3</f>
        <v>-2.5450015575543103</v>
      </c>
      <c r="K40" s="18">
        <f t="shared" si="23"/>
        <v>0.375</v>
      </c>
      <c r="L40" s="18">
        <f t="shared" si="24"/>
        <v>6.8874569329851338</v>
      </c>
      <c r="M40" s="18">
        <f t="shared" si="25"/>
        <v>3.3282780267538397</v>
      </c>
      <c r="N40" s="17">
        <f t="shared" ref="N40:N44" si="33">((10+0.04*(L40^2)+(6*K40*M40))/(2))</f>
        <v>9.6930540401725693</v>
      </c>
      <c r="O40" s="17">
        <f t="shared" ref="O40:O44" si="34">(-1/3*L40*M40+4+10*K40^2)*3</f>
        <v>-6.7046215702678129</v>
      </c>
      <c r="P40" s="18">
        <f t="shared" si="26"/>
        <v>0.5</v>
      </c>
      <c r="Q40" s="18">
        <f t="shared" si="27"/>
        <v>8.1822851446151574</v>
      </c>
      <c r="R40" s="18">
        <f t="shared" si="27"/>
        <v>1.9702478288811753</v>
      </c>
      <c r="S40" s="17">
        <f t="shared" ref="S40:S44" si="35">((10+0.04*(Q40^2)+(6*P40*R40))/(2))</f>
        <v>9.2943675470775595</v>
      </c>
      <c r="T40" s="17">
        <f t="shared" ref="T40:T44" si="36">(-1/3*Q40*R40+4+10*P40^2)*3</f>
        <v>3.3788704585352951</v>
      </c>
      <c r="U40" s="18">
        <f t="shared" ref="U40:U44" si="37">B40+h/6 * (D40+ 2 * I40 + 2 * N40 + S40)</f>
        <v>8.0562536938165188</v>
      </c>
      <c r="V40" s="14">
        <f t="shared" ref="V40:V44" si="38" xml:space="preserve"> C40 + h/6 * (E40 + 2 * J40 + 2 * O40 + T40)</f>
        <v>2.7195244365397198</v>
      </c>
    </row>
    <row r="41" spans="1:22" x14ac:dyDescent="0.25">
      <c r="A41" s="13">
        <f t="shared" ref="A41:A44" si="39">P40</f>
        <v>0.5</v>
      </c>
      <c r="B41" s="18">
        <f t="shared" si="28"/>
        <v>8.0562536938165188</v>
      </c>
      <c r="C41" s="18">
        <f t="shared" si="28"/>
        <v>2.7195244365397198</v>
      </c>
      <c r="D41" s="17">
        <f t="shared" si="29"/>
        <v>10.377351126392226</v>
      </c>
      <c r="E41" s="17">
        <f t="shared" si="30"/>
        <v>-2.409178787297404</v>
      </c>
      <c r="F41" s="18">
        <f t="shared" si="20"/>
        <v>0.625</v>
      </c>
      <c r="G41" s="18">
        <f t="shared" si="21"/>
        <v>9.3534225846155472</v>
      </c>
      <c r="H41" s="18">
        <f t="shared" si="22"/>
        <v>2.4183770881275444</v>
      </c>
      <c r="I41" s="17">
        <f t="shared" si="31"/>
        <v>11.284187321167071</v>
      </c>
      <c r="J41" s="17">
        <f t="shared" si="32"/>
        <v>1.0986471257910431</v>
      </c>
      <c r="K41" s="18">
        <f t="shared" si="23"/>
        <v>0.625</v>
      </c>
      <c r="L41" s="18">
        <f t="shared" si="24"/>
        <v>9.4667771089624022</v>
      </c>
      <c r="M41" s="18">
        <f t="shared" si="25"/>
        <v>2.8568553272636001</v>
      </c>
      <c r="N41" s="17">
        <f t="shared" si="33"/>
        <v>12.149001115234741</v>
      </c>
      <c r="O41" s="17">
        <f t="shared" si="34"/>
        <v>-3.3264626157563413</v>
      </c>
      <c r="P41" s="18">
        <f t="shared" si="26"/>
        <v>0.75</v>
      </c>
      <c r="Q41" s="18">
        <f t="shared" si="27"/>
        <v>11.093503972625204</v>
      </c>
      <c r="R41" s="18">
        <f t="shared" si="27"/>
        <v>1.8879087826006344</v>
      </c>
      <c r="S41" s="17">
        <f t="shared" si="35"/>
        <v>11.70911136866445</v>
      </c>
      <c r="T41" s="17">
        <f t="shared" si="36"/>
        <v>7.9314764202658505</v>
      </c>
      <c r="U41" s="18">
        <f t="shared" si="37"/>
        <v>10.929288667477365</v>
      </c>
      <c r="V41" s="14">
        <f t="shared" si="38"/>
        <v>2.763968880416297</v>
      </c>
    </row>
    <row r="42" spans="1:22" x14ac:dyDescent="0.25">
      <c r="A42" s="13">
        <f t="shared" si="39"/>
        <v>0.75</v>
      </c>
      <c r="B42" s="18">
        <f t="shared" si="28"/>
        <v>10.929288667477365</v>
      </c>
      <c r="C42" s="18">
        <f t="shared" si="28"/>
        <v>2.763968880416297</v>
      </c>
      <c r="D42" s="17">
        <f t="shared" si="29"/>
        <v>13.607916996477652</v>
      </c>
      <c r="E42" s="17">
        <f t="shared" si="30"/>
        <v>-1.3332137619939335</v>
      </c>
      <c r="F42" s="18">
        <f t="shared" si="20"/>
        <v>0.875</v>
      </c>
      <c r="G42" s="18">
        <f t="shared" si="21"/>
        <v>12.630278292037072</v>
      </c>
      <c r="H42" s="18">
        <f t="shared" si="22"/>
        <v>2.5973171601670551</v>
      </c>
      <c r="I42" s="17">
        <f t="shared" si="31"/>
        <v>15.008436140124576</v>
      </c>
      <c r="J42" s="17">
        <f t="shared" si="32"/>
        <v>2.1639114544066747</v>
      </c>
      <c r="K42" s="18">
        <f t="shared" si="23"/>
        <v>0.875</v>
      </c>
      <c r="L42" s="18">
        <f t="shared" si="24"/>
        <v>12.805343184992937</v>
      </c>
      <c r="M42" s="18">
        <f t="shared" si="25"/>
        <v>3.0344578122171315</v>
      </c>
      <c r="N42" s="17">
        <f t="shared" si="33"/>
        <v>16.244988038778871</v>
      </c>
      <c r="O42" s="17">
        <f t="shared" si="34"/>
        <v>-3.8885236658232198</v>
      </c>
      <c r="P42" s="18">
        <f t="shared" si="26"/>
        <v>1</v>
      </c>
      <c r="Q42" s="18">
        <f t="shared" si="27"/>
        <v>14.990535677172083</v>
      </c>
      <c r="R42" s="18">
        <f t="shared" si="27"/>
        <v>1.791837963960492</v>
      </c>
      <c r="S42" s="17">
        <f t="shared" si="35"/>
        <v>14.869837089652858</v>
      </c>
      <c r="T42" s="17">
        <f t="shared" si="36"/>
        <v>15.139389073538863</v>
      </c>
      <c r="U42" s="18">
        <f t="shared" si="37"/>
        <v>14.72031376930809</v>
      </c>
      <c r="V42" s="14">
        <f t="shared" si="38"/>
        <v>3.1955085007792903</v>
      </c>
    </row>
    <row r="43" spans="1:22" x14ac:dyDescent="0.25">
      <c r="A43" s="13">
        <f t="shared" si="39"/>
        <v>1</v>
      </c>
      <c r="B43" s="18">
        <f t="shared" si="28"/>
        <v>14.72031376930809</v>
      </c>
      <c r="C43" s="18">
        <f t="shared" si="28"/>
        <v>3.1955085007792903</v>
      </c>
      <c r="D43" s="17">
        <f t="shared" si="29"/>
        <v>18.920278251675498</v>
      </c>
      <c r="E43" s="17">
        <f t="shared" si="30"/>
        <v>-5.0388877839624371</v>
      </c>
      <c r="F43" s="18">
        <f t="shared" si="20"/>
        <v>1.125</v>
      </c>
      <c r="G43" s="18">
        <f t="shared" si="21"/>
        <v>17.085348550767527</v>
      </c>
      <c r="H43" s="18">
        <f t="shared" si="22"/>
        <v>2.5656475277839856</v>
      </c>
      <c r="I43" s="17">
        <f t="shared" si="31"/>
        <v>19.49724310829523</v>
      </c>
      <c r="J43" s="17">
        <f t="shared" si="32"/>
        <v>6.1337677293955952</v>
      </c>
      <c r="K43" s="18">
        <f t="shared" si="23"/>
        <v>1.125</v>
      </c>
      <c r="L43" s="18">
        <f t="shared" si="24"/>
        <v>17.157469157844993</v>
      </c>
      <c r="M43" s="18">
        <f t="shared" si="25"/>
        <v>3.9622294669537395</v>
      </c>
      <c r="N43" s="17">
        <f t="shared" si="33"/>
        <v>24.260099409016917</v>
      </c>
      <c r="O43" s="17">
        <f t="shared" si="34"/>
        <v>-18.013079875563395</v>
      </c>
      <c r="P43" s="18">
        <f t="shared" si="26"/>
        <v>1.25</v>
      </c>
      <c r="Q43" s="18">
        <f t="shared" si="27"/>
        <v>20.785338621562317</v>
      </c>
      <c r="R43" s="18">
        <f t="shared" si="27"/>
        <v>-1.3077614681115586</v>
      </c>
      <c r="S43" s="17">
        <f t="shared" si="35"/>
        <v>8.7365005268418585</v>
      </c>
      <c r="T43" s="17">
        <f t="shared" si="36"/>
        <v>86.057264950930218</v>
      </c>
      <c r="U43" s="18">
        <f t="shared" si="37"/>
        <v>19.519124761522328</v>
      </c>
      <c r="V43" s="14">
        <f t="shared" si="38"/>
        <v>5.5813315372222974</v>
      </c>
    </row>
    <row r="44" spans="1:22" x14ac:dyDescent="0.25">
      <c r="A44" s="15">
        <f t="shared" si="39"/>
        <v>1.25</v>
      </c>
      <c r="B44" s="19">
        <f t="shared" si="28"/>
        <v>19.519124761522328</v>
      </c>
      <c r="C44" s="20">
        <f t="shared" si="28"/>
        <v>5.5813315372222974</v>
      </c>
      <c r="D44" s="17">
        <f t="shared" si="29"/>
        <v>33.549917893701092</v>
      </c>
      <c r="E44" s="17">
        <f t="shared" si="30"/>
        <v>-50.067706610461215</v>
      </c>
      <c r="F44" s="20">
        <f t="shared" si="20"/>
        <v>1.375</v>
      </c>
      <c r="G44" s="20">
        <f t="shared" si="21"/>
        <v>23.712864498234964</v>
      </c>
      <c r="H44" s="20">
        <f t="shared" si="22"/>
        <v>-0.67713178908535454</v>
      </c>
      <c r="I44" s="17">
        <f t="shared" si="31"/>
        <v>13.452830224255957</v>
      </c>
      <c r="J44" s="17">
        <f t="shared" si="32"/>
        <v>84.775484362028422</v>
      </c>
      <c r="K44" s="20">
        <f t="shared" si="23"/>
        <v>1.375</v>
      </c>
      <c r="L44" s="20">
        <f t="shared" si="24"/>
        <v>21.200728539554323</v>
      </c>
      <c r="M44" s="20">
        <f t="shared" si="25"/>
        <v>16.178267082475848</v>
      </c>
      <c r="N44" s="17">
        <f t="shared" si="33"/>
        <v>80.724769527370341</v>
      </c>
      <c r="O44" s="17">
        <f t="shared" si="34"/>
        <v>-274.27229865597792</v>
      </c>
      <c r="P44" s="20">
        <f t="shared" si="26"/>
        <v>1.5</v>
      </c>
      <c r="Q44" s="20">
        <f t="shared" si="27"/>
        <v>39.700317143364913</v>
      </c>
      <c r="R44" s="20">
        <f t="shared" si="27"/>
        <v>-62.986743126772183</v>
      </c>
      <c r="S44" s="17">
        <f t="shared" si="35"/>
        <v>-246.91804044479971</v>
      </c>
      <c r="T44" s="17">
        <f t="shared" si="36"/>
        <v>2580.0936779605154</v>
      </c>
      <c r="U44" s="20">
        <f t="shared" si="37"/>
        <v>18.476919634528745</v>
      </c>
      <c r="V44" s="16">
        <f t="shared" si="38"/>
        <v>95.207679152312096</v>
      </c>
    </row>
    <row r="65" spans="1:15" x14ac:dyDescent="0.25">
      <c r="A65" s="21" t="s">
        <v>0</v>
      </c>
      <c r="B65" t="s">
        <v>148</v>
      </c>
      <c r="J65" s="9"/>
      <c r="K65" s="18"/>
    </row>
    <row r="66" spans="1:15" x14ac:dyDescent="0.25">
      <c r="J66" s="18"/>
      <c r="K66" s="18"/>
    </row>
    <row r="67" spans="1:15" x14ac:dyDescent="0.25">
      <c r="A67" s="22" t="s">
        <v>142</v>
      </c>
      <c r="B67" s="22">
        <v>0</v>
      </c>
      <c r="J67" s="27"/>
      <c r="K67" s="27"/>
    </row>
    <row r="68" spans="1:15" x14ac:dyDescent="0.25">
      <c r="A68" s="22" t="s">
        <v>144</v>
      </c>
      <c r="B68" s="22">
        <v>0</v>
      </c>
      <c r="J68" s="27"/>
      <c r="K68" s="27"/>
    </row>
    <row r="69" spans="1:15" x14ac:dyDescent="0.25">
      <c r="A69" s="22" t="s">
        <v>145</v>
      </c>
      <c r="B69" s="22">
        <v>0</v>
      </c>
      <c r="J69" s="27"/>
      <c r="K69" s="27"/>
    </row>
    <row r="70" spans="1:15" x14ac:dyDescent="0.25">
      <c r="A70" s="22" t="s">
        <v>143</v>
      </c>
      <c r="B70" s="22">
        <v>0</v>
      </c>
      <c r="J70" s="27"/>
      <c r="K70" s="27"/>
    </row>
    <row r="71" spans="1:15" x14ac:dyDescent="0.25">
      <c r="A71" s="22" t="s">
        <v>147</v>
      </c>
      <c r="B71" s="22">
        <v>1</v>
      </c>
      <c r="J71" s="27"/>
      <c r="K71" s="27"/>
    </row>
    <row r="72" spans="1:15" x14ac:dyDescent="0.25">
      <c r="A72" s="22" t="s">
        <v>146</v>
      </c>
      <c r="B72" s="22">
        <f>(B70-B67)/B71</f>
        <v>0</v>
      </c>
      <c r="J72" s="27"/>
      <c r="K72" s="27"/>
    </row>
    <row r="74" spans="1:15" x14ac:dyDescent="0.25">
      <c r="A74" s="23" t="s">
        <v>1</v>
      </c>
      <c r="B74" s="22" t="s">
        <v>2</v>
      </c>
      <c r="C74" s="22" t="s">
        <v>14</v>
      </c>
      <c r="D74" s="24" t="s">
        <v>149</v>
      </c>
      <c r="E74" s="24" t="s">
        <v>24</v>
      </c>
      <c r="F74" s="22" t="s">
        <v>3</v>
      </c>
      <c r="G74" s="22" t="s">
        <v>4</v>
      </c>
      <c r="H74" s="22" t="s">
        <v>21</v>
      </c>
      <c r="I74" s="7"/>
      <c r="J74" s="7"/>
      <c r="K74" s="7"/>
      <c r="L74" s="7"/>
      <c r="M74" s="7"/>
      <c r="N74" s="7"/>
      <c r="O74" s="7"/>
    </row>
    <row r="75" spans="1:15" x14ac:dyDescent="0.25">
      <c r="A75" s="22">
        <f>B67</f>
        <v>0</v>
      </c>
      <c r="B75" s="22">
        <f>B68</f>
        <v>0</v>
      </c>
      <c r="C75" s="22">
        <f>B69</f>
        <v>0</v>
      </c>
      <c r="D75" s="22"/>
      <c r="E75" s="22"/>
      <c r="F75" s="22">
        <f>A75+$B$72</f>
        <v>0</v>
      </c>
      <c r="G75" s="22">
        <f>B75+$B$72*D75</f>
        <v>0</v>
      </c>
      <c r="H75" s="22">
        <f>C75+$B$72*E75</f>
        <v>0</v>
      </c>
      <c r="I75" s="7"/>
      <c r="J75" s="7"/>
      <c r="K75" s="7"/>
      <c r="L75" s="7"/>
      <c r="M75" s="7"/>
      <c r="N75" s="7"/>
      <c r="O75" s="7"/>
    </row>
    <row r="76" spans="1:15" x14ac:dyDescent="0.25">
      <c r="A76" s="22">
        <f>F75</f>
        <v>0</v>
      </c>
      <c r="B76" s="22">
        <f>G75</f>
        <v>0</v>
      </c>
      <c r="C76" s="22">
        <f>H75</f>
        <v>0</v>
      </c>
      <c r="D76" s="22"/>
      <c r="E76" s="22"/>
      <c r="F76" s="22">
        <f>A76+$B$72</f>
        <v>0</v>
      </c>
      <c r="G76" s="22">
        <f>B76+$B$72*D76</f>
        <v>0</v>
      </c>
      <c r="H76" s="22">
        <f t="shared" ref="H76:H90" si="40">C76+$B$72*E76</f>
        <v>0</v>
      </c>
      <c r="I76" s="7"/>
      <c r="J76" s="7"/>
      <c r="K76" s="7"/>
      <c r="L76" s="7"/>
      <c r="M76" s="7"/>
      <c r="N76" s="7"/>
      <c r="O76" s="7"/>
    </row>
    <row r="77" spans="1:15" x14ac:dyDescent="0.25">
      <c r="A77" s="22">
        <f t="shared" ref="A77:A90" si="41">F76</f>
        <v>0</v>
      </c>
      <c r="B77" s="22">
        <f t="shared" ref="B77:B90" si="42">G76</f>
        <v>0</v>
      </c>
      <c r="C77" s="22">
        <f>H76</f>
        <v>0</v>
      </c>
      <c r="D77" s="22"/>
      <c r="E77" s="22"/>
      <c r="F77" s="22">
        <f t="shared" ref="F77:F90" si="43">A77+$B$72</f>
        <v>0</v>
      </c>
      <c r="G77" s="22">
        <f t="shared" ref="G77:G90" si="44">B77+$B$72*D77</f>
        <v>0</v>
      </c>
      <c r="H77" s="22">
        <f t="shared" si="40"/>
        <v>0</v>
      </c>
      <c r="I77" s="7"/>
      <c r="J77" s="7"/>
      <c r="K77" s="7"/>
      <c r="L77" s="7"/>
      <c r="M77" s="7"/>
      <c r="N77" s="7"/>
      <c r="O77" s="7"/>
    </row>
    <row r="78" spans="1:15" x14ac:dyDescent="0.25">
      <c r="A78" s="22">
        <f t="shared" si="41"/>
        <v>0</v>
      </c>
      <c r="B78" s="22">
        <f t="shared" si="42"/>
        <v>0</v>
      </c>
      <c r="C78" s="22">
        <f t="shared" ref="C78:C90" si="45">H77</f>
        <v>0</v>
      </c>
      <c r="D78" s="22"/>
      <c r="E78" s="22"/>
      <c r="F78" s="22">
        <f t="shared" si="43"/>
        <v>0</v>
      </c>
      <c r="G78" s="22">
        <f t="shared" si="44"/>
        <v>0</v>
      </c>
      <c r="H78" s="22">
        <f t="shared" si="40"/>
        <v>0</v>
      </c>
      <c r="I78" s="7"/>
      <c r="J78" s="7"/>
      <c r="K78" s="7"/>
      <c r="L78" s="7"/>
      <c r="M78" s="7"/>
      <c r="N78" s="7"/>
      <c r="O78" s="7"/>
    </row>
    <row r="79" spans="1:15" x14ac:dyDescent="0.25">
      <c r="A79" s="22">
        <f t="shared" si="41"/>
        <v>0</v>
      </c>
      <c r="B79" s="22">
        <f t="shared" si="42"/>
        <v>0</v>
      </c>
      <c r="C79" s="22">
        <f t="shared" si="45"/>
        <v>0</v>
      </c>
      <c r="D79" s="22"/>
      <c r="E79" s="22"/>
      <c r="F79" s="22">
        <f t="shared" si="43"/>
        <v>0</v>
      </c>
      <c r="G79" s="22">
        <f t="shared" si="44"/>
        <v>0</v>
      </c>
      <c r="H79" s="22">
        <f t="shared" si="40"/>
        <v>0</v>
      </c>
      <c r="I79" s="7"/>
      <c r="J79" s="7"/>
      <c r="K79" s="7"/>
      <c r="L79" s="7"/>
      <c r="M79" s="7"/>
      <c r="N79" s="7"/>
      <c r="O79" s="7"/>
    </row>
    <row r="80" spans="1:15" x14ac:dyDescent="0.25">
      <c r="A80" s="22">
        <f t="shared" si="41"/>
        <v>0</v>
      </c>
      <c r="B80" s="22">
        <f t="shared" si="42"/>
        <v>0</v>
      </c>
      <c r="C80" s="22">
        <f t="shared" si="45"/>
        <v>0</v>
      </c>
      <c r="D80" s="22"/>
      <c r="E80" s="22"/>
      <c r="F80" s="22">
        <f t="shared" si="43"/>
        <v>0</v>
      </c>
      <c r="G80" s="22">
        <f t="shared" si="44"/>
        <v>0</v>
      </c>
      <c r="H80" s="22">
        <f t="shared" si="40"/>
        <v>0</v>
      </c>
      <c r="I80" s="7"/>
      <c r="J80" s="7"/>
      <c r="K80" s="7"/>
      <c r="L80" s="7"/>
      <c r="M80" s="7"/>
      <c r="N80" s="7"/>
      <c r="O80" s="7"/>
    </row>
    <row r="81" spans="1:15" x14ac:dyDescent="0.25">
      <c r="A81" s="22">
        <f t="shared" si="41"/>
        <v>0</v>
      </c>
      <c r="B81" s="22">
        <f t="shared" si="42"/>
        <v>0</v>
      </c>
      <c r="C81" s="22">
        <f t="shared" si="45"/>
        <v>0</v>
      </c>
      <c r="D81" s="22"/>
      <c r="E81" s="22"/>
      <c r="F81" s="22">
        <f t="shared" si="43"/>
        <v>0</v>
      </c>
      <c r="G81" s="22">
        <f t="shared" si="44"/>
        <v>0</v>
      </c>
      <c r="H81" s="22">
        <f t="shared" si="40"/>
        <v>0</v>
      </c>
      <c r="I81" s="7"/>
      <c r="J81" s="7"/>
      <c r="K81" s="7"/>
      <c r="L81" s="7"/>
      <c r="M81" s="7"/>
      <c r="N81" s="7"/>
      <c r="O81" s="7"/>
    </row>
    <row r="82" spans="1:15" x14ac:dyDescent="0.25">
      <c r="A82" s="22">
        <f t="shared" si="41"/>
        <v>0</v>
      </c>
      <c r="B82" s="22">
        <f t="shared" si="42"/>
        <v>0</v>
      </c>
      <c r="C82" s="22">
        <f t="shared" si="45"/>
        <v>0</v>
      </c>
      <c r="D82" s="22"/>
      <c r="E82" s="22"/>
      <c r="F82" s="22">
        <f t="shared" si="43"/>
        <v>0</v>
      </c>
      <c r="G82" s="22">
        <f t="shared" si="44"/>
        <v>0</v>
      </c>
      <c r="H82" s="22">
        <f t="shared" si="40"/>
        <v>0</v>
      </c>
      <c r="I82" s="7"/>
      <c r="J82" s="7"/>
      <c r="K82" s="7"/>
      <c r="L82" s="7"/>
      <c r="M82" s="7"/>
      <c r="N82" s="7"/>
      <c r="O82" s="7"/>
    </row>
    <row r="83" spans="1:15" x14ac:dyDescent="0.25">
      <c r="A83" s="22">
        <f t="shared" si="41"/>
        <v>0</v>
      </c>
      <c r="B83" s="22">
        <f t="shared" si="42"/>
        <v>0</v>
      </c>
      <c r="C83" s="22">
        <f t="shared" si="45"/>
        <v>0</v>
      </c>
      <c r="D83" s="2"/>
      <c r="E83" s="2"/>
      <c r="F83" s="22">
        <f t="shared" si="43"/>
        <v>0</v>
      </c>
      <c r="G83" s="22">
        <f t="shared" si="44"/>
        <v>0</v>
      </c>
      <c r="H83" s="22">
        <f t="shared" si="40"/>
        <v>0</v>
      </c>
    </row>
    <row r="84" spans="1:15" x14ac:dyDescent="0.25">
      <c r="A84" s="22">
        <f t="shared" si="41"/>
        <v>0</v>
      </c>
      <c r="B84" s="22">
        <f t="shared" si="42"/>
        <v>0</v>
      </c>
      <c r="C84" s="22">
        <f t="shared" si="45"/>
        <v>0</v>
      </c>
      <c r="D84" s="2"/>
      <c r="E84" s="2"/>
      <c r="F84" s="22">
        <f t="shared" si="43"/>
        <v>0</v>
      </c>
      <c r="G84" s="22">
        <f t="shared" si="44"/>
        <v>0</v>
      </c>
      <c r="H84" s="22">
        <f t="shared" si="40"/>
        <v>0</v>
      </c>
    </row>
    <row r="85" spans="1:15" x14ac:dyDescent="0.25">
      <c r="A85" s="22">
        <f t="shared" si="41"/>
        <v>0</v>
      </c>
      <c r="B85" s="22">
        <f t="shared" si="42"/>
        <v>0</v>
      </c>
      <c r="C85" s="22">
        <f t="shared" si="45"/>
        <v>0</v>
      </c>
      <c r="D85" s="2"/>
      <c r="E85" s="2"/>
      <c r="F85" s="22">
        <f t="shared" si="43"/>
        <v>0</v>
      </c>
      <c r="G85" s="22">
        <f t="shared" si="44"/>
        <v>0</v>
      </c>
      <c r="H85" s="22">
        <f t="shared" si="40"/>
        <v>0</v>
      </c>
    </row>
    <row r="86" spans="1:15" x14ac:dyDescent="0.25">
      <c r="A86" s="22">
        <f t="shared" si="41"/>
        <v>0</v>
      </c>
      <c r="B86" s="22">
        <f t="shared" si="42"/>
        <v>0</v>
      </c>
      <c r="C86" s="22">
        <f t="shared" si="45"/>
        <v>0</v>
      </c>
      <c r="D86" s="2"/>
      <c r="E86" s="2"/>
      <c r="F86" s="22">
        <f t="shared" si="43"/>
        <v>0</v>
      </c>
      <c r="G86" s="22">
        <f t="shared" si="44"/>
        <v>0</v>
      </c>
      <c r="H86" s="22">
        <f t="shared" si="40"/>
        <v>0</v>
      </c>
    </row>
    <row r="87" spans="1:15" x14ac:dyDescent="0.25">
      <c r="A87" s="22">
        <f t="shared" si="41"/>
        <v>0</v>
      </c>
      <c r="B87" s="22">
        <f t="shared" si="42"/>
        <v>0</v>
      </c>
      <c r="C87" s="22">
        <f t="shared" si="45"/>
        <v>0</v>
      </c>
      <c r="D87" s="2"/>
      <c r="E87" s="2"/>
      <c r="F87" s="22">
        <f t="shared" si="43"/>
        <v>0</v>
      </c>
      <c r="G87" s="22">
        <f t="shared" si="44"/>
        <v>0</v>
      </c>
      <c r="H87" s="22">
        <f t="shared" si="40"/>
        <v>0</v>
      </c>
    </row>
    <row r="88" spans="1:15" x14ac:dyDescent="0.25">
      <c r="A88" s="22">
        <f t="shared" si="41"/>
        <v>0</v>
      </c>
      <c r="B88" s="22">
        <f t="shared" si="42"/>
        <v>0</v>
      </c>
      <c r="C88" s="22">
        <f t="shared" si="45"/>
        <v>0</v>
      </c>
      <c r="D88" s="2"/>
      <c r="E88" s="2"/>
      <c r="F88" s="22">
        <f t="shared" si="43"/>
        <v>0</v>
      </c>
      <c r="G88" s="22">
        <f t="shared" si="44"/>
        <v>0</v>
      </c>
      <c r="H88" s="22">
        <f t="shared" si="40"/>
        <v>0</v>
      </c>
    </row>
    <row r="89" spans="1:15" x14ac:dyDescent="0.25">
      <c r="A89" s="22">
        <f t="shared" si="41"/>
        <v>0</v>
      </c>
      <c r="B89" s="22">
        <f t="shared" si="42"/>
        <v>0</v>
      </c>
      <c r="C89" s="22">
        <f t="shared" si="45"/>
        <v>0</v>
      </c>
      <c r="D89" s="2"/>
      <c r="E89" s="2"/>
      <c r="F89" s="22">
        <f t="shared" si="43"/>
        <v>0</v>
      </c>
      <c r="G89" s="22">
        <f t="shared" si="44"/>
        <v>0</v>
      </c>
      <c r="H89" s="22">
        <f t="shared" si="40"/>
        <v>0</v>
      </c>
    </row>
    <row r="90" spans="1:15" x14ac:dyDescent="0.25">
      <c r="A90" s="22">
        <f t="shared" si="41"/>
        <v>0</v>
      </c>
      <c r="B90" s="22">
        <f t="shared" si="42"/>
        <v>0</v>
      </c>
      <c r="C90" s="22">
        <f t="shared" si="45"/>
        <v>0</v>
      </c>
      <c r="D90" s="2"/>
      <c r="E90" s="2"/>
      <c r="F90" s="22">
        <f t="shared" si="43"/>
        <v>0</v>
      </c>
      <c r="G90" s="22">
        <f t="shared" si="44"/>
        <v>0</v>
      </c>
      <c r="H90" s="22">
        <f t="shared" si="40"/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12F86-2629-42E1-8ADE-59627EEFE435}">
  <dimension ref="B15:X113"/>
  <sheetViews>
    <sheetView topLeftCell="K1" zoomScaleNormal="100" workbookViewId="0">
      <selection activeCell="M113" sqref="M113"/>
    </sheetView>
  </sheetViews>
  <sheetFormatPr baseColWidth="10" defaultRowHeight="15" x14ac:dyDescent="0.25"/>
  <cols>
    <col min="2" max="2" width="27.5703125" customWidth="1"/>
    <col min="12" max="12" width="7.7109375" customWidth="1"/>
    <col min="13" max="13" width="34.42578125" customWidth="1"/>
    <col min="19" max="19" width="26.85546875" customWidth="1"/>
    <col min="20" max="20" width="33.85546875" customWidth="1"/>
    <col min="24" max="24" width="18.42578125" customWidth="1"/>
  </cols>
  <sheetData>
    <row r="15" spans="19:19" x14ac:dyDescent="0.25">
      <c r="S15" t="s">
        <v>72</v>
      </c>
    </row>
    <row r="16" spans="19:19" x14ac:dyDescent="0.25">
      <c r="S16" t="s">
        <v>73</v>
      </c>
    </row>
    <row r="17" spans="2:24" x14ac:dyDescent="0.25">
      <c r="B17" t="s">
        <v>65</v>
      </c>
      <c r="S17" t="s">
        <v>74</v>
      </c>
    </row>
    <row r="18" spans="2:24" x14ac:dyDescent="0.25">
      <c r="B18" t="s">
        <v>70</v>
      </c>
      <c r="S18" t="s">
        <v>75</v>
      </c>
    </row>
    <row r="19" spans="2:24" x14ac:dyDescent="0.25">
      <c r="B19" s="1" t="s">
        <v>71</v>
      </c>
      <c r="S19" s="1">
        <f>4*6.9250654047507 - LN(6.9250654047507+1)</f>
        <v>25.630231046308122</v>
      </c>
    </row>
    <row r="20" spans="2:24" x14ac:dyDescent="0.25">
      <c r="X20" t="s">
        <v>108</v>
      </c>
    </row>
    <row r="21" spans="2:24" x14ac:dyDescent="0.25">
      <c r="X21" t="s">
        <v>109</v>
      </c>
    </row>
    <row r="22" spans="2:24" x14ac:dyDescent="0.25">
      <c r="X22" t="s">
        <v>110</v>
      </c>
    </row>
    <row r="23" spans="2:24" x14ac:dyDescent="0.25">
      <c r="X23" t="s">
        <v>111</v>
      </c>
    </row>
    <row r="24" spans="2:24" x14ac:dyDescent="0.25">
      <c r="X24" s="1">
        <f>1/3.8971641090804+EXP(3.8971641090804-5)</f>
        <v>0.58852527606360538</v>
      </c>
    </row>
    <row r="25" spans="2:24" x14ac:dyDescent="0.25">
      <c r="M25" t="s">
        <v>66</v>
      </c>
    </row>
    <row r="26" spans="2:24" x14ac:dyDescent="0.25">
      <c r="M26" t="s">
        <v>67</v>
      </c>
    </row>
    <row r="27" spans="2:24" x14ac:dyDescent="0.25">
      <c r="M27" t="s">
        <v>68</v>
      </c>
    </row>
    <row r="29" spans="2:24" x14ac:dyDescent="0.25">
      <c r="M29" t="s">
        <v>69</v>
      </c>
    </row>
    <row r="30" spans="2:24" x14ac:dyDescent="0.25">
      <c r="M30" s="1">
        <f xml:space="preserve"> 5 * 8.0638188098105 - LN(8.0638188098105+1)</f>
        <v>38.114803515618121</v>
      </c>
    </row>
    <row r="37" spans="2:24" x14ac:dyDescent="0.25">
      <c r="B37" t="s">
        <v>76</v>
      </c>
    </row>
    <row r="38" spans="2:24" x14ac:dyDescent="0.25">
      <c r="B38" t="s">
        <v>77</v>
      </c>
    </row>
    <row r="39" spans="2:24" x14ac:dyDescent="0.25">
      <c r="B39" t="s">
        <v>78</v>
      </c>
    </row>
    <row r="40" spans="2:24" x14ac:dyDescent="0.25">
      <c r="B40" t="s">
        <v>79</v>
      </c>
      <c r="C40" s="1">
        <f xml:space="preserve"> 1000 * 58.013</f>
        <v>58013</v>
      </c>
    </row>
    <row r="41" spans="2:24" x14ac:dyDescent="0.25">
      <c r="S41" t="s">
        <v>86</v>
      </c>
    </row>
    <row r="42" spans="2:24" x14ac:dyDescent="0.25">
      <c r="S42" t="s">
        <v>87</v>
      </c>
    </row>
    <row r="43" spans="2:24" x14ac:dyDescent="0.25">
      <c r="S43" t="s">
        <v>88</v>
      </c>
    </row>
    <row r="44" spans="2:24" x14ac:dyDescent="0.25">
      <c r="S44" t="s">
        <v>89</v>
      </c>
      <c r="X44" t="s">
        <v>76</v>
      </c>
    </row>
    <row r="45" spans="2:24" x14ac:dyDescent="0.25">
      <c r="S45" s="1">
        <f>1/3.2913188205167 + EXP(3.2913188205167-6)</f>
        <v>0.37045419018749026</v>
      </c>
      <c r="X45" t="s">
        <v>77</v>
      </c>
    </row>
    <row r="46" spans="2:24" x14ac:dyDescent="0.25">
      <c r="X46" t="s">
        <v>132</v>
      </c>
    </row>
    <row r="47" spans="2:24" x14ac:dyDescent="0.25">
      <c r="X47" t="s">
        <v>133</v>
      </c>
    </row>
    <row r="48" spans="2:24" x14ac:dyDescent="0.25">
      <c r="X48" t="s">
        <v>134</v>
      </c>
    </row>
    <row r="49" spans="2:24" x14ac:dyDescent="0.25">
      <c r="X49" s="1">
        <f xml:space="preserve"> 31.913 * 1000</f>
        <v>31913</v>
      </c>
    </row>
    <row r="54" spans="2:24" x14ac:dyDescent="0.25">
      <c r="B54" t="s">
        <v>90</v>
      </c>
    </row>
    <row r="55" spans="2:24" x14ac:dyDescent="0.25">
      <c r="B55" t="s">
        <v>91</v>
      </c>
      <c r="M55" t="s">
        <v>80</v>
      </c>
      <c r="N55" t="s">
        <v>81</v>
      </c>
    </row>
    <row r="56" spans="2:24" x14ac:dyDescent="0.25">
      <c r="B56" s="1" t="s">
        <v>92</v>
      </c>
      <c r="M56" t="s">
        <v>82</v>
      </c>
    </row>
    <row r="57" spans="2:24" x14ac:dyDescent="0.25">
      <c r="M57" t="s">
        <v>83</v>
      </c>
    </row>
    <row r="58" spans="2:24" x14ac:dyDescent="0.25">
      <c r="M58" t="s">
        <v>84</v>
      </c>
    </row>
    <row r="59" spans="2:24" x14ac:dyDescent="0.25">
      <c r="M59" t="s">
        <v>85</v>
      </c>
    </row>
    <row r="60" spans="2:24" x14ac:dyDescent="0.25">
      <c r="M60" s="1">
        <f>639.353953859682 * 1000000</f>
        <v>639353953.85968196</v>
      </c>
    </row>
    <row r="76" spans="2:21" x14ac:dyDescent="0.25">
      <c r="B76" t="s">
        <v>93</v>
      </c>
    </row>
    <row r="77" spans="2:21" x14ac:dyDescent="0.25">
      <c r="B77" t="s">
        <v>94</v>
      </c>
    </row>
    <row r="78" spans="2:21" x14ac:dyDescent="0.25">
      <c r="B78" t="s">
        <v>95</v>
      </c>
    </row>
    <row r="79" spans="2:21" x14ac:dyDescent="0.25">
      <c r="B79" s="1">
        <f>2.0829 * 1000</f>
        <v>2082.9</v>
      </c>
    </row>
    <row r="80" spans="2:21" x14ac:dyDescent="0.25">
      <c r="B80" t="s">
        <v>96</v>
      </c>
      <c r="T80" t="s">
        <v>104</v>
      </c>
      <c r="U80" t="s">
        <v>105</v>
      </c>
    </row>
    <row r="81" spans="13:20" x14ac:dyDescent="0.25">
      <c r="M81" t="s">
        <v>97</v>
      </c>
      <c r="T81" t="s">
        <v>106</v>
      </c>
    </row>
    <row r="82" spans="13:20" x14ac:dyDescent="0.25">
      <c r="M82" t="s">
        <v>98</v>
      </c>
      <c r="N82" t="s">
        <v>99</v>
      </c>
      <c r="T82" t="s">
        <v>107</v>
      </c>
    </row>
    <row r="83" spans="13:20" x14ac:dyDescent="0.25">
      <c r="M83" t="s">
        <v>100</v>
      </c>
      <c r="N83" t="s">
        <v>101</v>
      </c>
      <c r="T83" s="1">
        <f>29.088 * 1000</f>
        <v>29088</v>
      </c>
    </row>
    <row r="84" spans="13:20" x14ac:dyDescent="0.25">
      <c r="M84" t="s">
        <v>102</v>
      </c>
    </row>
    <row r="85" spans="13:20" x14ac:dyDescent="0.25">
      <c r="M85" t="s">
        <v>103</v>
      </c>
    </row>
    <row r="86" spans="13:20" x14ac:dyDescent="0.25">
      <c r="M86" s="1">
        <f xml:space="preserve"> 466.345863047306 * 1000000</f>
        <v>466345863.047306</v>
      </c>
    </row>
    <row r="100" spans="2:20" x14ac:dyDescent="0.25">
      <c r="B100" t="s">
        <v>112</v>
      </c>
      <c r="C100" t="s">
        <v>117</v>
      </c>
    </row>
    <row r="101" spans="2:20" x14ac:dyDescent="0.25">
      <c r="B101" t="s">
        <v>113</v>
      </c>
    </row>
    <row r="102" spans="2:20" x14ac:dyDescent="0.25">
      <c r="B102" t="s">
        <v>116</v>
      </c>
      <c r="T102" t="s">
        <v>139</v>
      </c>
    </row>
    <row r="103" spans="2:20" x14ac:dyDescent="0.25">
      <c r="B103" t="s">
        <v>114</v>
      </c>
      <c r="T103" t="s">
        <v>140</v>
      </c>
    </row>
    <row r="104" spans="2:20" x14ac:dyDescent="0.25">
      <c r="B104" s="1" t="s">
        <v>115</v>
      </c>
      <c r="T104" t="s">
        <v>141</v>
      </c>
    </row>
    <row r="105" spans="2:20" x14ac:dyDescent="0.25">
      <c r="T105" s="1">
        <f xml:space="preserve"> 3.943 * 1000</f>
        <v>3943</v>
      </c>
    </row>
    <row r="109" spans="2:20" x14ac:dyDescent="0.25">
      <c r="M109" t="s">
        <v>135</v>
      </c>
    </row>
    <row r="110" spans="2:20" x14ac:dyDescent="0.25">
      <c r="M110" t="s">
        <v>136</v>
      </c>
    </row>
    <row r="111" spans="2:20" x14ac:dyDescent="0.25">
      <c r="M111" t="s">
        <v>137</v>
      </c>
    </row>
    <row r="112" spans="2:20" x14ac:dyDescent="0.25">
      <c r="M112" t="s">
        <v>114</v>
      </c>
    </row>
    <row r="113" spans="13:13" x14ac:dyDescent="0.25">
      <c r="M113" s="1" t="s">
        <v>138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4</vt:i4>
      </vt:variant>
    </vt:vector>
  </HeadingPairs>
  <TitlesOfParts>
    <vt:vector size="7" baseType="lpstr">
      <vt:lpstr>Minimos Cuadrados</vt:lpstr>
      <vt:lpstr>Ec.Diferencial</vt:lpstr>
      <vt:lpstr>Newton-Raphson</vt:lpstr>
      <vt:lpstr>a</vt:lpstr>
      <vt:lpstr>b</vt:lpstr>
      <vt:lpstr>d</vt:lpstr>
      <vt:lpstr>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 Milone</dc:creator>
  <cp:lastModifiedBy>Magno_31</cp:lastModifiedBy>
  <dcterms:created xsi:type="dcterms:W3CDTF">2021-06-24T15:47:33Z</dcterms:created>
  <dcterms:modified xsi:type="dcterms:W3CDTF">2021-07-03T18:46:36Z</dcterms:modified>
</cp:coreProperties>
</file>