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ocuments\SAADS\RESAD\Stage RESAD\Stage GEAU\Traitement\"/>
    </mc:Choice>
  </mc:AlternateContent>
  <xr:revisionPtr revIDLastSave="0" documentId="8_{256A9F2F-D2A1-485C-B8C8-EFFCF414FB3D}" xr6:coauthVersionLast="45" xr6:coauthVersionMax="45" xr10:uidLastSave="{00000000-0000-0000-0000-000000000000}"/>
  <bookViews>
    <workbookView xWindow="-108" yWindow="-108" windowWidth="23256" windowHeight="12576" tabRatio="699" xr2:uid="{A8D38E9D-FCF0-46D2-A8AD-F305713A213F}"/>
  </bookViews>
  <sheets>
    <sheet name="îlot" sheetId="1" r:id="rId1"/>
    <sheet name="parcelle" sheetId="2" r:id="rId2"/>
    <sheet name="exploitation" sheetId="9" r:id="rId3"/>
    <sheet name="typo" sheetId="8" r:id="rId4"/>
    <sheet name="info 1" sheetId="16" r:id="rId5"/>
    <sheet name="info 2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8" l="1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10" i="8"/>
  <c r="O14" i="1"/>
  <c r="C22" i="8" s="1"/>
  <c r="C19" i="2" l="1"/>
  <c r="B19" i="2" s="1"/>
  <c r="C20" i="2"/>
  <c r="B20" i="2" s="1"/>
  <c r="C21" i="2"/>
  <c r="B21" i="2" s="1"/>
  <c r="C22" i="2"/>
  <c r="B22" i="2" s="1"/>
  <c r="C23" i="2"/>
  <c r="B23" i="2" s="1"/>
  <c r="C32" i="2"/>
  <c r="B32" i="2" s="1"/>
  <c r="C33" i="2"/>
  <c r="B33" i="2" s="1"/>
  <c r="C34" i="2"/>
  <c r="B34" i="2" s="1"/>
  <c r="C35" i="2"/>
  <c r="B35" i="2" s="1"/>
  <c r="C36" i="2"/>
  <c r="B36" i="2" s="1"/>
  <c r="C37" i="2"/>
  <c r="B37" i="2" s="1"/>
  <c r="C38" i="2"/>
  <c r="B38" i="2" s="1"/>
  <c r="C39" i="2"/>
  <c r="B39" i="2" s="1"/>
  <c r="C40" i="2"/>
  <c r="B40" i="2" s="1"/>
  <c r="C55" i="2"/>
  <c r="B55" i="2" s="1"/>
  <c r="C56" i="2"/>
  <c r="B56" i="2" s="1"/>
  <c r="C57" i="2"/>
  <c r="B57" i="2" s="1"/>
  <c r="C58" i="2"/>
  <c r="B58" i="2" s="1"/>
  <c r="C59" i="2"/>
  <c r="B59" i="2" s="1"/>
  <c r="C60" i="2"/>
  <c r="B60" i="2" s="1"/>
  <c r="C61" i="2"/>
  <c r="B61" i="2" s="1"/>
  <c r="C62" i="2"/>
  <c r="B62" i="2" s="1"/>
  <c r="C63" i="2"/>
  <c r="B63" i="2" s="1"/>
  <c r="C64" i="2"/>
  <c r="B64" i="2" s="1"/>
  <c r="C65" i="2"/>
  <c r="B65" i="2" s="1"/>
  <c r="C66" i="2"/>
  <c r="B66" i="2" s="1"/>
  <c r="C67" i="2"/>
  <c r="B67" i="2" s="1"/>
  <c r="C68" i="2"/>
  <c r="B68" i="2" s="1"/>
  <c r="C69" i="2"/>
  <c r="B69" i="2" s="1"/>
  <c r="C70" i="2"/>
  <c r="B70" i="2" s="1"/>
  <c r="C71" i="2"/>
  <c r="B71" i="2" s="1"/>
  <c r="C72" i="2"/>
  <c r="B72" i="2" s="1"/>
  <c r="C73" i="2"/>
  <c r="B73" i="2" s="1"/>
  <c r="C74" i="2"/>
  <c r="B74" i="2" s="1"/>
  <c r="C75" i="2"/>
  <c r="B75" i="2" s="1"/>
  <c r="C76" i="2"/>
  <c r="B76" i="2" s="1"/>
  <c r="C77" i="2"/>
  <c r="B77" i="2" s="1"/>
  <c r="C78" i="2"/>
  <c r="B78" i="2" s="1"/>
  <c r="C79" i="2"/>
  <c r="B79" i="2" s="1"/>
  <c r="C80" i="2"/>
  <c r="B80" i="2" s="1"/>
  <c r="C81" i="2"/>
  <c r="B81" i="2" s="1"/>
  <c r="C82" i="2"/>
  <c r="B82" i="2" s="1"/>
  <c r="C83" i="2"/>
  <c r="B83" i="2" s="1"/>
  <c r="C84" i="2"/>
  <c r="B84" i="2" s="1"/>
  <c r="C85" i="2"/>
  <c r="B85" i="2" s="1"/>
  <c r="C86" i="2"/>
  <c r="B86" i="2" s="1"/>
  <c r="C87" i="2"/>
  <c r="B87" i="2" s="1"/>
  <c r="C88" i="2"/>
  <c r="B88" i="2" s="1"/>
  <c r="C89" i="2"/>
  <c r="B89" i="2" s="1"/>
  <c r="C90" i="2"/>
  <c r="B90" i="2" s="1"/>
  <c r="C91" i="2"/>
  <c r="B91" i="2" s="1"/>
  <c r="C92" i="2"/>
  <c r="B92" i="2" s="1"/>
  <c r="C93" i="2"/>
  <c r="B93" i="2" s="1"/>
  <c r="C94" i="2"/>
  <c r="B94" i="2" s="1"/>
  <c r="C95" i="2"/>
  <c r="B95" i="2" s="1"/>
  <c r="C96" i="2"/>
  <c r="B96" i="2" s="1"/>
  <c r="C97" i="2"/>
  <c r="B97" i="2" s="1"/>
  <c r="C98" i="2"/>
  <c r="B98" i="2" s="1"/>
  <c r="C99" i="2"/>
  <c r="B99" i="2" s="1"/>
  <c r="C100" i="2"/>
  <c r="B100" i="2" s="1"/>
  <c r="C101" i="2"/>
  <c r="B101" i="2" s="1"/>
  <c r="C102" i="2"/>
  <c r="B102" i="2" s="1"/>
  <c r="C103" i="2"/>
  <c r="B103" i="2" s="1"/>
  <c r="C104" i="2"/>
  <c r="B104" i="2" s="1"/>
  <c r="C105" i="2"/>
  <c r="B105" i="2" s="1"/>
  <c r="C106" i="2"/>
  <c r="B106" i="2" s="1"/>
  <c r="C107" i="2"/>
  <c r="B107" i="2" s="1"/>
  <c r="C108" i="2"/>
  <c r="B108" i="2" s="1"/>
  <c r="C109" i="2"/>
  <c r="B109" i="2" s="1"/>
  <c r="C123" i="2"/>
  <c r="B123" i="2" s="1"/>
  <c r="C124" i="2"/>
  <c r="B124" i="2" s="1"/>
  <c r="C125" i="2"/>
  <c r="B125" i="2" s="1"/>
  <c r="C126" i="2"/>
  <c r="B126" i="2" s="1"/>
  <c r="C127" i="2"/>
  <c r="B127" i="2" s="1"/>
  <c r="C128" i="2"/>
  <c r="B128" i="2" s="1"/>
  <c r="C129" i="2"/>
  <c r="B129" i="2" s="1"/>
  <c r="C130" i="2"/>
  <c r="B130" i="2" s="1"/>
  <c r="C131" i="2"/>
  <c r="B131" i="2" s="1"/>
  <c r="C132" i="2"/>
  <c r="B132" i="2" s="1"/>
  <c r="C133" i="2"/>
  <c r="B133" i="2" s="1"/>
  <c r="C134" i="2"/>
  <c r="B134" i="2" s="1"/>
  <c r="C135" i="2"/>
  <c r="B135" i="2" s="1"/>
  <c r="C136" i="2"/>
  <c r="B136" i="2" s="1"/>
  <c r="C137" i="2"/>
  <c r="B137" i="2" s="1"/>
  <c r="C138" i="2"/>
  <c r="B138" i="2" s="1"/>
  <c r="C139" i="2"/>
  <c r="B139" i="2" s="1"/>
  <c r="C140" i="2"/>
  <c r="B140" i="2" s="1"/>
  <c r="C141" i="2"/>
  <c r="B141" i="2" s="1"/>
  <c r="C142" i="2"/>
  <c r="B142" i="2" s="1"/>
  <c r="C143" i="2"/>
  <c r="B143" i="2" s="1"/>
  <c r="C144" i="2"/>
  <c r="B144" i="2" s="1"/>
  <c r="C145" i="2"/>
  <c r="B145" i="2" s="1"/>
  <c r="C146" i="2"/>
  <c r="B146" i="2" s="1"/>
  <c r="C147" i="2"/>
  <c r="B147" i="2" s="1"/>
  <c r="C148" i="2"/>
  <c r="B148" i="2" s="1"/>
  <c r="C149" i="2"/>
  <c r="B149" i="2" s="1"/>
  <c r="C150" i="2"/>
  <c r="B150" i="2" s="1"/>
  <c r="C151" i="2"/>
  <c r="B151" i="2" s="1"/>
  <c r="C152" i="2"/>
  <c r="B152" i="2" s="1"/>
  <c r="C153" i="2"/>
  <c r="B153" i="2" s="1"/>
  <c r="C154" i="2"/>
  <c r="B154" i="2" s="1"/>
  <c r="C155" i="2"/>
  <c r="B155" i="2" s="1"/>
  <c r="C156" i="2"/>
  <c r="B156" i="2" s="1"/>
  <c r="C157" i="2"/>
  <c r="B157" i="2" s="1"/>
  <c r="C158" i="2"/>
  <c r="B158" i="2" s="1"/>
  <c r="C159" i="2"/>
  <c r="B159" i="2" s="1"/>
  <c r="C160" i="2"/>
  <c r="B160" i="2" s="1"/>
  <c r="C161" i="2"/>
  <c r="B161" i="2" s="1"/>
  <c r="C162" i="2"/>
  <c r="B162" i="2" s="1"/>
  <c r="C163" i="2"/>
  <c r="B163" i="2" s="1"/>
  <c r="C164" i="2"/>
  <c r="B164" i="2" s="1"/>
  <c r="C165" i="2"/>
  <c r="B165" i="2" s="1"/>
  <c r="C41" i="2"/>
  <c r="B41" i="2" s="1"/>
  <c r="C42" i="2"/>
  <c r="B42" i="2" s="1"/>
  <c r="C43" i="2"/>
  <c r="B43" i="2" s="1"/>
  <c r="C44" i="2"/>
  <c r="B44" i="2" s="1"/>
  <c r="C45" i="2"/>
  <c r="B45" i="2" s="1"/>
  <c r="C46" i="2"/>
  <c r="B46" i="2" s="1"/>
  <c r="C47" i="2"/>
  <c r="B47" i="2" s="1"/>
  <c r="C48" i="2"/>
  <c r="B48" i="2" s="1"/>
  <c r="C49" i="2"/>
  <c r="B49" i="2" s="1"/>
  <c r="C50" i="2"/>
  <c r="B50" i="2" s="1"/>
  <c r="C51" i="2"/>
  <c r="B51" i="2" s="1"/>
  <c r="C52" i="2"/>
  <c r="B52" i="2" s="1"/>
  <c r="C53" i="2"/>
  <c r="B53" i="2" s="1"/>
  <c r="C54" i="2"/>
  <c r="B54" i="2" s="1"/>
  <c r="C24" i="2"/>
  <c r="B24" i="2" s="1"/>
  <c r="C25" i="2"/>
  <c r="B25" i="2" s="1"/>
  <c r="C26" i="2"/>
  <c r="B26" i="2" s="1"/>
  <c r="C27" i="2"/>
  <c r="B27" i="2" s="1"/>
  <c r="C28" i="2"/>
  <c r="B28" i="2" s="1"/>
  <c r="C29" i="2"/>
  <c r="B29" i="2" s="1"/>
  <c r="C30" i="2"/>
  <c r="B30" i="2" s="1"/>
  <c r="C31" i="2"/>
  <c r="B31" i="2" s="1"/>
  <c r="C2" i="2"/>
  <c r="B2" i="2" s="1"/>
  <c r="C3" i="2"/>
  <c r="B3" i="2" s="1"/>
  <c r="C4" i="2"/>
  <c r="B4" i="2" s="1"/>
  <c r="C5" i="2"/>
  <c r="B5" i="2" s="1"/>
  <c r="C6" i="2"/>
  <c r="B6" i="2" s="1"/>
  <c r="C7" i="2"/>
  <c r="B7" i="2" s="1"/>
  <c r="C8" i="2"/>
  <c r="B8" i="2" s="1"/>
  <c r="C9" i="2"/>
  <c r="B9" i="2" s="1"/>
  <c r="C10" i="2"/>
  <c r="B10" i="2" s="1"/>
  <c r="C11" i="2"/>
  <c r="B11" i="2" s="1"/>
  <c r="C12" i="2"/>
  <c r="B12" i="2" s="1"/>
  <c r="C13" i="2"/>
  <c r="B13" i="2" s="1"/>
  <c r="C14" i="2"/>
  <c r="B14" i="2" s="1"/>
  <c r="C15" i="2"/>
  <c r="B15" i="2" s="1"/>
  <c r="C16" i="2"/>
  <c r="B16" i="2" s="1"/>
  <c r="C17" i="2"/>
  <c r="B17" i="2" s="1"/>
  <c r="C18" i="2"/>
  <c r="B18" i="2" s="1"/>
  <c r="C110" i="2"/>
  <c r="B110" i="2" s="1"/>
  <c r="C111" i="2"/>
  <c r="B111" i="2" s="1"/>
  <c r="C112" i="2"/>
  <c r="B112" i="2" s="1"/>
  <c r="C113" i="2"/>
  <c r="B113" i="2" s="1"/>
  <c r="C114" i="2"/>
  <c r="B114" i="2" s="1"/>
  <c r="C115" i="2"/>
  <c r="B115" i="2" s="1"/>
  <c r="C116" i="2"/>
  <c r="B116" i="2" s="1"/>
  <c r="C117" i="2"/>
  <c r="B117" i="2" s="1"/>
  <c r="C118" i="2"/>
  <c r="B118" i="2" s="1"/>
  <c r="C119" i="2"/>
  <c r="B119" i="2" s="1"/>
  <c r="C120" i="2"/>
  <c r="B120" i="2" s="1"/>
  <c r="C121" i="2"/>
  <c r="B121" i="2" s="1"/>
  <c r="C122" i="2"/>
  <c r="B122" i="2" s="1"/>
  <c r="C166" i="2"/>
  <c r="B166" i="2" s="1"/>
  <c r="C167" i="2"/>
  <c r="B167" i="2" s="1"/>
  <c r="C168" i="2"/>
  <c r="B168" i="2" s="1"/>
  <c r="D19" i="2"/>
  <c r="D20" i="2"/>
  <c r="D21" i="2"/>
  <c r="D22" i="2"/>
  <c r="D23" i="2"/>
  <c r="D32" i="2"/>
  <c r="D33" i="2"/>
  <c r="D34" i="2"/>
  <c r="D35" i="2"/>
  <c r="D36" i="2"/>
  <c r="D37" i="2"/>
  <c r="D38" i="2"/>
  <c r="D39" i="2"/>
  <c r="D40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4" i="2"/>
  <c r="D25" i="2"/>
  <c r="D26" i="2"/>
  <c r="D27" i="2"/>
  <c r="D28" i="2"/>
  <c r="D29" i="2"/>
  <c r="D30" i="2"/>
  <c r="D3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66" i="2"/>
  <c r="D167" i="2"/>
  <c r="D168" i="2"/>
  <c r="R14" i="2"/>
  <c r="AI14" i="2" s="1"/>
  <c r="AA14" i="2"/>
  <c r="AF14" i="2"/>
  <c r="AG14" i="2"/>
  <c r="AH14" i="2" s="1"/>
  <c r="R12" i="2"/>
  <c r="AI12" i="2" s="1"/>
  <c r="R13" i="2"/>
  <c r="AI13" i="2" s="1"/>
  <c r="R15" i="2"/>
  <c r="AI15" i="2" s="1"/>
  <c r="R16" i="2"/>
  <c r="AI16" i="2" s="1"/>
  <c r="R17" i="2"/>
  <c r="AI17" i="2" s="1"/>
  <c r="AA12" i="2"/>
  <c r="AA13" i="2"/>
  <c r="AA15" i="2"/>
  <c r="AA16" i="2"/>
  <c r="AA17" i="2"/>
  <c r="AF12" i="2"/>
  <c r="AF13" i="2"/>
  <c r="AF15" i="2"/>
  <c r="AF16" i="2"/>
  <c r="AF17" i="2"/>
  <c r="AG12" i="2"/>
  <c r="AH12" i="2" s="1"/>
  <c r="AG13" i="2"/>
  <c r="AH13" i="2" s="1"/>
  <c r="AG15" i="2"/>
  <c r="AH15" i="2" s="1"/>
  <c r="AG16" i="2"/>
  <c r="AH16" i="2" s="1"/>
  <c r="AG17" i="2"/>
  <c r="AH17" i="2" s="1"/>
  <c r="R2" i="2"/>
  <c r="AI2" i="2" s="1"/>
  <c r="R3" i="2"/>
  <c r="AI3" i="2" s="1"/>
  <c r="R4" i="2"/>
  <c r="AI4" i="2" s="1"/>
  <c r="R5" i="2"/>
  <c r="AI5" i="2" s="1"/>
  <c r="R6" i="2"/>
  <c r="AI6" i="2" s="1"/>
  <c r="R7" i="2"/>
  <c r="AI7" i="2" s="1"/>
  <c r="R8" i="2"/>
  <c r="AI8" i="2" s="1"/>
  <c r="R9" i="2"/>
  <c r="AI9" i="2" s="1"/>
  <c r="R10" i="2"/>
  <c r="AI10" i="2" s="1"/>
  <c r="R11" i="2"/>
  <c r="AI11" i="2" s="1"/>
  <c r="R18" i="2"/>
  <c r="AI18" i="2" s="1"/>
  <c r="AA2" i="2"/>
  <c r="AA3" i="2"/>
  <c r="AA4" i="2"/>
  <c r="AA5" i="2"/>
  <c r="AA6" i="2"/>
  <c r="AA7" i="2"/>
  <c r="AA8" i="2"/>
  <c r="AA9" i="2"/>
  <c r="AA10" i="2"/>
  <c r="AA11" i="2"/>
  <c r="AA18" i="2"/>
  <c r="AF2" i="2"/>
  <c r="AF3" i="2"/>
  <c r="AF4" i="2"/>
  <c r="AF5" i="2"/>
  <c r="AF6" i="2"/>
  <c r="AF7" i="2"/>
  <c r="AF8" i="2"/>
  <c r="AF9" i="2"/>
  <c r="AF10" i="2"/>
  <c r="AF11" i="2"/>
  <c r="AF18" i="2"/>
  <c r="AG2" i="2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8" i="2"/>
  <c r="AH18" i="2" s="1"/>
  <c r="R28" i="2"/>
  <c r="AI28" i="2" s="1"/>
  <c r="R29" i="2"/>
  <c r="AI29" i="2" s="1"/>
  <c r="AA28" i="2"/>
  <c r="AA29" i="2"/>
  <c r="AF28" i="2"/>
  <c r="AF29" i="2"/>
  <c r="AG28" i="2"/>
  <c r="AH28" i="2" s="1"/>
  <c r="AG29" i="2"/>
  <c r="AH29" i="2" s="1"/>
  <c r="R24" i="2"/>
  <c r="AI24" i="2" s="1"/>
  <c r="R25" i="2"/>
  <c r="AI25" i="2" s="1"/>
  <c r="R26" i="2"/>
  <c r="AI26" i="2" s="1"/>
  <c r="R27" i="2"/>
  <c r="AI27" i="2" s="1"/>
  <c r="R30" i="2"/>
  <c r="AI30" i="2" s="1"/>
  <c r="R31" i="2"/>
  <c r="AI31" i="2" s="1"/>
  <c r="AA24" i="2"/>
  <c r="AA25" i="2"/>
  <c r="AA26" i="2"/>
  <c r="AA27" i="2"/>
  <c r="AA30" i="2"/>
  <c r="AA31" i="2"/>
  <c r="AF24" i="2"/>
  <c r="AF25" i="2"/>
  <c r="AF26" i="2"/>
  <c r="AF27" i="2"/>
  <c r="AF30" i="2"/>
  <c r="AF31" i="2"/>
  <c r="AG24" i="2"/>
  <c r="AH24" i="2" s="1"/>
  <c r="AG25" i="2"/>
  <c r="AH25" i="2" s="1"/>
  <c r="AG26" i="2"/>
  <c r="AH26" i="2" s="1"/>
  <c r="AG27" i="2"/>
  <c r="AH27" i="2" s="1"/>
  <c r="AG30" i="2"/>
  <c r="AH30" i="2" s="1"/>
  <c r="AG31" i="2"/>
  <c r="AH31" i="2" s="1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R41" i="2"/>
  <c r="AI41" i="2" s="1"/>
  <c r="R42" i="2"/>
  <c r="AI42" i="2" s="1"/>
  <c r="R43" i="2"/>
  <c r="AI43" i="2" s="1"/>
  <c r="R44" i="2"/>
  <c r="AI44" i="2" s="1"/>
  <c r="R45" i="2"/>
  <c r="AI45" i="2" s="1"/>
  <c r="R46" i="2"/>
  <c r="AI46" i="2" s="1"/>
  <c r="R47" i="2"/>
  <c r="AI47" i="2" s="1"/>
  <c r="R48" i="2"/>
  <c r="AI48" i="2" s="1"/>
  <c r="R49" i="2"/>
  <c r="AI49" i="2" s="1"/>
  <c r="R50" i="2"/>
  <c r="AI50" i="2" s="1"/>
  <c r="R51" i="2"/>
  <c r="AI51" i="2" s="1"/>
  <c r="R52" i="2"/>
  <c r="AI52" i="2" s="1"/>
  <c r="R53" i="2"/>
  <c r="AI53" i="2" s="1"/>
  <c r="R54" i="2"/>
  <c r="AI54" i="2" s="1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G41" i="2"/>
  <c r="AH41" i="2" s="1"/>
  <c r="AG42" i="2"/>
  <c r="AH42" i="2" s="1"/>
  <c r="AG43" i="2"/>
  <c r="AH43" i="2" s="1"/>
  <c r="AG44" i="2"/>
  <c r="AH44" i="2" s="1"/>
  <c r="AG45" i="2"/>
  <c r="AH45" i="2" s="1"/>
  <c r="AG46" i="2"/>
  <c r="AH46" i="2" s="1"/>
  <c r="AG47" i="2"/>
  <c r="AH47" i="2" s="1"/>
  <c r="AG48" i="2"/>
  <c r="AH48" i="2" s="1"/>
  <c r="AG49" i="2"/>
  <c r="AH49" i="2" s="1"/>
  <c r="AG50" i="2"/>
  <c r="AH50" i="2" s="1"/>
  <c r="AG51" i="2"/>
  <c r="AH51" i="2" s="1"/>
  <c r="AG52" i="2"/>
  <c r="AH52" i="2" s="1"/>
  <c r="AG53" i="2"/>
  <c r="AH53" i="2" s="1"/>
  <c r="AG54" i="2"/>
  <c r="AH54" i="2" s="1"/>
  <c r="R110" i="2"/>
  <c r="AI110" i="2" s="1"/>
  <c r="R111" i="2"/>
  <c r="AI111" i="2" s="1"/>
  <c r="R112" i="2"/>
  <c r="AI112" i="2" s="1"/>
  <c r="R113" i="2"/>
  <c r="AI113" i="2" s="1"/>
  <c r="R114" i="2"/>
  <c r="AI114" i="2" s="1"/>
  <c r="AA110" i="2"/>
  <c r="AA111" i="2"/>
  <c r="AA112" i="2"/>
  <c r="AA113" i="2"/>
  <c r="AA114" i="2"/>
  <c r="AF110" i="2"/>
  <c r="AF111" i="2"/>
  <c r="AF112" i="2"/>
  <c r="AF113" i="2"/>
  <c r="AF114" i="2"/>
  <c r="AG110" i="2"/>
  <c r="AH110" i="2" s="1"/>
  <c r="AG111" i="2"/>
  <c r="AH111" i="2" s="1"/>
  <c r="AG112" i="2"/>
  <c r="AH112" i="2" s="1"/>
  <c r="AG113" i="2"/>
  <c r="AH113" i="2" s="1"/>
  <c r="AG114" i="2"/>
  <c r="AH114" i="2" s="1"/>
  <c r="R115" i="2"/>
  <c r="AI115" i="2" s="1"/>
  <c r="R116" i="2"/>
  <c r="AI116" i="2" s="1"/>
  <c r="R117" i="2"/>
  <c r="AI117" i="2" s="1"/>
  <c r="R118" i="2"/>
  <c r="AI118" i="2" s="1"/>
  <c r="R119" i="2"/>
  <c r="AI119" i="2" s="1"/>
  <c r="R120" i="2"/>
  <c r="AI120" i="2" s="1"/>
  <c r="AA115" i="2"/>
  <c r="AA116" i="2"/>
  <c r="AA117" i="2"/>
  <c r="AA118" i="2"/>
  <c r="AA119" i="2"/>
  <c r="AA120" i="2"/>
  <c r="AF115" i="2"/>
  <c r="AF116" i="2"/>
  <c r="AF117" i="2"/>
  <c r="AF118" i="2"/>
  <c r="AF119" i="2"/>
  <c r="AF120" i="2"/>
  <c r="AG115" i="2"/>
  <c r="AH115" i="2" s="1"/>
  <c r="AG116" i="2"/>
  <c r="AH116" i="2" s="1"/>
  <c r="AG117" i="2"/>
  <c r="AH117" i="2" s="1"/>
  <c r="AG118" i="2"/>
  <c r="AH118" i="2" s="1"/>
  <c r="AG119" i="2"/>
  <c r="AH119" i="2" s="1"/>
  <c r="AG120" i="2"/>
  <c r="AH120" i="2" s="1"/>
  <c r="R121" i="2"/>
  <c r="AI121" i="2" s="1"/>
  <c r="AA121" i="2"/>
  <c r="AF121" i="2"/>
  <c r="AG121" i="2"/>
  <c r="AH121" i="2" s="1"/>
  <c r="R122" i="2"/>
  <c r="AI122" i="2" s="1"/>
  <c r="AA122" i="2"/>
  <c r="AF122" i="2"/>
  <c r="AG122" i="2"/>
  <c r="AH122" i="2" s="1"/>
  <c r="AJ45" i="2" l="1"/>
  <c r="AJ5" i="2"/>
  <c r="AJ28" i="2"/>
  <c r="AJ17" i="2"/>
  <c r="AJ16" i="2"/>
  <c r="AJ14" i="2"/>
  <c r="AJ13" i="2"/>
  <c r="AJ12" i="2"/>
  <c r="AJ15" i="2"/>
  <c r="AJ11" i="2"/>
  <c r="AJ3" i="2"/>
  <c r="AJ9" i="2"/>
  <c r="AJ18" i="2"/>
  <c r="AJ8" i="2"/>
  <c r="AJ10" i="2"/>
  <c r="AJ7" i="2"/>
  <c r="AJ4" i="2"/>
  <c r="AJ2" i="2"/>
  <c r="AJ6" i="2"/>
  <c r="AJ30" i="2"/>
  <c r="AJ27" i="2"/>
  <c r="AJ31" i="2"/>
  <c r="AJ25" i="2"/>
  <c r="AJ24" i="2"/>
  <c r="AJ29" i="2"/>
  <c r="AJ26" i="2"/>
  <c r="AJ42" i="2"/>
  <c r="AJ50" i="2"/>
  <c r="AJ53" i="2"/>
  <c r="AJ54" i="2"/>
  <c r="AJ47" i="2"/>
  <c r="AJ48" i="2"/>
  <c r="AJ46" i="2"/>
  <c r="AJ49" i="2"/>
  <c r="AJ41" i="2"/>
  <c r="AJ43" i="2"/>
  <c r="AJ51" i="2"/>
  <c r="AJ52" i="2"/>
  <c r="AJ44" i="2"/>
  <c r="AJ119" i="2"/>
  <c r="AJ117" i="2"/>
  <c r="AJ112" i="2"/>
  <c r="AJ113" i="2"/>
  <c r="AJ114" i="2"/>
  <c r="AJ110" i="2"/>
  <c r="AJ111" i="2"/>
  <c r="AJ122" i="2"/>
  <c r="AJ118" i="2"/>
  <c r="AJ121" i="2"/>
  <c r="AJ116" i="2"/>
  <c r="AJ120" i="2"/>
  <c r="AJ115" i="2"/>
  <c r="O4" i="1"/>
  <c r="C12" i="8" s="1"/>
  <c r="P10" i="1"/>
  <c r="O10" i="1"/>
  <c r="C18" i="8" s="1"/>
  <c r="Q10" i="1" l="1"/>
  <c r="D18" i="8" s="1"/>
  <c r="P4" i="1"/>
  <c r="Q4" i="1" s="1"/>
  <c r="D12" i="8" s="1"/>
  <c r="P14" i="1"/>
  <c r="Q14" i="1" s="1"/>
  <c r="D22" i="8" s="1"/>
  <c r="P15" i="1"/>
  <c r="Q15" i="1" s="1"/>
  <c r="D23" i="8" s="1"/>
  <c r="P16" i="1"/>
  <c r="Q16" i="1" s="1"/>
  <c r="D24" i="8" s="1"/>
  <c r="P12" i="1"/>
  <c r="Q12" i="1" s="1"/>
  <c r="D20" i="8" s="1"/>
  <c r="P13" i="1"/>
  <c r="Q13" i="1" s="1"/>
  <c r="D21" i="8" s="1"/>
  <c r="P11" i="1"/>
  <c r="Q11" i="1" s="1"/>
  <c r="D19" i="8" s="1"/>
  <c r="P8" i="1"/>
  <c r="Q8" i="1" s="1"/>
  <c r="D16" i="8" s="1"/>
  <c r="P9" i="1"/>
  <c r="Q9" i="1" s="1"/>
  <c r="D17" i="8" s="1"/>
  <c r="P7" i="1"/>
  <c r="Q7" i="1" s="1"/>
  <c r="D15" i="8" s="1"/>
  <c r="P6" i="1"/>
  <c r="Q6" i="1" s="1"/>
  <c r="D14" i="8" s="1"/>
  <c r="P5" i="1"/>
  <c r="Q5" i="1" s="1"/>
  <c r="D13" i="8" s="1"/>
  <c r="P3" i="1"/>
  <c r="Q3" i="1" s="1"/>
  <c r="D11" i="8" s="1"/>
  <c r="P2" i="1"/>
  <c r="Q2" i="1" s="1"/>
  <c r="D10" i="8" s="1"/>
  <c r="P18" i="1"/>
  <c r="Q18" i="1" s="1"/>
  <c r="D26" i="8" s="1"/>
  <c r="P19" i="1"/>
  <c r="Q19" i="1" s="1"/>
  <c r="D27" i="8" s="1"/>
  <c r="P20" i="1"/>
  <c r="Q20" i="1" s="1"/>
  <c r="D28" i="8" s="1"/>
  <c r="P21" i="1"/>
  <c r="Q21" i="1" s="1"/>
  <c r="D29" i="8" s="1"/>
  <c r="P22" i="1"/>
  <c r="Q22" i="1" s="1"/>
  <c r="D30" i="8" s="1"/>
  <c r="P23" i="1"/>
  <c r="Q23" i="1" s="1"/>
  <c r="D31" i="8" s="1"/>
  <c r="P26" i="1"/>
  <c r="Q26" i="1" s="1"/>
  <c r="D34" i="8" s="1"/>
  <c r="P27" i="1"/>
  <c r="Q27" i="1" s="1"/>
  <c r="D35" i="8" s="1"/>
  <c r="P24" i="1"/>
  <c r="Q24" i="1" s="1"/>
  <c r="D32" i="8" s="1"/>
  <c r="P25" i="1"/>
  <c r="Q25" i="1" s="1"/>
  <c r="D33" i="8" s="1"/>
  <c r="P37" i="1"/>
  <c r="Q37" i="1" s="1"/>
  <c r="D45" i="8" s="1"/>
  <c r="P38" i="1"/>
  <c r="Q38" i="1" s="1"/>
  <c r="D46" i="8" s="1"/>
  <c r="P39" i="1"/>
  <c r="Q39" i="1" s="1"/>
  <c r="D47" i="8" s="1"/>
  <c r="P40" i="1"/>
  <c r="Q40" i="1" s="1"/>
  <c r="D48" i="8" s="1"/>
  <c r="P35" i="1"/>
  <c r="Q35" i="1" s="1"/>
  <c r="D43" i="8" s="1"/>
  <c r="P45" i="1"/>
  <c r="Q45" i="1" s="1"/>
  <c r="D53" i="8" s="1"/>
  <c r="P46" i="1"/>
  <c r="Q46" i="1" s="1"/>
  <c r="D54" i="8" s="1"/>
  <c r="P42" i="1"/>
  <c r="Q42" i="1" s="1"/>
  <c r="D50" i="8" s="1"/>
  <c r="P43" i="1"/>
  <c r="Q43" i="1" s="1"/>
  <c r="D51" i="8" s="1"/>
  <c r="P44" i="1"/>
  <c r="Q44" i="1" s="1"/>
  <c r="D52" i="8" s="1"/>
  <c r="P41" i="1"/>
  <c r="Q41" i="1" s="1"/>
  <c r="D49" i="8" s="1"/>
  <c r="P17" i="1"/>
  <c r="Q17" i="1" s="1"/>
  <c r="D25" i="8" s="1"/>
  <c r="P32" i="1"/>
  <c r="Q32" i="1" s="1"/>
  <c r="D40" i="8" s="1"/>
  <c r="P33" i="1"/>
  <c r="Q33" i="1" s="1"/>
  <c r="D41" i="8" s="1"/>
  <c r="P34" i="1"/>
  <c r="Q34" i="1" s="1"/>
  <c r="D42" i="8" s="1"/>
  <c r="P36" i="1"/>
  <c r="Q36" i="1" s="1"/>
  <c r="D44" i="8" s="1"/>
  <c r="P31" i="1"/>
  <c r="Q31" i="1" s="1"/>
  <c r="D39" i="8" s="1"/>
  <c r="P29" i="1"/>
  <c r="Q29" i="1" s="1"/>
  <c r="D37" i="8" s="1"/>
  <c r="P30" i="1"/>
  <c r="Q30" i="1" s="1"/>
  <c r="D38" i="8" s="1"/>
  <c r="P28" i="1"/>
  <c r="Q28" i="1" s="1"/>
  <c r="D36" i="8" s="1"/>
  <c r="O15" i="1"/>
  <c r="C23" i="8" s="1"/>
  <c r="O16" i="1"/>
  <c r="C24" i="8" s="1"/>
  <c r="O12" i="1"/>
  <c r="C20" i="8" s="1"/>
  <c r="O13" i="1"/>
  <c r="C21" i="8" s="1"/>
  <c r="O11" i="1"/>
  <c r="C19" i="8" s="1"/>
  <c r="O8" i="1"/>
  <c r="C16" i="8" s="1"/>
  <c r="O9" i="1"/>
  <c r="C17" i="8" s="1"/>
  <c r="O7" i="1"/>
  <c r="C15" i="8" s="1"/>
  <c r="O6" i="1"/>
  <c r="C14" i="8" s="1"/>
  <c r="O5" i="1"/>
  <c r="C13" i="8" s="1"/>
  <c r="O3" i="1"/>
  <c r="C11" i="8" s="1"/>
  <c r="O2" i="1"/>
  <c r="C10" i="8" s="1"/>
  <c r="O18" i="1"/>
  <c r="C26" i="8" s="1"/>
  <c r="O19" i="1"/>
  <c r="C27" i="8" s="1"/>
  <c r="O20" i="1"/>
  <c r="C28" i="8" s="1"/>
  <c r="O21" i="1"/>
  <c r="C29" i="8" s="1"/>
  <c r="O22" i="1"/>
  <c r="C30" i="8" s="1"/>
  <c r="O23" i="1"/>
  <c r="C31" i="8" s="1"/>
  <c r="O26" i="1"/>
  <c r="C34" i="8" s="1"/>
  <c r="O27" i="1"/>
  <c r="C35" i="8" s="1"/>
  <c r="O24" i="1"/>
  <c r="C32" i="8" s="1"/>
  <c r="O25" i="1"/>
  <c r="C33" i="8" s="1"/>
  <c r="O37" i="1"/>
  <c r="C45" i="8" s="1"/>
  <c r="O38" i="1"/>
  <c r="C46" i="8" s="1"/>
  <c r="O39" i="1"/>
  <c r="C47" i="8" s="1"/>
  <c r="O40" i="1"/>
  <c r="C48" i="8" s="1"/>
  <c r="O35" i="1"/>
  <c r="C43" i="8" s="1"/>
  <c r="O45" i="1"/>
  <c r="C53" i="8" s="1"/>
  <c r="O46" i="1"/>
  <c r="C54" i="8" s="1"/>
  <c r="O42" i="1"/>
  <c r="C50" i="8" s="1"/>
  <c r="O43" i="1"/>
  <c r="C51" i="8" s="1"/>
  <c r="O44" i="1"/>
  <c r="C52" i="8" s="1"/>
  <c r="O41" i="1"/>
  <c r="C49" i="8" s="1"/>
  <c r="O17" i="1"/>
  <c r="C25" i="8" s="1"/>
  <c r="O32" i="1"/>
  <c r="C40" i="8" s="1"/>
  <c r="O33" i="1"/>
  <c r="C41" i="8" s="1"/>
  <c r="O34" i="1"/>
  <c r="C42" i="8" s="1"/>
  <c r="O36" i="1"/>
  <c r="C44" i="8" s="1"/>
  <c r="O31" i="1"/>
  <c r="C39" i="8" s="1"/>
  <c r="O29" i="1"/>
  <c r="C37" i="8" s="1"/>
  <c r="O30" i="1"/>
  <c r="C38" i="8" s="1"/>
  <c r="O28" i="1"/>
  <c r="C36" i="8" s="1"/>
  <c r="O49" i="1" l="1"/>
  <c r="O48" i="1"/>
  <c r="HG28" i="1"/>
  <c r="M36" i="8" s="1"/>
  <c r="HY15" i="1"/>
  <c r="HY16" i="1"/>
  <c r="HY12" i="1"/>
  <c r="HY13" i="1"/>
  <c r="HY10" i="1"/>
  <c r="HY11" i="1"/>
  <c r="HY8" i="1"/>
  <c r="HY9" i="1"/>
  <c r="HY7" i="1"/>
  <c r="HY6" i="1"/>
  <c r="HY5" i="1"/>
  <c r="HY3" i="1"/>
  <c r="HY2" i="1"/>
  <c r="HY18" i="1"/>
  <c r="HY19" i="1"/>
  <c r="HY20" i="1"/>
  <c r="HY21" i="1"/>
  <c r="HY22" i="1"/>
  <c r="HY23" i="1"/>
  <c r="HY26" i="1"/>
  <c r="HY27" i="1"/>
  <c r="HY24" i="1"/>
  <c r="HY25" i="1"/>
  <c r="HY37" i="1"/>
  <c r="HY38" i="1"/>
  <c r="HY39" i="1"/>
  <c r="HY40" i="1"/>
  <c r="HY35" i="1"/>
  <c r="HY45" i="1"/>
  <c r="HY46" i="1"/>
  <c r="HY42" i="1"/>
  <c r="HY43" i="1"/>
  <c r="HY44" i="1"/>
  <c r="HY41" i="1"/>
  <c r="HY17" i="1"/>
  <c r="HY32" i="1"/>
  <c r="HY33" i="1"/>
  <c r="HY34" i="1"/>
  <c r="HY36" i="1"/>
  <c r="HY31" i="1"/>
  <c r="HY29" i="1"/>
  <c r="HY30" i="1"/>
  <c r="HY14" i="1"/>
  <c r="HY4" i="1"/>
  <c r="IZ4" i="1"/>
  <c r="IZ14" i="1"/>
  <c r="IZ15" i="1"/>
  <c r="IZ16" i="1"/>
  <c r="IZ12" i="1"/>
  <c r="IZ13" i="1"/>
  <c r="IZ10" i="1"/>
  <c r="IZ11" i="1"/>
  <c r="IZ8" i="1"/>
  <c r="IZ9" i="1"/>
  <c r="IZ7" i="1"/>
  <c r="IZ6" i="1"/>
  <c r="IZ5" i="1"/>
  <c r="IZ3" i="1"/>
  <c r="IZ2" i="1"/>
  <c r="IZ18" i="1"/>
  <c r="IZ19" i="1"/>
  <c r="IZ20" i="1"/>
  <c r="IZ21" i="1"/>
  <c r="IZ22" i="1"/>
  <c r="IZ23" i="1"/>
  <c r="IZ26" i="1"/>
  <c r="IZ27" i="1"/>
  <c r="IZ24" i="1"/>
  <c r="IZ25" i="1"/>
  <c r="IZ37" i="1"/>
  <c r="IZ38" i="1"/>
  <c r="IZ39" i="1"/>
  <c r="IZ40" i="1"/>
  <c r="IZ35" i="1"/>
  <c r="IZ45" i="1"/>
  <c r="IZ46" i="1"/>
  <c r="IZ42" i="1"/>
  <c r="IZ43" i="1"/>
  <c r="IZ44" i="1"/>
  <c r="IZ41" i="1"/>
  <c r="IZ17" i="1"/>
  <c r="IZ32" i="1"/>
  <c r="IZ33" i="1"/>
  <c r="IZ34" i="1"/>
  <c r="IZ36" i="1"/>
  <c r="IZ31" i="1"/>
  <c r="IZ29" i="1"/>
  <c r="IZ30" i="1"/>
  <c r="HG17" i="1" l="1"/>
  <c r="M25" i="8" s="1"/>
  <c r="HG40" i="1"/>
  <c r="M48" i="8" s="1"/>
  <c r="HG23" i="1"/>
  <c r="M31" i="8" s="1"/>
  <c r="HG5" i="1"/>
  <c r="M13" i="8" s="1"/>
  <c r="HG12" i="1"/>
  <c r="M20" i="8" s="1"/>
  <c r="HG41" i="1"/>
  <c r="M49" i="8" s="1"/>
  <c r="HG39" i="1"/>
  <c r="M47" i="8" s="1"/>
  <c r="HG22" i="1"/>
  <c r="M30" i="8" s="1"/>
  <c r="HG32" i="1"/>
  <c r="M40" i="8" s="1"/>
  <c r="HG35" i="1"/>
  <c r="M43" i="8" s="1"/>
  <c r="HG26" i="1"/>
  <c r="M34" i="8" s="1"/>
  <c r="HG3" i="1"/>
  <c r="M11" i="8" s="1"/>
  <c r="HG13" i="1"/>
  <c r="M21" i="8" s="1"/>
  <c r="HG30" i="1"/>
  <c r="M38" i="8" s="1"/>
  <c r="HG6" i="1"/>
  <c r="M14" i="8" s="1"/>
  <c r="HG16" i="1"/>
  <c r="M24" i="8" s="1"/>
  <c r="HG29" i="1"/>
  <c r="M37" i="8" s="1"/>
  <c r="HG44" i="1"/>
  <c r="M52" i="8" s="1"/>
  <c r="HG38" i="1"/>
  <c r="M46" i="8" s="1"/>
  <c r="HG21" i="1"/>
  <c r="M29" i="8" s="1"/>
  <c r="HG7" i="1"/>
  <c r="M15" i="8" s="1"/>
  <c r="HG15" i="1"/>
  <c r="M23" i="8" s="1"/>
  <c r="HG31" i="1"/>
  <c r="M39" i="8" s="1"/>
  <c r="HG43" i="1"/>
  <c r="M51" i="8" s="1"/>
  <c r="HG37" i="1"/>
  <c r="M45" i="8" s="1"/>
  <c r="HG20" i="1"/>
  <c r="M28" i="8" s="1"/>
  <c r="HG9" i="1"/>
  <c r="M17" i="8" s="1"/>
  <c r="HG36" i="1"/>
  <c r="M44" i="8" s="1"/>
  <c r="HG42" i="1"/>
  <c r="M50" i="8" s="1"/>
  <c r="HG25" i="1"/>
  <c r="M33" i="8" s="1"/>
  <c r="HG19" i="1"/>
  <c r="M27" i="8" s="1"/>
  <c r="HG8" i="1"/>
  <c r="M16" i="8" s="1"/>
  <c r="HG34" i="1"/>
  <c r="M42" i="8" s="1"/>
  <c r="HG46" i="1"/>
  <c r="M54" i="8" s="1"/>
  <c r="HG24" i="1"/>
  <c r="M32" i="8" s="1"/>
  <c r="HG18" i="1"/>
  <c r="M26" i="8" s="1"/>
  <c r="HG11" i="1"/>
  <c r="M19" i="8" s="1"/>
  <c r="HG33" i="1"/>
  <c r="M41" i="8" s="1"/>
  <c r="HG45" i="1"/>
  <c r="M53" i="8" s="1"/>
  <c r="HG27" i="1"/>
  <c r="M35" i="8" s="1"/>
  <c r="HG2" i="1"/>
  <c r="M10" i="8" s="1"/>
  <c r="HG10" i="1"/>
  <c r="M18" i="8" s="1"/>
  <c r="HG14" i="1"/>
  <c r="M22" i="8" s="1"/>
  <c r="HG4" i="1"/>
  <c r="M12" i="8" s="1"/>
  <c r="CO28" i="1"/>
  <c r="DO14" i="1"/>
  <c r="DO15" i="1"/>
  <c r="DO16" i="1"/>
  <c r="DO12" i="1"/>
  <c r="DO13" i="1"/>
  <c r="DO10" i="1"/>
  <c r="DO11" i="1"/>
  <c r="DO8" i="1"/>
  <c r="DO9" i="1"/>
  <c r="DO7" i="1"/>
  <c r="DO6" i="1"/>
  <c r="DO5" i="1"/>
  <c r="DO3" i="1"/>
  <c r="DO2" i="1"/>
  <c r="DO18" i="1"/>
  <c r="DO19" i="1"/>
  <c r="DO20" i="1"/>
  <c r="DO21" i="1"/>
  <c r="DO22" i="1"/>
  <c r="DO23" i="1"/>
  <c r="DO26" i="1"/>
  <c r="DO27" i="1"/>
  <c r="DO24" i="1"/>
  <c r="DO25" i="1"/>
  <c r="DO37" i="1"/>
  <c r="DO38" i="1"/>
  <c r="DO39" i="1"/>
  <c r="DO40" i="1"/>
  <c r="DO35" i="1"/>
  <c r="DO45" i="1"/>
  <c r="DO46" i="1"/>
  <c r="DO42" i="1"/>
  <c r="DO43" i="1"/>
  <c r="DO44" i="1"/>
  <c r="DO41" i="1"/>
  <c r="DO17" i="1"/>
  <c r="DO32" i="1"/>
  <c r="DO33" i="1"/>
  <c r="DO34" i="1"/>
  <c r="DO36" i="1"/>
  <c r="DO31" i="1"/>
  <c r="DO29" i="1"/>
  <c r="DO30" i="1"/>
  <c r="DO28" i="1"/>
  <c r="DO4" i="1"/>
  <c r="CO14" i="1"/>
  <c r="CO15" i="1"/>
  <c r="CO16" i="1"/>
  <c r="CO12" i="1"/>
  <c r="CO13" i="1"/>
  <c r="CO10" i="1"/>
  <c r="CO11" i="1"/>
  <c r="CO8" i="1"/>
  <c r="CO9" i="1"/>
  <c r="CO7" i="1"/>
  <c r="CO6" i="1"/>
  <c r="CO5" i="1"/>
  <c r="CO3" i="1"/>
  <c r="CO2" i="1"/>
  <c r="CO18" i="1"/>
  <c r="CO19" i="1"/>
  <c r="CO20" i="1"/>
  <c r="CO21" i="1"/>
  <c r="CO22" i="1"/>
  <c r="CO23" i="1"/>
  <c r="CO26" i="1"/>
  <c r="CO27" i="1"/>
  <c r="CO24" i="1"/>
  <c r="CO25" i="1"/>
  <c r="CO37" i="1"/>
  <c r="CO38" i="1"/>
  <c r="CO39" i="1"/>
  <c r="CO40" i="1"/>
  <c r="CO35" i="1"/>
  <c r="CO45" i="1"/>
  <c r="CO46" i="1"/>
  <c r="CO42" i="1"/>
  <c r="CO43" i="1"/>
  <c r="CO44" i="1"/>
  <c r="CO41" i="1"/>
  <c r="CO17" i="1"/>
  <c r="CO32" i="1"/>
  <c r="CO33" i="1"/>
  <c r="CO34" i="1"/>
  <c r="CO36" i="1"/>
  <c r="CO31" i="1"/>
  <c r="CO29" i="1"/>
  <c r="CO30" i="1"/>
  <c r="CO4" i="1"/>
  <c r="R4" i="1"/>
  <c r="E12" i="8" s="1"/>
  <c r="R14" i="1"/>
  <c r="E22" i="8" s="1"/>
  <c r="R15" i="1"/>
  <c r="E23" i="8" s="1"/>
  <c r="R16" i="1"/>
  <c r="E24" i="8" s="1"/>
  <c r="R12" i="1"/>
  <c r="E20" i="8" s="1"/>
  <c r="R13" i="1"/>
  <c r="E21" i="8" s="1"/>
  <c r="R10" i="1"/>
  <c r="E18" i="8" s="1"/>
  <c r="R11" i="1"/>
  <c r="E19" i="8" s="1"/>
  <c r="R8" i="1"/>
  <c r="E16" i="8" s="1"/>
  <c r="R9" i="1"/>
  <c r="E17" i="8" s="1"/>
  <c r="R7" i="1"/>
  <c r="E15" i="8" s="1"/>
  <c r="R6" i="1"/>
  <c r="E14" i="8" s="1"/>
  <c r="R5" i="1"/>
  <c r="E13" i="8" s="1"/>
  <c r="R3" i="1"/>
  <c r="E11" i="8" s="1"/>
  <c r="R2" i="1"/>
  <c r="E10" i="8" s="1"/>
  <c r="R18" i="1"/>
  <c r="E26" i="8" s="1"/>
  <c r="R19" i="1"/>
  <c r="E27" i="8" s="1"/>
  <c r="R20" i="1"/>
  <c r="E28" i="8" s="1"/>
  <c r="R21" i="1"/>
  <c r="E29" i="8" s="1"/>
  <c r="R22" i="1"/>
  <c r="E30" i="8" s="1"/>
  <c r="R23" i="1"/>
  <c r="E31" i="8" s="1"/>
  <c r="R26" i="1"/>
  <c r="E34" i="8" s="1"/>
  <c r="R27" i="1"/>
  <c r="E35" i="8" s="1"/>
  <c r="R24" i="1"/>
  <c r="E32" i="8" s="1"/>
  <c r="R25" i="1"/>
  <c r="E33" i="8" s="1"/>
  <c r="R37" i="1"/>
  <c r="E45" i="8" s="1"/>
  <c r="R38" i="1"/>
  <c r="E46" i="8" s="1"/>
  <c r="R39" i="1"/>
  <c r="E47" i="8" s="1"/>
  <c r="R40" i="1"/>
  <c r="E48" i="8" s="1"/>
  <c r="R35" i="1"/>
  <c r="E43" i="8" s="1"/>
  <c r="R45" i="1"/>
  <c r="E53" i="8" s="1"/>
  <c r="R46" i="1"/>
  <c r="E54" i="8" s="1"/>
  <c r="R42" i="1"/>
  <c r="E50" i="8" s="1"/>
  <c r="R43" i="1"/>
  <c r="E51" i="8" s="1"/>
  <c r="R44" i="1"/>
  <c r="E52" i="8" s="1"/>
  <c r="R41" i="1"/>
  <c r="E49" i="8" s="1"/>
  <c r="R17" i="1"/>
  <c r="E25" i="8" s="1"/>
  <c r="R32" i="1"/>
  <c r="E40" i="8" s="1"/>
  <c r="R33" i="1"/>
  <c r="E41" i="8" s="1"/>
  <c r="R34" i="1"/>
  <c r="E42" i="8" s="1"/>
  <c r="R36" i="1"/>
  <c r="E44" i="8" s="1"/>
  <c r="R31" i="1"/>
  <c r="E39" i="8" s="1"/>
  <c r="R29" i="1"/>
  <c r="E37" i="8" s="1"/>
  <c r="R30" i="1"/>
  <c r="E38" i="8" s="1"/>
  <c r="R28" i="1"/>
  <c r="E36" i="8" s="1"/>
  <c r="IJ9" i="1"/>
  <c r="IJ8" i="1"/>
  <c r="II9" i="1"/>
  <c r="II8" i="1"/>
  <c r="CN36" i="1" l="1"/>
  <c r="G44" i="8" s="1"/>
  <c r="CN42" i="1"/>
  <c r="G50" i="8" s="1"/>
  <c r="CN25" i="1"/>
  <c r="G33" i="8" s="1"/>
  <c r="CN19" i="1"/>
  <c r="G27" i="8" s="1"/>
  <c r="CN8" i="1"/>
  <c r="G16" i="8" s="1"/>
  <c r="CN4" i="1"/>
  <c r="G12" i="8" s="1"/>
  <c r="CN17" i="1"/>
  <c r="G25" i="8" s="1"/>
  <c r="CN40" i="1"/>
  <c r="G48" i="8" s="1"/>
  <c r="CN23" i="1"/>
  <c r="G31" i="8" s="1"/>
  <c r="CN5" i="1"/>
  <c r="G13" i="8" s="1"/>
  <c r="CN12" i="1"/>
  <c r="G20" i="8" s="1"/>
  <c r="CN44" i="1"/>
  <c r="G52" i="8" s="1"/>
  <c r="CN15" i="1"/>
  <c r="G23" i="8" s="1"/>
  <c r="CN30" i="1"/>
  <c r="G38" i="8" s="1"/>
  <c r="CN41" i="1"/>
  <c r="G49" i="8" s="1"/>
  <c r="CN46" i="1"/>
  <c r="G54" i="8" s="1"/>
  <c r="CN11" i="1"/>
  <c r="G19" i="8" s="1"/>
  <c r="CN33" i="1"/>
  <c r="G41" i="8" s="1"/>
  <c r="CN45" i="1"/>
  <c r="G53" i="8" s="1"/>
  <c r="CN27" i="1"/>
  <c r="G35" i="8" s="1"/>
  <c r="CN2" i="1"/>
  <c r="G10" i="8" s="1"/>
  <c r="CN10" i="1"/>
  <c r="G18" i="8" s="1"/>
  <c r="CN22" i="1"/>
  <c r="G30" i="8" s="1"/>
  <c r="CN6" i="1"/>
  <c r="G14" i="8" s="1"/>
  <c r="CN39" i="1"/>
  <c r="G47" i="8" s="1"/>
  <c r="CN16" i="1"/>
  <c r="G24" i="8" s="1"/>
  <c r="CN34" i="1"/>
  <c r="G42" i="8" s="1"/>
  <c r="CN24" i="1"/>
  <c r="G32" i="8" s="1"/>
  <c r="CN18" i="1"/>
  <c r="G26" i="8" s="1"/>
  <c r="CN29" i="1"/>
  <c r="G37" i="8" s="1"/>
  <c r="CN38" i="1"/>
  <c r="G46" i="8" s="1"/>
  <c r="CN21" i="1"/>
  <c r="G29" i="8" s="1"/>
  <c r="CN7" i="1"/>
  <c r="G15" i="8" s="1"/>
  <c r="CN28" i="1"/>
  <c r="G36" i="8" s="1"/>
  <c r="CN32" i="1"/>
  <c r="G40" i="8" s="1"/>
  <c r="CN35" i="1"/>
  <c r="G43" i="8" s="1"/>
  <c r="CN26" i="1"/>
  <c r="G34" i="8" s="1"/>
  <c r="CN3" i="1"/>
  <c r="G11" i="8" s="1"/>
  <c r="CN13" i="1"/>
  <c r="G21" i="8" s="1"/>
  <c r="CN31" i="1"/>
  <c r="G39" i="8" s="1"/>
  <c r="CN43" i="1"/>
  <c r="G51" i="8" s="1"/>
  <c r="CN37" i="1"/>
  <c r="G45" i="8" s="1"/>
  <c r="CN20" i="1"/>
  <c r="G28" i="8" s="1"/>
  <c r="CN9" i="1"/>
  <c r="G17" i="8" s="1"/>
  <c r="CN14" i="1"/>
  <c r="G22" i="8" s="1"/>
  <c r="AF99" i="2"/>
  <c r="AF154" i="2" l="1"/>
  <c r="AI146" i="2"/>
  <c r="AI147" i="2"/>
  <c r="AI148" i="2"/>
  <c r="AI149" i="2"/>
  <c r="AI150" i="2"/>
  <c r="AI95" i="2"/>
  <c r="AI152" i="2"/>
  <c r="AI144" i="2"/>
  <c r="AI159" i="2"/>
  <c r="AI75" i="2"/>
  <c r="AI76" i="2"/>
  <c r="AI66" i="2"/>
  <c r="AI67" i="2"/>
  <c r="AI71" i="2"/>
  <c r="AI74" i="2"/>
  <c r="AI145" i="2"/>
  <c r="AI123" i="2"/>
  <c r="AG20" i="2"/>
  <c r="AH20" i="2" s="1"/>
  <c r="AG21" i="2"/>
  <c r="AH21" i="2" s="1"/>
  <c r="AG22" i="2"/>
  <c r="AH22" i="2" s="1"/>
  <c r="AG23" i="2"/>
  <c r="AH23" i="2" s="1"/>
  <c r="AG102" i="2"/>
  <c r="AH102" i="2" s="1"/>
  <c r="AG103" i="2"/>
  <c r="AH103" i="2" s="1"/>
  <c r="AG104" i="2"/>
  <c r="AH104" i="2" s="1"/>
  <c r="AG105" i="2"/>
  <c r="AH105" i="2" s="1"/>
  <c r="AG106" i="2"/>
  <c r="AH106" i="2" s="1"/>
  <c r="AG107" i="2"/>
  <c r="AH107" i="2" s="1"/>
  <c r="AG108" i="2"/>
  <c r="AH108" i="2" s="1"/>
  <c r="AG109" i="2"/>
  <c r="AH109" i="2" s="1"/>
  <c r="AG98" i="2"/>
  <c r="AH98" i="2" s="1"/>
  <c r="AG99" i="2"/>
  <c r="AH99" i="2" s="1"/>
  <c r="AG100" i="2"/>
  <c r="AH100" i="2" s="1"/>
  <c r="AG101" i="2"/>
  <c r="AH101" i="2" s="1"/>
  <c r="AG96" i="2"/>
  <c r="AH96" i="2" s="1"/>
  <c r="AG97" i="2"/>
  <c r="AH97" i="2" s="1"/>
  <c r="AG146" i="2"/>
  <c r="AH146" i="2" s="1"/>
  <c r="AG147" i="2"/>
  <c r="AH147" i="2" s="1"/>
  <c r="AG148" i="2"/>
  <c r="AH148" i="2" s="1"/>
  <c r="AG149" i="2"/>
  <c r="AH149" i="2" s="1"/>
  <c r="AG150" i="2"/>
  <c r="AH150" i="2" s="1"/>
  <c r="AG151" i="2"/>
  <c r="AH151" i="2" s="1"/>
  <c r="AG84" i="2"/>
  <c r="AH84" i="2" s="1"/>
  <c r="AG85" i="2"/>
  <c r="AH85" i="2" s="1"/>
  <c r="AG86" i="2"/>
  <c r="AH86" i="2" s="1"/>
  <c r="AG87" i="2"/>
  <c r="AH87" i="2" s="1"/>
  <c r="AG88" i="2"/>
  <c r="AH88" i="2" s="1"/>
  <c r="AG89" i="2"/>
  <c r="AH89" i="2" s="1"/>
  <c r="AG90" i="2"/>
  <c r="AH90" i="2" s="1"/>
  <c r="AG91" i="2"/>
  <c r="AH91" i="2" s="1"/>
  <c r="AG92" i="2"/>
  <c r="AH92" i="2" s="1"/>
  <c r="AG93" i="2"/>
  <c r="AH93" i="2" s="1"/>
  <c r="AG94" i="2"/>
  <c r="AH94" i="2" s="1"/>
  <c r="AG95" i="2"/>
  <c r="AH95" i="2" s="1"/>
  <c r="AG152" i="2"/>
  <c r="AH152" i="2" s="1"/>
  <c r="AG153" i="2"/>
  <c r="AH153" i="2" s="1"/>
  <c r="AG154" i="2"/>
  <c r="AH154" i="2" s="1"/>
  <c r="AG34" i="2"/>
  <c r="AH34" i="2" s="1"/>
  <c r="AG35" i="2"/>
  <c r="AH35" i="2" s="1"/>
  <c r="AG36" i="2"/>
  <c r="AH36" i="2" s="1"/>
  <c r="AG37" i="2"/>
  <c r="AH37" i="2" s="1"/>
  <c r="AG38" i="2"/>
  <c r="AH38" i="2" s="1"/>
  <c r="AG39" i="2"/>
  <c r="AH39" i="2" s="1"/>
  <c r="AG40" i="2"/>
  <c r="AH40" i="2" s="1"/>
  <c r="AG32" i="2"/>
  <c r="AH32" i="2" s="1"/>
  <c r="AG33" i="2"/>
  <c r="AH33" i="2" s="1"/>
  <c r="AG55" i="2"/>
  <c r="AH55" i="2" s="1"/>
  <c r="AG56" i="2"/>
  <c r="AH56" i="2" s="1"/>
  <c r="AG57" i="2"/>
  <c r="AH57" i="2" s="1"/>
  <c r="AG58" i="2"/>
  <c r="AH58" i="2" s="1"/>
  <c r="AG59" i="2"/>
  <c r="AH59" i="2" s="1"/>
  <c r="AG60" i="2"/>
  <c r="AH60" i="2" s="1"/>
  <c r="AG61" i="2"/>
  <c r="AH61" i="2" s="1"/>
  <c r="AG62" i="2"/>
  <c r="AH62" i="2" s="1"/>
  <c r="AG142" i="2"/>
  <c r="AH142" i="2" s="1"/>
  <c r="AG143" i="2"/>
  <c r="AH143" i="2" s="1"/>
  <c r="AG144" i="2"/>
  <c r="AH144" i="2" s="1"/>
  <c r="AG167" i="2"/>
  <c r="AH167" i="2" s="1"/>
  <c r="AG168" i="2"/>
  <c r="AH168" i="2" s="1"/>
  <c r="AG157" i="2"/>
  <c r="AH157" i="2" s="1"/>
  <c r="AG158" i="2"/>
  <c r="AH158" i="2" s="1"/>
  <c r="AG159" i="2"/>
  <c r="AH159" i="2" s="1"/>
  <c r="AG160" i="2"/>
  <c r="AH160" i="2" s="1"/>
  <c r="AG161" i="2"/>
  <c r="AH161" i="2" s="1"/>
  <c r="AG162" i="2"/>
  <c r="AH162" i="2" s="1"/>
  <c r="AG163" i="2"/>
  <c r="AH163" i="2" s="1"/>
  <c r="AG164" i="2"/>
  <c r="AH164" i="2" s="1"/>
  <c r="AG165" i="2"/>
  <c r="AH165" i="2" s="1"/>
  <c r="AG166" i="2"/>
  <c r="AH166" i="2" s="1"/>
  <c r="AG155" i="2"/>
  <c r="AH155" i="2" s="1"/>
  <c r="AG156" i="2"/>
  <c r="AH156" i="2" s="1"/>
  <c r="AG75" i="2"/>
  <c r="AH75" i="2" s="1"/>
  <c r="AG76" i="2"/>
  <c r="AH76" i="2" s="1"/>
  <c r="AG63" i="2"/>
  <c r="AH63" i="2" s="1"/>
  <c r="AG64" i="2"/>
  <c r="AH64" i="2" s="1"/>
  <c r="AG65" i="2"/>
  <c r="AH65" i="2" s="1"/>
  <c r="AG66" i="2"/>
  <c r="AH66" i="2" s="1"/>
  <c r="AG67" i="2"/>
  <c r="AH67" i="2" s="1"/>
  <c r="AG68" i="2"/>
  <c r="AH68" i="2" s="1"/>
  <c r="AG69" i="2"/>
  <c r="AH69" i="2" s="1"/>
  <c r="AG70" i="2"/>
  <c r="AH70" i="2" s="1"/>
  <c r="AG71" i="2"/>
  <c r="AH71" i="2" s="1"/>
  <c r="AG72" i="2"/>
  <c r="AH72" i="2" s="1"/>
  <c r="AG73" i="2"/>
  <c r="AH73" i="2" s="1"/>
  <c r="AG74" i="2"/>
  <c r="AH74" i="2" s="1"/>
  <c r="AG132" i="2"/>
  <c r="AH132" i="2" s="1"/>
  <c r="AG133" i="2"/>
  <c r="AH133" i="2" s="1"/>
  <c r="AG134" i="2"/>
  <c r="AH134" i="2" s="1"/>
  <c r="AG135" i="2"/>
  <c r="AH135" i="2" s="1"/>
  <c r="AG136" i="2"/>
  <c r="AH136" i="2" s="1"/>
  <c r="AG137" i="2"/>
  <c r="AH137" i="2" s="1"/>
  <c r="AG138" i="2"/>
  <c r="AH138" i="2" s="1"/>
  <c r="AG139" i="2"/>
  <c r="AH139" i="2" s="1"/>
  <c r="AG140" i="2"/>
  <c r="AH140" i="2" s="1"/>
  <c r="AG141" i="2"/>
  <c r="AH141" i="2" s="1"/>
  <c r="AG145" i="2"/>
  <c r="AH145" i="2" s="1"/>
  <c r="AG131" i="2"/>
  <c r="AH131" i="2" s="1"/>
  <c r="AG123" i="2"/>
  <c r="AH123" i="2" s="1"/>
  <c r="AG124" i="2"/>
  <c r="AH124" i="2" s="1"/>
  <c r="AG125" i="2"/>
  <c r="AH125" i="2" s="1"/>
  <c r="AG126" i="2"/>
  <c r="AH126" i="2" s="1"/>
  <c r="AG127" i="2"/>
  <c r="AH127" i="2" s="1"/>
  <c r="AG128" i="2"/>
  <c r="AH128" i="2" s="1"/>
  <c r="AG129" i="2"/>
  <c r="AH129" i="2" s="1"/>
  <c r="AG130" i="2"/>
  <c r="AH130" i="2" s="1"/>
  <c r="AG77" i="2"/>
  <c r="AH77" i="2" s="1"/>
  <c r="AG78" i="2"/>
  <c r="AH78" i="2" s="1"/>
  <c r="AG79" i="2"/>
  <c r="AH79" i="2" s="1"/>
  <c r="AG80" i="2"/>
  <c r="AH80" i="2" s="1"/>
  <c r="AG81" i="2"/>
  <c r="AH81" i="2" s="1"/>
  <c r="AG82" i="2"/>
  <c r="AH82" i="2" s="1"/>
  <c r="AG83" i="2"/>
  <c r="AH83" i="2" s="1"/>
  <c r="AF83" i="2"/>
  <c r="AJ83" i="2" s="1"/>
  <c r="AF20" i="2"/>
  <c r="AJ20" i="2" s="1"/>
  <c r="AF21" i="2"/>
  <c r="AJ21" i="2" s="1"/>
  <c r="AF22" i="2"/>
  <c r="AJ22" i="2" s="1"/>
  <c r="AF23" i="2"/>
  <c r="AJ23" i="2" s="1"/>
  <c r="AF102" i="2"/>
  <c r="AF103" i="2"/>
  <c r="AF104" i="2"/>
  <c r="AF105" i="2"/>
  <c r="AF106" i="2"/>
  <c r="AJ106" i="2" s="1"/>
  <c r="AF107" i="2"/>
  <c r="AJ107" i="2" s="1"/>
  <c r="AF108" i="2"/>
  <c r="AF109" i="2"/>
  <c r="AF98" i="2"/>
  <c r="AJ99" i="2"/>
  <c r="AF100" i="2"/>
  <c r="AF101" i="2"/>
  <c r="AF96" i="2"/>
  <c r="AF97" i="2"/>
  <c r="AF146" i="2"/>
  <c r="AF147" i="2"/>
  <c r="AF148" i="2"/>
  <c r="AF149" i="2"/>
  <c r="AF150" i="2"/>
  <c r="AF151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152" i="2"/>
  <c r="AF153" i="2"/>
  <c r="AF34" i="2"/>
  <c r="AJ34" i="2" s="1"/>
  <c r="AF35" i="2"/>
  <c r="AJ35" i="2" s="1"/>
  <c r="AF36" i="2"/>
  <c r="AJ36" i="2" s="1"/>
  <c r="AF37" i="2"/>
  <c r="AJ37" i="2" s="1"/>
  <c r="AF38" i="2"/>
  <c r="AJ38" i="2" s="1"/>
  <c r="AF39" i="2"/>
  <c r="AJ39" i="2" s="1"/>
  <c r="AF40" i="2"/>
  <c r="AJ40" i="2" s="1"/>
  <c r="AF32" i="2"/>
  <c r="AJ32" i="2" s="1"/>
  <c r="AF33" i="2"/>
  <c r="AJ33" i="2" s="1"/>
  <c r="AF55" i="2"/>
  <c r="AJ55" i="2" s="1"/>
  <c r="AF56" i="2"/>
  <c r="AJ56" i="2" s="1"/>
  <c r="AF57" i="2"/>
  <c r="AJ57" i="2" s="1"/>
  <c r="AF58" i="2"/>
  <c r="AJ58" i="2" s="1"/>
  <c r="AF59" i="2"/>
  <c r="AJ59" i="2" s="1"/>
  <c r="AF60" i="2"/>
  <c r="AJ60" i="2" s="1"/>
  <c r="AF61" i="2"/>
  <c r="AJ61" i="2" s="1"/>
  <c r="AF62" i="2"/>
  <c r="AJ62" i="2" s="1"/>
  <c r="AF142" i="2"/>
  <c r="AF143" i="2"/>
  <c r="AF144" i="2"/>
  <c r="AF167" i="2"/>
  <c r="AF168" i="2"/>
  <c r="AF157" i="2"/>
  <c r="AF158" i="2"/>
  <c r="AF159" i="2"/>
  <c r="AF160" i="2"/>
  <c r="AF161" i="2"/>
  <c r="AF162" i="2"/>
  <c r="AF163" i="2"/>
  <c r="AF164" i="2"/>
  <c r="AF165" i="2"/>
  <c r="AF166" i="2"/>
  <c r="AF155" i="2"/>
  <c r="AF156" i="2"/>
  <c r="AF75" i="2"/>
  <c r="AF76" i="2"/>
  <c r="AF63" i="2"/>
  <c r="AJ63" i="2" s="1"/>
  <c r="AF64" i="2"/>
  <c r="AJ64" i="2" s="1"/>
  <c r="AF65" i="2"/>
  <c r="AJ65" i="2" s="1"/>
  <c r="AF66" i="2"/>
  <c r="AJ66" i="2" s="1"/>
  <c r="AF67" i="2"/>
  <c r="AJ67" i="2" s="1"/>
  <c r="AF68" i="2"/>
  <c r="AJ68" i="2" s="1"/>
  <c r="AF69" i="2"/>
  <c r="AJ69" i="2" s="1"/>
  <c r="AF70" i="2"/>
  <c r="AJ70" i="2" s="1"/>
  <c r="AF71" i="2"/>
  <c r="AJ71" i="2" s="1"/>
  <c r="AF72" i="2"/>
  <c r="AJ72" i="2" s="1"/>
  <c r="AF73" i="2"/>
  <c r="AJ73" i="2" s="1"/>
  <c r="AF74" i="2"/>
  <c r="AJ74" i="2" s="1"/>
  <c r="AF132" i="2"/>
  <c r="AF133" i="2"/>
  <c r="AF134" i="2"/>
  <c r="AF135" i="2"/>
  <c r="AF136" i="2"/>
  <c r="AF137" i="2"/>
  <c r="AF138" i="2"/>
  <c r="AF139" i="2"/>
  <c r="AF140" i="2"/>
  <c r="AF141" i="2"/>
  <c r="AF145" i="2"/>
  <c r="AF131" i="2"/>
  <c r="AJ131" i="2" s="1"/>
  <c r="AF123" i="2"/>
  <c r="AF124" i="2"/>
  <c r="AF125" i="2"/>
  <c r="AF126" i="2"/>
  <c r="AF127" i="2"/>
  <c r="AF128" i="2"/>
  <c r="AF129" i="2"/>
  <c r="AF130" i="2"/>
  <c r="AF77" i="2"/>
  <c r="AJ77" i="2" s="1"/>
  <c r="AF78" i="2"/>
  <c r="AJ78" i="2" s="1"/>
  <c r="AF79" i="2"/>
  <c r="AJ79" i="2" s="1"/>
  <c r="AF80" i="2"/>
  <c r="AJ80" i="2" s="1"/>
  <c r="AF81" i="2"/>
  <c r="AJ81" i="2" s="1"/>
  <c r="AF82" i="2"/>
  <c r="AJ82" i="2" s="1"/>
  <c r="AF19" i="2"/>
  <c r="AJ19" i="2" s="1"/>
  <c r="AG19" i="2"/>
  <c r="AH19" i="2" s="1"/>
  <c r="AJ148" i="2" l="1"/>
  <c r="AJ147" i="2"/>
  <c r="AJ95" i="2"/>
  <c r="AJ144" i="2"/>
  <c r="AJ123" i="2"/>
  <c r="AJ146" i="2"/>
  <c r="AJ145" i="2"/>
  <c r="AJ75" i="2"/>
  <c r="AJ159" i="2"/>
  <c r="AJ150" i="2"/>
  <c r="AJ149" i="2"/>
  <c r="AJ76" i="2"/>
  <c r="AJ152" i="2"/>
  <c r="AA83" i="2"/>
  <c r="R83" i="2"/>
  <c r="AI83" i="2" s="1"/>
  <c r="AA82" i="2"/>
  <c r="R82" i="2"/>
  <c r="AI82" i="2" s="1"/>
  <c r="AA81" i="2"/>
  <c r="R81" i="2"/>
  <c r="AI81" i="2" s="1"/>
  <c r="AA80" i="2"/>
  <c r="R80" i="2"/>
  <c r="AI80" i="2" s="1"/>
  <c r="AA79" i="2"/>
  <c r="R79" i="2"/>
  <c r="AI79" i="2" s="1"/>
  <c r="AA78" i="2"/>
  <c r="R78" i="2"/>
  <c r="AI78" i="2" s="1"/>
  <c r="AA77" i="2"/>
  <c r="R77" i="2"/>
  <c r="AI77" i="2" s="1"/>
  <c r="AA130" i="2"/>
  <c r="R130" i="2"/>
  <c r="AI130" i="2" s="1"/>
  <c r="AJ130" i="2" s="1"/>
  <c r="AA129" i="2"/>
  <c r="R129" i="2"/>
  <c r="AI129" i="2" s="1"/>
  <c r="AJ129" i="2" s="1"/>
  <c r="AA128" i="2"/>
  <c r="R128" i="2"/>
  <c r="AI128" i="2" s="1"/>
  <c r="AJ128" i="2" s="1"/>
  <c r="AA127" i="2"/>
  <c r="R127" i="2"/>
  <c r="AI127" i="2" s="1"/>
  <c r="AJ127" i="2" s="1"/>
  <c r="AA126" i="2"/>
  <c r="R126" i="2"/>
  <c r="AI126" i="2" s="1"/>
  <c r="AJ126" i="2" s="1"/>
  <c r="AA125" i="2"/>
  <c r="R125" i="2"/>
  <c r="AI125" i="2" s="1"/>
  <c r="AJ125" i="2" s="1"/>
  <c r="AA124" i="2"/>
  <c r="R124" i="2"/>
  <c r="AI124" i="2" s="1"/>
  <c r="AJ124" i="2" s="1"/>
  <c r="AA123" i="2"/>
  <c r="AA131" i="2"/>
  <c r="R131" i="2"/>
  <c r="AI131" i="2" s="1"/>
  <c r="AA145" i="2"/>
  <c r="AA141" i="2"/>
  <c r="R141" i="2"/>
  <c r="AI141" i="2" s="1"/>
  <c r="AJ141" i="2" s="1"/>
  <c r="AA140" i="2"/>
  <c r="R140" i="2"/>
  <c r="AI140" i="2" s="1"/>
  <c r="AJ140" i="2" s="1"/>
  <c r="AA139" i="2"/>
  <c r="R139" i="2"/>
  <c r="AI139" i="2" s="1"/>
  <c r="AJ139" i="2" s="1"/>
  <c r="AA138" i="2"/>
  <c r="R138" i="2"/>
  <c r="AI138" i="2" s="1"/>
  <c r="AJ138" i="2" s="1"/>
  <c r="AA137" i="2"/>
  <c r="R137" i="2"/>
  <c r="AI137" i="2" s="1"/>
  <c r="AJ137" i="2" s="1"/>
  <c r="AA136" i="2"/>
  <c r="R136" i="2"/>
  <c r="AI136" i="2" s="1"/>
  <c r="AJ136" i="2" s="1"/>
  <c r="AA135" i="2"/>
  <c r="R135" i="2"/>
  <c r="AI135" i="2" s="1"/>
  <c r="AJ135" i="2" s="1"/>
  <c r="AA134" i="2"/>
  <c r="R134" i="2"/>
  <c r="AI134" i="2" s="1"/>
  <c r="AJ134" i="2" s="1"/>
  <c r="AA133" i="2"/>
  <c r="R133" i="2"/>
  <c r="AI133" i="2" s="1"/>
  <c r="AJ133" i="2" s="1"/>
  <c r="AA132" i="2"/>
  <c r="R132" i="2"/>
  <c r="AI132" i="2" s="1"/>
  <c r="AJ132" i="2" s="1"/>
  <c r="AA74" i="2"/>
  <c r="AA73" i="2"/>
  <c r="R73" i="2"/>
  <c r="AI73" i="2" s="1"/>
  <c r="AA72" i="2"/>
  <c r="R72" i="2"/>
  <c r="AI72" i="2" s="1"/>
  <c r="AA71" i="2"/>
  <c r="AA70" i="2"/>
  <c r="R70" i="2"/>
  <c r="AI70" i="2" s="1"/>
  <c r="AA69" i="2"/>
  <c r="R69" i="2"/>
  <c r="AI69" i="2" s="1"/>
  <c r="AA68" i="2"/>
  <c r="R68" i="2"/>
  <c r="AI68" i="2" s="1"/>
  <c r="AA67" i="2"/>
  <c r="AA66" i="2"/>
  <c r="AA65" i="2"/>
  <c r="R65" i="2"/>
  <c r="AI65" i="2" s="1"/>
  <c r="AA64" i="2"/>
  <c r="R64" i="2"/>
  <c r="AI64" i="2" s="1"/>
  <c r="AA63" i="2"/>
  <c r="R63" i="2"/>
  <c r="AI63" i="2" s="1"/>
  <c r="AA76" i="2"/>
  <c r="AA75" i="2"/>
  <c r="AA156" i="2"/>
  <c r="R156" i="2"/>
  <c r="AI156" i="2" s="1"/>
  <c r="AJ156" i="2" s="1"/>
  <c r="AA155" i="2"/>
  <c r="R155" i="2"/>
  <c r="AI155" i="2" s="1"/>
  <c r="AJ155" i="2" s="1"/>
  <c r="AA166" i="2"/>
  <c r="R166" i="2"/>
  <c r="AI166" i="2" s="1"/>
  <c r="AJ166" i="2" s="1"/>
  <c r="AA165" i="2"/>
  <c r="R165" i="2"/>
  <c r="AI165" i="2" s="1"/>
  <c r="AJ165" i="2" s="1"/>
  <c r="AA164" i="2"/>
  <c r="R164" i="2"/>
  <c r="AI164" i="2" s="1"/>
  <c r="AJ164" i="2" s="1"/>
  <c r="AA163" i="2"/>
  <c r="R163" i="2"/>
  <c r="AI163" i="2" s="1"/>
  <c r="AJ163" i="2" s="1"/>
  <c r="AA162" i="2"/>
  <c r="R162" i="2"/>
  <c r="AI162" i="2" s="1"/>
  <c r="AJ162" i="2" s="1"/>
  <c r="AA161" i="2"/>
  <c r="R161" i="2"/>
  <c r="AI161" i="2" s="1"/>
  <c r="AJ161" i="2" s="1"/>
  <c r="AA160" i="2"/>
  <c r="R160" i="2"/>
  <c r="AI160" i="2" s="1"/>
  <c r="AJ160" i="2" s="1"/>
  <c r="AA159" i="2"/>
  <c r="AA158" i="2"/>
  <c r="R158" i="2"/>
  <c r="AI158" i="2" s="1"/>
  <c r="AJ158" i="2" s="1"/>
  <c r="AA157" i="2"/>
  <c r="R157" i="2"/>
  <c r="AI157" i="2" s="1"/>
  <c r="AJ157" i="2" s="1"/>
  <c r="AA168" i="2"/>
  <c r="R168" i="2"/>
  <c r="AI168" i="2" s="1"/>
  <c r="AJ168" i="2" s="1"/>
  <c r="AA167" i="2"/>
  <c r="R167" i="2"/>
  <c r="AI167" i="2" s="1"/>
  <c r="AJ167" i="2" s="1"/>
  <c r="AA144" i="2"/>
  <c r="AA143" i="2"/>
  <c r="R143" i="2"/>
  <c r="AI143" i="2" s="1"/>
  <c r="AJ143" i="2" s="1"/>
  <c r="AA142" i="2"/>
  <c r="R142" i="2"/>
  <c r="AI142" i="2" s="1"/>
  <c r="AJ142" i="2" s="1"/>
  <c r="AA62" i="2"/>
  <c r="R62" i="2"/>
  <c r="AI62" i="2" s="1"/>
  <c r="AA61" i="2"/>
  <c r="R61" i="2"/>
  <c r="AI61" i="2" s="1"/>
  <c r="AA60" i="2"/>
  <c r="R60" i="2"/>
  <c r="AI60" i="2" s="1"/>
  <c r="AA59" i="2"/>
  <c r="R59" i="2"/>
  <c r="AI59" i="2" s="1"/>
  <c r="AA58" i="2"/>
  <c r="R58" i="2"/>
  <c r="AI58" i="2" s="1"/>
  <c r="AA57" i="2"/>
  <c r="R57" i="2"/>
  <c r="AI57" i="2" s="1"/>
  <c r="AA56" i="2"/>
  <c r="R56" i="2"/>
  <c r="AI56" i="2" s="1"/>
  <c r="AA55" i="2"/>
  <c r="R55" i="2"/>
  <c r="AI55" i="2" s="1"/>
  <c r="AA33" i="2"/>
  <c r="R33" i="2"/>
  <c r="AI33" i="2" s="1"/>
  <c r="AA32" i="2"/>
  <c r="R32" i="2"/>
  <c r="AI32" i="2" s="1"/>
  <c r="AA40" i="2"/>
  <c r="R40" i="2"/>
  <c r="AI40" i="2" s="1"/>
  <c r="AA39" i="2"/>
  <c r="R39" i="2"/>
  <c r="AI39" i="2" s="1"/>
  <c r="AA38" i="2"/>
  <c r="R38" i="2"/>
  <c r="AI38" i="2" s="1"/>
  <c r="AA37" i="2"/>
  <c r="R37" i="2"/>
  <c r="AI37" i="2" s="1"/>
  <c r="AA36" i="2"/>
  <c r="R36" i="2"/>
  <c r="AI36" i="2" s="1"/>
  <c r="AA35" i="2"/>
  <c r="R35" i="2"/>
  <c r="AI35" i="2" s="1"/>
  <c r="AA34" i="2"/>
  <c r="R34" i="2"/>
  <c r="AI34" i="2" s="1"/>
  <c r="AA154" i="2"/>
  <c r="R154" i="2"/>
  <c r="AI154" i="2" s="1"/>
  <c r="AJ154" i="2" s="1"/>
  <c r="AA153" i="2"/>
  <c r="R153" i="2"/>
  <c r="AI153" i="2" s="1"/>
  <c r="AJ153" i="2" s="1"/>
  <c r="AA152" i="2"/>
  <c r="AA95" i="2"/>
  <c r="AA94" i="2"/>
  <c r="R94" i="2"/>
  <c r="AI94" i="2" s="1"/>
  <c r="AJ94" i="2" s="1"/>
  <c r="AA93" i="2"/>
  <c r="R93" i="2"/>
  <c r="AI93" i="2" s="1"/>
  <c r="AJ93" i="2" s="1"/>
  <c r="AA92" i="2"/>
  <c r="R92" i="2"/>
  <c r="AI92" i="2" s="1"/>
  <c r="AJ92" i="2" s="1"/>
  <c r="AA91" i="2"/>
  <c r="R91" i="2"/>
  <c r="AI91" i="2" s="1"/>
  <c r="AJ91" i="2" s="1"/>
  <c r="AA90" i="2"/>
  <c r="R90" i="2"/>
  <c r="AI90" i="2" s="1"/>
  <c r="AJ90" i="2" s="1"/>
  <c r="AA89" i="2"/>
  <c r="R89" i="2"/>
  <c r="AI89" i="2" s="1"/>
  <c r="AJ89" i="2" s="1"/>
  <c r="AA88" i="2"/>
  <c r="R88" i="2"/>
  <c r="AI88" i="2" s="1"/>
  <c r="AJ88" i="2" s="1"/>
  <c r="AA87" i="2"/>
  <c r="R87" i="2"/>
  <c r="AI87" i="2" s="1"/>
  <c r="AJ87" i="2" s="1"/>
  <c r="AA86" i="2"/>
  <c r="R86" i="2"/>
  <c r="AI86" i="2" s="1"/>
  <c r="AJ86" i="2" s="1"/>
  <c r="AA85" i="2"/>
  <c r="R85" i="2"/>
  <c r="AI85" i="2" s="1"/>
  <c r="AJ85" i="2" s="1"/>
  <c r="AA84" i="2"/>
  <c r="R84" i="2"/>
  <c r="AI84" i="2" s="1"/>
  <c r="AJ84" i="2" s="1"/>
  <c r="AA151" i="2"/>
  <c r="R151" i="2"/>
  <c r="AI151" i="2" s="1"/>
  <c r="AJ151" i="2" s="1"/>
  <c r="AA150" i="2"/>
  <c r="AA149" i="2"/>
  <c r="AA148" i="2"/>
  <c r="AA147" i="2"/>
  <c r="P147" i="2"/>
  <c r="AA146" i="2"/>
  <c r="P146" i="2"/>
  <c r="AA97" i="2"/>
  <c r="R97" i="2"/>
  <c r="AI97" i="2" s="1"/>
  <c r="AJ97" i="2" s="1"/>
  <c r="AA96" i="2"/>
  <c r="R96" i="2"/>
  <c r="AI96" i="2" s="1"/>
  <c r="AJ96" i="2" s="1"/>
  <c r="AA101" i="2"/>
  <c r="R101" i="2"/>
  <c r="AI101" i="2" s="1"/>
  <c r="AJ101" i="2" s="1"/>
  <c r="AA100" i="2"/>
  <c r="R100" i="2"/>
  <c r="AI100" i="2" s="1"/>
  <c r="AJ100" i="2" s="1"/>
  <c r="AA99" i="2"/>
  <c r="R99" i="2"/>
  <c r="AI99" i="2" s="1"/>
  <c r="AA98" i="2"/>
  <c r="R98" i="2"/>
  <c r="AI98" i="2" s="1"/>
  <c r="AJ98" i="2" s="1"/>
  <c r="AA109" i="2"/>
  <c r="R109" i="2"/>
  <c r="AI109" i="2" s="1"/>
  <c r="AJ109" i="2" s="1"/>
  <c r="AA108" i="2"/>
  <c r="R108" i="2"/>
  <c r="AI108" i="2" s="1"/>
  <c r="AJ108" i="2" s="1"/>
  <c r="AA107" i="2"/>
  <c r="R107" i="2"/>
  <c r="AI107" i="2" s="1"/>
  <c r="AA106" i="2"/>
  <c r="R106" i="2"/>
  <c r="AI106" i="2" s="1"/>
  <c r="AA105" i="2"/>
  <c r="R105" i="2"/>
  <c r="AI105" i="2" s="1"/>
  <c r="AJ105" i="2" s="1"/>
  <c r="AA104" i="2"/>
  <c r="R104" i="2"/>
  <c r="AI104" i="2" s="1"/>
  <c r="AJ104" i="2" s="1"/>
  <c r="AA103" i="2"/>
  <c r="R103" i="2"/>
  <c r="AI103" i="2" s="1"/>
  <c r="AJ103" i="2" s="1"/>
  <c r="AA102" i="2"/>
  <c r="R102" i="2"/>
  <c r="AI102" i="2" s="1"/>
  <c r="AJ102" i="2" s="1"/>
  <c r="AA23" i="2"/>
  <c r="R23" i="2"/>
  <c r="AI23" i="2" s="1"/>
  <c r="AA22" i="2"/>
  <c r="R22" i="2"/>
  <c r="AI22" i="2" s="1"/>
  <c r="AA21" i="2"/>
  <c r="R21" i="2"/>
  <c r="AI21" i="2" s="1"/>
  <c r="AA20" i="2"/>
  <c r="R20" i="2"/>
  <c r="AI20" i="2" s="1"/>
  <c r="AA19" i="2"/>
  <c r="R19" i="2"/>
  <c r="AI19" i="2" s="1"/>
  <c r="JK17" i="1" l="1"/>
  <c r="JJ17" i="1"/>
  <c r="JK44" i="1"/>
  <c r="JJ44" i="1"/>
  <c r="JK43" i="1"/>
  <c r="JJ43" i="1"/>
  <c r="JK42" i="1"/>
  <c r="JJ42" i="1"/>
  <c r="JK7" i="1"/>
  <c r="JJ7" i="1"/>
  <c r="JK46" i="1"/>
  <c r="JJ46" i="1"/>
  <c r="JK45" i="1"/>
  <c r="JJ45" i="1"/>
  <c r="JK19" i="1"/>
  <c r="JJ19" i="1"/>
  <c r="JK18" i="1"/>
  <c r="JJ18" i="1"/>
  <c r="JK4" i="1"/>
  <c r="JJ4" i="1"/>
  <c r="IJ4" i="1" l="1"/>
  <c r="IJ14" i="1"/>
  <c r="IJ15" i="1"/>
  <c r="IJ16" i="1"/>
  <c r="IJ12" i="1"/>
  <c r="IJ13" i="1"/>
  <c r="IJ11" i="1"/>
  <c r="IJ7" i="1"/>
  <c r="IJ18" i="1"/>
  <c r="IJ19" i="1"/>
  <c r="IJ20" i="1"/>
  <c r="IJ21" i="1"/>
  <c r="IJ22" i="1"/>
  <c r="IJ25" i="1"/>
  <c r="IJ37" i="1"/>
  <c r="IJ38" i="1"/>
  <c r="IJ45" i="1"/>
  <c r="IJ46" i="1"/>
  <c r="IJ42" i="1"/>
  <c r="IJ43" i="1"/>
  <c r="IJ44" i="1"/>
  <c r="IJ17" i="1"/>
  <c r="IJ32" i="1"/>
  <c r="IJ33" i="1"/>
  <c r="IJ34" i="1"/>
  <c r="IJ29" i="1"/>
  <c r="IJ30" i="1"/>
  <c r="II14" i="1"/>
  <c r="II15" i="1"/>
  <c r="II16" i="1"/>
  <c r="II12" i="1"/>
  <c r="II13" i="1"/>
  <c r="II11" i="1"/>
  <c r="II7" i="1"/>
  <c r="II18" i="1"/>
  <c r="II19" i="1"/>
  <c r="II20" i="1"/>
  <c r="II21" i="1"/>
  <c r="II22" i="1"/>
  <c r="II25" i="1"/>
  <c r="II37" i="1"/>
  <c r="II38" i="1"/>
  <c r="II45" i="1"/>
  <c r="II46" i="1"/>
  <c r="II42" i="1"/>
  <c r="II43" i="1"/>
  <c r="II44" i="1"/>
  <c r="II17" i="1"/>
  <c r="II32" i="1"/>
  <c r="II33" i="1"/>
  <c r="II34" i="1"/>
  <c r="II29" i="1"/>
  <c r="II30" i="1"/>
  <c r="II4" i="1"/>
</calcChain>
</file>

<file path=xl/sharedStrings.xml><?xml version="1.0" encoding="utf-8"?>
<sst xmlns="http://schemas.openxmlformats.org/spreadsheetml/2006/main" count="7144" uniqueCount="1292">
  <si>
    <t>volume</t>
  </si>
  <si>
    <t>age</t>
  </si>
  <si>
    <t>sol</t>
  </si>
  <si>
    <t>area</t>
  </si>
  <si>
    <t>rdt</t>
  </si>
  <si>
    <t>E3I1</t>
  </si>
  <si>
    <t>Longchamp</t>
  </si>
  <si>
    <t>NA</t>
  </si>
  <si>
    <t>ENM</t>
  </si>
  <si>
    <t>oui</t>
  </si>
  <si>
    <t>cultivateur lourd</t>
  </si>
  <si>
    <t>mars</t>
  </si>
  <si>
    <t>labour</t>
  </si>
  <si>
    <t>avril</t>
  </si>
  <si>
    <t>mai</t>
  </si>
  <si>
    <t>juin</t>
  </si>
  <si>
    <t>juillet</t>
  </si>
  <si>
    <t>rotavator</t>
  </si>
  <si>
    <t>février</t>
  </si>
  <si>
    <t>enfouir</t>
  </si>
  <si>
    <t>broyer</t>
  </si>
  <si>
    <t>ITK</t>
  </si>
  <si>
    <t>aout</t>
  </si>
  <si>
    <t>adventices</t>
  </si>
  <si>
    <t>non</t>
  </si>
  <si>
    <t>permanent</t>
  </si>
  <si>
    <t>aucun</t>
  </si>
  <si>
    <t>bacteries</t>
  </si>
  <si>
    <t>octobre</t>
  </si>
  <si>
    <t>organique</t>
  </si>
  <si>
    <t>etomyl</t>
  </si>
  <si>
    <t>printemps</t>
  </si>
  <si>
    <t>etat</t>
  </si>
  <si>
    <t>bon</t>
  </si>
  <si>
    <t>exploitant</t>
  </si>
  <si>
    <t>epareuse</t>
  </si>
  <si>
    <t>raonel</t>
  </si>
  <si>
    <t>sel</t>
  </si>
  <si>
    <t>pluvio</t>
  </si>
  <si>
    <t>gravitaire</t>
  </si>
  <si>
    <t>drain</t>
  </si>
  <si>
    <t>cepage</t>
  </si>
  <si>
    <t>mode_plant</t>
  </si>
  <si>
    <t>pre_taille</t>
  </si>
  <si>
    <t>mode_taille</t>
  </si>
  <si>
    <t>ecart_IR</t>
  </si>
  <si>
    <t>ecart_IC</t>
  </si>
  <si>
    <t>orient</t>
  </si>
  <si>
    <t>E10I1</t>
  </si>
  <si>
    <t>E10I2</t>
  </si>
  <si>
    <t>E10I3</t>
  </si>
  <si>
    <t>E9I1</t>
  </si>
  <si>
    <t>E9I2</t>
  </si>
  <si>
    <t>E8I1</t>
  </si>
  <si>
    <t>E8I2</t>
  </si>
  <si>
    <t>E7I1</t>
  </si>
  <si>
    <t>E7I2</t>
  </si>
  <si>
    <t>E6I1</t>
  </si>
  <si>
    <t>E5I1</t>
  </si>
  <si>
    <t>E4I1</t>
  </si>
  <si>
    <t>E2I1</t>
  </si>
  <si>
    <t>E1I1</t>
  </si>
  <si>
    <t>E11I1</t>
  </si>
  <si>
    <t>E12I2</t>
  </si>
  <si>
    <t>E13I1</t>
  </si>
  <si>
    <t>E13I2</t>
  </si>
  <si>
    <t>E14I1</t>
  </si>
  <si>
    <t>E14I2</t>
  </si>
  <si>
    <t>E17I1</t>
  </si>
  <si>
    <t>E17I2</t>
  </si>
  <si>
    <t>E15I1</t>
  </si>
  <si>
    <t>E16I1</t>
  </si>
  <si>
    <t>E24I1</t>
  </si>
  <si>
    <t>E24I2</t>
  </si>
  <si>
    <t>E25I1</t>
  </si>
  <si>
    <t>E25I2</t>
  </si>
  <si>
    <t>E22I1</t>
  </si>
  <si>
    <t>E28I1</t>
  </si>
  <si>
    <t>E28I2</t>
  </si>
  <si>
    <t>E27I1</t>
  </si>
  <si>
    <t>E27I2</t>
  </si>
  <si>
    <t>E27I3</t>
  </si>
  <si>
    <t>E26I1</t>
  </si>
  <si>
    <t>E21I1</t>
  </si>
  <si>
    <t>E21I2</t>
  </si>
  <si>
    <t>E21I3</t>
  </si>
  <si>
    <t>E23I1</t>
  </si>
  <si>
    <t>E20I1</t>
  </si>
  <si>
    <t>E19I1</t>
  </si>
  <si>
    <t>E19I2</t>
  </si>
  <si>
    <t>faible</t>
  </si>
  <si>
    <t>argileux</t>
  </si>
  <si>
    <t>sablo-limoneux</t>
  </si>
  <si>
    <t>fort</t>
  </si>
  <si>
    <t>zero</t>
  </si>
  <si>
    <t>très fort</t>
  </si>
  <si>
    <t>NR</t>
  </si>
  <si>
    <t>qualite</t>
  </si>
  <si>
    <t>moyen</t>
  </si>
  <si>
    <t>Limoneux-argileux</t>
  </si>
  <si>
    <t>bonne</t>
  </si>
  <si>
    <t xml:space="preserve">argileux </t>
  </si>
  <si>
    <t>gras</t>
  </si>
  <si>
    <t>sablo-argileux</t>
  </si>
  <si>
    <t>glaise</t>
  </si>
  <si>
    <t>souple</t>
  </si>
  <si>
    <t>argilo-limoneux</t>
  </si>
  <si>
    <t>limono-argileux</t>
  </si>
  <si>
    <t>fortes</t>
  </si>
  <si>
    <t>sableux</t>
  </si>
  <si>
    <t>très faible</t>
  </si>
  <si>
    <t>caillouteux</t>
  </si>
  <si>
    <t>arglileux</t>
  </si>
  <si>
    <t>plat</t>
  </si>
  <si>
    <t>sous-soleuse</t>
  </si>
  <si>
    <t>cover-crop</t>
  </si>
  <si>
    <t xml:space="preserve">février </t>
  </si>
  <si>
    <t>févier</t>
  </si>
  <si>
    <t>ocobre</t>
  </si>
  <si>
    <t>décompacter</t>
  </si>
  <si>
    <t>nettoyer</t>
  </si>
  <si>
    <t>desherber</t>
  </si>
  <si>
    <t>émietter</t>
  </si>
  <si>
    <t>drainer</t>
  </si>
  <si>
    <t>ameublir</t>
  </si>
  <si>
    <t>couper</t>
  </si>
  <si>
    <t>coucher</t>
  </si>
  <si>
    <t>semer</t>
  </si>
  <si>
    <t>évapotransp</t>
  </si>
  <si>
    <t>irrig</t>
  </si>
  <si>
    <t>réserve</t>
  </si>
  <si>
    <t>cultivateur léger</t>
  </si>
  <si>
    <t>décavailloneuse</t>
  </si>
  <si>
    <t xml:space="preserve">sous-soleuse </t>
  </si>
  <si>
    <t>novembre</t>
  </si>
  <si>
    <t>janvier</t>
  </si>
  <si>
    <t>août</t>
  </si>
  <si>
    <t>semoir</t>
  </si>
  <si>
    <t>1</t>
  </si>
  <si>
    <t>septembre</t>
  </si>
  <si>
    <t>sarcler</t>
  </si>
  <si>
    <t>broyeur</t>
  </si>
  <si>
    <t>rolofaca</t>
  </si>
  <si>
    <t>désherber</t>
  </si>
  <si>
    <t>PG</t>
  </si>
  <si>
    <t>rotatif</t>
  </si>
  <si>
    <t>mais</t>
  </si>
  <si>
    <t>lames</t>
  </si>
  <si>
    <t>rondup</t>
  </si>
  <si>
    <t>dichlobenil</t>
  </si>
  <si>
    <t>glyphosate</t>
  </si>
  <si>
    <t>G-2</t>
  </si>
  <si>
    <t>carfentrazone-éthyle</t>
  </si>
  <si>
    <t>flazasulfuron</t>
  </si>
  <si>
    <t>rondup + defanant</t>
  </si>
  <si>
    <t>hivernal</t>
  </si>
  <si>
    <t>nu</t>
  </si>
  <si>
    <t>portance</t>
  </si>
  <si>
    <t>carburant</t>
  </si>
  <si>
    <t>mineral</t>
  </si>
  <si>
    <t>gypse</t>
  </si>
  <si>
    <t>compost</t>
  </si>
  <si>
    <t>fumier</t>
  </si>
  <si>
    <t>soufre</t>
  </si>
  <si>
    <t>vie_sol</t>
  </si>
  <si>
    <t>semis</t>
  </si>
  <si>
    <t>rondup+defanant</t>
  </si>
  <si>
    <t>BIO3G</t>
  </si>
  <si>
    <t>magne</t>
  </si>
  <si>
    <t>calci</t>
  </si>
  <si>
    <t>neutra</t>
  </si>
  <si>
    <t>expe</t>
  </si>
  <si>
    <t>conseil</t>
  </si>
  <si>
    <t>E12I1</t>
  </si>
  <si>
    <t>8-2-12</t>
  </si>
  <si>
    <t>pre</t>
  </si>
  <si>
    <t>post</t>
  </si>
  <si>
    <t>analyse</t>
  </si>
  <si>
    <t>organo-mineral</t>
  </si>
  <si>
    <t>7-4-10</t>
  </si>
  <si>
    <t>6-5-12</t>
  </si>
  <si>
    <t>15-5-20</t>
  </si>
  <si>
    <t>bacterie</t>
  </si>
  <si>
    <t>marc</t>
  </si>
  <si>
    <t>Distillerie</t>
  </si>
  <si>
    <t>orga3</t>
  </si>
  <si>
    <t>freyssinnet</t>
  </si>
  <si>
    <t>vege</t>
  </si>
  <si>
    <t>magnesium</t>
  </si>
  <si>
    <t>3-7-12</t>
  </si>
  <si>
    <t>angibaud</t>
  </si>
  <si>
    <t>3-2-3</t>
  </si>
  <si>
    <t>3-3-12</t>
  </si>
  <si>
    <t>germiflor</t>
  </si>
  <si>
    <t>biomazor</t>
  </si>
  <si>
    <t>2-2-2</t>
  </si>
  <si>
    <t>2-2-3</t>
  </si>
  <si>
    <t>freyssinet</t>
  </si>
  <si>
    <t>ammonitrate</t>
  </si>
  <si>
    <t>33,5-0-0</t>
  </si>
  <si>
    <t>arterris</t>
  </si>
  <si>
    <t>tradition7</t>
  </si>
  <si>
    <t>azote</t>
  </si>
  <si>
    <t>6-10-20</t>
  </si>
  <si>
    <t>6-10-18</t>
  </si>
  <si>
    <t>6-10-19</t>
  </si>
  <si>
    <t>décembre</t>
  </si>
  <si>
    <t>rendement</t>
  </si>
  <si>
    <t>couvert</t>
  </si>
  <si>
    <t>climat</t>
  </si>
  <si>
    <t>vigne</t>
  </si>
  <si>
    <t>eco</t>
  </si>
  <si>
    <t>10,8,8 (urée)</t>
  </si>
  <si>
    <t>trait</t>
  </si>
  <si>
    <t>ancien</t>
  </si>
  <si>
    <t>recent</t>
  </si>
  <si>
    <t>acien</t>
  </si>
  <si>
    <t>AE</t>
  </si>
  <si>
    <t>E</t>
  </si>
  <si>
    <t>mauvais</t>
  </si>
  <si>
    <t>tres_mauvais</t>
  </si>
  <si>
    <t>ASA</t>
  </si>
  <si>
    <t>mairie</t>
  </si>
  <si>
    <t>biodiv</t>
  </si>
  <si>
    <t>label</t>
  </si>
  <si>
    <t>pelle</t>
  </si>
  <si>
    <t>debrouss</t>
  </si>
  <si>
    <t>roundup</t>
  </si>
  <si>
    <t>hiver</t>
  </si>
  <si>
    <t>fevrier</t>
  </si>
  <si>
    <t>decembre</t>
  </si>
  <si>
    <t>ocotbre</t>
  </si>
  <si>
    <t>variable</t>
  </si>
  <si>
    <t>varianle</t>
  </si>
  <si>
    <t>var</t>
  </si>
  <si>
    <t>Aude</t>
  </si>
  <si>
    <t>Robine</t>
  </si>
  <si>
    <t>salles</t>
  </si>
  <si>
    <t>coursan</t>
  </si>
  <si>
    <t>cercle</t>
  </si>
  <si>
    <t>lespignan</t>
  </si>
  <si>
    <t>rivegauche</t>
  </si>
  <si>
    <t>aude</t>
  </si>
  <si>
    <t>streshydriq</t>
  </si>
  <si>
    <t>stresshydriq</t>
  </si>
  <si>
    <t>gel</t>
  </si>
  <si>
    <t>grow</t>
  </si>
  <si>
    <t>pompe</t>
  </si>
  <si>
    <t>surface</t>
  </si>
  <si>
    <t>inconnu</t>
  </si>
  <si>
    <t>alcool</t>
  </si>
  <si>
    <t>BRL</t>
  </si>
  <si>
    <t>eaupotable</t>
  </si>
  <si>
    <t>puits</t>
  </si>
  <si>
    <t>robine</t>
  </si>
  <si>
    <t>A</t>
  </si>
  <si>
    <t>AP</t>
  </si>
  <si>
    <t>P</t>
  </si>
  <si>
    <t>ripper</t>
  </si>
  <si>
    <t>charrue</t>
  </si>
  <si>
    <t>herse_rota</t>
  </si>
  <si>
    <t>cultivateur_leger</t>
  </si>
  <si>
    <t>BRF</t>
  </si>
  <si>
    <t>ripper3</t>
  </si>
  <si>
    <t>cultivateur_lourd</t>
  </si>
  <si>
    <t>friche</t>
  </si>
  <si>
    <t>cereales</t>
  </si>
  <si>
    <t>fabaceae</t>
  </si>
  <si>
    <t>poacees</t>
  </si>
  <si>
    <t>pests</t>
  </si>
  <si>
    <t>nin</t>
  </si>
  <si>
    <t>aucune</t>
  </si>
  <si>
    <t>ferti</t>
  </si>
  <si>
    <t>know</t>
  </si>
  <si>
    <t>Fitoune</t>
  </si>
  <si>
    <t>Haut</t>
  </si>
  <si>
    <t>Bas</t>
  </si>
  <si>
    <t>Belle-vue</t>
  </si>
  <si>
    <t>Mandirac</t>
  </si>
  <si>
    <t>Francese</t>
  </si>
  <si>
    <t>Negos</t>
  </si>
  <si>
    <t>Bosc de Bonis</t>
  </si>
  <si>
    <t>Fleury</t>
  </si>
  <si>
    <t>Lespignan</t>
  </si>
  <si>
    <t>Grand-Vigne</t>
  </si>
  <si>
    <t>Arman-ville</t>
  </si>
  <si>
    <t>Coursan</t>
  </si>
  <si>
    <t>Foncaude</t>
  </si>
  <si>
    <t>Maribole</t>
  </si>
  <si>
    <t>Illots</t>
  </si>
  <si>
    <t>E3I1P1</t>
  </si>
  <si>
    <t>Chardonnay</t>
  </si>
  <si>
    <t>SO4</t>
  </si>
  <si>
    <t>TRP</t>
  </si>
  <si>
    <t>E3I1P2</t>
  </si>
  <si>
    <t>E3I1P3</t>
  </si>
  <si>
    <t>E3I1P4</t>
  </si>
  <si>
    <t>Cinsault</t>
  </si>
  <si>
    <t>E3I1P5</t>
  </si>
  <si>
    <t>E17I1P1</t>
  </si>
  <si>
    <t>NNE-SSO</t>
  </si>
  <si>
    <t>1,2,1</t>
  </si>
  <si>
    <t>E17I1P2</t>
  </si>
  <si>
    <t>E17I1P3</t>
  </si>
  <si>
    <t>Pinot</t>
  </si>
  <si>
    <t>E17I1P4</t>
  </si>
  <si>
    <t>Marselan</t>
  </si>
  <si>
    <t>E17I1P5</t>
  </si>
  <si>
    <t>Merlot</t>
  </si>
  <si>
    <t>E17I1P6</t>
  </si>
  <si>
    <t>E17I2P1</t>
  </si>
  <si>
    <t>E17I2P2</t>
  </si>
  <si>
    <t>E16I1P1</t>
  </si>
  <si>
    <t>N-S</t>
  </si>
  <si>
    <t>1,2,2</t>
  </si>
  <si>
    <t>E16I1P2</t>
  </si>
  <si>
    <t>E16I1P3</t>
  </si>
  <si>
    <t>E16I1P4</t>
  </si>
  <si>
    <t>E15I1PI</t>
  </si>
  <si>
    <t>R110</t>
  </si>
  <si>
    <t>E15I1P2</t>
  </si>
  <si>
    <t>E24I1P1</t>
  </si>
  <si>
    <t>O-E</t>
  </si>
  <si>
    <t>E24I1P2</t>
  </si>
  <si>
    <t>E24I2P1</t>
  </si>
  <si>
    <t>E24I2P2</t>
  </si>
  <si>
    <t>E24I2P3</t>
  </si>
  <si>
    <t>E24I2P4</t>
  </si>
  <si>
    <t>E13I1P1</t>
  </si>
  <si>
    <t>E-O</t>
  </si>
  <si>
    <t>E13I1P2</t>
  </si>
  <si>
    <t>E13I1P3</t>
  </si>
  <si>
    <t>E13I1P4</t>
  </si>
  <si>
    <t>E13I2P1</t>
  </si>
  <si>
    <t>NE-SO</t>
  </si>
  <si>
    <t>E13I2P2</t>
  </si>
  <si>
    <t>E13I2P3</t>
  </si>
  <si>
    <t>E14I1P1</t>
  </si>
  <si>
    <t>E14I1P2</t>
  </si>
  <si>
    <t>E14I2P1</t>
  </si>
  <si>
    <t>E14I2P2</t>
  </si>
  <si>
    <t>E14I2P3</t>
  </si>
  <si>
    <t>E25I1P1</t>
  </si>
  <si>
    <t>E25I2P1</t>
  </si>
  <si>
    <t>Syrah</t>
  </si>
  <si>
    <t>Inconnu</t>
  </si>
  <si>
    <t>NNO-SSE</t>
  </si>
  <si>
    <t>E25I2P2</t>
  </si>
  <si>
    <t>1,2,2,1</t>
  </si>
  <si>
    <t>E6I1P1</t>
  </si>
  <si>
    <t>E6I1P2</t>
  </si>
  <si>
    <t>E6I1P3</t>
  </si>
  <si>
    <t>E6I1P4</t>
  </si>
  <si>
    <t>E6I1P5</t>
  </si>
  <si>
    <t>E6I1P6</t>
  </si>
  <si>
    <t>E6I1P7</t>
  </si>
  <si>
    <t>E5I1P1</t>
  </si>
  <si>
    <t>Grenache</t>
  </si>
  <si>
    <t>E5I1P2</t>
  </si>
  <si>
    <t>E8I1P1</t>
  </si>
  <si>
    <t>E8I1P2</t>
  </si>
  <si>
    <t>Alicante</t>
  </si>
  <si>
    <t>E8I1P3</t>
  </si>
  <si>
    <t>E8I1P4</t>
  </si>
  <si>
    <t>Roussane</t>
  </si>
  <si>
    <t>E8I1P5</t>
  </si>
  <si>
    <t>E8I2P1</t>
  </si>
  <si>
    <t>mode</t>
  </si>
  <si>
    <t>E8I2P2</t>
  </si>
  <si>
    <t>E8I2P3</t>
  </si>
  <si>
    <t>E22I1P1</t>
  </si>
  <si>
    <t>E22I1P2</t>
  </si>
  <si>
    <t>Viognier</t>
  </si>
  <si>
    <t>E22I1P3</t>
  </si>
  <si>
    <t>E28I1P1</t>
  </si>
  <si>
    <t>E28I2P1</t>
  </si>
  <si>
    <t>E27I1P1</t>
  </si>
  <si>
    <t>E27I2P1</t>
  </si>
  <si>
    <t>E27I2P2</t>
  </si>
  <si>
    <t>Colombard</t>
  </si>
  <si>
    <t>E27I2P3</t>
  </si>
  <si>
    <t>E27I2P4</t>
  </si>
  <si>
    <t>E27I3P1</t>
  </si>
  <si>
    <t>E27I3P2</t>
  </si>
  <si>
    <t>E27I3P3</t>
  </si>
  <si>
    <t>E27I3P4</t>
  </si>
  <si>
    <t>Caladoc</t>
  </si>
  <si>
    <t>E27I3P5</t>
  </si>
  <si>
    <t>E26I1P1</t>
  </si>
  <si>
    <t>1,1,1</t>
  </si>
  <si>
    <t>E26I1P2</t>
  </si>
  <si>
    <t>E11I1P1</t>
  </si>
  <si>
    <t>OON-EES</t>
  </si>
  <si>
    <t>E11I1P2</t>
  </si>
  <si>
    <t>E9I1P1</t>
  </si>
  <si>
    <t>E9I1P2</t>
  </si>
  <si>
    <t>Cabernet</t>
  </si>
  <si>
    <t>E9I2P1</t>
  </si>
  <si>
    <t>E9I2P2</t>
  </si>
  <si>
    <t>E9I2P3</t>
  </si>
  <si>
    <t>E9I2P4</t>
  </si>
  <si>
    <t>E10I1P1</t>
  </si>
  <si>
    <t>E10I1P2</t>
  </si>
  <si>
    <t>E10I2P1</t>
  </si>
  <si>
    <t>E10I2P2</t>
  </si>
  <si>
    <t>E10I2P3</t>
  </si>
  <si>
    <t>E10I3P1</t>
  </si>
  <si>
    <t>E21I1P1</t>
  </si>
  <si>
    <t>E21I1P2</t>
  </si>
  <si>
    <t>E21I1P3</t>
  </si>
  <si>
    <t>E21I1P4</t>
  </si>
  <si>
    <t>E21I1P5</t>
  </si>
  <si>
    <t>E21I2P1</t>
  </si>
  <si>
    <t>E21I2P2</t>
  </si>
  <si>
    <t>Carignan</t>
  </si>
  <si>
    <t>E21I3P1</t>
  </si>
  <si>
    <t>E21I3P2</t>
  </si>
  <si>
    <t>E21I3P3</t>
  </si>
  <si>
    <t>E23I1P1</t>
  </si>
  <si>
    <t>E20I1P1</t>
  </si>
  <si>
    <t>Vermentino</t>
  </si>
  <si>
    <t>E19I1P1</t>
  </si>
  <si>
    <t>1,2,0</t>
  </si>
  <si>
    <t>E19I1P2</t>
  </si>
  <si>
    <t>E19I1P3</t>
  </si>
  <si>
    <t>E19I1P4</t>
  </si>
  <si>
    <t>E19I1P5</t>
  </si>
  <si>
    <t>E19I1P6</t>
  </si>
  <si>
    <t>E19I1P7</t>
  </si>
  <si>
    <t>E19I2P1</t>
  </si>
  <si>
    <t>E12I1P1</t>
  </si>
  <si>
    <t>E12I1P2</t>
  </si>
  <si>
    <t>E12I1P3</t>
  </si>
  <si>
    <t>E12I1P4</t>
  </si>
  <si>
    <t>E12I2P1</t>
  </si>
  <si>
    <t>E12I2P2</t>
  </si>
  <si>
    <t>E12I2P3</t>
  </si>
  <si>
    <t>CODE</t>
  </si>
  <si>
    <t>Pinot_noir</t>
  </si>
  <si>
    <t>Cabernet_sauvignon</t>
  </si>
  <si>
    <t>Cabernet_franc</t>
  </si>
  <si>
    <t>Cabernet_cortis</t>
  </si>
  <si>
    <t>Sauvignon_blanc</t>
  </si>
  <si>
    <t>Mourvedre</t>
  </si>
  <si>
    <t>diver</t>
  </si>
  <si>
    <t>AOC</t>
  </si>
  <si>
    <t>hist</t>
  </si>
  <si>
    <t>resist</t>
  </si>
  <si>
    <t>adaptation</t>
  </si>
  <si>
    <t>prime</t>
  </si>
  <si>
    <t>hydro</t>
  </si>
  <si>
    <t>power</t>
  </si>
  <si>
    <t>enviro</t>
  </si>
  <si>
    <t>manu</t>
  </si>
  <si>
    <t>meca</t>
  </si>
  <si>
    <t>carence</t>
  </si>
  <si>
    <t>sech</t>
  </si>
  <si>
    <t>cause1</t>
  </si>
  <si>
    <t>cause2</t>
  </si>
  <si>
    <t>CDR</t>
  </si>
  <si>
    <t>GS</t>
  </si>
  <si>
    <t>GOB</t>
  </si>
  <si>
    <t>simple</t>
  </si>
  <si>
    <t>TW</t>
  </si>
  <si>
    <t>0</t>
  </si>
  <si>
    <t>ep</t>
  </si>
  <si>
    <t>h_ecim</t>
  </si>
  <si>
    <t>h_port</t>
  </si>
  <si>
    <t>mode_pali</t>
  </si>
  <si>
    <t>dens</t>
  </si>
  <si>
    <t>perte_rdt</t>
  </si>
  <si>
    <t>rdt_odj</t>
  </si>
  <si>
    <t>rdt_connu</t>
  </si>
  <si>
    <t>rul_PG1</t>
  </si>
  <si>
    <t>rul_PG2</t>
  </si>
  <si>
    <t>Ilot</t>
  </si>
  <si>
    <t>Entre_deux_drailles</t>
  </si>
  <si>
    <t>Pieds_de_côte</t>
  </si>
  <si>
    <t>Bord_de_rivière</t>
  </si>
  <si>
    <t>Saint-Estève</t>
  </si>
  <si>
    <t>Front_de_mer</t>
  </si>
  <si>
    <t>Malard_le_vieux</t>
  </si>
  <si>
    <t>Le_cercle</t>
  </si>
  <si>
    <t>La_Fite</t>
  </si>
  <si>
    <t>La_Plaine</t>
  </si>
  <si>
    <t>Camp_Roumiou</t>
  </si>
  <si>
    <t>l_ile</t>
  </si>
  <si>
    <t>Fringuet_Haut</t>
  </si>
  <si>
    <t>Fringuet_Bas</t>
  </si>
  <si>
    <t>Les_bas</t>
  </si>
  <si>
    <t>Bosc_de_Bony</t>
  </si>
  <si>
    <t>La_plaine</t>
  </si>
  <si>
    <t>La_Besque</t>
  </si>
  <si>
    <t>Salees</t>
  </si>
  <si>
    <t>Rive_letang</t>
  </si>
  <si>
    <t>Les_rizières</t>
  </si>
  <si>
    <t>Terre_vieille</t>
  </si>
  <si>
    <t>Zone_humide</t>
  </si>
  <si>
    <t>Bord_etang</t>
  </si>
  <si>
    <t>R</t>
  </si>
  <si>
    <t>SECV</t>
  </si>
  <si>
    <t>ep_corrig</t>
  </si>
  <si>
    <t>H</t>
  </si>
  <si>
    <t>T%</t>
  </si>
  <si>
    <t>rul1_taille</t>
  </si>
  <si>
    <t>rul2_taille</t>
  </si>
  <si>
    <t>rul1_cep</t>
  </si>
  <si>
    <t>rul2_cep</t>
  </si>
  <si>
    <t>rul3_cep</t>
  </si>
  <si>
    <t>mkt</t>
  </si>
  <si>
    <t>clape</t>
  </si>
  <si>
    <t>D</t>
  </si>
  <si>
    <t>F</t>
  </si>
  <si>
    <t>E18I1</t>
  </si>
  <si>
    <t>C</t>
  </si>
  <si>
    <t>B</t>
  </si>
  <si>
    <t>S</t>
  </si>
  <si>
    <t>L</t>
  </si>
  <si>
    <t>K</t>
  </si>
  <si>
    <t>ILOT_area1</t>
  </si>
  <si>
    <t>ILOT_area2</t>
  </si>
  <si>
    <t>IR_inter1</t>
  </si>
  <si>
    <t>IR_freq1</t>
  </si>
  <si>
    <t>IR_date1-1</t>
  </si>
  <si>
    <t>IR_inter2</t>
  </si>
  <si>
    <t>IR_prof_min2</t>
  </si>
  <si>
    <t>ILOT_sol</t>
  </si>
  <si>
    <t>ILOT_sel</t>
  </si>
  <si>
    <t>ILOT_relief</t>
  </si>
  <si>
    <t>ILOT_name</t>
  </si>
  <si>
    <t>ILOT_rdt</t>
  </si>
  <si>
    <t>ILOT_qualite</t>
  </si>
  <si>
    <t>ILOT_innond</t>
  </si>
  <si>
    <t>ILOT_autre</t>
  </si>
  <si>
    <t>IR_outil1</t>
  </si>
  <si>
    <t>IR_prof_min1</t>
  </si>
  <si>
    <t>IR_prof_max1</t>
  </si>
  <si>
    <t>IR_date1-2</t>
  </si>
  <si>
    <t>IR_date1-3</t>
  </si>
  <si>
    <t>IR_date1-4</t>
  </si>
  <si>
    <t>IR_date1-5</t>
  </si>
  <si>
    <t>IR_util1-1</t>
  </si>
  <si>
    <t>IR_util1-2</t>
  </si>
  <si>
    <t>IR_util1-3</t>
  </si>
  <si>
    <t>IR_util1-4</t>
  </si>
  <si>
    <t>IR_rul1-1</t>
  </si>
  <si>
    <t>IR_rul1-2</t>
  </si>
  <si>
    <t>IR_rul1-3</t>
  </si>
  <si>
    <t>IR_outil2</t>
  </si>
  <si>
    <t>IR_prof_max2</t>
  </si>
  <si>
    <t>IR_freq2</t>
  </si>
  <si>
    <t>IR_date2-1</t>
  </si>
  <si>
    <t>IR_date2-2</t>
  </si>
  <si>
    <t>IR_date2-3</t>
  </si>
  <si>
    <t>IR_date2-4</t>
  </si>
  <si>
    <t>IR_date2-5</t>
  </si>
  <si>
    <t>IR_util2-1</t>
  </si>
  <si>
    <t>IR_util2-2</t>
  </si>
  <si>
    <t>IR_rul2-1</t>
  </si>
  <si>
    <t>IR_rul2-2</t>
  </si>
  <si>
    <t>IR_rul2-3</t>
  </si>
  <si>
    <t>IR_outil3</t>
  </si>
  <si>
    <t>IR_inter3</t>
  </si>
  <si>
    <t>IR_prof_min3</t>
  </si>
  <si>
    <t>IR_prof_max3</t>
  </si>
  <si>
    <t>IR_freq3</t>
  </si>
  <si>
    <t>IR_date3-1</t>
  </si>
  <si>
    <t>IR_date3-2</t>
  </si>
  <si>
    <t>IR_date3-3</t>
  </si>
  <si>
    <t>IR_date3-4</t>
  </si>
  <si>
    <t>IR_date3-5</t>
  </si>
  <si>
    <t>IR_util3-1</t>
  </si>
  <si>
    <t>IR_util3-2</t>
  </si>
  <si>
    <t>IR_util3-3</t>
  </si>
  <si>
    <t>IR_rul3-1</t>
  </si>
  <si>
    <t>IR_rul3-2</t>
  </si>
  <si>
    <t>IR_outil4</t>
  </si>
  <si>
    <t>IR_inter4</t>
  </si>
  <si>
    <t>IR_prof_min4</t>
  </si>
  <si>
    <t>IR_prof_max4</t>
  </si>
  <si>
    <t>IR_freq4</t>
  </si>
  <si>
    <t>IR_date4-1</t>
  </si>
  <si>
    <t>IR_date4-2</t>
  </si>
  <si>
    <t>IR_date4-3</t>
  </si>
  <si>
    <t>IR_date4-4</t>
  </si>
  <si>
    <t>IR_date4-5</t>
  </si>
  <si>
    <t>IR_util4-1</t>
  </si>
  <si>
    <t>IR_util4-2</t>
  </si>
  <si>
    <t>IR_util4-3</t>
  </si>
  <si>
    <t>IR_rul4-1</t>
  </si>
  <si>
    <t>IR_rul4-2</t>
  </si>
  <si>
    <t>IR_outil5</t>
  </si>
  <si>
    <t>IR_inter5</t>
  </si>
  <si>
    <t>IR_prof_min5</t>
  </si>
  <si>
    <t>IR_prof_max5</t>
  </si>
  <si>
    <t>IR_freq5</t>
  </si>
  <si>
    <t>IR_date5-1</t>
  </si>
  <si>
    <t>IR_date5-2</t>
  </si>
  <si>
    <t>IR_date5-3</t>
  </si>
  <si>
    <t>IR_util5-1</t>
  </si>
  <si>
    <t>IR_util5-2</t>
  </si>
  <si>
    <t>IR_rul5-1</t>
  </si>
  <si>
    <t>R_outil1</t>
  </si>
  <si>
    <t>R_inter1</t>
  </si>
  <si>
    <t>R_prof_min1</t>
  </si>
  <si>
    <t>R_prof_max1</t>
  </si>
  <si>
    <t>R_freq1</t>
  </si>
  <si>
    <t>R_freq_combi1</t>
  </si>
  <si>
    <t>R_date1-1</t>
  </si>
  <si>
    <t>R_date1-2</t>
  </si>
  <si>
    <t>R_date1-3</t>
  </si>
  <si>
    <t>R_date1-4</t>
  </si>
  <si>
    <t>R_date1-5</t>
  </si>
  <si>
    <t>R_util1-1</t>
  </si>
  <si>
    <t>R_util1-2</t>
  </si>
  <si>
    <t>R_rul1-2</t>
  </si>
  <si>
    <t>R_outil2</t>
  </si>
  <si>
    <t>R_inter2</t>
  </si>
  <si>
    <t>R_prof_min2</t>
  </si>
  <si>
    <t>R_prof_max2</t>
  </si>
  <si>
    <t>R_freq2</t>
  </si>
  <si>
    <t>R_date2-1</t>
  </si>
  <si>
    <t>R_date2-2</t>
  </si>
  <si>
    <t>R_date2-3</t>
  </si>
  <si>
    <t>R_date2-4</t>
  </si>
  <si>
    <t>R_util2-1</t>
  </si>
  <si>
    <t>R_rul2-2</t>
  </si>
  <si>
    <t>PHYT_freq</t>
  </si>
  <si>
    <t>PHYT_date1</t>
  </si>
  <si>
    <t>PHYT_date2</t>
  </si>
  <si>
    <t>PHYT_produit1</t>
  </si>
  <si>
    <t>PHYT_sub_active1</t>
  </si>
  <si>
    <t>PHYT_conc1</t>
  </si>
  <si>
    <t>PHYT_dose1</t>
  </si>
  <si>
    <t>PHYT_produit2</t>
  </si>
  <si>
    <t>PHYT_sub_active2-1</t>
  </si>
  <si>
    <t>PHYT_sub_active2-2</t>
  </si>
  <si>
    <t>PHYT_conc2-1</t>
  </si>
  <si>
    <t>PHYT_conc2-2</t>
  </si>
  <si>
    <t>PHYT_dose2-1</t>
  </si>
  <si>
    <t>PHYT_dose2-2</t>
  </si>
  <si>
    <t>PHYT_rul2</t>
  </si>
  <si>
    <t>HERB_type1</t>
  </si>
  <si>
    <t>HERB_compo1</t>
  </si>
  <si>
    <t>HERB_inter1</t>
  </si>
  <si>
    <t>HERB_type2</t>
  </si>
  <si>
    <t>HERB_compo2</t>
  </si>
  <si>
    <t>HERB_inter2</t>
  </si>
  <si>
    <t>HERB_util1</t>
  </si>
  <si>
    <t>HERB_util2</t>
  </si>
  <si>
    <t>HERB_util3</t>
  </si>
  <si>
    <t>AM_type1</t>
  </si>
  <si>
    <t>AM_compo1</t>
  </si>
  <si>
    <t>AM_nom1</t>
  </si>
  <si>
    <t>AM_fourni1</t>
  </si>
  <si>
    <t>AM_freq1</t>
  </si>
  <si>
    <t>AM_dose1</t>
  </si>
  <si>
    <t>AM_date1</t>
  </si>
  <si>
    <t>AM_area1</t>
  </si>
  <si>
    <t>AM_util1-1</t>
  </si>
  <si>
    <t>AM_util1-2</t>
  </si>
  <si>
    <t>AM_rul1-1</t>
  </si>
  <si>
    <t>AM_type2</t>
  </si>
  <si>
    <t>AM_compo2</t>
  </si>
  <si>
    <t>AM_nom2</t>
  </si>
  <si>
    <t>AM_fourni2</t>
  </si>
  <si>
    <t>AM_freq2</t>
  </si>
  <si>
    <t>AM_dose2</t>
  </si>
  <si>
    <t>AM_date2</t>
  </si>
  <si>
    <t>AM_util2-1</t>
  </si>
  <si>
    <t>AM_rul2-1</t>
  </si>
  <si>
    <t>ENG_type1</t>
  </si>
  <si>
    <t>ENG_base1</t>
  </si>
  <si>
    <t>ENG_compo1</t>
  </si>
  <si>
    <t>ENG_nom1</t>
  </si>
  <si>
    <t>ENG_fourni1</t>
  </si>
  <si>
    <t>ENG_freq1</t>
  </si>
  <si>
    <t>ENG_dose1</t>
  </si>
  <si>
    <t>ENG_date1</t>
  </si>
  <si>
    <t>ENG_util1-2</t>
  </si>
  <si>
    <t>ENG_util1-3</t>
  </si>
  <si>
    <t>ENG_util1-4</t>
  </si>
  <si>
    <t>ENG_rul1-1</t>
  </si>
  <si>
    <t>ENG_rul1-2</t>
  </si>
  <si>
    <t>ENG_type2</t>
  </si>
  <si>
    <t>ENG_compo2</t>
  </si>
  <si>
    <t>ENG_nom2</t>
  </si>
  <si>
    <t>ENG_fourni2</t>
  </si>
  <si>
    <t>ENG_freq2</t>
  </si>
  <si>
    <t>ENG_dose2</t>
  </si>
  <si>
    <t>ENG_date2</t>
  </si>
  <si>
    <t>ENG_util2-1</t>
  </si>
  <si>
    <t>ENG_rul2-1</t>
  </si>
  <si>
    <t>ENG_rul2-2</t>
  </si>
  <si>
    <t>FOS_fosse</t>
  </si>
  <si>
    <t>FOS_prof_min</t>
  </si>
  <si>
    <t>FOS_prof_max</t>
  </si>
  <si>
    <t>FOS_etat</t>
  </si>
  <si>
    <t>FOS_age</t>
  </si>
  <si>
    <t>FOS_qui1</t>
  </si>
  <si>
    <t>FOS_qui2</t>
  </si>
  <si>
    <t>FOS_rul1</t>
  </si>
  <si>
    <t>FOS_rul2</t>
  </si>
  <si>
    <t>FOS_outil1</t>
  </si>
  <si>
    <t>FOS_freq1</t>
  </si>
  <si>
    <t>FOS_date1-1</t>
  </si>
  <si>
    <t>FOS_date1-2</t>
  </si>
  <si>
    <t>FOS_date1-3</t>
  </si>
  <si>
    <t>FOS_outil2</t>
  </si>
  <si>
    <t>FOS_freq2</t>
  </si>
  <si>
    <t>FOS_date2-1</t>
  </si>
  <si>
    <t>FOS_date2-2</t>
  </si>
  <si>
    <t>FOS_ecobu3</t>
  </si>
  <si>
    <t>FOS_freq3</t>
  </si>
  <si>
    <t>FOS_date3-1</t>
  </si>
  <si>
    <t>FOS_date3-2</t>
  </si>
  <si>
    <t>FOS_chim1</t>
  </si>
  <si>
    <t>FOS_produit1</t>
  </si>
  <si>
    <t>FOS_dose1</t>
  </si>
  <si>
    <t>SUB_sub</t>
  </si>
  <si>
    <t>SUB_freq1</t>
  </si>
  <si>
    <t>SUB_date1-2</t>
  </si>
  <si>
    <t>SUB_date1-3</t>
  </si>
  <si>
    <t>SUB_date1-4</t>
  </si>
  <si>
    <t>SUB_date1-5</t>
  </si>
  <si>
    <t>SUB_date1-6</t>
  </si>
  <si>
    <t>SUB_origin1</t>
  </si>
  <si>
    <t>SUB_asa_alim1</t>
  </si>
  <si>
    <t>SUB_util1</t>
  </si>
  <si>
    <t>SUB_util2</t>
  </si>
  <si>
    <t>SUB_util3</t>
  </si>
  <si>
    <t>SUB_rul1-1</t>
  </si>
  <si>
    <t>SUB_rul1-2</t>
  </si>
  <si>
    <t>SUB_rul1-3</t>
  </si>
  <si>
    <t>SUB_Hmin1</t>
  </si>
  <si>
    <t>SUB_Hmax1</t>
  </si>
  <si>
    <t>SUB_</t>
  </si>
  <si>
    <t>SUB_AlimA1</t>
  </si>
  <si>
    <t>SUB_AlimB1</t>
  </si>
  <si>
    <t>SUB_volume1</t>
  </si>
  <si>
    <t>SUB_irrtime_min</t>
  </si>
  <si>
    <t>SUB_irrtime_max</t>
  </si>
  <si>
    <t>SUB_subtime_min</t>
  </si>
  <si>
    <t>SUB_subtime_max</t>
  </si>
  <si>
    <t>SUB_wipetime_min</t>
  </si>
  <si>
    <t>SUB_wipetime_max</t>
  </si>
  <si>
    <t>SUB_totaltime_min</t>
  </si>
  <si>
    <t>SUB_totaltime_max</t>
  </si>
  <si>
    <t>SUB_freq2</t>
  </si>
  <si>
    <t>SUB_date2-1</t>
  </si>
  <si>
    <t>SUB_date2-2</t>
  </si>
  <si>
    <t>SUB_date2-3</t>
  </si>
  <si>
    <t>SUB_date2-4</t>
  </si>
  <si>
    <t>SUB_origin2</t>
  </si>
  <si>
    <t>SUB_asa_alim2</t>
  </si>
  <si>
    <t>SUB_util2-1</t>
  </si>
  <si>
    <t>SUB_util2-2</t>
  </si>
  <si>
    <t>SUB_util2-3</t>
  </si>
  <si>
    <t>SUB_rul2-1</t>
  </si>
  <si>
    <t>SUB_rul2-2</t>
  </si>
  <si>
    <t>SUB_rul2-3</t>
  </si>
  <si>
    <t>SUB_Hmin2</t>
  </si>
  <si>
    <t>SUB_Hmax2</t>
  </si>
  <si>
    <t>SUB_AlimA2</t>
  </si>
  <si>
    <t>SUB_AlimB2</t>
  </si>
  <si>
    <t>SUB_volume2</t>
  </si>
  <si>
    <t>SUB_irrtime_min2</t>
  </si>
  <si>
    <t>SUB_irrtime_max2</t>
  </si>
  <si>
    <t>SUB_subtime_min2</t>
  </si>
  <si>
    <t>SUB_subtime_max2</t>
  </si>
  <si>
    <t>SUB_wipetime_min2</t>
  </si>
  <si>
    <t>SUB_wipetime_max2</t>
  </si>
  <si>
    <t>SUB_totaltime_min2</t>
  </si>
  <si>
    <t>SUB_totaltime_max2</t>
  </si>
  <si>
    <t>IRRIG_gag</t>
  </si>
  <si>
    <t>IRRIG_asper</t>
  </si>
  <si>
    <t>IRRIG_date1-1</t>
  </si>
  <si>
    <t>IRRIG_date1-2</t>
  </si>
  <si>
    <t>IRRIG_date1-3</t>
  </si>
  <si>
    <t>IRRIG_origin</t>
  </si>
  <si>
    <t>IRRIG_asa_alim</t>
  </si>
  <si>
    <t>IRRIG_util1</t>
  </si>
  <si>
    <t>IRRIG_util2</t>
  </si>
  <si>
    <t>IRRIG_util3</t>
  </si>
  <si>
    <t>IRRIG_rul1</t>
  </si>
  <si>
    <t>IRRIG_freq</t>
  </si>
  <si>
    <t>IRRIG_volume_mm</t>
  </si>
  <si>
    <t>DRAIN_drain</t>
  </si>
  <si>
    <t>DRAIN_prof_min</t>
  </si>
  <si>
    <t>DRAIN_prof_max</t>
  </si>
  <si>
    <t>DRAIN_espace_min</t>
  </si>
  <si>
    <t>DRAIN_espace_max</t>
  </si>
  <si>
    <t>DRAIN_section</t>
  </si>
  <si>
    <t>DRAIN_position</t>
  </si>
  <si>
    <t>DRAIN_etat</t>
  </si>
  <si>
    <t>DRAIN_l_max</t>
  </si>
  <si>
    <t>PREPA_outil1</t>
  </si>
  <si>
    <t>PREPA_freq1</t>
  </si>
  <si>
    <t>PREPA_prof1</t>
  </si>
  <si>
    <t>PREPA_outil2</t>
  </si>
  <si>
    <t>PREPA_freq2</t>
  </si>
  <si>
    <t>PREPA_prof2</t>
  </si>
  <si>
    <t>PREPA_outil3</t>
  </si>
  <si>
    <t>PREPA_freq3</t>
  </si>
  <si>
    <t>PREPA_prof3</t>
  </si>
  <si>
    <t>PREPA_outil4</t>
  </si>
  <si>
    <t>PREPA_freq4</t>
  </si>
  <si>
    <t>PREPA_prof4</t>
  </si>
  <si>
    <t>NIVEL_nivel</t>
  </si>
  <si>
    <t>IC_time</t>
  </si>
  <si>
    <t>IC_occup</t>
  </si>
  <si>
    <t>IC_util1</t>
  </si>
  <si>
    <t>ANA_petiole</t>
  </si>
  <si>
    <t>ANA_sol</t>
  </si>
  <si>
    <t>ANA_preplant</t>
  </si>
  <si>
    <t>ANA_postplant</t>
  </si>
  <si>
    <t>ANA_SEL</t>
  </si>
  <si>
    <t>ANA_util1</t>
  </si>
  <si>
    <t>ANA_util2</t>
  </si>
  <si>
    <t>ANA_rul1</t>
  </si>
  <si>
    <t>ILOT_code</t>
  </si>
  <si>
    <t>ILOT_area</t>
  </si>
  <si>
    <t>La_prele</t>
  </si>
  <si>
    <t>limono-sablo-argileux</t>
  </si>
  <si>
    <t>defanant</t>
  </si>
  <si>
    <t>boues</t>
  </si>
  <si>
    <t>mixte</t>
  </si>
  <si>
    <t>animaux</t>
  </si>
  <si>
    <t>3-6-3</t>
  </si>
  <si>
    <t>biorg</t>
  </si>
  <si>
    <t>syst</t>
  </si>
  <si>
    <t>oligo</t>
  </si>
  <si>
    <t>3-3-2</t>
  </si>
  <si>
    <t>reche</t>
  </si>
  <si>
    <t>temp</t>
  </si>
  <si>
    <t>IR_freq</t>
  </si>
  <si>
    <t>no_Wsol</t>
  </si>
  <si>
    <t>IR_superficie</t>
  </si>
  <si>
    <t>IR_depth</t>
  </si>
  <si>
    <t>&lt;50%IR</t>
  </si>
  <si>
    <t>IR_return</t>
  </si>
  <si>
    <t>R_Wsol</t>
  </si>
  <si>
    <t>R_meca</t>
  </si>
  <si>
    <t>R_chimi</t>
  </si>
  <si>
    <t>R_mixte</t>
  </si>
  <si>
    <t>IR_faible</t>
  </si>
  <si>
    <t>IR_modere</t>
  </si>
  <si>
    <t>IR_intensif</t>
  </si>
  <si>
    <t>IR_superf</t>
  </si>
  <si>
    <t>IR_prof</t>
  </si>
  <si>
    <t>Herb_IR</t>
  </si>
  <si>
    <t>no_herb</t>
  </si>
  <si>
    <t>H_perm</t>
  </si>
  <si>
    <t>H_semiperm</t>
  </si>
  <si>
    <t>H_hiver</t>
  </si>
  <si>
    <t>AM_type</t>
  </si>
  <si>
    <t>AM_orga</t>
  </si>
  <si>
    <t>AM_mixte</t>
  </si>
  <si>
    <t>no_AM</t>
  </si>
  <si>
    <t>ENG_type</t>
  </si>
  <si>
    <t>ferti_orga</t>
  </si>
  <si>
    <t>ferti_mine</t>
  </si>
  <si>
    <t>ferti_mixte</t>
  </si>
  <si>
    <t>no_ferti</t>
  </si>
  <si>
    <t>Ditch_state</t>
  </si>
  <si>
    <t>no_ditch</t>
  </si>
  <si>
    <t>D_notused</t>
  </si>
  <si>
    <t>D_bad</t>
  </si>
  <si>
    <t>D_good</t>
  </si>
  <si>
    <t>Sub_origin</t>
  </si>
  <si>
    <t>S_drain</t>
  </si>
  <si>
    <t>S_surf</t>
  </si>
  <si>
    <t>no_sub</t>
  </si>
  <si>
    <t>Sub_cumul_mm</t>
  </si>
  <si>
    <t>0mm</t>
  </si>
  <si>
    <t>no_drain</t>
  </si>
  <si>
    <t>other_irrig</t>
  </si>
  <si>
    <t>no_irrig</t>
  </si>
  <si>
    <t>no_returnIR</t>
  </si>
  <si>
    <t>returnIR</t>
  </si>
  <si>
    <t>prepa_sol</t>
  </si>
  <si>
    <t>returnsol</t>
  </si>
  <si>
    <t>no_returnsol</t>
  </si>
  <si>
    <t>freq_tot_IR</t>
  </si>
  <si>
    <t>50-80%IR</t>
  </si>
  <si>
    <t>&gt;80%IR</t>
  </si>
  <si>
    <t>superfW</t>
  </si>
  <si>
    <t>max_depth</t>
  </si>
  <si>
    <t>R_ER</t>
  </si>
  <si>
    <t>no_ER</t>
  </si>
  <si>
    <t>AM</t>
  </si>
  <si>
    <t>ENG</t>
  </si>
  <si>
    <t>no</t>
  </si>
  <si>
    <t>SUB</t>
  </si>
  <si>
    <t>&lt;200mm</t>
  </si>
  <si>
    <t>200-400mm</t>
  </si>
  <si>
    <t>&gt;400mm</t>
  </si>
  <si>
    <t>Drain</t>
  </si>
  <si>
    <t>ILOT</t>
  </si>
  <si>
    <t>Colonne1</t>
  </si>
  <si>
    <t>Colonne2</t>
  </si>
  <si>
    <t>Colonne3</t>
  </si>
  <si>
    <t>Colonne4</t>
  </si>
  <si>
    <t>Colonne5</t>
  </si>
  <si>
    <t>sum_irfreq</t>
  </si>
  <si>
    <t>E3</t>
  </si>
  <si>
    <t>Aucune</t>
  </si>
  <si>
    <t>E17</t>
  </si>
  <si>
    <t>Negret</t>
  </si>
  <si>
    <t>E16</t>
  </si>
  <si>
    <t>Frezal</t>
  </si>
  <si>
    <t>E15</t>
  </si>
  <si>
    <t>Aribo</t>
  </si>
  <si>
    <t>E25</t>
  </si>
  <si>
    <t>Santa</t>
  </si>
  <si>
    <t>HVE3</t>
  </si>
  <si>
    <t>E24</t>
  </si>
  <si>
    <t>Banon</t>
  </si>
  <si>
    <t>E13</t>
  </si>
  <si>
    <t>Martinez</t>
  </si>
  <si>
    <t>E14</t>
  </si>
  <si>
    <t>Miramont</t>
  </si>
  <si>
    <t>E6</t>
  </si>
  <si>
    <t>Tavallo</t>
  </si>
  <si>
    <t>E5</t>
  </si>
  <si>
    <t>Antoine</t>
  </si>
  <si>
    <t>E8</t>
  </si>
  <si>
    <t>Chamayrac</t>
  </si>
  <si>
    <t>Terra Vitis</t>
  </si>
  <si>
    <t>E22</t>
  </si>
  <si>
    <t>Woillemont</t>
  </si>
  <si>
    <t>E28</t>
  </si>
  <si>
    <t>Olmos</t>
  </si>
  <si>
    <t>E27</t>
  </si>
  <si>
    <t>Loubatière</t>
  </si>
  <si>
    <t>E26</t>
  </si>
  <si>
    <t>E11</t>
  </si>
  <si>
    <t>Ortola</t>
  </si>
  <si>
    <t>AB</t>
  </si>
  <si>
    <t>E9</t>
  </si>
  <si>
    <t>Germa</t>
  </si>
  <si>
    <t>E10</t>
  </si>
  <si>
    <t>Bottero</t>
  </si>
  <si>
    <t>E21</t>
  </si>
  <si>
    <t>Arnaud</t>
  </si>
  <si>
    <t>E23</t>
  </si>
  <si>
    <t>Adell</t>
  </si>
  <si>
    <t>E20</t>
  </si>
  <si>
    <t>Taysse</t>
  </si>
  <si>
    <t>E19</t>
  </si>
  <si>
    <t>Anguito</t>
  </si>
  <si>
    <t>E12</t>
  </si>
  <si>
    <t>Ros</t>
  </si>
  <si>
    <t>Gruissan</t>
  </si>
  <si>
    <t>Domaine</t>
  </si>
  <si>
    <t>Névian</t>
  </si>
  <si>
    <t>Coopé</t>
  </si>
  <si>
    <t>Numéro</t>
  </si>
  <si>
    <t>Exploitation</t>
  </si>
  <si>
    <t>Exploitant</t>
  </si>
  <si>
    <t>Label</t>
  </si>
  <si>
    <t>Cave1</t>
  </si>
  <si>
    <t>Cave2</t>
  </si>
  <si>
    <t>Vinif</t>
  </si>
  <si>
    <t>ASA2</t>
  </si>
  <si>
    <t>ASA1</t>
  </si>
  <si>
    <t>E18</t>
  </si>
  <si>
    <t>Ferrera</t>
  </si>
  <si>
    <t>HVE3/Terra Vitis</t>
  </si>
  <si>
    <t>Raonel</t>
  </si>
  <si>
    <t>Statut ASA</t>
  </si>
  <si>
    <t>CA</t>
  </si>
  <si>
    <t>Statut Cave</t>
  </si>
  <si>
    <t>E7</t>
  </si>
  <si>
    <t>Perez</t>
  </si>
  <si>
    <t>HVE</t>
  </si>
  <si>
    <t>Auditeur</t>
  </si>
  <si>
    <t>Président</t>
  </si>
  <si>
    <t>Servère</t>
  </si>
  <si>
    <t>Cercle</t>
  </si>
  <si>
    <t>E1</t>
  </si>
  <si>
    <t>E2</t>
  </si>
  <si>
    <t>Aucun</t>
  </si>
  <si>
    <t>coopé</t>
  </si>
  <si>
    <t>Administrateur</t>
  </si>
  <si>
    <t>Cave12</t>
  </si>
  <si>
    <t>E4</t>
  </si>
  <si>
    <t>Latorre</t>
  </si>
  <si>
    <t>RiveGauche</t>
  </si>
  <si>
    <t>indépenant</t>
  </si>
  <si>
    <t>Autre</t>
  </si>
  <si>
    <t>Vice-président</t>
  </si>
  <si>
    <t>Syndicat Vigneron 11</t>
  </si>
  <si>
    <t>Elu MSA</t>
  </si>
  <si>
    <t>Directeur Ouveilhan</t>
  </si>
  <si>
    <t>Salles</t>
  </si>
  <si>
    <t>Trésorier</t>
  </si>
  <si>
    <t>Statut ASA2</t>
  </si>
  <si>
    <t>GG</t>
  </si>
  <si>
    <t>Livière</t>
  </si>
  <si>
    <t>CA Gendu Coursan (flavescence)</t>
  </si>
  <si>
    <t>Vice-president AOC La Clape, Admin CredA et MSA</t>
  </si>
  <si>
    <t>Narbonnaise</t>
  </si>
  <si>
    <t>Cuxac</t>
  </si>
  <si>
    <t>Rèche</t>
  </si>
  <si>
    <t>Paulsen</t>
  </si>
  <si>
    <t>E18I1P1</t>
  </si>
  <si>
    <t>E18I1P2</t>
  </si>
  <si>
    <t>E18I1P3</t>
  </si>
  <si>
    <t>E18I1P4</t>
  </si>
  <si>
    <t>E18I1P5</t>
  </si>
  <si>
    <t>E18I1P6</t>
  </si>
  <si>
    <t>E18I1P7</t>
  </si>
  <si>
    <t>E18I1P8</t>
  </si>
  <si>
    <t>1,2,3</t>
  </si>
  <si>
    <t>1,2,4</t>
  </si>
  <si>
    <t>1,2,5</t>
  </si>
  <si>
    <t>1,2,6</t>
  </si>
  <si>
    <t>E7I1P1</t>
  </si>
  <si>
    <t>E7I1P2</t>
  </si>
  <si>
    <t>E7I1P3</t>
  </si>
  <si>
    <t>E7I1P4</t>
  </si>
  <si>
    <t>E7I1P5</t>
  </si>
  <si>
    <t>E7I1P6</t>
  </si>
  <si>
    <t>E7I1P7</t>
  </si>
  <si>
    <t>E7I1P8</t>
  </si>
  <si>
    <t>E7I1P9</t>
  </si>
  <si>
    <t>E7I2P1</t>
  </si>
  <si>
    <t>E7I2P2</t>
  </si>
  <si>
    <t>E7I2P3</t>
  </si>
  <si>
    <t>E7I2P4</t>
  </si>
  <si>
    <t>E7I2P5</t>
  </si>
  <si>
    <t>E4I1P1</t>
  </si>
  <si>
    <t>E4I1P2</t>
  </si>
  <si>
    <t>E4I1P3</t>
  </si>
  <si>
    <t>E4I1P4</t>
  </si>
  <si>
    <t>E4I1P5</t>
  </si>
  <si>
    <t>E4I1P6</t>
  </si>
  <si>
    <t>E4I1P7</t>
  </si>
  <si>
    <t>E4I1P8</t>
  </si>
  <si>
    <t>E1I1P1</t>
  </si>
  <si>
    <t>E1I1P2</t>
  </si>
  <si>
    <t>E1I1P3</t>
  </si>
  <si>
    <t>E1I1P4</t>
  </si>
  <si>
    <t>E1I1P5</t>
  </si>
  <si>
    <t>E1I1P6</t>
  </si>
  <si>
    <t>E1I1P7</t>
  </si>
  <si>
    <t>E1I1P8</t>
  </si>
  <si>
    <t>E1I1P9</t>
  </si>
  <si>
    <t>Muscat_PG</t>
  </si>
  <si>
    <t>E2I1P1</t>
  </si>
  <si>
    <t>E2I1P2</t>
  </si>
  <si>
    <t>E2I1P3</t>
  </si>
  <si>
    <t>E2I1P4</t>
  </si>
  <si>
    <t>E2I1P5</t>
  </si>
  <si>
    <t>E2I1P6</t>
  </si>
  <si>
    <t>E2I1P7</t>
  </si>
  <si>
    <t>Indicateur</t>
  </si>
  <si>
    <t>Modalité1</t>
  </si>
  <si>
    <t>Modalité2</t>
  </si>
  <si>
    <t>Modalité3</t>
  </si>
  <si>
    <t>Modalité4</t>
  </si>
  <si>
    <t>ILOT_typo</t>
  </si>
  <si>
    <t>E-I</t>
  </si>
  <si>
    <t>E18I1P9</t>
  </si>
  <si>
    <t>E1I1P0</t>
  </si>
  <si>
    <t>Groupe</t>
  </si>
  <si>
    <t>E_nb</t>
  </si>
  <si>
    <t>E18I1Pa</t>
  </si>
  <si>
    <t>E18I1Pb</t>
  </si>
  <si>
    <t>E18I1Pc</t>
  </si>
  <si>
    <t>E18I1Pd</t>
  </si>
  <si>
    <t>d</t>
  </si>
  <si>
    <t>Colonne6</t>
  </si>
  <si>
    <t>Code de l'îlot</t>
  </si>
  <si>
    <t>Trier</t>
  </si>
  <si>
    <t>Nom de l'îlot</t>
  </si>
  <si>
    <t xml:space="preserve">surface </t>
  </si>
  <si>
    <t xml:space="preserve">Zone </t>
  </si>
  <si>
    <t xml:space="preserve">Groupe CAH </t>
  </si>
  <si>
    <t>Type de sol selon viticulteur</t>
  </si>
  <si>
    <t>remarque sur l'îlot</t>
  </si>
  <si>
    <t>Pression globale selon viticulteur</t>
  </si>
  <si>
    <t>Relief de l'îlot selon viti</t>
  </si>
  <si>
    <t>Sensibilité aux inondations naturelles</t>
  </si>
  <si>
    <t>pour calcul indic</t>
  </si>
  <si>
    <t>Autre remarque</t>
  </si>
  <si>
    <t>prodondeur maximale</t>
  </si>
  <si>
    <t>frequence de passage/an</t>
  </si>
  <si>
    <t>date du passage 1</t>
  </si>
  <si>
    <t>date du passage 2</t>
  </si>
  <si>
    <t>date du passage 3</t>
  </si>
  <si>
    <t>date du passage 4</t>
  </si>
  <si>
    <t>date du passage 5</t>
  </si>
  <si>
    <t>2 Utilité de l'outil 1</t>
  </si>
  <si>
    <t>1 Utilité de l'outil 1</t>
  </si>
  <si>
    <t>3 Utilité de l'outil 1</t>
  </si>
  <si>
    <t>4 Utilité de l'outil 1</t>
  </si>
  <si>
    <t>1 Règle de déclenchemet de l'utilisation de l'outil 1</t>
  </si>
  <si>
    <t>2 Règle de déclenchemet de l'utilisation de l'outil 1</t>
  </si>
  <si>
    <t>3 Règle de déclenchemet de l'utilisation de l'outil 1</t>
  </si>
  <si>
    <t>Outil 1 pour le travail du rang</t>
  </si>
  <si>
    <t xml:space="preserve">Alternance du travail </t>
  </si>
  <si>
    <t>prodonfeur minimale de l'outil</t>
  </si>
  <si>
    <t xml:space="preserve"> </t>
  </si>
  <si>
    <t>prodondeur maximale de l'outil</t>
  </si>
  <si>
    <t>combinaison de l'outil R avec outil IR</t>
  </si>
  <si>
    <t>date de passage 1</t>
  </si>
  <si>
    <t>date de passage 2</t>
  </si>
  <si>
    <t>nom du produit</t>
  </si>
  <si>
    <t>substance active</t>
  </si>
  <si>
    <t>concentration substance active</t>
  </si>
  <si>
    <t xml:space="preserve">dose pour passage </t>
  </si>
  <si>
    <t>second produit composition</t>
  </si>
  <si>
    <t>substance active 1</t>
  </si>
  <si>
    <t>substance active 2</t>
  </si>
  <si>
    <t>concentraiton dans le mélange produit 1</t>
  </si>
  <si>
    <t>concentraiton dans le mélange produit 2</t>
  </si>
  <si>
    <t>concentraiton dans le mélange produit 3</t>
  </si>
  <si>
    <t>concentraiton dans le mélange produit 4</t>
  </si>
  <si>
    <t>Règle de déclenchement utilisation herbicide</t>
  </si>
  <si>
    <t>Type periode d'enherbement</t>
  </si>
  <si>
    <t>composition enherbement</t>
  </si>
  <si>
    <t>intervalle IR enherbé</t>
  </si>
  <si>
    <t>1 Utilité le l'enherbement selon viti</t>
  </si>
  <si>
    <t>2 Utilité le l'enherbement selon viti</t>
  </si>
  <si>
    <t>3 Utilité le l'enherbement selon viti</t>
  </si>
  <si>
    <t xml:space="preserve">type d'amandement </t>
  </si>
  <si>
    <t>nom amendement</t>
  </si>
  <si>
    <t>founisseur</t>
  </si>
  <si>
    <t>frequence utilisation</t>
  </si>
  <si>
    <t xml:space="preserve">dose par utilisation </t>
  </si>
  <si>
    <t xml:space="preserve">date d'utilisation </t>
  </si>
  <si>
    <t>1 utilité amendement selon viti</t>
  </si>
  <si>
    <t>2 utilité amendement selon viti</t>
  </si>
  <si>
    <t>Règle de déclenchement utilisation Amendement</t>
  </si>
  <si>
    <t>type d'engrais</t>
  </si>
  <si>
    <t>produit de base pour fabrication engrais</t>
  </si>
  <si>
    <t>composition NPK</t>
  </si>
  <si>
    <t>Nom commercial</t>
  </si>
  <si>
    <t>fournisseur</t>
  </si>
  <si>
    <t>dose</t>
  </si>
  <si>
    <t>1 utilité selon viticulteur</t>
  </si>
  <si>
    <t>2 utilité selon viticulteur</t>
  </si>
  <si>
    <t>3 utilité selon viticulteur</t>
  </si>
  <si>
    <t>1 Règle de déclenchement utilisation engrais</t>
  </si>
  <si>
    <t>2 Règle de déclenchement utilisation engrais</t>
  </si>
  <si>
    <t>profondeur minimale fossé</t>
  </si>
  <si>
    <t>prodondeur max fossé</t>
  </si>
  <si>
    <t>état des fossés selon viti</t>
  </si>
  <si>
    <t>âge des fossé</t>
  </si>
  <si>
    <t>qui 1 entretien les fossés</t>
  </si>
  <si>
    <t>qui 2 entretien les fossés</t>
  </si>
  <si>
    <t>1 règle de déclenchement entretien fossé</t>
  </si>
  <si>
    <t>2 règle de déclenchement entretien fossé</t>
  </si>
  <si>
    <t>1 date d'entretien</t>
  </si>
  <si>
    <t>2 date d'entretien</t>
  </si>
  <si>
    <t>3 date d'entretien</t>
  </si>
  <si>
    <t>1 Outil utilisé pour l'entretien</t>
  </si>
  <si>
    <t>fréquence d'entretien outil 1</t>
  </si>
  <si>
    <t>entretien chimique fossé</t>
  </si>
  <si>
    <t>produit utilisé</t>
  </si>
  <si>
    <t>dose mélange herbicide fossé</t>
  </si>
  <si>
    <t>Submersion oui/non</t>
  </si>
  <si>
    <t xml:space="preserve">fréquence 1 submersion </t>
  </si>
  <si>
    <t>1 date possible 1 submersion</t>
  </si>
  <si>
    <t>2 date possible 1 submersion</t>
  </si>
  <si>
    <t>3 date possible 1 submersion</t>
  </si>
  <si>
    <t>4 date possible 1 submersion</t>
  </si>
  <si>
    <t>5 date possible 1 submersion</t>
  </si>
  <si>
    <t>Origine eau submerison</t>
  </si>
  <si>
    <t>ASA alimentation eau</t>
  </si>
  <si>
    <t>1 utilité 1 submerison selon viti</t>
  </si>
  <si>
    <t>2 utilité 1 submerison selon viti</t>
  </si>
  <si>
    <t>3 utilité 1 submerison selon viti</t>
  </si>
  <si>
    <t>1 règle déclenchement submersion</t>
  </si>
  <si>
    <t>2 règle déclenchement submersion</t>
  </si>
  <si>
    <t>3 règle déclenchement submersion</t>
  </si>
  <si>
    <t xml:space="preserve">Hauteur lame d'eau max pour 1 submersion </t>
  </si>
  <si>
    <t xml:space="preserve">Hauteur lame d'eau min pour 1 submersion </t>
  </si>
  <si>
    <t>Apport de l'eau sur parcelle modalité 1</t>
  </si>
  <si>
    <t>Apport de l'eau sur parcelle modalité 2</t>
  </si>
  <si>
    <t>Volume estimé par viti pour submersion 1</t>
  </si>
  <si>
    <t>temps d'apport d'eau min</t>
  </si>
  <si>
    <t>Temps avec lame d'eau en place min</t>
  </si>
  <si>
    <t>temps d'apport d'eau max</t>
  </si>
  <si>
    <t>Temps avec lame d'eau en place max</t>
  </si>
  <si>
    <t>Temps d'écoulement de l'eau min</t>
  </si>
  <si>
    <t>Temps d'écoulement de l'eau max</t>
  </si>
  <si>
    <t>Somme des durées MIN pour durée totale AVANT parcelle ressuyée et travaillable</t>
  </si>
  <si>
    <t>Somme des durées MAX pour durée totale AVANT parcelle ressuyée et travaillable</t>
  </si>
  <si>
    <t>Irrigation goutte à goutte oui/non</t>
  </si>
  <si>
    <t>Irrigation aspersion oui/non</t>
  </si>
  <si>
    <t>date possible 1</t>
  </si>
  <si>
    <t>date possible 2</t>
  </si>
  <si>
    <t>date possible 3</t>
  </si>
  <si>
    <t>origine eau irrigation complémentaire</t>
  </si>
  <si>
    <t>1 utilité irrig selon viti</t>
  </si>
  <si>
    <t>2 utilité irrig selon viti</t>
  </si>
  <si>
    <t>3 utilité irrig selon viti</t>
  </si>
  <si>
    <t>règle déclenchement irrig</t>
  </si>
  <si>
    <t>frequence irrigation</t>
  </si>
  <si>
    <t>volume annuel irrigation</t>
  </si>
  <si>
    <t>Présence de drain</t>
  </si>
  <si>
    <t>profondeur min drain</t>
  </si>
  <si>
    <t>profondeur max drain</t>
  </si>
  <si>
    <t>espacement mini entre drain</t>
  </si>
  <si>
    <t>espacement maxi entre drain</t>
  </si>
  <si>
    <t xml:space="preserve">section du drain </t>
  </si>
  <si>
    <t>position par rapport aux rangées de vignes</t>
  </si>
  <si>
    <t>état des drains</t>
  </si>
  <si>
    <t>longueur maximale des drains sur l'îlot</t>
  </si>
  <si>
    <t>Outil 1 pour préparation du sol avant plantation</t>
  </si>
  <si>
    <t>frequence de passage de l'outil 1</t>
  </si>
  <si>
    <t>prodondeur de travail outil 1</t>
  </si>
  <si>
    <t>Nivellement des îlots oui/non</t>
  </si>
  <si>
    <t>temps Interculture entre 2 vignes</t>
  </si>
  <si>
    <t>type occupation interculture</t>
  </si>
  <si>
    <t>utilité interculture</t>
  </si>
  <si>
    <t>réalisation analyse des pétiole oui/non</t>
  </si>
  <si>
    <t>Réalisation analyse du sol oui/non</t>
  </si>
  <si>
    <t>Analyse avant plantation</t>
  </si>
  <si>
    <t>Analyse après plantation</t>
  </si>
  <si>
    <t>Analyse des concentration en sel</t>
  </si>
  <si>
    <t>1 utilité des analyses selon viti</t>
  </si>
  <si>
    <t>2 utilité des analyses selon viti</t>
  </si>
  <si>
    <t>Règle de déclenchement des analyses selon viti</t>
  </si>
  <si>
    <t>Informations sur l'îlot</t>
  </si>
  <si>
    <t>Données sur l'entretien de l'inter-rang (IR)</t>
  </si>
  <si>
    <t xml:space="preserve">Nom de l'outil 1 utilisé </t>
  </si>
  <si>
    <t>date du passage 1 avec outil 1</t>
  </si>
  <si>
    <t>Intervalle de travail outil 1</t>
  </si>
  <si>
    <t>prodondeur minimale outil 1</t>
  </si>
  <si>
    <t>…</t>
  </si>
  <si>
    <t xml:space="preserve">… </t>
  </si>
  <si>
    <t>Données sur l'entretien du rang (R)</t>
  </si>
  <si>
    <t>Données sur le desherbage chimique</t>
  </si>
  <si>
    <t>Enherbement des IR</t>
  </si>
  <si>
    <t>Amendements</t>
  </si>
  <si>
    <t>Engrais</t>
  </si>
  <si>
    <t>Fossés</t>
  </si>
  <si>
    <t>Submersion</t>
  </si>
  <si>
    <t xml:space="preserve">Autre irrigation </t>
  </si>
  <si>
    <t>Drainage</t>
  </si>
  <si>
    <t>Préparation sol avant plantation</t>
  </si>
  <si>
    <t>Analyses</t>
  </si>
  <si>
    <t>VARIABLES</t>
  </si>
  <si>
    <t>Informations sur la variable</t>
  </si>
  <si>
    <t>rendement moyen de l'îlot estimé viti</t>
  </si>
  <si>
    <t>Groupe typologie CAH</t>
  </si>
  <si>
    <t>n° EXPLOITATION</t>
  </si>
  <si>
    <t>N° ILOT</t>
  </si>
  <si>
    <t>CODE parcelle</t>
  </si>
  <si>
    <t>surface parcelle ha</t>
  </si>
  <si>
    <t>cépage</t>
  </si>
  <si>
    <t>1 régle décision sélection cépage</t>
  </si>
  <si>
    <t>2 régle décision sélection cépage</t>
  </si>
  <si>
    <t>3 régle décision sélection cépage</t>
  </si>
  <si>
    <t>1 règle décision choix PG</t>
  </si>
  <si>
    <t>Porte greffe (PG)</t>
  </si>
  <si>
    <t>2 règle décision choix PG</t>
  </si>
  <si>
    <t>âge de la vigne</t>
  </si>
  <si>
    <t>Mode de plantation de la vigne</t>
  </si>
  <si>
    <t>rendement effectif de la vigne en moyenne sur dernières vendanges</t>
  </si>
  <si>
    <t>rendement objectif de la vigne selon viti</t>
  </si>
  <si>
    <t>perte estimée (rdt connu - rdt objectif) en pourcentage du rdt obtenu</t>
  </si>
  <si>
    <t>1 cause perte estimée viti</t>
  </si>
  <si>
    <t>2 cause perte estimée viti</t>
  </si>
  <si>
    <t>prétaillage (oui/non)</t>
  </si>
  <si>
    <t>Mode de taille</t>
  </si>
  <si>
    <t>1 règle décision mode de taille</t>
  </si>
  <si>
    <t>2 règle décision mode de taille</t>
  </si>
  <si>
    <t>écart entre les rangs</t>
  </si>
  <si>
    <t xml:space="preserve">écart entre les ceps </t>
  </si>
  <si>
    <t>densité de la plantation</t>
  </si>
  <si>
    <t xml:space="preserve">orientation des rangs </t>
  </si>
  <si>
    <t>hauteur du porteur</t>
  </si>
  <si>
    <t xml:space="preserve">hauteur pour l'écimage </t>
  </si>
  <si>
    <t>Hauteur de végétation entre porteur et cime</t>
  </si>
  <si>
    <t>épaisseur ESTIME PAR CALCUL d'un rang de vigne</t>
  </si>
  <si>
    <t>correcteur d'epaisseur</t>
  </si>
  <si>
    <t>Pourcentage de trou dans la végétation ESTIME</t>
  </si>
  <si>
    <t>indice de Surface Externe du Couvert Végétal ESTIME</t>
  </si>
  <si>
    <t>écimage</t>
  </si>
  <si>
    <t>Densité</t>
  </si>
  <si>
    <t>Taille</t>
  </si>
  <si>
    <t>matériel végétal</t>
  </si>
  <si>
    <t>Parcelle</t>
  </si>
  <si>
    <t>mode de palissage : 1 chiffre = nb de porteur; 2,3,4eme chiffre = nb releveur</t>
  </si>
  <si>
    <t>PARCELLE</t>
  </si>
  <si>
    <t>ÎLOT</t>
  </si>
  <si>
    <t>continu pour x 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</si>
</sst>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CCC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vertical="top" wrapText="1"/>
    </xf>
    <xf numFmtId="0" fontId="0" fillId="4" borderId="0" xfId="0" applyFill="1"/>
    <xf numFmtId="2" fontId="0" fillId="4" borderId="0" xfId="0" applyNumberFormat="1" applyFill="1"/>
    <xf numFmtId="0" fontId="2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2" fontId="0" fillId="4" borderId="0" xfId="0" applyNumberFormat="1" applyFill="1" applyAlignment="1">
      <alignment wrapText="1"/>
    </xf>
    <xf numFmtId="0" fontId="0" fillId="5" borderId="0" xfId="0" applyFill="1"/>
    <xf numFmtId="2" fontId="0" fillId="5" borderId="0" xfId="0" applyNumberFormat="1" applyFill="1"/>
    <xf numFmtId="0" fontId="0" fillId="5" borderId="0" xfId="0" applyFill="1" applyAlignment="1">
      <alignment wrapText="1"/>
    </xf>
    <xf numFmtId="0" fontId="2" fillId="5" borderId="0" xfId="0" applyFont="1" applyFill="1" applyAlignment="1">
      <alignment wrapText="1"/>
    </xf>
    <xf numFmtId="2" fontId="0" fillId="5" borderId="0" xfId="0" applyNumberFormat="1" applyFill="1" applyAlignment="1">
      <alignment wrapText="1"/>
    </xf>
    <xf numFmtId="0" fontId="0" fillId="6" borderId="0" xfId="0" applyFill="1"/>
    <xf numFmtId="2" fontId="0" fillId="6" borderId="0" xfId="0" applyNumberFormat="1" applyFill="1"/>
    <xf numFmtId="0" fontId="2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2" fontId="0" fillId="6" borderId="0" xfId="0" applyNumberFormat="1" applyFill="1" applyAlignment="1">
      <alignment wrapText="1"/>
    </xf>
    <xf numFmtId="0" fontId="0" fillId="6" borderId="0" xfId="0" applyNumberFormat="1" applyFill="1" applyAlignment="1">
      <alignment wrapText="1"/>
    </xf>
    <xf numFmtId="49" fontId="0" fillId="6" borderId="0" xfId="0" applyNumberFormat="1" applyFill="1" applyAlignment="1">
      <alignment wrapText="1"/>
    </xf>
    <xf numFmtId="0" fontId="0" fillId="7" borderId="0" xfId="0" applyFill="1"/>
    <xf numFmtId="49" fontId="0" fillId="7" borderId="0" xfId="0" applyNumberFormat="1" applyFill="1"/>
    <xf numFmtId="0" fontId="0" fillId="7" borderId="0" xfId="0" applyFill="1" applyAlignment="1">
      <alignment wrapText="1"/>
    </xf>
    <xf numFmtId="49" fontId="0" fillId="7" borderId="0" xfId="0" applyNumberFormat="1" applyFill="1" applyAlignment="1">
      <alignment wrapText="1"/>
    </xf>
    <xf numFmtId="0" fontId="0" fillId="0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2" fontId="0" fillId="8" borderId="0" xfId="0" applyNumberFormat="1" applyFill="1" applyAlignment="1">
      <alignment wrapText="1"/>
    </xf>
    <xf numFmtId="2" fontId="0" fillId="8" borderId="0" xfId="0" applyNumberFormat="1" applyFill="1"/>
    <xf numFmtId="0" fontId="0" fillId="8" borderId="0" xfId="0" applyNumberFormat="1" applyFill="1" applyAlignment="1">
      <alignment wrapText="1"/>
    </xf>
    <xf numFmtId="49" fontId="0" fillId="8" borderId="0" xfId="0" applyNumberFormat="1" applyFill="1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  <xf numFmtId="49" fontId="0" fillId="9" borderId="0" xfId="0" applyNumberFormat="1" applyFill="1" applyAlignment="1">
      <alignment wrapText="1"/>
    </xf>
    <xf numFmtId="2" fontId="0" fillId="9" borderId="0" xfId="0" applyNumberFormat="1" applyFill="1" applyAlignment="1">
      <alignment wrapText="1"/>
    </xf>
    <xf numFmtId="2" fontId="0" fillId="9" borderId="0" xfId="0" applyNumberFormat="1" applyFill="1"/>
    <xf numFmtId="0" fontId="0" fillId="10" borderId="0" xfId="0" applyFill="1"/>
    <xf numFmtId="0" fontId="2" fillId="10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/>
    <xf numFmtId="0" fontId="0" fillId="11" borderId="0" xfId="0" applyFill="1" applyAlignment="1">
      <alignment wrapText="1"/>
    </xf>
    <xf numFmtId="2" fontId="0" fillId="11" borderId="0" xfId="0" applyNumberFormat="1" applyFill="1"/>
    <xf numFmtId="9" fontId="0" fillId="11" borderId="0" xfId="0" applyNumberFormat="1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2" borderId="0" xfId="0" applyFill="1"/>
    <xf numFmtId="2" fontId="0" fillId="12" borderId="0" xfId="0" applyNumberFormat="1" applyFill="1"/>
    <xf numFmtId="0" fontId="0" fillId="12" borderId="0" xfId="0" applyFill="1" applyAlignment="1">
      <alignment wrapText="1"/>
    </xf>
    <xf numFmtId="2" fontId="0" fillId="12" borderId="0" xfId="0" applyNumberFormat="1" applyFill="1" applyAlignment="1">
      <alignment wrapText="1"/>
    </xf>
    <xf numFmtId="49" fontId="0" fillId="5" borderId="0" xfId="0" applyNumberFormat="1" applyFill="1" applyAlignment="1">
      <alignment wrapText="1"/>
    </xf>
    <xf numFmtId="0" fontId="0" fillId="10" borderId="0" xfId="0" applyFill="1" applyAlignment="1">
      <alignment vertical="center" wrapText="1"/>
    </xf>
    <xf numFmtId="0" fontId="0" fillId="14" borderId="0" xfId="0" applyFill="1"/>
    <xf numFmtId="0" fontId="0" fillId="14" borderId="0" xfId="0" applyFill="1" applyAlignment="1">
      <alignment wrapText="1"/>
    </xf>
    <xf numFmtId="9" fontId="0" fillId="14" borderId="0" xfId="0" applyNumberFormat="1" applyFill="1"/>
    <xf numFmtId="2" fontId="0" fillId="10" borderId="0" xfId="0" applyNumberFormat="1" applyFill="1" applyAlignment="1">
      <alignment wrapText="1"/>
    </xf>
    <xf numFmtId="0" fontId="0" fillId="15" borderId="0" xfId="0" applyFill="1"/>
    <xf numFmtId="0" fontId="0" fillId="15" borderId="0" xfId="0" applyFill="1" applyAlignment="1">
      <alignment wrapText="1"/>
    </xf>
    <xf numFmtId="0" fontId="0" fillId="16" borderId="0" xfId="0" applyFill="1"/>
    <xf numFmtId="0" fontId="0" fillId="16" borderId="0" xfId="0" applyFill="1" applyAlignment="1">
      <alignment wrapText="1"/>
    </xf>
    <xf numFmtId="0" fontId="0" fillId="17" borderId="0" xfId="0" applyFill="1"/>
    <xf numFmtId="0" fontId="0" fillId="17" borderId="0" xfId="0" applyFill="1" applyAlignment="1">
      <alignment wrapText="1"/>
    </xf>
    <xf numFmtId="0" fontId="0" fillId="2" borderId="0" xfId="0" applyFill="1"/>
    <xf numFmtId="49" fontId="0" fillId="2" borderId="0" xfId="0" applyNumberFormat="1" applyFill="1"/>
    <xf numFmtId="2" fontId="0" fillId="2" borderId="0" xfId="0" applyNumberFormat="1" applyFill="1"/>
    <xf numFmtId="2" fontId="0" fillId="2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  <xf numFmtId="0" fontId="0" fillId="18" borderId="0" xfId="0" applyFill="1"/>
    <xf numFmtId="0" fontId="0" fillId="18" borderId="0" xfId="0" applyFill="1" applyAlignment="1">
      <alignment wrapText="1"/>
    </xf>
    <xf numFmtId="0" fontId="0" fillId="19" borderId="0" xfId="0" applyFill="1"/>
    <xf numFmtId="2" fontId="0" fillId="19" borderId="0" xfId="0" applyNumberFormat="1" applyFill="1"/>
    <xf numFmtId="0" fontId="0" fillId="19" borderId="0" xfId="0" applyFill="1" applyAlignment="1">
      <alignment wrapText="1"/>
    </xf>
    <xf numFmtId="2" fontId="0" fillId="19" borderId="0" xfId="0" applyNumberFormat="1" applyFill="1" applyAlignment="1">
      <alignment wrapText="1"/>
    </xf>
    <xf numFmtId="0" fontId="0" fillId="20" borderId="0" xfId="0" applyFill="1"/>
    <xf numFmtId="2" fontId="0" fillId="20" borderId="0" xfId="0" applyNumberFormat="1" applyFill="1"/>
    <xf numFmtId="0" fontId="2" fillId="20" borderId="0" xfId="0" applyFont="1" applyFill="1" applyAlignment="1">
      <alignment wrapText="1"/>
    </xf>
    <xf numFmtId="0" fontId="0" fillId="20" borderId="0" xfId="0" applyFill="1" applyAlignment="1">
      <alignment wrapText="1"/>
    </xf>
    <xf numFmtId="2" fontId="0" fillId="20" borderId="0" xfId="0" applyNumberFormat="1" applyFill="1" applyAlignment="1">
      <alignment wrapText="1"/>
    </xf>
    <xf numFmtId="0" fontId="0" fillId="20" borderId="0" xfId="0" applyNumberFormat="1" applyFill="1" applyAlignment="1">
      <alignment wrapText="1"/>
    </xf>
    <xf numFmtId="0" fontId="0" fillId="21" borderId="0" xfId="0" applyFill="1"/>
    <xf numFmtId="0" fontId="2" fillId="21" borderId="0" xfId="0" applyFont="1" applyFill="1" applyAlignment="1">
      <alignment wrapText="1"/>
    </xf>
    <xf numFmtId="0" fontId="0" fillId="21" borderId="0" xfId="0" applyFill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ont="1" applyFill="1"/>
    <xf numFmtId="0" fontId="6" fillId="0" borderId="0" xfId="0" applyFont="1" applyAlignment="1">
      <alignment wrapText="1"/>
    </xf>
    <xf numFmtId="1" fontId="6" fillId="0" borderId="0" xfId="0" applyNumberFormat="1" applyFont="1" applyAlignment="1">
      <alignment wrapText="1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6" fillId="0" borderId="0" xfId="0" applyNumberFormat="1" applyFont="1"/>
    <xf numFmtId="0" fontId="5" fillId="0" borderId="0" xfId="0" applyFont="1"/>
    <xf numFmtId="49" fontId="5" fillId="0" borderId="0" xfId="0" applyNumberFormat="1" applyFont="1"/>
    <xf numFmtId="2" fontId="6" fillId="0" borderId="0" xfId="1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0" fillId="7" borderId="0" xfId="0" applyNumberFormat="1" applyFill="1" applyAlignment="1">
      <alignment wrapText="1"/>
    </xf>
    <xf numFmtId="0" fontId="0" fillId="5" borderId="0" xfId="0" applyNumberFormat="1" applyFill="1"/>
    <xf numFmtId="0" fontId="0" fillId="5" borderId="0" xfId="0" applyNumberFormat="1" applyFill="1" applyAlignment="1">
      <alignment wrapText="1"/>
    </xf>
    <xf numFmtId="0" fontId="0" fillId="22" borderId="0" xfId="0" applyFill="1"/>
    <xf numFmtId="49" fontId="0" fillId="22" borderId="0" xfId="0" applyNumberFormat="1" applyFill="1"/>
    <xf numFmtId="0" fontId="0" fillId="22" borderId="0" xfId="0" applyFill="1" applyAlignment="1">
      <alignment wrapText="1"/>
    </xf>
    <xf numFmtId="49" fontId="0" fillId="22" borderId="0" xfId="0" applyNumberFormat="1" applyFill="1" applyAlignment="1">
      <alignment wrapText="1"/>
    </xf>
    <xf numFmtId="0" fontId="0" fillId="22" borderId="0" xfId="0" applyNumberFormat="1" applyFill="1" applyAlignment="1">
      <alignment wrapText="1"/>
    </xf>
    <xf numFmtId="0" fontId="6" fillId="3" borderId="0" xfId="0" applyFont="1" applyFill="1" applyAlignment="1">
      <alignment wrapText="1"/>
    </xf>
    <xf numFmtId="10" fontId="6" fillId="3" borderId="0" xfId="0" applyNumberFormat="1" applyFont="1" applyFill="1" applyAlignment="1">
      <alignment wrapText="1"/>
    </xf>
    <xf numFmtId="0" fontId="6" fillId="4" borderId="0" xfId="0" applyFont="1" applyFill="1" applyAlignment="1">
      <alignment wrapText="1"/>
    </xf>
    <xf numFmtId="2" fontId="6" fillId="4" borderId="0" xfId="0" applyNumberFormat="1" applyFont="1" applyFill="1" applyAlignment="1">
      <alignment wrapText="1"/>
    </xf>
    <xf numFmtId="49" fontId="6" fillId="4" borderId="0" xfId="0" applyNumberFormat="1" applyFont="1" applyFill="1" applyAlignment="1">
      <alignment wrapText="1"/>
    </xf>
    <xf numFmtId="0" fontId="6" fillId="5" borderId="0" xfId="0" applyFont="1" applyFill="1" applyAlignment="1">
      <alignment wrapText="1"/>
    </xf>
    <xf numFmtId="2" fontId="6" fillId="5" borderId="0" xfId="0" applyNumberFormat="1" applyFont="1" applyFill="1" applyAlignment="1">
      <alignment wrapText="1"/>
    </xf>
    <xf numFmtId="0" fontId="6" fillId="5" borderId="0" xfId="0" applyFont="1" applyFill="1"/>
    <xf numFmtId="49" fontId="6" fillId="5" borderId="0" xfId="0" applyNumberFormat="1" applyFont="1" applyFill="1" applyAlignment="1">
      <alignment wrapText="1"/>
    </xf>
    <xf numFmtId="0" fontId="6" fillId="6" borderId="0" xfId="0" applyFont="1" applyFill="1" applyAlignment="1">
      <alignment wrapText="1"/>
    </xf>
    <xf numFmtId="0" fontId="6" fillId="6" borderId="0" xfId="0" applyNumberFormat="1" applyFont="1" applyFill="1" applyAlignment="1">
      <alignment wrapText="1"/>
    </xf>
    <xf numFmtId="0" fontId="6" fillId="6" borderId="0" xfId="0" applyFont="1" applyFill="1"/>
    <xf numFmtId="0" fontId="6" fillId="22" borderId="0" xfId="0" applyFont="1" applyFill="1"/>
    <xf numFmtId="0" fontId="6" fillId="22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49" fontId="6" fillId="7" borderId="0" xfId="0" applyNumberFormat="1" applyFont="1" applyFill="1" applyAlignment="1">
      <alignment wrapText="1"/>
    </xf>
    <xf numFmtId="0" fontId="6" fillId="8" borderId="0" xfId="0" applyFont="1" applyFill="1" applyAlignment="1">
      <alignment wrapText="1"/>
    </xf>
    <xf numFmtId="0" fontId="6" fillId="9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2" fontId="6" fillId="12" borderId="0" xfId="0" applyNumberFormat="1" applyFont="1" applyFill="1" applyAlignment="1">
      <alignment wrapText="1"/>
    </xf>
    <xf numFmtId="0" fontId="6" fillId="11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6" fillId="13" borderId="0" xfId="0" applyFont="1" applyFill="1" applyAlignment="1">
      <alignment wrapText="1"/>
    </xf>
    <xf numFmtId="14" fontId="6" fillId="10" borderId="0" xfId="0" applyNumberFormat="1" applyFont="1" applyFill="1" applyAlignment="1">
      <alignment wrapText="1"/>
    </xf>
    <xf numFmtId="0" fontId="6" fillId="14" borderId="0" xfId="0" applyFont="1" applyFill="1" applyAlignment="1">
      <alignment wrapText="1"/>
    </xf>
    <xf numFmtId="0" fontId="6" fillId="14" borderId="0" xfId="0" applyFont="1" applyFill="1"/>
    <xf numFmtId="0" fontId="6" fillId="21" borderId="0" xfId="0" applyFont="1" applyFill="1" applyAlignment="1">
      <alignment wrapText="1"/>
    </xf>
    <xf numFmtId="0" fontId="6" fillId="20" borderId="0" xfId="0" applyFont="1" applyFill="1" applyAlignment="1">
      <alignment wrapText="1"/>
    </xf>
    <xf numFmtId="0" fontId="6" fillId="20" borderId="0" xfId="0" applyFont="1" applyFill="1"/>
    <xf numFmtId="2" fontId="6" fillId="20" borderId="0" xfId="0" applyNumberFormat="1" applyFont="1" applyFill="1" applyAlignment="1">
      <alignment wrapText="1"/>
    </xf>
    <xf numFmtId="2" fontId="6" fillId="20" borderId="0" xfId="0" applyNumberFormat="1" applyFont="1" applyFill="1"/>
    <xf numFmtId="0" fontId="6" fillId="19" borderId="0" xfId="0" applyFont="1" applyFill="1" applyAlignment="1">
      <alignment wrapText="1"/>
    </xf>
    <xf numFmtId="0" fontId="6" fillId="19" borderId="0" xfId="0" applyFont="1" applyFill="1"/>
    <xf numFmtId="2" fontId="6" fillId="19" borderId="0" xfId="0" applyNumberFormat="1" applyFont="1" applyFill="1" applyAlignment="1">
      <alignment wrapText="1"/>
    </xf>
    <xf numFmtId="2" fontId="6" fillId="19" borderId="0" xfId="0" applyNumberFormat="1" applyFont="1" applyFill="1"/>
    <xf numFmtId="0" fontId="6" fillId="18" borderId="0" xfId="0" applyFont="1" applyFill="1" applyAlignment="1">
      <alignment wrapText="1"/>
    </xf>
    <xf numFmtId="0" fontId="6" fillId="18" borderId="0" xfId="0" applyFont="1" applyFill="1"/>
    <xf numFmtId="0" fontId="6" fillId="2" borderId="0" xfId="0" applyFont="1" applyFill="1" applyAlignment="1">
      <alignment wrapText="1"/>
    </xf>
    <xf numFmtId="2" fontId="6" fillId="2" borderId="0" xfId="0" applyNumberFormat="1" applyFont="1" applyFill="1" applyAlignment="1">
      <alignment wrapText="1"/>
    </xf>
    <xf numFmtId="2" fontId="6" fillId="2" borderId="0" xfId="0" applyNumberFormat="1" applyFont="1" applyFill="1"/>
    <xf numFmtId="0" fontId="6" fillId="17" borderId="0" xfId="0" applyFont="1" applyFill="1" applyAlignment="1">
      <alignment wrapText="1"/>
    </xf>
    <xf numFmtId="0" fontId="6" fillId="17" borderId="0" xfId="0" applyFont="1" applyFill="1"/>
    <xf numFmtId="0" fontId="6" fillId="16" borderId="0" xfId="0" applyFont="1" applyFill="1" applyAlignment="1">
      <alignment wrapText="1"/>
    </xf>
    <xf numFmtId="2" fontId="6" fillId="10" borderId="0" xfId="0" applyNumberFormat="1" applyFont="1" applyFill="1" applyAlignment="1">
      <alignment wrapText="1"/>
    </xf>
    <xf numFmtId="0" fontId="6" fillId="15" borderId="0" xfId="0" applyFont="1" applyFill="1" applyAlignment="1">
      <alignment wrapText="1"/>
    </xf>
    <xf numFmtId="0" fontId="6" fillId="15" borderId="0" xfId="0" applyFont="1" applyFill="1"/>
    <xf numFmtId="49" fontId="6" fillId="13" borderId="0" xfId="0" applyNumberFormat="1" applyFont="1" applyFill="1" applyAlignment="1">
      <alignment wrapText="1"/>
    </xf>
    <xf numFmtId="0" fontId="6" fillId="13" borderId="0" xfId="0" applyFont="1" applyFill="1"/>
    <xf numFmtId="49" fontId="6" fillId="13" borderId="0" xfId="0" applyNumberFormat="1" applyFont="1" applyFill="1"/>
    <xf numFmtId="2" fontId="6" fillId="0" borderId="0" xfId="0" applyNumberFormat="1" applyFont="1" applyAlignment="1">
      <alignment wrapText="1"/>
    </xf>
    <xf numFmtId="2" fontId="5" fillId="0" borderId="0" xfId="0" applyNumberFormat="1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/>
    <xf numFmtId="2" fontId="6" fillId="6" borderId="0" xfId="0" applyNumberFormat="1" applyFont="1" applyFill="1" applyAlignment="1">
      <alignment wrapText="1"/>
    </xf>
    <xf numFmtId="2" fontId="8" fillId="23" borderId="0" xfId="0" applyNumberFormat="1" applyFont="1" applyFill="1" applyAlignment="1">
      <alignment wrapText="1"/>
    </xf>
    <xf numFmtId="2" fontId="8" fillId="0" borderId="0" xfId="0" applyNumberFormat="1" applyFont="1"/>
    <xf numFmtId="0" fontId="8" fillId="24" borderId="0" xfId="0" applyFont="1" applyFill="1"/>
    <xf numFmtId="0" fontId="8" fillId="24" borderId="0" xfId="0" applyFont="1" applyFill="1" applyAlignment="1">
      <alignment wrapText="1"/>
    </xf>
    <xf numFmtId="0" fontId="8" fillId="24" borderId="0" xfId="0" applyNumberFormat="1" applyFont="1" applyFill="1"/>
    <xf numFmtId="0" fontId="8" fillId="24" borderId="0" xfId="0" applyNumberFormat="1" applyFont="1" applyFill="1" applyAlignment="1">
      <alignment wrapText="1"/>
    </xf>
    <xf numFmtId="0" fontId="8" fillId="0" borderId="0" xfId="0" applyNumberFormat="1" applyFont="1"/>
    <xf numFmtId="2" fontId="8" fillId="24" borderId="0" xfId="0" applyNumberFormat="1" applyFont="1" applyFill="1" applyAlignment="1">
      <alignment wrapText="1"/>
    </xf>
    <xf numFmtId="0" fontId="8" fillId="25" borderId="0" xfId="0" applyFont="1" applyFill="1"/>
    <xf numFmtId="9" fontId="8" fillId="25" borderId="0" xfId="0" applyNumberFormat="1" applyFont="1" applyFill="1"/>
    <xf numFmtId="0" fontId="8" fillId="25" borderId="0" xfId="0" applyNumberFormat="1" applyFont="1" applyFill="1"/>
    <xf numFmtId="0" fontId="8" fillId="26" borderId="0" xfId="0" applyFont="1" applyFill="1"/>
    <xf numFmtId="0" fontId="0" fillId="0" borderId="1" xfId="0" applyBorder="1"/>
    <xf numFmtId="0" fontId="5" fillId="0" borderId="2" xfId="0" applyFont="1" applyBorder="1"/>
    <xf numFmtId="0" fontId="0" fillId="0" borderId="3" xfId="0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0" fillId="27" borderId="0" xfId="0" applyFill="1"/>
    <xf numFmtId="49" fontId="0" fillId="27" borderId="0" xfId="0" applyNumberFormat="1" applyFill="1"/>
    <xf numFmtId="2" fontId="8" fillId="27" borderId="0" xfId="0" applyNumberFormat="1" applyFont="1" applyFill="1"/>
    <xf numFmtId="2" fontId="0" fillId="27" borderId="0" xfId="0" applyNumberFormat="1" applyFill="1"/>
    <xf numFmtId="0" fontId="8" fillId="27" borderId="0" xfId="0" applyNumberFormat="1" applyFont="1" applyFill="1"/>
    <xf numFmtId="49" fontId="8" fillId="27" borderId="0" xfId="0" applyNumberFormat="1" applyFont="1" applyFill="1"/>
    <xf numFmtId="49" fontId="0" fillId="27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0" fontId="0" fillId="0" borderId="4" xfId="0" applyBorder="1"/>
    <xf numFmtId="9" fontId="0" fillId="0" borderId="1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5" xfId="0" applyNumberFormat="1" applyBorder="1"/>
    <xf numFmtId="0" fontId="0" fillId="0" borderId="5" xfId="0" applyBorder="1"/>
    <xf numFmtId="0" fontId="0" fillId="0" borderId="12" xfId="0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0" fillId="0" borderId="2" xfId="0" applyBorder="1"/>
    <xf numFmtId="0" fontId="0" fillId="0" borderId="16" xfId="0" applyBorder="1"/>
    <xf numFmtId="0" fontId="0" fillId="28" borderId="8" xfId="0" applyFill="1" applyBorder="1"/>
    <xf numFmtId="0" fontId="0" fillId="28" borderId="17" xfId="0" applyFill="1" applyBorder="1"/>
    <xf numFmtId="0" fontId="6" fillId="3" borderId="0" xfId="0" applyFont="1" applyFill="1"/>
    <xf numFmtId="2" fontId="6" fillId="0" borderId="0" xfId="0" applyNumberFormat="1" applyFont="1"/>
    <xf numFmtId="0" fontId="6" fillId="0" borderId="0" xfId="0" applyNumberFormat="1" applyFont="1"/>
    <xf numFmtId="0" fontId="6" fillId="0" borderId="0" xfId="0" applyFont="1" applyFill="1"/>
    <xf numFmtId="0" fontId="0" fillId="28" borderId="19" xfId="0" applyFill="1" applyBorder="1"/>
    <xf numFmtId="0" fontId="0" fillId="28" borderId="18" xfId="0" applyFill="1" applyBorder="1"/>
    <xf numFmtId="0" fontId="0" fillId="28" borderId="0" xfId="0" applyFill="1" applyBorder="1"/>
    <xf numFmtId="1" fontId="0" fillId="0" borderId="0" xfId="0" applyNumberFormat="1"/>
    <xf numFmtId="1" fontId="5" fillId="0" borderId="0" xfId="0" applyNumberFormat="1" applyFont="1"/>
    <xf numFmtId="0" fontId="0" fillId="29" borderId="0" xfId="0" applyFill="1"/>
    <xf numFmtId="10" fontId="6" fillId="29" borderId="0" xfId="0" applyNumberFormat="1" applyFont="1" applyFill="1" applyAlignment="1">
      <alignment wrapText="1"/>
    </xf>
    <xf numFmtId="0" fontId="0" fillId="0" borderId="0" xfId="0" applyAlignment="1">
      <alignment horizontal="center" vertical="center" textRotation="45"/>
    </xf>
    <xf numFmtId="0" fontId="7" fillId="28" borderId="0" xfId="0" applyFont="1" applyFill="1" applyBorder="1"/>
    <xf numFmtId="0" fontId="0" fillId="28" borderId="0" xfId="0" applyFill="1"/>
    <xf numFmtId="49" fontId="7" fillId="28" borderId="0" xfId="0" applyNumberFormat="1" applyFont="1" applyFill="1" applyBorder="1"/>
    <xf numFmtId="2" fontId="7" fillId="4" borderId="0" xfId="0" applyNumberFormat="1" applyFont="1" applyFill="1" applyBorder="1"/>
    <xf numFmtId="49" fontId="7" fillId="4" borderId="0" xfId="0" applyNumberFormat="1" applyFont="1" applyFill="1" applyBorder="1"/>
    <xf numFmtId="0" fontId="7" fillId="8" borderId="0" xfId="0" applyNumberFormat="1" applyFont="1" applyFill="1" applyBorder="1"/>
    <xf numFmtId="49" fontId="7" fillId="8" borderId="0" xfId="0" applyNumberFormat="1" applyFont="1" applyFill="1" applyBorder="1"/>
    <xf numFmtId="49" fontId="7" fillId="11" borderId="0" xfId="0" applyNumberFormat="1" applyFont="1" applyFill="1" applyBorder="1"/>
    <xf numFmtId="49" fontId="7" fillId="13" borderId="0" xfId="0" applyNumberFormat="1" applyFont="1" applyFill="1" applyBorder="1"/>
    <xf numFmtId="0" fontId="0" fillId="13" borderId="0" xfId="0" applyFill="1"/>
    <xf numFmtId="2" fontId="7" fillId="13" borderId="0" xfId="0" applyNumberFormat="1" applyFont="1" applyFill="1" applyBorder="1"/>
    <xf numFmtId="49" fontId="7" fillId="10" borderId="0" xfId="0" applyNumberFormat="1" applyFont="1" applyFill="1" applyBorder="1"/>
    <xf numFmtId="0" fontId="7" fillId="29" borderId="0" xfId="0" applyNumberFormat="1" applyFont="1" applyFill="1" applyBorder="1"/>
    <xf numFmtId="49" fontId="7" fillId="29" borderId="0" xfId="0" applyNumberFormat="1" applyFont="1" applyFill="1" applyBorder="1"/>
    <xf numFmtId="49" fontId="7" fillId="18" borderId="0" xfId="0" applyNumberFormat="1" applyFont="1" applyFill="1" applyBorder="1"/>
    <xf numFmtId="49" fontId="7" fillId="30" borderId="0" xfId="0" applyNumberFormat="1" applyFont="1" applyFill="1" applyBorder="1"/>
    <xf numFmtId="0" fontId="6" fillId="30" borderId="0" xfId="0" applyFont="1" applyFill="1"/>
    <xf numFmtId="0" fontId="7" fillId="30" borderId="0" xfId="0" applyNumberFormat="1" applyFont="1" applyFill="1" applyBorder="1"/>
    <xf numFmtId="49" fontId="7" fillId="31" borderId="0" xfId="0" applyNumberFormat="1" applyFont="1" applyFill="1" applyBorder="1"/>
    <xf numFmtId="0" fontId="0" fillId="31" borderId="0" xfId="0" applyFill="1"/>
    <xf numFmtId="49" fontId="7" fillId="32" borderId="0" xfId="0" applyNumberFormat="1" applyFont="1" applyFill="1" applyBorder="1"/>
    <xf numFmtId="0" fontId="0" fillId="32" borderId="0" xfId="0" applyFill="1"/>
    <xf numFmtId="49" fontId="7" fillId="12" borderId="0" xfId="0" applyNumberFormat="1" applyFont="1" applyFill="1" applyBorder="1"/>
    <xf numFmtId="0" fontId="9" fillId="33" borderId="0" xfId="0" applyFont="1" applyFill="1"/>
    <xf numFmtId="1" fontId="7" fillId="28" borderId="21" xfId="0" applyNumberFormat="1" applyFont="1" applyFill="1" applyBorder="1" applyAlignment="1">
      <alignment horizontal="left" vertical="center"/>
    </xf>
    <xf numFmtId="2" fontId="7" fillId="28" borderId="20" xfId="0" applyNumberFormat="1" applyFont="1" applyFill="1" applyBorder="1" applyAlignment="1">
      <alignment horizontal="left" vertical="center"/>
    </xf>
    <xf numFmtId="0" fontId="7" fillId="28" borderId="20" xfId="0" applyFont="1" applyFill="1" applyBorder="1" applyAlignment="1">
      <alignment horizontal="left" vertical="center"/>
    </xf>
    <xf numFmtId="0" fontId="7" fillId="19" borderId="20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left" vertical="center"/>
    </xf>
    <xf numFmtId="0" fontId="7" fillId="18" borderId="20" xfId="0" applyFont="1" applyFill="1" applyBorder="1" applyAlignment="1">
      <alignment horizontal="left" vertical="center"/>
    </xf>
    <xf numFmtId="49" fontId="7" fillId="13" borderId="20" xfId="0" applyNumberFormat="1" applyFont="1" applyFill="1" applyBorder="1" applyAlignment="1">
      <alignment horizontal="left" vertical="center"/>
    </xf>
    <xf numFmtId="0" fontId="7" fillId="13" borderId="20" xfId="0" applyFont="1" applyFill="1" applyBorder="1" applyAlignment="1">
      <alignment horizontal="left" vertical="center"/>
    </xf>
    <xf numFmtId="2" fontId="7" fillId="13" borderId="22" xfId="0" applyNumberFormat="1" applyFont="1" applyFill="1" applyBorder="1" applyAlignment="1">
      <alignment horizontal="left" vertical="center"/>
    </xf>
    <xf numFmtId="0" fontId="7" fillId="8" borderId="20" xfId="0" applyFont="1" applyFill="1" applyBorder="1" applyAlignment="1">
      <alignment horizontal="left" vertical="center"/>
    </xf>
    <xf numFmtId="0" fontId="9" fillId="33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 textRotation="45"/>
    </xf>
    <xf numFmtId="0" fontId="0" fillId="4" borderId="0" xfId="0" applyFill="1" applyAlignment="1">
      <alignment horizontal="center" vertical="center" textRotation="45"/>
    </xf>
    <xf numFmtId="0" fontId="0" fillId="8" borderId="0" xfId="0" applyFill="1" applyAlignment="1">
      <alignment horizontal="center" vertical="center" textRotation="45"/>
    </xf>
    <xf numFmtId="0" fontId="0" fillId="11" borderId="0" xfId="0" applyFill="1" applyAlignment="1">
      <alignment horizontal="center" vertical="center" textRotation="45"/>
    </xf>
    <xf numFmtId="0" fontId="0" fillId="13" borderId="0" xfId="0" applyFill="1" applyAlignment="1">
      <alignment horizontal="center" vertical="center" textRotation="45"/>
    </xf>
    <xf numFmtId="0" fontId="0" fillId="12" borderId="0" xfId="0" applyFill="1" applyAlignment="1">
      <alignment horizontal="center" vertical="center" textRotation="45"/>
    </xf>
    <xf numFmtId="0" fontId="0" fillId="10" borderId="0" xfId="0" applyFill="1" applyAlignment="1">
      <alignment horizontal="center" vertical="center" textRotation="45"/>
    </xf>
    <xf numFmtId="0" fontId="0" fillId="29" borderId="0" xfId="0" applyFill="1" applyAlignment="1">
      <alignment horizontal="center" vertical="center" textRotation="45"/>
    </xf>
    <xf numFmtId="0" fontId="0" fillId="18" borderId="0" xfId="0" applyFill="1" applyAlignment="1">
      <alignment horizontal="center" vertical="center" textRotation="45"/>
    </xf>
    <xf numFmtId="0" fontId="6" fillId="30" borderId="0" xfId="0" applyFont="1" applyFill="1" applyAlignment="1">
      <alignment horizontal="center" vertical="center" textRotation="45"/>
    </xf>
    <xf numFmtId="0" fontId="0" fillId="31" borderId="0" xfId="0" applyFill="1" applyAlignment="1">
      <alignment horizontal="center" vertical="center" textRotation="45"/>
    </xf>
    <xf numFmtId="0" fontId="0" fillId="32" borderId="0" xfId="0" applyFill="1" applyAlignment="1">
      <alignment horizontal="center" vertical="center" textRotation="45"/>
    </xf>
    <xf numFmtId="0" fontId="0" fillId="19" borderId="0" xfId="0" applyFill="1" applyAlignment="1">
      <alignment horizontal="center" vertical="center" textRotation="45"/>
    </xf>
  </cellXfs>
  <cellStyles count="2">
    <cellStyle name="Normal" xfId="0" builtinId="0"/>
    <cellStyle name="Pourcentage" xfId="1" builtinId="5"/>
  </cellStyles>
  <dxfs count="3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rgb="FFFFCC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CC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CC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CC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CC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CC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CCCC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</dxf>
    <dxf>
      <fill>
        <patternFill patternType="solid">
          <fgColor indexed="64"/>
          <bgColor rgb="FFFFFFCC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</dxf>
    <dxf>
      <numFmt numFmtId="2" formatCode="0.00"/>
      <fill>
        <patternFill patternType="solid">
          <fgColor indexed="64"/>
          <bgColor theme="4" tint="0.79998168889431442"/>
        </patternFill>
      </fill>
    </dxf>
    <dxf>
      <numFmt numFmtId="2" formatCode="0.0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4" tint="0.59999389629810485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4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rgb="FFDACCC0"/>
        </patternFill>
      </fill>
    </dxf>
    <dxf>
      <fill>
        <patternFill patternType="solid">
          <fgColor indexed="64"/>
          <bgColor rgb="FFDACCC0"/>
        </patternFill>
      </fill>
    </dxf>
    <dxf>
      <fill>
        <patternFill patternType="solid">
          <fgColor indexed="64"/>
          <bgColor rgb="FFDACCC0"/>
        </patternFill>
      </fill>
    </dxf>
    <dxf>
      <fill>
        <patternFill patternType="solid">
          <fgColor indexed="64"/>
          <bgColor rgb="FFDACCC0"/>
        </patternFill>
      </fill>
    </dxf>
    <dxf>
      <fill>
        <patternFill patternType="solid">
          <fgColor indexed="64"/>
          <bgColor rgb="FFDACCC0"/>
        </patternFill>
      </fill>
    </dxf>
    <dxf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DACCC0"/>
        </patternFill>
      </fill>
    </dxf>
    <dxf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DACCC0"/>
        </patternFill>
      </fill>
    </dxf>
    <dxf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DACCC0"/>
        </patternFill>
      </fill>
    </dxf>
    <dxf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CC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CC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CC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CC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CCC0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2" formatCode="0.00"/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79998168889431442"/>
        </patternFill>
      </fill>
    </dxf>
    <dxf>
      <numFmt numFmtId="2" formatCode="0.00"/>
      <fill>
        <patternFill patternType="solid">
          <fgColor indexed="64"/>
          <bgColor theme="3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fill>
        <patternFill patternType="solid">
          <fgColor indexed="64"/>
          <bgColor theme="7" tint="-0.249977111117893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7" tint="-0.24997711111789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numFmt numFmtId="30" formatCode="@"/>
      <fill>
        <patternFill patternType="solid">
          <fgColor indexed="64"/>
          <bgColor theme="7" tint="0.39997558519241921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7" tint="0.39997558519241921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7" tint="0.399975585192419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7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theme="7" tint="-0.49998474074526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theme="7" tint="-0.49998474074526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theme="7" tint="-0.49998474074526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theme="7" tint="-0.49998474074526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CCFF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2" tint="-0.499984740745262"/>
        </patternFill>
      </fill>
    </dxf>
  </dxfs>
  <tableStyles count="0" defaultTableStyle="TableStyleMedium2" defaultPivotStyle="PivotStyleLight16"/>
  <colors>
    <mruColors>
      <color rgb="FFFFFFCC"/>
      <color rgb="FFCCCCFF"/>
      <color rgb="FFFFCCFF"/>
      <color rgb="FFDAC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F003E-55D6-4FB6-94C2-B19B9942D6E6}" name="Tableau1" displayName="Tableau1" ref="A1:LF46" totalsRowShown="0" headerRowDxfId="355" dataDxfId="354">
  <autoFilter ref="A1:LF46" xr:uid="{93DB6BB1-841F-40D3-A81E-D89270AF1FFE}"/>
  <sortState xmlns:xlrd2="http://schemas.microsoft.com/office/spreadsheetml/2017/richdata2" ref="A2:LF46">
    <sortCondition ref="B1:B46"/>
  </sortState>
  <tableColumns count="318">
    <tableColumn id="1" xr3:uid="{93AC2F98-F290-4184-9181-730088374C36}" name="ILOT_code" dataDxfId="353"/>
    <tableColumn id="318" xr3:uid="{6F8EDD37-36FF-44C1-9E12-EC2CB9FF4A0F}" name="Colonne6" dataDxfId="352"/>
    <tableColumn id="2" xr3:uid="{C7E1CFB6-900A-4F6D-83C5-7DC09529C893}" name="ILOT_name" dataDxfId="351"/>
    <tableColumn id="3" xr3:uid="{29802D81-B6E3-47DB-A931-3EC4500C9297}" name="ILOT_area" dataDxfId="350"/>
    <tableColumn id="4" xr3:uid="{4B110056-5708-4C06-89F7-05C1A64AAB6C}" name="ILOT_area1" dataDxfId="349"/>
    <tableColumn id="5" xr3:uid="{348E9118-A95A-49C1-9A39-8656B4FAD708}" name="ILOT_area2" dataDxfId="348"/>
    <tableColumn id="6" xr3:uid="{BDFED35D-1F78-4D19-95C1-8572C16CCE08}" name="ILOT_rdt" dataDxfId="347"/>
    <tableColumn id="7" xr3:uid="{326E2C42-4E1F-4A40-9E8D-051F1BA26FE0}" name="ILOT_typo" dataDxfId="346"/>
    <tableColumn id="8" xr3:uid="{20940F4B-B66E-40D4-9741-2688965DCB25}" name="ILOT_sol" dataDxfId="345"/>
    <tableColumn id="9" xr3:uid="{D91C6937-CA3D-452C-9C33-945FB28B9736}" name="ILOT_qualite" dataDxfId="344"/>
    <tableColumn id="10" xr3:uid="{66D48DC7-ADAA-4EAA-AF4C-D1CCE3DFB9C9}" name="ILOT_sel" dataDxfId="343"/>
    <tableColumn id="11" xr3:uid="{7A4BE539-2936-414B-B748-9FE77660AF0E}" name="ILOT_relief" dataDxfId="342"/>
    <tableColumn id="12" xr3:uid="{8197FB10-8FA1-4727-A904-10AC88B8E304}" name="ILOT_innond" dataDxfId="341"/>
    <tableColumn id="13" xr3:uid="{E87294B3-E703-46A6-B91D-66D42504EBBE}" name="ILOT_autre" dataDxfId="340"/>
    <tableColumn id="14" xr3:uid="{EDDDB9A2-1285-47CE-9224-4462DCBA91EE}" name="freq_tot_IR" dataDxfId="339">
      <calculatedColumnFormula>SUM((W2*Tableau1[[#This Row],[IR_inter1]]),(AN2*Tableau1[[#This Row],[IR_inter2]]),(BC2*Tableau1[[#This Row],[IR_inter3]]),(Tableau1[[#This Row],[IR_freq4]]*BR2),(CG2*Tableau1[[#This Row],[IR_inter5]]))</calculatedColumnFormula>
    </tableColumn>
    <tableColumn id="317" xr3:uid="{55795219-FC14-455A-B61D-1A11C73B4ED0}" name="sum_irfreq" dataDxfId="338">
      <calculatedColumnFormula>SUM(W2,AN2,BC2,BR2,CG2)</calculatedColumnFormula>
    </tableColumn>
    <tableColumn id="15" xr3:uid="{95A32C50-A4B9-4164-9EB8-1394C77CAD04}" name="superfW" dataDxfId="337">
      <calculatedColumnFormula>SUM(T2*W2,AK2*AN2,AZ2*BC2,BO2*BR2,CD2*CG2)/P2</calculatedColumnFormula>
    </tableColumn>
    <tableColumn id="16" xr3:uid="{E8338CD2-2922-43B7-99FC-C391286D53BB}" name="max_depth" dataDxfId="336">
      <calculatedColumnFormula>MAX(U2:V2,AL2:AM2,BA2:BB2,BP2:BQ2,CE2:CF2)</calculatedColumnFormula>
    </tableColumn>
    <tableColumn id="17" xr3:uid="{D08BE126-C3CE-4751-A264-6247B29CC09A}" name="IR_outil1" dataDxfId="335"/>
    <tableColumn id="18" xr3:uid="{0D891753-40B8-4634-AE95-54E9992DA49D}" name="IR_inter1" dataDxfId="334"/>
    <tableColumn id="19" xr3:uid="{241928ED-BB3A-4AF8-A485-4CC2E2BAB7D2}" name="IR_prof_min1" dataDxfId="333"/>
    <tableColumn id="20" xr3:uid="{FFA00D4E-8D6B-41BB-9851-A45C900FD543}" name="IR_prof_max1" dataDxfId="332"/>
    <tableColumn id="21" xr3:uid="{E28EAD70-8D41-4FF5-A74C-BD13D3DAD13D}" name="IR_freq1" dataDxfId="331"/>
    <tableColumn id="22" xr3:uid="{954B5C3F-F7F6-4478-9289-E68662D78F03}" name="IR_date1-1" dataDxfId="330"/>
    <tableColumn id="23" xr3:uid="{B1C5263D-D285-446F-B786-83A793967F04}" name="IR_date1-2" dataDxfId="329"/>
    <tableColumn id="24" xr3:uid="{40CC438E-7EF4-42C5-8824-CB6F66B2FE02}" name="IR_date1-3" dataDxfId="328"/>
    <tableColumn id="25" xr3:uid="{75238627-408D-4C48-8C99-CC91E1653F67}" name="IR_date1-4" dataDxfId="327"/>
    <tableColumn id="26" xr3:uid="{79D260B3-4566-421C-86E1-F14C88E49029}" name="IR_date1-5" dataDxfId="326"/>
    <tableColumn id="27" xr3:uid="{86F8CF9B-28C9-4746-BA89-330E19235334}" name="IR_util1-1" dataDxfId="325"/>
    <tableColumn id="28" xr3:uid="{39E78C7A-4ACD-423B-A7FB-158D2672644B}" name="IR_util1-2" dataDxfId="324"/>
    <tableColumn id="29" xr3:uid="{6C36EF81-2958-4C28-89A2-665625796888}" name="IR_util1-3" dataDxfId="323"/>
    <tableColumn id="30" xr3:uid="{9366E7EC-24FF-4383-88C9-7ACD556ECB4E}" name="IR_util1-4" dataDxfId="322"/>
    <tableColumn id="31" xr3:uid="{5EA89647-646A-4BE7-A15B-B8941A217BC9}" name="IR_rul1-1" dataDxfId="321"/>
    <tableColumn id="32" xr3:uid="{AE3A2BE0-E5BC-409C-9278-81F278AC5D6F}" name="IR_rul1-2" dataDxfId="320"/>
    <tableColumn id="33" xr3:uid="{B2BB58FF-FBAD-444C-A127-ECB7C6CA97DD}" name="IR_rul1-3" dataDxfId="319"/>
    <tableColumn id="34" xr3:uid="{478F7807-4DA2-40C8-9345-51817FBA7625}" name="IR_outil2" dataDxfId="318"/>
    <tableColumn id="35" xr3:uid="{29BADA2F-B85E-4DA7-9980-8E5155C0AB15}" name="IR_inter2" dataDxfId="317"/>
    <tableColumn id="36" xr3:uid="{737DD719-C14C-492C-A225-0ACBF8101FFC}" name="IR_prof_min2" dataDxfId="316"/>
    <tableColumn id="37" xr3:uid="{E386BAE4-DC0B-4D6D-A176-7EC0444117FB}" name="IR_prof_max2" dataDxfId="315"/>
    <tableColumn id="38" xr3:uid="{FC9F664F-BF74-4CAC-9CFA-F8F4305E9DF1}" name="IR_freq2" dataDxfId="314"/>
    <tableColumn id="39" xr3:uid="{71DC6342-44A1-46E2-8E54-333251358C62}" name="IR_date2-1" dataDxfId="313"/>
    <tableColumn id="40" xr3:uid="{45651536-24B7-4277-B1CA-1CF4926C5D72}" name="IR_date2-2" dataDxfId="312"/>
    <tableColumn id="41" xr3:uid="{6437D021-0B19-4561-A569-32DF2B80871A}" name="IR_date2-3" dataDxfId="311"/>
    <tableColumn id="42" xr3:uid="{412EC913-2EC1-42B1-8971-492D67BFA09E}" name="IR_date2-4" dataDxfId="310"/>
    <tableColumn id="43" xr3:uid="{CAE9B59C-AB70-49B2-BF4C-1EE950422FA8}" name="IR_date2-5" dataDxfId="309"/>
    <tableColumn id="44" xr3:uid="{826E661F-6F3C-41EB-8CC8-99264C286A23}" name="IR_util2-1" dataDxfId="308"/>
    <tableColumn id="45" xr3:uid="{867DF3C3-A254-48AF-99AF-A36319455B70}" name="IR_util2-2" dataDxfId="307"/>
    <tableColumn id="46" xr3:uid="{5A23BF73-89DB-4815-AA3F-769646179E62}" name="IR_rul2-1" dataDxfId="306"/>
    <tableColumn id="47" xr3:uid="{0A6DE618-FE75-4F2B-9E1E-3EFE4AA0DE5C}" name="IR_rul2-2" dataDxfId="305"/>
    <tableColumn id="48" xr3:uid="{5CA4C9CC-D562-46CC-A384-D9CA9733F8DE}" name="IR_rul2-3" dataDxfId="304"/>
    <tableColumn id="49" xr3:uid="{F3A8BC39-ADB4-43B0-8AC8-A0C856B5619B}" name="IR_outil3" dataDxfId="303"/>
    <tableColumn id="50" xr3:uid="{0E8CDC31-EE73-4E8D-9838-36FF82FA0550}" name="IR_inter3" dataDxfId="302"/>
    <tableColumn id="51" xr3:uid="{124D8A9C-A8C1-46D8-92B0-C38B0B07DDDF}" name="IR_prof_min3" dataDxfId="301"/>
    <tableColumn id="52" xr3:uid="{13171849-282E-4D71-8F65-C5AC5A0729A6}" name="IR_prof_max3" dataDxfId="300"/>
    <tableColumn id="53" xr3:uid="{1043F1B6-434E-445E-9E1A-C28F85E324B7}" name="IR_freq3" dataDxfId="299"/>
    <tableColumn id="54" xr3:uid="{087B1624-50D5-4231-8BDC-023767BFC4E2}" name="IR_date3-1" dataDxfId="298"/>
    <tableColumn id="55" xr3:uid="{6C37402F-361F-4FC5-BA00-B6B665AA22D9}" name="IR_date3-2"/>
    <tableColumn id="56" xr3:uid="{CE61111D-03A5-47C0-B2DC-1FD73593F55E}" name="IR_date3-3" dataDxfId="297"/>
    <tableColumn id="57" xr3:uid="{E21A808D-0E01-488B-AB05-D6681A60C7F6}" name="IR_date3-4" dataDxfId="296"/>
    <tableColumn id="58" xr3:uid="{1C321C1E-4E32-4C64-A175-6787B344DF08}" name="IR_date3-5" dataDxfId="295"/>
    <tableColumn id="59" xr3:uid="{D0904E4F-42B7-481F-B39C-5AFA6534CC87}" name="IR_util3-1"/>
    <tableColumn id="60" xr3:uid="{E9B71FE7-09BB-4697-89DD-F025DDC57720}" name="IR_util3-2" dataDxfId="294"/>
    <tableColumn id="61" xr3:uid="{62310659-C330-4EC3-AACA-6D83ED0E0FC9}" name="IR_util3-3" dataDxfId="293"/>
    <tableColumn id="62" xr3:uid="{94FA5576-9FD0-4AE9-94D4-7757787F0604}" name="IR_rul3-1" dataDxfId="292"/>
    <tableColumn id="63" xr3:uid="{5E4E31BB-E4EC-438A-814A-6DD29E7D9668}" name="IR_rul3-2" dataDxfId="291"/>
    <tableColumn id="64" xr3:uid="{134911E3-9DE8-4EC5-AB85-1F8F9537E7A4}" name="IR_outil4" dataDxfId="290"/>
    <tableColumn id="65" xr3:uid="{432A9C33-E677-4E5F-93B3-9C55E050FBB1}" name="IR_inter4" dataDxfId="289"/>
    <tableColumn id="66" xr3:uid="{D2D7DB7D-587B-41E5-831E-D023883BA368}" name="IR_prof_min4" dataDxfId="288"/>
    <tableColumn id="67" xr3:uid="{D71EE6D2-2A11-4C7E-BD2F-506FF1F114D9}" name="IR_prof_max4" dataDxfId="287"/>
    <tableColumn id="68" xr3:uid="{32839D2F-FA8E-4FB1-B102-6900CDA48712}" name="IR_freq4" dataDxfId="286"/>
    <tableColumn id="69" xr3:uid="{0A911935-F38B-4DAB-82E0-DB34647FF3A7}" name="IR_date4-1" dataDxfId="285"/>
    <tableColumn id="70" xr3:uid="{A39DB4B0-90F7-4C58-AD69-664D40D5F931}" name="IR_date4-2" dataDxfId="284"/>
    <tableColumn id="71" xr3:uid="{87C8D036-1D50-4C69-82B6-8FBC39EAA141}" name="IR_date4-3" dataDxfId="283"/>
    <tableColumn id="72" xr3:uid="{EF943FC2-6AB3-4362-8586-EC28350D7556}" name="IR_date4-4" dataDxfId="282"/>
    <tableColumn id="73" xr3:uid="{6135FAB5-A4D4-43BA-A2A9-7D4581E51D23}" name="IR_date4-5" dataDxfId="281"/>
    <tableColumn id="74" xr3:uid="{AC617B8D-943C-4D62-8CCA-3C902DA1F88A}" name="IR_util4-1" dataDxfId="280"/>
    <tableColumn id="75" xr3:uid="{3134638A-B31B-4B56-B462-215C896E349F}" name="IR_util4-2" dataDxfId="279"/>
    <tableColumn id="76" xr3:uid="{98638C45-E1E9-4D4F-9787-AEE8981F316E}" name="IR_util4-3" dataDxfId="278"/>
    <tableColumn id="77" xr3:uid="{D79AD260-89A7-4E07-94EF-AC6D52563B3D}" name="IR_rul4-1" dataDxfId="277"/>
    <tableColumn id="78" xr3:uid="{56907686-C8D0-4DFC-8F5C-1C753E6BA37F}" name="IR_rul4-2" dataDxfId="276"/>
    <tableColumn id="79" xr3:uid="{D6C9D380-E9D3-491E-8C92-ACF5C41B3AD9}" name="IR_outil5" dataDxfId="275"/>
    <tableColumn id="80" xr3:uid="{239ADCBE-7BA8-4264-9FC2-A26253ACD512}" name="IR_inter5" dataDxfId="274"/>
    <tableColumn id="81" xr3:uid="{D0B565BD-B1E4-4CBE-9A24-DC9008E44915}" name="IR_prof_min5" dataDxfId="273"/>
    <tableColumn id="82" xr3:uid="{42121DF6-0EEA-4BED-B2ED-865ACED74999}" name="IR_prof_max5" dataDxfId="272"/>
    <tableColumn id="83" xr3:uid="{3CBA9E54-4B45-48DB-88FF-97A3871567C2}" name="IR_freq5" dataDxfId="271"/>
    <tableColumn id="84" xr3:uid="{276159A1-E183-48FA-A064-360164EF13E6}" name="IR_date5-1" dataDxfId="270"/>
    <tableColumn id="85" xr3:uid="{38F6A9CC-EBCC-4785-85E6-F6A1B332192A}" name="IR_date5-2" dataDxfId="269"/>
    <tableColumn id="86" xr3:uid="{D640C156-94A2-41D2-A239-B6902C5C7F77}" name="IR_date5-3" dataDxfId="268"/>
    <tableColumn id="87" xr3:uid="{D4698C15-B68E-47B0-8A29-50CD10C855CE}" name="IR_util5-1" dataDxfId="267"/>
    <tableColumn id="88" xr3:uid="{23294DE5-BEA7-4743-B3CE-52BBDF05CC5F}" name="IR_util5-2" dataDxfId="266"/>
    <tableColumn id="89" xr3:uid="{337DB716-315A-4DE9-81C4-75D978A44989}" name="IR_rul5-1" dataDxfId="265"/>
    <tableColumn id="90" xr3:uid="{B5DCDAD6-59FB-4901-A7C9-DA9B7F89D91A}" name="R" dataDxfId="264">
      <calculatedColumnFormula>SUM(CO2,DO2)</calculatedColumnFormula>
    </tableColumn>
    <tableColumn id="91" xr3:uid="{FF3C62AB-E71A-4301-A2D3-233D78E71792}" name="Colonne1" dataDxfId="263">
      <calculatedColumnFormula>IF(OR(CP2="lames",CP2="rotatif"),2,0)</calculatedColumnFormula>
    </tableColumn>
    <tableColumn id="92" xr3:uid="{3284A902-A214-4BD9-B5BC-1C8D3E0FE12F}" name="R_outil1"/>
    <tableColumn id="93" xr3:uid="{68B31582-4577-4679-B7AF-C87B221653B9}" name="R_inter1"/>
    <tableColumn id="94" xr3:uid="{000DDDEF-5D7C-401C-86CC-D5F0FC7AE637}" name="R_prof_min1"/>
    <tableColumn id="95" xr3:uid="{0D77B15C-FEF6-4986-8634-A7ABCE465853}" name="R_prof_max1" dataDxfId="262"/>
    <tableColumn id="96" xr3:uid="{A35A76D9-CD1D-454B-9937-2FAF55ECA74F}" name="R_freq1"/>
    <tableColumn id="97" xr3:uid="{29C07751-6772-427B-AF43-D132AE811D64}" name="R_freq_combi1" dataDxfId="261"/>
    <tableColumn id="98" xr3:uid="{B176B5EE-9F6F-4D0B-86A9-F35405E1EA7E}" name="R_date1-1"/>
    <tableColumn id="99" xr3:uid="{832EEB96-74E4-4747-B165-C8C752EA64E2}" name="R_date1-2"/>
    <tableColumn id="100" xr3:uid="{D1A9EDC0-E083-4407-BB5E-E35239EE6261}" name="R_date1-3"/>
    <tableColumn id="101" xr3:uid="{11F07A03-F2D4-4840-847A-B8F455F1A551}" name="R_date1-4"/>
    <tableColumn id="102" xr3:uid="{C1C9DDE7-FDAE-4882-900C-8B4FF33B03EE}" name="R_date1-5" dataDxfId="260"/>
    <tableColumn id="103" xr3:uid="{8AE49211-0FD4-46DA-89E5-97F219F788B8}" name="R_util1-1" dataDxfId="259"/>
    <tableColumn id="104" xr3:uid="{82A5E195-2470-45F4-9CFB-529F66132BED}" name="R_util1-2" dataDxfId="258"/>
    <tableColumn id="105" xr3:uid="{0D593CDE-9405-4BC5-BF91-C84CDEA79F9F}" name="R_rul1-2" dataDxfId="257"/>
    <tableColumn id="106" xr3:uid="{9B7EE724-0ED0-41D8-864C-D9211C17DEF7}" name="R_outil2" dataDxfId="256"/>
    <tableColumn id="107" xr3:uid="{0A4C3261-8745-48C2-AECF-E0AE9AC89A3B}" name="R_inter2" dataDxfId="255"/>
    <tableColumn id="108" xr3:uid="{1B27B9B5-C352-4C40-9442-9F56C0F4BA53}" name="R_prof_min2" dataDxfId="254"/>
    <tableColumn id="109" xr3:uid="{F4C1F918-5009-4978-9C1F-77417622E08C}" name="R_prof_max2" dataDxfId="253"/>
    <tableColumn id="110" xr3:uid="{F72A903E-08BD-4F5B-ADB3-2C5862B4BD33}" name="R_freq2" dataDxfId="252"/>
    <tableColumn id="111" xr3:uid="{6E638A2A-1DEE-4FD0-8B8A-9128728C7EB1}" name="R_date2-1" dataDxfId="251"/>
    <tableColumn id="112" xr3:uid="{BF62AEE7-B407-4162-B2D6-176BD7E2B631}" name="R_date2-2" dataDxfId="250"/>
    <tableColumn id="113" xr3:uid="{66E5784D-E120-48E2-9428-7B48A515BDF5}" name="R_date2-3" dataDxfId="249"/>
    <tableColumn id="114" xr3:uid="{E3240ECD-6790-469B-9386-201DE8426974}" name="R_date2-4" dataDxfId="248"/>
    <tableColumn id="115" xr3:uid="{B7919661-4EFA-4DCD-BF1C-432DADDBD4B9}" name="R_util2-1" dataDxfId="247"/>
    <tableColumn id="116" xr3:uid="{5F4CD324-DC1C-4F52-BCE6-0619782CB352}" name="R_rul2-2" dataDxfId="246"/>
    <tableColumn id="117" xr3:uid="{84F20EDE-184D-4D12-B4A2-AAC589DEA5A3}" name="Colonne2" dataDxfId="245">
      <calculatedColumnFormula>IF(DP2&gt;0,1,0)</calculatedColumnFormula>
    </tableColumn>
    <tableColumn id="118" xr3:uid="{1D2F2388-E0F0-4190-8C21-8C627573762A}" name="PHYT_freq" dataDxfId="244"/>
    <tableColumn id="119" xr3:uid="{EACFC6D9-0B2A-4991-B267-9ADD2E60AB51}" name="PHYT_date1" dataDxfId="243"/>
    <tableColumn id="120" xr3:uid="{4C9BA499-12C4-4113-A20B-40E96AC1ACA2}" name="PHYT_date2" dataDxfId="242"/>
    <tableColumn id="121" xr3:uid="{4A2F7E7E-5051-4737-862F-AE8DCAD45E08}" name="PHYT_produit1" dataDxfId="241"/>
    <tableColumn id="122" xr3:uid="{55F9F6B1-569D-4EF7-BA53-9DB4A34DE730}" name="PHYT_sub_active1" dataDxfId="240"/>
    <tableColumn id="123" xr3:uid="{A5CAB779-88D6-4D48-AC26-88E9A4078679}" name="PHYT_conc1" dataDxfId="239"/>
    <tableColumn id="124" xr3:uid="{F174319E-B548-42E2-9DA4-FA613699239E}" name="PHYT_dose1" dataDxfId="238"/>
    <tableColumn id="125" xr3:uid="{9C0AD2AE-2A67-47E9-A3CF-DB6944E8E228}" name="PHYT_produit2" dataDxfId="237"/>
    <tableColumn id="126" xr3:uid="{D5DD0E37-DE31-4324-B5D7-6940545A7231}" name="PHYT_sub_active2-1" dataDxfId="236"/>
    <tableColumn id="127" xr3:uid="{C4103C62-0A83-41ED-A62F-3D829354F411}" name="PHYT_sub_active2-2"/>
    <tableColumn id="128" xr3:uid="{F88B6BA4-927D-49BF-9762-B9A45615F26B}" name="PHYT_conc2-1"/>
    <tableColumn id="129" xr3:uid="{927D6AF2-226A-4BBC-B5CE-90F70C5D8E73}" name="PHYT_conc2-2"/>
    <tableColumn id="130" xr3:uid="{076BB0F5-D6F3-4BBF-961E-2B733839D455}" name="PHYT_dose2-1"/>
    <tableColumn id="131" xr3:uid="{A443C683-DECD-422C-97EA-9AB9AD2E68DF}" name="PHYT_dose2-2"/>
    <tableColumn id="132" xr3:uid="{672B96AC-98D3-4675-B73A-20E691834EAE}" name="PHYT_rul2" dataDxfId="235"/>
    <tableColumn id="133" xr3:uid="{781B8822-F59C-46BF-997E-1B2C8EF08F03}" name="HERB_type1" dataDxfId="234"/>
    <tableColumn id="134" xr3:uid="{2FE9653D-B806-45B5-A281-B01B6254E64B}" name="HERB_compo1" dataDxfId="233"/>
    <tableColumn id="135" xr3:uid="{FAA4CC58-8D39-4DD1-8672-DF66704BFCE2}" name="HERB_inter1" dataDxfId="232"/>
    <tableColumn id="136" xr3:uid="{BCC5BE7A-5452-4076-9C70-A8DE2EFD8AFD}" name="HERB_type2" dataDxfId="231"/>
    <tableColumn id="137" xr3:uid="{B988CFBA-74D9-4D8A-97A7-76CBE3FC5239}" name="HERB_compo2" dataDxfId="230"/>
    <tableColumn id="138" xr3:uid="{809C4BEC-0FD0-479D-A630-72C175A783C8}" name="HERB_inter2" dataDxfId="229"/>
    <tableColumn id="139" xr3:uid="{0748FBFB-C009-4BE4-B9A8-F6F4D26E07C1}" name="HERB_util1" dataDxfId="228"/>
    <tableColumn id="140" xr3:uid="{58FB45E9-3690-4395-9630-7DA0C7900372}" name="HERB_util2" dataDxfId="227"/>
    <tableColumn id="141" xr3:uid="{FEFA1FB6-5BF7-4D8B-AD37-152B35E6DAA0}" name="HERB_util3" dataDxfId="226"/>
    <tableColumn id="142" xr3:uid="{3EB5006B-27E7-459B-ADBB-7D0F45D41167}" name="AM" dataDxfId="225"/>
    <tableColumn id="143" xr3:uid="{BA745B65-2C3F-4871-B2A7-C7EF95188E98}" name="AM_type1" dataDxfId="224"/>
    <tableColumn id="144" xr3:uid="{DAB3F367-56E3-412C-AA5D-73EA1ACAE9B1}" name="AM_compo1" dataDxfId="223"/>
    <tableColumn id="145" xr3:uid="{889A6B31-9F06-4E95-BAA9-0654A9468ACB}" name="AM_nom1" dataDxfId="222"/>
    <tableColumn id="146" xr3:uid="{F8EC7361-32C2-485D-B5B7-94B14F06A469}" name="AM_fourni1" dataDxfId="221"/>
    <tableColumn id="147" xr3:uid="{20DC3860-419C-4F80-B98E-2C3DB93D8186}" name="AM_freq1" dataDxfId="220"/>
    <tableColumn id="148" xr3:uid="{BB8BCA28-B7C0-4925-BC46-6A5695A4A45F}" name="AM_dose1" dataDxfId="219"/>
    <tableColumn id="149" xr3:uid="{020848E3-D938-45EF-AEB5-3031C14ACD52}" name="AM_date1" dataDxfId="218"/>
    <tableColumn id="150" xr3:uid="{2D0BA632-EF2A-4E14-B718-563C5C20036E}" name="AM_area1" dataDxfId="217"/>
    <tableColumn id="151" xr3:uid="{D5EBFAFA-F143-46DF-9304-33430FE0D118}" name="AM_util1-1" dataDxfId="216"/>
    <tableColumn id="152" xr3:uid="{3025A414-D668-4F45-9224-DB101EB03FCB}" name="AM_util1-2" dataDxfId="215"/>
    <tableColumn id="153" xr3:uid="{C860C6EA-03AA-4783-97D6-F8FB9CC07AEC}" name="AM_rul1-1" dataDxfId="214"/>
    <tableColumn id="154" xr3:uid="{31248BFF-5EDB-4413-83DA-19EB5E361F6B}" name="AM_type2" dataDxfId="213"/>
    <tableColumn id="155" xr3:uid="{F0580276-7030-4B72-B304-E4091DE671A1}" name="AM_compo2" dataDxfId="212"/>
    <tableColumn id="156" xr3:uid="{CBA84CDD-7244-4419-9181-0E95B69E1BAE}" name="AM_nom2" dataDxfId="211"/>
    <tableColumn id="157" xr3:uid="{6F4AE205-3DCA-4A4B-A515-06D25376453F}" name="AM_fourni2" dataDxfId="210"/>
    <tableColumn id="158" xr3:uid="{70CD3BF5-8E4F-4E6B-9D50-1998B0B228B5}" name="AM_freq2" dataDxfId="209"/>
    <tableColumn id="159" xr3:uid="{8307C5EF-1D1F-4EE7-A60A-BB1B8D17D5F0}" name="AM_dose2" dataDxfId="208"/>
    <tableColumn id="160" xr3:uid="{8E8EB2F6-3C47-4D07-A900-8BC61B7271E9}" name="AM_date2" dataDxfId="207"/>
    <tableColumn id="161" xr3:uid="{5CF0E2C2-7A42-423D-ABEE-716CBD43D9DC}" name="AM_util2-1" dataDxfId="206"/>
    <tableColumn id="162" xr3:uid="{7073D381-9909-4E7E-9A87-1D8172B2528B}" name="AM_rul2-1" dataDxfId="205"/>
    <tableColumn id="163" xr3:uid="{4E1B8408-CD93-4E2C-916F-892008E2B98E}" name="ENG" dataDxfId="204"/>
    <tableColumn id="164" xr3:uid="{706E6705-A9B1-4140-853D-43C2ED3403CC}" name="ENG_type1" dataDxfId="203"/>
    <tableColumn id="165" xr3:uid="{852D2021-A7C5-416E-ADB8-61131FD1882A}" name="ENG_base1" dataDxfId="202"/>
    <tableColumn id="166" xr3:uid="{841B85B4-ECE1-44F0-9D4A-D70502C9F6C5}" name="ENG_compo1" dataDxfId="201"/>
    <tableColumn id="167" xr3:uid="{83978DA8-E5C3-465B-A83D-7F0186318651}" name="ENG_nom1" dataDxfId="200"/>
    <tableColumn id="168" xr3:uid="{849FC072-E11C-4243-A0F9-33301BF733FB}" name="ENG_fourni1" dataDxfId="199"/>
    <tableColumn id="169" xr3:uid="{92EF4021-6F87-493D-85AB-C2AA492AA0B8}" name="ENG_freq1" dataDxfId="198"/>
    <tableColumn id="170" xr3:uid="{1A68FE79-CA0C-451F-976C-0E56E5340904}" name="ENG_dose1" dataDxfId="197"/>
    <tableColumn id="171" xr3:uid="{06BD8768-E418-41B0-AFA5-9F1EF9CFD474}" name="ENG_date1" dataDxfId="196"/>
    <tableColumn id="172" xr3:uid="{D0E9FB7F-AAC9-4C9A-9C3E-037CD118CB84}" name="ENG_util1-2" dataDxfId="195"/>
    <tableColumn id="173" xr3:uid="{3FF9463B-489B-4BEA-B299-77B64C9D549A}" name="ENG_util1-3" dataDxfId="194"/>
    <tableColumn id="174" xr3:uid="{0F3A0B91-E61D-4856-B55F-059AEA30E525}" name="ENG_util1-4" dataDxfId="193"/>
    <tableColumn id="175" xr3:uid="{B7F82824-2F2F-43EB-8451-6E266917E9DF}" name="ENG_rul1-1" dataDxfId="192"/>
    <tableColumn id="176" xr3:uid="{E65D9ABB-460E-4F6D-9C0C-CFD0C794C468}" name="ENG_rul1-2" dataDxfId="191"/>
    <tableColumn id="177" xr3:uid="{7E825E7E-BC45-4BC8-8050-849989893227}" name="ENG_type2" dataDxfId="190"/>
    <tableColumn id="178" xr3:uid="{F7D18108-4760-4025-9BEB-6D9112025CEF}" name="ENG_compo2" dataDxfId="189"/>
    <tableColumn id="179" xr3:uid="{9274AA59-0744-4117-A0FF-122769709818}" name="ENG_nom2" dataDxfId="188"/>
    <tableColumn id="180" xr3:uid="{2467D4D5-3BCF-40C7-8B87-5717E1D04321}" name="ENG_fourni2" dataDxfId="187"/>
    <tableColumn id="181" xr3:uid="{0CC08D63-E84F-409C-82A2-C3A981866EA0}" name="ENG_freq2" dataDxfId="186"/>
    <tableColumn id="182" xr3:uid="{6ACA386F-A9EE-4062-A698-4159C2AAB6CE}" name="ENG_dose2" dataDxfId="185"/>
    <tableColumn id="183" xr3:uid="{D0AB8ECE-1D02-4DE5-A04D-0BDB0839158A}" name="ENG_date2" dataDxfId="184"/>
    <tableColumn id="184" xr3:uid="{0DFB6A7F-AFA8-49A0-80BE-49F7B3200720}" name="ENG_util2-1" dataDxfId="183"/>
    <tableColumn id="185" xr3:uid="{D9971A23-BC0F-44CC-930A-0827D9378AD5}" name="ENG_rul2-1" dataDxfId="182"/>
    <tableColumn id="186" xr3:uid="{E8798AFC-42F2-4E75-B714-8DD1FA28D1AB}" name="ENG_rul2-2" dataDxfId="181"/>
    <tableColumn id="187" xr3:uid="{8A595224-2C97-4D90-8177-168039014CC8}" name="FOS_fosse" dataDxfId="180"/>
    <tableColumn id="188" xr3:uid="{1CB61C35-A1FD-47A4-966B-206ADC54A50A}" name="FOS_prof_min" dataDxfId="179"/>
    <tableColumn id="189" xr3:uid="{4904D5FC-E742-4F64-A0CF-3EC9D1CD35FC}" name="FOS_prof_max" dataDxfId="178"/>
    <tableColumn id="190" xr3:uid="{1A30B575-97ED-4494-B3B5-4791609CEE01}" name="FOS_etat" dataDxfId="177"/>
    <tableColumn id="191" xr3:uid="{13A41FBB-C12F-4EEA-8588-13F152F302BD}" name="FOS_age" dataDxfId="176"/>
    <tableColumn id="192" xr3:uid="{2B6AD42B-37F5-4958-9E41-B61C8A8CC726}" name="FOS_qui1" dataDxfId="175"/>
    <tableColumn id="193" xr3:uid="{F8C42283-39D8-4B99-8F7C-033D073A8173}" name="FOS_qui2" dataDxfId="174"/>
    <tableColumn id="194" xr3:uid="{3B4D5C4B-9557-40EE-8329-81A9A9A89EAC}" name="FOS_rul1" dataDxfId="173"/>
    <tableColumn id="195" xr3:uid="{E9D0798F-AA0E-4370-A3A9-8C26FA7464F7}" name="FOS_rul2" dataDxfId="172"/>
    <tableColumn id="196" xr3:uid="{2155684E-AEA8-488F-A6CF-792BB0996723}" name="FOS_outil1" dataDxfId="171"/>
    <tableColumn id="197" xr3:uid="{F5168074-8200-4D84-922A-BF221604735A}" name="FOS_freq1" dataDxfId="170"/>
    <tableColumn id="198" xr3:uid="{B947744C-1F9A-4C39-8EBC-88EAD8D84D95}" name="FOS_date1-1" dataDxfId="169"/>
    <tableColumn id="199" xr3:uid="{2A31FA9D-8871-4FFB-AB57-DAFDC623171C}" name="FOS_date1-2" dataDxfId="168"/>
    <tableColumn id="200" xr3:uid="{8F78DF55-CD86-4AD1-97B2-0BF112FAB144}" name="FOS_date1-3" dataDxfId="167"/>
    <tableColumn id="201" xr3:uid="{F10A90B3-E535-44D7-A49C-51D0D2E8CE73}" name="FOS_outil2" dataDxfId="166"/>
    <tableColumn id="202" xr3:uid="{89B64887-EC4D-4AA3-8FCB-2A2FB75BAA29}" name="FOS_freq2" dataDxfId="165"/>
    <tableColumn id="203" xr3:uid="{B625B81F-5565-4139-9E8F-6B4447BE0F0E}" name="FOS_date2-1" dataDxfId="164"/>
    <tableColumn id="204" xr3:uid="{B311B6C0-67DB-4E0F-9E05-E3D2C697B8CB}" name="FOS_date2-2" dataDxfId="163"/>
    <tableColumn id="205" xr3:uid="{FDB7F098-090D-437B-BD0E-6CB7B0C13D46}" name="FOS_ecobu3" dataDxfId="162"/>
    <tableColumn id="206" xr3:uid="{29E4FA03-4B4B-4DA1-A5F3-15CC982C2C78}" name="FOS_freq3" dataDxfId="161"/>
    <tableColumn id="207" xr3:uid="{C543DA0F-34A9-4729-814A-DC99C7AB3A62}" name="FOS_date3-1" dataDxfId="160"/>
    <tableColumn id="208" xr3:uid="{21B0AF03-80E3-4524-9179-79134F398D9A}" name="FOS_date3-2" dataDxfId="159"/>
    <tableColumn id="209" xr3:uid="{6BB162E0-0B8C-4B85-AD04-5CF444D07641}" name="FOS_chim1" dataDxfId="158"/>
    <tableColumn id="210" xr3:uid="{FAB4F97F-9940-47B4-B288-4ED0FCDB5732}" name="FOS_produit1" dataDxfId="157"/>
    <tableColumn id="211" xr3:uid="{EA4C3EAE-9AB0-44E6-8D3E-E25952DC92FD}" name="FOS_dose1"/>
    <tableColumn id="212" xr3:uid="{82BAA027-5558-469A-86D8-43B133FF0DA5}" name="Colonne3" dataDxfId="156"/>
    <tableColumn id="213" xr3:uid="{D2C6E3BE-5CF2-45FB-AF51-1EF776A1C812}" name="SUB" dataDxfId="155">
      <calculatedColumnFormula>(HI2*HY2+IK2*IZ2)*10</calculatedColumnFormula>
    </tableColumn>
    <tableColumn id="214" xr3:uid="{8826DB4B-7F02-4BD7-9308-8C17CB8C6A38}" name="SUB_sub" dataDxfId="154"/>
    <tableColumn id="215" xr3:uid="{2C1FEE02-8639-4BED-9C5C-CBFF40265E03}" name="SUB_freq1" dataDxfId="153"/>
    <tableColumn id="216" xr3:uid="{7F839AAD-6E0B-4754-9F9A-B48E29BABCC1}" name="SUB_date1-2" dataDxfId="152"/>
    <tableColumn id="217" xr3:uid="{59BEA645-2B4E-41EA-95BE-1C18895A857A}" name="SUB_date1-3"/>
    <tableColumn id="218" xr3:uid="{85860E0D-48F6-4EC8-A8AD-C910BB62272E}" name="SUB_date1-4" dataDxfId="151"/>
    <tableColumn id="219" xr3:uid="{6CDF73A8-D1A8-4082-98E7-96D3C332A9DA}" name="SUB_date1-5" dataDxfId="150"/>
    <tableColumn id="220" xr3:uid="{FF1B926D-9377-4EA2-B331-3AF88E98345F}" name="SUB_date1-6" dataDxfId="149"/>
    <tableColumn id="221" xr3:uid="{A7BEECCF-336C-4026-A71D-DC5F42BB04A4}" name="SUB_origin1" dataDxfId="148"/>
    <tableColumn id="222" xr3:uid="{F8C734D3-FDA2-4CB0-9BF4-CE748CAD8070}" name="SUB_asa_alim1" dataDxfId="147"/>
    <tableColumn id="223" xr3:uid="{A7A52A30-BF60-41FA-A948-AAB89518D359}" name="SUB_util1" dataDxfId="146"/>
    <tableColumn id="224" xr3:uid="{25711EAE-AFDE-40A3-9B53-76EB1388B36C}" name="SUB_util2"/>
    <tableColumn id="225" xr3:uid="{56DCE647-F240-42C8-89EF-8BDF596DA08F}" name="SUB_util3"/>
    <tableColumn id="226" xr3:uid="{97C24EAC-AED0-4626-8955-4C990D121F67}" name="SUB_rul1-1" dataDxfId="145"/>
    <tableColumn id="227" xr3:uid="{B43E9D82-0E5B-4D0B-896C-17440F44A440}" name="SUB_rul1-2"/>
    <tableColumn id="228" xr3:uid="{98B5DC72-8523-4C4A-8C66-B1BD8F6C20B7}" name="SUB_rul1-3"/>
    <tableColumn id="229" xr3:uid="{27F17C72-A55C-4754-B95D-590FE0B405C5}" name="SUB_Hmin1" dataDxfId="144"/>
    <tableColumn id="230" xr3:uid="{95175F32-5054-4040-9016-43BF07F7CD41}" name="SUB_Hmax1" dataDxfId="143"/>
    <tableColumn id="231" xr3:uid="{D515E531-FCA3-4BA6-809B-00D722741A31}" name="SUB_" dataDxfId="142"/>
    <tableColumn id="232" xr3:uid="{2F72C38F-285A-4BF4-B0F5-F23D985B3380}" name="SUB_AlimA1" dataDxfId="141"/>
    <tableColumn id="233" xr3:uid="{83C78949-A4C3-4682-948F-6A701862401B}" name="SUB_AlimB1"/>
    <tableColumn id="234" xr3:uid="{68D471CE-D5DF-4C2F-BE1B-B85BC09ABAB4}" name="SUB_volume1" dataDxfId="140"/>
    <tableColumn id="235" xr3:uid="{4BF357DB-DB8C-4816-B4F9-B68B6608119B}" name="SUB_irrtime_min" dataDxfId="139"/>
    <tableColumn id="236" xr3:uid="{36635DF5-7603-4B53-8DA0-9BA44A570A91}" name="SUB_irrtime_max" dataDxfId="138"/>
    <tableColumn id="237" xr3:uid="{CC0B716E-96F3-44A2-85AC-5E2008C67140}" name="SUB_subtime_min" dataDxfId="137"/>
    <tableColumn id="238" xr3:uid="{CD7A7056-128D-43C6-A8B3-1858D880F311}" name="SUB_subtime_max" dataDxfId="136"/>
    <tableColumn id="239" xr3:uid="{A3563823-384B-4723-ABC0-5210937A6C67}" name="SUB_wipetime_min" dataDxfId="135"/>
    <tableColumn id="240" xr3:uid="{A76C6547-3048-4D70-8469-9C22C5E107DE}" name="SUB_wipetime_max" dataDxfId="134"/>
    <tableColumn id="241" xr3:uid="{1F7B5776-4CE8-4363-8CF2-E91D95634E63}" name="SUB_totaltime_min" dataDxfId="133"/>
    <tableColumn id="242" xr3:uid="{06C7F821-4365-402E-819C-57163BF98E3B}" name="SUB_totaltime_max" dataDxfId="132"/>
    <tableColumn id="243" xr3:uid="{1A7C23AE-0581-46DF-A527-3A342E5C195C}" name="SUB_freq2" dataDxfId="131"/>
    <tableColumn id="244" xr3:uid="{C0D88899-BC59-4235-AE77-8ED3EA69C5D5}" name="SUB_date2-1" dataDxfId="130"/>
    <tableColumn id="245" xr3:uid="{6005A9C6-C9E3-46BF-8797-6460D530DE0A}" name="SUB_date2-2" dataDxfId="129"/>
    <tableColumn id="246" xr3:uid="{98F98C20-4E99-4C2B-874F-250A9A8E109A}" name="SUB_date2-3" dataDxfId="128"/>
    <tableColumn id="247" xr3:uid="{6BE5E9F4-A2DE-48CC-8970-C17A27DF311B}" name="SUB_date2-4" dataDxfId="127"/>
    <tableColumn id="248" xr3:uid="{E6F14135-AB18-4632-82A3-B3076EB430B2}" name="SUB_origin2" dataDxfId="126"/>
    <tableColumn id="249" xr3:uid="{9C4DC524-C656-451B-AF91-4053EDE9F41C}" name="SUB_asa_alim2" dataDxfId="125"/>
    <tableColumn id="250" xr3:uid="{598009FC-3124-409F-AEDB-002F8379CA96}" name="SUB_util2-1" dataDxfId="124"/>
    <tableColumn id="251" xr3:uid="{DBC77A6D-16BA-4F7B-BEB4-D1231D721610}" name="SUB_util2-2" dataDxfId="123"/>
    <tableColumn id="252" xr3:uid="{0C8F7C44-F2EC-4D04-83DF-C1C7B661234F}" name="SUB_util2-3" dataDxfId="122"/>
    <tableColumn id="253" xr3:uid="{2A1EFA5D-8F36-4CFC-8524-DA14F5F895E3}" name="SUB_rul2-1" dataDxfId="121"/>
    <tableColumn id="254" xr3:uid="{2386D696-BE0D-48E9-ACCC-147EAAACB857}" name="SUB_rul2-2" dataDxfId="120"/>
    <tableColumn id="255" xr3:uid="{DDB975C9-387A-4126-9394-B32F2DFBB0DE}" name="SUB_rul2-3" dataDxfId="119"/>
    <tableColumn id="256" xr3:uid="{C40E2121-0886-4B14-8FD1-9BFC7335453F}" name="SUB_Hmin2" dataDxfId="118"/>
    <tableColumn id="257" xr3:uid="{DA8E6D54-C2F4-4634-9486-2048CA885B53}" name="SUB_Hmax2" dataDxfId="117"/>
    <tableColumn id="258" xr3:uid="{9BFC9F46-3CE0-495A-BFCA-C3174D0B9ACE}" name="Colonne4" dataDxfId="116"/>
    <tableColumn id="259" xr3:uid="{4D665D36-59BA-44AE-B7F3-A44D875C12AC}" name="SUB_AlimA2" dataDxfId="115"/>
    <tableColumn id="260" xr3:uid="{1861938C-9973-4461-9716-BA9857E5447D}" name="SUB_AlimB2" dataDxfId="114"/>
    <tableColumn id="261" xr3:uid="{4D3071DB-2F16-40A7-BB7B-6DE217DCB22A}" name="SUB_volume2" dataDxfId="113"/>
    <tableColumn id="262" xr3:uid="{CF6E0957-D077-4DAA-9987-D0599DAED749}" name="SUB_irrtime_min2" dataDxfId="112"/>
    <tableColumn id="263" xr3:uid="{353D9E0B-4CAC-480A-9CF1-51CD367BFADB}" name="SUB_irrtime_max2" dataDxfId="111"/>
    <tableColumn id="264" xr3:uid="{2ABD23F8-40C9-462E-A250-1A1EA17A1EB1}" name="SUB_subtime_min2" dataDxfId="110"/>
    <tableColumn id="265" xr3:uid="{3774EC88-4F36-4A33-8305-801BB14695EF}" name="SUB_subtime_max2" dataDxfId="109"/>
    <tableColumn id="266" xr3:uid="{C82B4064-803D-4AAC-B658-4E53EBE75B84}" name="SUB_wipetime_min2" dataDxfId="108"/>
    <tableColumn id="267" xr3:uid="{2C84A9D4-1F97-4199-8F97-0AA1848C3378}" name="SUB_wipetime_max2" dataDxfId="107"/>
    <tableColumn id="268" xr3:uid="{7466DF53-7CC1-4D13-A257-0CD035092BC7}" name="SUB_totaltime_min2" dataDxfId="106"/>
    <tableColumn id="269" xr3:uid="{911F7178-9E42-490F-BF6C-545393CA966F}" name="SUB_totaltime_max2" dataDxfId="105"/>
    <tableColumn id="270" xr3:uid="{A5A1A00A-AC9B-436F-A65C-8EA2ABB06DF4}" name="Colonne5" dataDxfId="104"/>
    <tableColumn id="271" xr3:uid="{C43DBF77-0262-451F-9629-AD6D7CF0745F}" name="IRRIG_gag" dataDxfId="103"/>
    <tableColumn id="272" xr3:uid="{D4801E10-A7EF-4A98-ACBD-8E33971226D2}" name="IRRIG_asper" dataDxfId="102"/>
    <tableColumn id="273" xr3:uid="{F9B9DEE4-CB2A-4A9D-A00A-33E7DE2E9445}" name="IRRIG_date1-1" dataDxfId="101"/>
    <tableColumn id="274" xr3:uid="{44410684-EF10-46A5-9109-529FF3D5A8D1}" name="IRRIG_date1-2" dataDxfId="100"/>
    <tableColumn id="275" xr3:uid="{D352678C-AF4D-464C-BCC5-EB566D570AC2}" name="IRRIG_date1-3" dataDxfId="99"/>
    <tableColumn id="276" xr3:uid="{8B17F6EE-0DC7-458F-B9E8-1D833360B2BD}" name="IRRIG_origin" dataDxfId="98"/>
    <tableColumn id="277" xr3:uid="{50714ADD-809C-4388-AEA8-524C0B073A1C}" name="IRRIG_asa_alim" dataDxfId="97"/>
    <tableColumn id="278" xr3:uid="{39C57121-1614-4820-A47C-5354171D4DEC}" name="IRRIG_util1" dataDxfId="96"/>
    <tableColumn id="279" xr3:uid="{75384082-09C7-4B68-AAE9-8A595A49B9B0}" name="IRRIG_util2" dataDxfId="95"/>
    <tableColumn id="280" xr3:uid="{4C08E72C-17CD-4FF0-9B6D-D70D0BA7B6FA}" name="IRRIG_util3" dataDxfId="94"/>
    <tableColumn id="281" xr3:uid="{A2C96CB4-FCF2-4D31-9E26-8DF7B0F43405}" name="IRRIG_rul1" dataDxfId="93"/>
    <tableColumn id="282" xr3:uid="{E949E2AE-9061-4C49-9026-5E7D9AC298C1}" name="IRRIG_freq" dataDxfId="92"/>
    <tableColumn id="283" xr3:uid="{6CF509D5-44E9-4881-A4D0-738290B70FA3}" name="IRRIG_volume_mm" dataDxfId="91"/>
    <tableColumn id="284" xr3:uid="{46E3DACA-26EF-48EF-8CE3-01A6950C45B1}" name="DRAIN_drain" dataDxfId="90"/>
    <tableColumn id="285" xr3:uid="{B220320F-0348-4504-B812-5386CBCB9209}" name="DRAIN_prof_min" dataDxfId="89"/>
    <tableColumn id="286" xr3:uid="{112A79DC-6B12-4CAD-8E1B-E41750451626}" name="DRAIN_prof_max" dataDxfId="88"/>
    <tableColumn id="287" xr3:uid="{9CAFDE5B-A2C1-4941-9326-DA23CB27AF9E}" name="DRAIN_espace_min"/>
    <tableColumn id="288" xr3:uid="{300C02B7-AA33-4FAE-8A04-E2C67EB380EE}" name="DRAIN_espace_max" dataDxfId="87"/>
    <tableColumn id="289" xr3:uid="{3601F178-4A5D-4C08-AAAF-693DA9A9649C}" name="DRAIN_section" dataDxfId="86"/>
    <tableColumn id="290" xr3:uid="{E541DA96-E77C-402B-9C83-ABA405BE3274}" name="DRAIN_position" dataDxfId="85"/>
    <tableColumn id="291" xr3:uid="{033946DE-127C-473B-BA57-44329175C0D1}" name="DRAIN_etat" dataDxfId="84"/>
    <tableColumn id="292" xr3:uid="{783889C7-7DC8-415F-AA13-9592DF5BDA7C}" name="DRAIN_l_max" dataDxfId="83"/>
    <tableColumn id="293" xr3:uid="{48307638-794A-4E7C-98D3-3FC750943D9C}" name="PREPA_outil1" dataDxfId="82"/>
    <tableColumn id="294" xr3:uid="{9CC6F00A-8D47-477B-AAAA-34D27ACCE806}" name="PREPA_freq1" dataDxfId="81"/>
    <tableColumn id="295" xr3:uid="{EE8A2565-4A6A-4ECB-BF0C-A9A3DCEEE05B}" name="PREPA_prof1" dataDxfId="80"/>
    <tableColumn id="296" xr3:uid="{688B0C6D-47FB-4F9C-89A4-E9449E989BC2}" name="PREPA_outil2" dataDxfId="79"/>
    <tableColumn id="297" xr3:uid="{956D27C2-039F-44C8-9496-D6F4F375ECCA}" name="PREPA_freq2" dataDxfId="78"/>
    <tableColumn id="298" xr3:uid="{B22AB2FC-8477-4E7A-BB18-FF21B974250F}" name="PREPA_prof2" dataDxfId="77"/>
    <tableColumn id="299" xr3:uid="{A11A22E8-EAB2-417F-A022-E077BD2BF057}" name="PREPA_outil3" dataDxfId="76"/>
    <tableColumn id="300" xr3:uid="{80E219BC-E3E9-41D5-AA57-76C310EA0A50}" name="PREPA_freq3" dataDxfId="75"/>
    <tableColumn id="301" xr3:uid="{2CC62597-C15D-4FBF-A8C8-E24DFD8E7121}" name="PREPA_prof3" dataDxfId="74"/>
    <tableColumn id="302" xr3:uid="{669A736F-B286-418E-9A46-6ACFDD53D9A5}" name="PREPA_outil4" dataDxfId="73"/>
    <tableColumn id="303" xr3:uid="{D97A8018-BCD0-4158-9C2E-50C1F1B67A75}" name="PREPA_freq4" dataDxfId="72"/>
    <tableColumn id="304" xr3:uid="{FBE1CD95-7F9A-4FF9-B58D-BFAF07A3C1E9}" name="PREPA_prof4" dataDxfId="71"/>
    <tableColumn id="305" xr3:uid="{CC51C7F5-30BC-4049-8B43-5B7FC1FF3F47}" name="NIVEL_nivel" dataDxfId="70"/>
    <tableColumn id="306" xr3:uid="{8E25501E-21AD-46E2-8868-EE0CC1EFD605}" name="IC_time" dataDxfId="69"/>
    <tableColumn id="307" xr3:uid="{0EE61262-A4BC-463E-9209-179197650571}" name="IC_occup" dataDxfId="68"/>
    <tableColumn id="308" xr3:uid="{782A9D88-6E83-4448-897E-67F9C739163D}" name="IC_util1" dataDxfId="67"/>
    <tableColumn id="309" xr3:uid="{30A25AEB-0B5C-44DB-8E23-4E150E1492D5}" name="ANA_petiole" dataDxfId="66"/>
    <tableColumn id="310" xr3:uid="{F15350F4-70C2-4254-9213-019071D1BBF3}" name="ANA_sol" dataDxfId="65"/>
    <tableColumn id="311" xr3:uid="{E3659676-73BB-4277-A197-1C2539EA3673}" name="ANA_preplant" dataDxfId="64"/>
    <tableColumn id="312" xr3:uid="{1E558BE4-41A1-4697-90A2-6F031D543ADE}" name="ANA_postplant" dataDxfId="63"/>
    <tableColumn id="313" xr3:uid="{E894EA3C-9AC0-4C3F-911C-841133555C25}" name="ANA_SEL" dataDxfId="62"/>
    <tableColumn id="314" xr3:uid="{E7557140-D058-4650-8641-C70AD0E98F52}" name="ANA_util1" dataDxfId="61"/>
    <tableColumn id="315" xr3:uid="{4F33F077-FEE0-485D-983A-0745FA3D60CF}" name="ANA_util2" dataDxfId="60"/>
    <tableColumn id="316" xr3:uid="{D799C6AD-8B4E-4175-BCFE-193747D9F7C4}" name="ANA_rul1" dataDxfId="5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325395-8A68-4409-80F3-9E0302236435}" name="Tableau3" displayName="Tableau3" ref="A1:AJ168" totalsRowShown="0" headerRowDxfId="58" dataDxfId="57">
  <autoFilter ref="A1:AJ168" xr:uid="{946800B9-7880-4557-B35A-D12A10A64CD5}"/>
  <sortState xmlns:xlrd2="http://schemas.microsoft.com/office/spreadsheetml/2017/richdata2" ref="A2:AJ168">
    <sortCondition ref="A1:A168"/>
  </sortState>
  <tableColumns count="36">
    <tableColumn id="1" xr3:uid="{97A786EC-1264-4C07-BEE0-A9EC6B38A798}" name="E_nb" dataDxfId="56"/>
    <tableColumn id="36" xr3:uid="{178E09B9-CD54-4A47-B868-BA48A9DE02D0}" name="Groupe" dataDxfId="55">
      <calculatedColumnFormula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calculatedColumnFormula>
    </tableColumn>
    <tableColumn id="35" xr3:uid="{ED687C1A-92A6-4211-8211-E2BE6D36C764}" name="E-I" dataDxfId="54">
      <calculatedColumnFormula>LEFT(E2,LEN(E2)-2)</calculatedColumnFormula>
    </tableColumn>
    <tableColumn id="2" xr3:uid="{B119FFA4-7E49-48E7-99BF-EBADD9ADD34D}" name="E">
      <calculatedColumnFormula>LEFT(E2,LEN(E2)-4)</calculatedColumnFormula>
    </tableColumn>
    <tableColumn id="3" xr3:uid="{948BF540-0F59-4F06-8CCA-BC57D28C74B7}" name="CODE" dataDxfId="53"/>
    <tableColumn id="4" xr3:uid="{3E4EA08B-EC21-4B3B-A50D-D291BCC04386}" name="area" dataDxfId="52"/>
    <tableColumn id="5" xr3:uid="{330F9A91-8C7B-41BA-A688-DBE7EAA48E0C}" name="cepage" dataDxfId="51"/>
    <tableColumn id="6" xr3:uid="{653D4BA0-E495-4BDD-92D2-841F9A8F0D82}" name="rul1_cep" dataDxfId="50"/>
    <tableColumn id="7" xr3:uid="{80AF9579-545F-4DFA-A906-B26831C5FD65}" name="rul2_cep" dataDxfId="49"/>
    <tableColumn id="8" xr3:uid="{90CB4F9B-53D5-4D2D-ADD2-0E0CEE65A653}" name="rul3_cep" dataDxfId="48"/>
    <tableColumn id="9" xr3:uid="{E00DD710-C50E-477F-9B6E-5D0D262243C8}" name="PG" dataDxfId="47"/>
    <tableColumn id="10" xr3:uid="{4B8CCDB0-B4A3-4B06-A8F0-1567A61ADD06}" name="rul_PG1" dataDxfId="46"/>
    <tableColumn id="11" xr3:uid="{46A2F004-479A-45A9-A72F-C7A1295CB6B2}" name="rul_PG2" dataDxfId="45"/>
    <tableColumn id="12" xr3:uid="{F91E3F4C-4608-447C-9024-0614DFA828D1}" name="age" dataDxfId="44"/>
    <tableColumn id="13" xr3:uid="{2840069A-2E33-4DAA-B3DE-79F06A9CFF66}" name="mode_plant" dataDxfId="43"/>
    <tableColumn id="14" xr3:uid="{C37E39BC-4466-4FC4-9844-27FD92777FCE}" name="rdt_connu" dataDxfId="42"/>
    <tableColumn id="15" xr3:uid="{36A272B9-D229-40FC-B48E-972FB0D75B54}" name="rdt_odj" dataDxfId="41"/>
    <tableColumn id="16" xr3:uid="{DEE509DA-53FA-47CC-B672-9E23DFC35356}" name="perte_rdt" dataDxfId="40" dataCellStyle="Pourcentage">
      <calculatedColumnFormula>(100-(P2*100/Q2))/100</calculatedColumnFormula>
    </tableColumn>
    <tableColumn id="17" xr3:uid="{A74B3CA7-0390-4CF0-99B2-D44406EBA560}" name="cause1" dataDxfId="39"/>
    <tableColumn id="18" xr3:uid="{E21C6E5A-4194-4B9D-BD98-30BF80F7773C}" name="cause2" dataDxfId="38"/>
    <tableColumn id="19" xr3:uid="{64A58D61-9122-48A5-A580-B7AB7C06D0E7}" name="pre_taille" dataDxfId="37"/>
    <tableColumn id="20" xr3:uid="{2E6896F0-BBA5-41EA-B82B-9315F1D3F979}" name="mode_taille" dataDxfId="36"/>
    <tableColumn id="21" xr3:uid="{F07F27ED-19D1-4E43-AD23-24384D55A3A4}" name="rul1_taille" dataDxfId="35"/>
    <tableColumn id="22" xr3:uid="{CDFAA5C6-E47B-4463-A050-97F0369576D1}" name="rul2_taille" dataDxfId="34"/>
    <tableColumn id="23" xr3:uid="{35145545-D0B6-4D3A-8D7F-A0CB0B3E1FE0}" name="ecart_IR" dataDxfId="33"/>
    <tableColumn id="24" xr3:uid="{7DAB8A69-33B5-44EA-8B3E-8E1162E09F70}" name="ecart_IC" dataDxfId="32"/>
    <tableColumn id="25" xr3:uid="{86CD8395-A637-4185-83D3-116DA5AD4B1A}" name="dens" dataDxfId="31">
      <calculatedColumnFormula>(F2*10000)/(Y2*Z2)/F2</calculatedColumnFormula>
    </tableColumn>
    <tableColumn id="26" xr3:uid="{E0AF9702-5A6B-4E3D-B37F-B0E054614C18}" name="orient" dataDxfId="30"/>
    <tableColumn id="27" xr3:uid="{0D250232-E71C-4A34-8489-3EE9F8F2A12C}" name="mode_pali" dataDxfId="29"/>
    <tableColumn id="28" xr3:uid="{56E4815E-1773-4EF2-B15E-4F65638C8A3E}" name="h_port" dataDxfId="28"/>
    <tableColumn id="29" xr3:uid="{8C607EB6-CF53-41BC-B46A-6560361E30FD}" name="h_ecim" dataDxfId="27"/>
    <tableColumn id="30" xr3:uid="{54D641AD-FE73-40EC-A575-E35D0F0BBA3F}" name="H" dataDxfId="26">
      <calculatedColumnFormula>IF(AE2="NA","NA",AE2-AD2)</calculatedColumnFormula>
    </tableColumn>
    <tableColumn id="31" xr3:uid="{29BD7DE9-CB5F-4B92-A145-51EDB1001415}" name="ep" dataDxfId="25">
      <calculatedColumnFormula>IF(OR(V2="CDR",V2="GS"),0.3*(Y2/2),IF(V2="TRP",0.3*(Y2/2),IF(V2="GOB",0.45,IF(V2="non",0.55,"NA"))))</calculatedColumnFormula>
    </tableColumn>
    <tableColumn id="32" xr3:uid="{8F18DB66-6189-4431-BA3A-1A55C94AD7CF}" name="ep_corrig" dataDxfId="24">
      <calculatedColumnFormula>IF(AG2&gt;0.4,AG2-(0.1*AG2*(AG2-0.4)/0.05),AG2)</calculatedColumnFormula>
    </tableColumn>
    <tableColumn id="33" xr3:uid="{03887736-F783-4649-9248-4362842FF30C}" name="T%" dataDxfId="23">
      <calculatedColumnFormula>R2/5</calculatedColumnFormula>
    </tableColumn>
    <tableColumn id="34" xr3:uid="{9F195EA3-8B01-461C-B545-FEC37CB2C875}" name="SECV" dataDxfId="22">
      <calculatedColumnFormula>IF(AF2="NA","NA",(2*AF2+AH2)*(1-AI2)/Y2)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BB6E9A-DD7A-456B-8F36-E9D3211B9107}" name="Tableau4" displayName="Tableau4" ref="A1:O29" totalsRowShown="0">
  <autoFilter ref="A1:O29" xr:uid="{7D9DDAC8-53E5-4ACD-B761-DDDD305587E4}"/>
  <sortState xmlns:xlrd2="http://schemas.microsoft.com/office/spreadsheetml/2017/richdata2" ref="A2:O29">
    <sortCondition ref="A1:A29"/>
  </sortState>
  <tableColumns count="15">
    <tableColumn id="1" xr3:uid="{99600240-16F3-4DEA-9132-F7138E177846}" name="Numéro"/>
    <tableColumn id="2" xr3:uid="{6BC45CAF-5172-4E3F-B703-4F22F5D8F7E8}" name="Exploitation"/>
    <tableColumn id="15" xr3:uid="{743C695E-F955-4DA4-B707-EC6F1544EC72}" name="Groupe"/>
    <tableColumn id="3" xr3:uid="{5559A71B-D4A4-4243-8F5C-C2624E5FC705}" name="Exploitant"/>
    <tableColumn id="4" xr3:uid="{6B40749E-F379-458A-9242-41CE1A28D139}" name="Label"/>
    <tableColumn id="11" xr3:uid="{B04A3D14-E10C-4867-B2FE-C3B2B4B2164E}" name="Statut Cave"/>
    <tableColumn id="5" xr3:uid="{9B3BF347-0343-475E-BDB8-D8676339B343}" name="Cave1"/>
    <tableColumn id="12" xr3:uid="{5E39DBDE-9D0B-4FB2-B9A4-71502F8F40E7}" name="Cave12"/>
    <tableColumn id="6" xr3:uid="{DCECFDE9-71EA-4B02-A24E-3B60E26DE507}" name="Cave2"/>
    <tableColumn id="7" xr3:uid="{323F1084-FAC7-4781-BF29-7BAABA451390}" name="Vinif" dataDxfId="1"/>
    <tableColumn id="10" xr3:uid="{1C7A49A0-22F4-49B7-9568-4F84EA0268CA}" name="Statut ASA" dataDxfId="0"/>
    <tableColumn id="8" xr3:uid="{834D0D14-41F6-43CD-BC8C-96ABA1CFBD8B}" name="ASA1"/>
    <tableColumn id="14" xr3:uid="{2E879D43-B419-4D45-B82B-40EADB536ACC}" name="Statut ASA2"/>
    <tableColumn id="13" xr3:uid="{E8CF1E93-E26E-4435-9285-21E2877E35C2}" name="ASA2"/>
    <tableColumn id="9" xr3:uid="{69FBC777-2D92-48EE-B1D1-C30B09BE84F5}" name="Aut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F51027-7B5B-4DC7-A8B6-8D5E03E2F372}" name="Tableau2" displayName="Tableau2" ref="A9:P54" totalsRowShown="0" headerRowDxfId="21" headerRowBorderDxfId="20" tableBorderDxfId="19" totalsRowBorderDxfId="18">
  <autoFilter ref="A9:P54" xr:uid="{6688FA7F-A81A-4607-A1BB-284DF572C31B}"/>
  <sortState xmlns:xlrd2="http://schemas.microsoft.com/office/spreadsheetml/2017/richdata2" ref="A10:P54">
    <sortCondition ref="B9:B54"/>
  </sortState>
  <tableColumns count="16">
    <tableColumn id="1" xr3:uid="{308100A0-F5F0-4A55-8919-9D61826E8F48}" name="ILOT" dataDxfId="17"/>
    <tableColumn id="16" xr3:uid="{4B69BECF-CEA2-43D2-BB10-7EE631B84E1E}" name="Colonne1" dataDxfId="16"/>
    <tableColumn id="2" xr3:uid="{84F2FA9B-B280-4483-8715-4D524F926E9D}" name="IR_freq" dataDxfId="15">
      <calculatedColumnFormula>IF(îlot!O2&gt;=6,typo!$C$4,IF(AND(îlot!O2&lt;6,îlot!O2&gt;=4),typo!$C$3,IF(AND(îlot!O2&lt;4,îlot!O2&gt;=1),typo!$C$2,typo!$C$5)))</calculatedColumnFormula>
    </tableColumn>
    <tableColumn id="3" xr3:uid="{3CFC5E6F-E090-4291-8059-8FFC603A31EA}" name="IR_superficie" dataDxfId="14">
      <calculatedColumnFormula>IF(îlot!Q2&gt;=0.8,typo!$D$2,IF(AND(îlot!Q2&lt;0.8,îlot!Q2&gt;0.5),typo!$D$3,IF(îlot!Q2&lt;=0.5,typo!$D$4,typo!$D$5)))</calculatedColumnFormula>
    </tableColumn>
    <tableColumn id="4" xr3:uid="{CD29A65B-0C09-479A-B397-B6C1AE601199}" name="IR_depth" dataDxfId="13">
      <calculatedColumnFormula>IF(îlot!R2&gt;=25,typo!$E$3,typo!$E$2)</calculatedColumnFormula>
    </tableColumn>
    <tableColumn id="5" xr3:uid="{12238720-9EEB-4287-A629-C257246E992A}" name="IR_return" dataDxfId="12">
      <calculatedColumnFormula>IF(îlot!S2="charrue",typo!$F$2,typo!$F$3)</calculatedColumnFormula>
    </tableColumn>
    <tableColumn id="6" xr3:uid="{088CDE26-61FC-40C3-AC65-36ED2322E50A}" name="R_Wsol" dataDxfId="11">
      <calculatedColumnFormula>IF(îlot!CN2=0,typo!$G$2,IF(îlot!CN2=3,typo!$G$5,IF(îlot!CN2=2,typo!$G$3,IF(îlot!CN2=1,typo!$G$4,"error"))))</calculatedColumnFormula>
    </tableColumn>
    <tableColumn id="7" xr3:uid="{39CCE8A7-1A19-4C0A-B7F5-D589A07D383D}" name="Herb_IR" dataDxfId="10">
      <calculatedColumnFormula>IF(îlot!EE2="permanent",typo!$H$3,IF(îlot!EE2="semi-permanent",typo!$H$4,IF(îlot!EE2="hivernal",typo!$H$5,typo!$H$2)))</calculatedColumnFormula>
    </tableColumn>
    <tableColumn id="8" xr3:uid="{7F625824-C71B-4C0C-8471-668BDBA428FF}" name="AM_type" dataDxfId="9">
      <calculatedColumnFormula>IF(îlot!EN2=0,typo!$I$5,IF(îlot!EN2=1,typo!$I$2,IF(îlot!EN2=3,typo!$I$3,typo!$I$4)))</calculatedColumnFormula>
    </tableColumn>
    <tableColumn id="9" xr3:uid="{1A793F7F-8548-42D9-956A-8398A0DC301E}" name="ENG_type" dataDxfId="8">
      <calculatedColumnFormula>IF(îlot!FI2=0,typo!$J$5,IF(îlot!FI2=1,typo!$J$2,IF(îlot!FI2=2,typo!$J$3,typo!$J$4)))</calculatedColumnFormula>
    </tableColumn>
    <tableColumn id="10" xr3:uid="{0C4D2B73-92D8-48F6-8B71-AD47B0903608}" name="Ditch_state" dataDxfId="7">
      <calculatedColumnFormula>IF(OR(îlot!GJ2="bon",îlot!GJ2="moyen"),typo!$K$5,IF(îlot!GJ2="mauvais",typo!$K$4,IF(îlot!GJ2="tres_mauvais",typo!$K$3,typo!$K$2)))</calculatedColumnFormula>
    </tableColumn>
    <tableColumn id="11" xr3:uid="{6B97C799-CB6B-475C-B62C-9DA71F348E5E}" name="Sub_origin" dataDxfId="6">
      <calculatedColumnFormula>IF(îlot!IA2="drain",typo!$L$2,IF(îlot!IA2="surface",typo!$L$3,typo!$L$4))</calculatedColumnFormula>
    </tableColumn>
    <tableColumn id="12" xr3:uid="{59B83A91-30C0-4CA3-BD45-5CFF808C8680}" name="Sub_cumul_mm" dataDxfId="5">
      <calculatedColumnFormula>IF(AND(îlot!HG2&lt;=200,îlot!HG2&gt;0),typo!$M$4,IF(AND(îlot!HG2&gt;200,îlot!HG2&lt;=400),typo!$M$3,IF(îlot!HG2&gt;400,typo!$M$2,typo!$M$5)))</calculatedColumnFormula>
    </tableColumn>
    <tableColumn id="13" xr3:uid="{2DC7FACA-18CD-4363-A278-0A232329CC8B}" name="Drain" dataDxfId="4">
      <calculatedColumnFormula>IF(îlot!JZ2="oui",typo!$N$2,typo!$N$3)</calculatedColumnFormula>
    </tableColumn>
    <tableColumn id="14" xr3:uid="{CC4C14C8-17B2-464C-B75C-9DE988F1FE35}" name="other_irrig" dataDxfId="3">
      <calculatedColumnFormula>IF(îlot!JL2=0,typo!$O$3,typo!$O$2)</calculatedColumnFormula>
    </tableColumn>
    <tableColumn id="15" xr3:uid="{735E53DB-159F-4BC5-A5C9-1513D6B06A7E}" name="prepa_sol" dataDxfId="2">
      <calculatedColumnFormula>IF(OR(îlot!KI2="charrue",îlot!KL2="charrue",îlot!KO2="charrue",îlot!KR2="charrue"),typo!$P$2,typo!$P$3)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1C6E-4FF7-4FE5-9A0F-14302C5CC12E}">
  <dimension ref="A1:LK58"/>
  <sheetViews>
    <sheetView tabSelected="1" zoomScale="70" zoomScaleNormal="70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A16" sqref="A16"/>
    </sheetView>
  </sheetViews>
  <sheetFormatPr baseColWidth="10" defaultRowHeight="14.4" x14ac:dyDescent="0.3"/>
  <cols>
    <col min="1" max="2" width="11.88671875" customWidth="1"/>
    <col min="3" max="4" width="22.33203125" customWidth="1"/>
    <col min="5" max="6" width="12.6640625" customWidth="1"/>
    <col min="7" max="7" width="11.5546875" customWidth="1"/>
    <col min="9" max="9" width="21" customWidth="1"/>
    <col min="10" max="10" width="13.6640625" customWidth="1"/>
    <col min="12" max="12" width="12.33203125" customWidth="1"/>
    <col min="13" max="13" width="13.6640625" customWidth="1"/>
    <col min="14" max="14" width="12.5546875" customWidth="1"/>
    <col min="15" max="16" width="12.88671875" style="163" customWidth="1"/>
    <col min="17" max="17" width="11.5546875" style="163"/>
    <col min="18" max="18" width="12.88671875" style="163" customWidth="1"/>
    <col min="19" max="19" width="18.6640625" customWidth="1"/>
    <col min="20" max="20" width="11.5546875" style="2"/>
    <col min="21" max="21" width="14.5546875" style="2" customWidth="1"/>
    <col min="22" max="22" width="14.88671875" style="2" customWidth="1"/>
    <col min="23" max="23" width="11.5546875" style="2"/>
    <col min="24" max="28" width="12.33203125" customWidth="1"/>
    <col min="29" max="29" width="15.44140625" bestFit="1" customWidth="1"/>
    <col min="36" max="36" width="16.88671875" bestFit="1" customWidth="1"/>
    <col min="37" max="37" width="11.5546875" style="2"/>
    <col min="38" max="38" width="14.5546875" style="2" customWidth="1"/>
    <col min="39" max="39" width="14.88671875" style="2" customWidth="1"/>
    <col min="41" max="45" width="12.33203125" customWidth="1"/>
    <col min="46" max="46" width="13.44140625" customWidth="1"/>
    <col min="51" max="51" width="16.6640625" bestFit="1" customWidth="1"/>
    <col min="52" max="52" width="11.5546875" style="2"/>
    <col min="53" max="53" width="14.5546875" style="2" customWidth="1"/>
    <col min="54" max="54" width="14.88671875" style="2" customWidth="1"/>
    <col min="55" max="55" width="11.5546875" style="2"/>
    <col min="56" max="60" width="12.33203125" customWidth="1"/>
    <col min="61" max="61" width="13.6640625" customWidth="1"/>
    <col min="66" max="66" width="16.6640625" bestFit="1" customWidth="1"/>
    <col min="68" max="68" width="14.5546875" customWidth="1"/>
    <col min="69" max="69" width="14.88671875" customWidth="1"/>
    <col min="71" max="75" width="12.33203125" customWidth="1"/>
    <col min="76" max="76" width="13.44140625" customWidth="1"/>
    <col min="77" max="77" width="13.109375" customWidth="1"/>
    <col min="78" max="78" width="14.33203125" customWidth="1"/>
    <col min="81" max="81" width="16.6640625" bestFit="1" customWidth="1"/>
    <col min="83" max="83" width="14.5546875" customWidth="1"/>
    <col min="84" max="84" width="14.88671875" customWidth="1"/>
    <col min="86" max="88" width="12.33203125" customWidth="1"/>
    <col min="92" max="93" width="11.5546875" style="168"/>
    <col min="96" max="96" width="14.109375" customWidth="1"/>
    <col min="97" max="97" width="14.44140625" customWidth="1"/>
    <col min="99" max="99" width="16" customWidth="1"/>
    <col min="100" max="104" width="11.88671875" customWidth="1"/>
    <col min="108" max="108" width="14.33203125" customWidth="1"/>
    <col min="110" max="110" width="14.109375" customWidth="1"/>
    <col min="111" max="111" width="14.44140625" customWidth="1"/>
    <col min="113" max="116" width="11.88671875" customWidth="1"/>
    <col min="120" max="120" width="12.109375" customWidth="1"/>
    <col min="121" max="121" width="13.44140625" style="2" customWidth="1"/>
    <col min="122" max="122" width="15.6640625" customWidth="1"/>
    <col min="123" max="123" width="16" customWidth="1"/>
    <col min="124" max="124" width="18.5546875" customWidth="1"/>
    <col min="125" max="125" width="13.33203125" customWidth="1"/>
    <col min="126" max="126" width="13.6640625" customWidth="1"/>
    <col min="127" max="127" width="16" customWidth="1"/>
    <col min="128" max="129" width="20.33203125" customWidth="1"/>
    <col min="130" max="131" width="15.109375" customWidth="1"/>
    <col min="132" max="133" width="15.44140625" customWidth="1"/>
    <col min="134" max="134" width="11.88671875" customWidth="1"/>
    <col min="135" max="135" width="19" customWidth="1"/>
    <col min="136" max="136" width="15.44140625" customWidth="1"/>
    <col min="137" max="137" width="13.6640625" style="2" customWidth="1"/>
    <col min="138" max="138" width="13.44140625" customWidth="1"/>
    <col min="139" max="139" width="15.44140625" customWidth="1"/>
    <col min="140" max="140" width="13.6640625" customWidth="1"/>
    <col min="141" max="143" width="12.33203125" customWidth="1"/>
    <col min="145" max="145" width="12.109375" customWidth="1"/>
    <col min="146" max="146" width="14" customWidth="1"/>
    <col min="147" max="147" width="12.109375" customWidth="1"/>
    <col min="148" max="148" width="13.33203125" customWidth="1"/>
    <col min="149" max="149" width="11.6640625" customWidth="1"/>
    <col min="150" max="150" width="12.33203125" customWidth="1"/>
    <col min="151" max="151" width="12.109375" customWidth="1"/>
    <col min="152" max="152" width="11.88671875" customWidth="1"/>
    <col min="153" max="154" width="12.6640625" customWidth="1"/>
    <col min="155" max="155" width="12.33203125" customWidth="1"/>
    <col min="156" max="156" width="12.109375" customWidth="1"/>
    <col min="157" max="157" width="14" customWidth="1"/>
    <col min="158" max="158" width="12.109375" customWidth="1"/>
    <col min="159" max="159" width="13.33203125" customWidth="1"/>
    <col min="160" max="160" width="11.6640625" customWidth="1"/>
    <col min="161" max="161" width="12.33203125" customWidth="1"/>
    <col min="162" max="162" width="12.109375" customWidth="1"/>
    <col min="163" max="163" width="12.6640625" customWidth="1"/>
    <col min="164" max="164" width="12.33203125" customWidth="1"/>
    <col min="166" max="166" width="18.33203125" customWidth="1"/>
    <col min="167" max="167" width="13.33203125" customWidth="1"/>
    <col min="168" max="168" width="14.5546875" customWidth="1"/>
    <col min="169" max="169" width="14.33203125" customWidth="1"/>
    <col min="170" max="170" width="14" customWidth="1"/>
    <col min="171" max="171" width="12.33203125" customWidth="1"/>
    <col min="172" max="172" width="12.88671875" customWidth="1"/>
    <col min="173" max="173" width="12.6640625" customWidth="1"/>
    <col min="174" max="176" width="13.33203125" customWidth="1"/>
    <col min="177" max="178" width="12.88671875" customWidth="1"/>
    <col min="179" max="179" width="18.44140625" customWidth="1"/>
    <col min="180" max="180" width="14.5546875" style="29" customWidth="1"/>
    <col min="181" max="181" width="16.6640625" customWidth="1"/>
    <col min="182" max="182" width="14" customWidth="1"/>
    <col min="183" max="183" width="12.33203125" customWidth="1"/>
    <col min="184" max="184" width="12.88671875" customWidth="1"/>
    <col min="185" max="185" width="12.6640625" customWidth="1"/>
    <col min="186" max="186" width="13.33203125" customWidth="1"/>
    <col min="187" max="188" width="12.88671875" customWidth="1"/>
    <col min="189" max="189" width="11.6640625" customWidth="1"/>
    <col min="190" max="190" width="15.33203125" customWidth="1"/>
    <col min="191" max="191" width="15.5546875" customWidth="1"/>
    <col min="192" max="192" width="13.44140625" customWidth="1"/>
    <col min="194" max="195" width="11.5546875" style="2"/>
    <col min="198" max="198" width="12.33203125" customWidth="1"/>
    <col min="199" max="199" width="12.109375" customWidth="1"/>
    <col min="200" max="202" width="14.109375" customWidth="1"/>
    <col min="203" max="203" width="12.33203125" customWidth="1"/>
    <col min="204" max="204" width="12.109375" customWidth="1"/>
    <col min="205" max="206" width="14.109375" customWidth="1"/>
    <col min="207" max="207" width="13.6640625" customWidth="1"/>
    <col min="208" max="208" width="12.109375" customWidth="1"/>
    <col min="209" max="210" width="14.109375" customWidth="1"/>
    <col min="211" max="211" width="12.5546875" customWidth="1"/>
    <col min="212" max="212" width="14.88671875" customWidth="1"/>
    <col min="213" max="213" width="12.5546875" customWidth="1"/>
    <col min="217" max="217" width="12.109375" customWidth="1"/>
    <col min="218" max="222" width="14.109375" customWidth="1"/>
    <col min="223" max="223" width="13.33203125" customWidth="1"/>
    <col min="224" max="224" width="15.6640625" customWidth="1"/>
    <col min="225" max="225" width="12.5546875" customWidth="1"/>
    <col min="226" max="226" width="13.109375" customWidth="1"/>
    <col min="227" max="227" width="12.6640625" customWidth="1"/>
    <col min="228" max="228" width="12.5546875" customWidth="1"/>
    <col min="229" max="229" width="12.5546875" style="2" customWidth="1"/>
    <col min="230" max="230" width="12.5546875" customWidth="1"/>
    <col min="231" max="231" width="13" customWidth="1"/>
    <col min="232" max="232" width="13.33203125" style="2" customWidth="1"/>
    <col min="234" max="234" width="13.6640625" customWidth="1"/>
    <col min="235" max="235" width="13.44140625" style="1" customWidth="1"/>
    <col min="236" max="236" width="14.88671875" customWidth="1"/>
    <col min="237" max="237" width="17.6640625" customWidth="1"/>
    <col min="238" max="238" width="18.109375" customWidth="1"/>
    <col min="239" max="239" width="18.6640625" customWidth="1"/>
    <col min="240" max="240" width="19" customWidth="1"/>
    <col min="241" max="241" width="20" customWidth="1"/>
    <col min="242" max="242" width="20.33203125" customWidth="1"/>
    <col min="243" max="243" width="19.88671875" customWidth="1"/>
    <col min="244" max="244" width="20.109375" customWidth="1"/>
    <col min="245" max="245" width="12.109375" customWidth="1"/>
    <col min="246" max="249" width="14.109375" customWidth="1"/>
    <col min="250" max="250" width="13.33203125" customWidth="1"/>
    <col min="251" max="251" width="15.6640625" customWidth="1"/>
    <col min="252" max="254" width="13" customWidth="1"/>
    <col min="255" max="257" width="12.5546875" customWidth="1"/>
    <col min="258" max="258" width="13" style="2" customWidth="1"/>
    <col min="259" max="259" width="13.33203125" style="2" customWidth="1"/>
    <col min="260" max="260" width="11.5546875" style="2"/>
    <col min="261" max="261" width="13.6640625" customWidth="1"/>
    <col min="262" max="262" width="13.44140625" customWidth="1"/>
    <col min="263" max="263" width="14.88671875" customWidth="1"/>
    <col min="264" max="264" width="18.88671875" customWidth="1"/>
    <col min="265" max="265" width="19.33203125" customWidth="1"/>
    <col min="266" max="266" width="19.88671875" customWidth="1"/>
    <col min="267" max="267" width="20.109375" customWidth="1"/>
    <col min="268" max="268" width="21.109375" customWidth="1"/>
    <col min="269" max="269" width="21.44140625" customWidth="1"/>
    <col min="270" max="270" width="21" customWidth="1"/>
    <col min="271" max="271" width="21.33203125" customWidth="1"/>
    <col min="274" max="274" width="13.33203125" customWidth="1"/>
    <col min="275" max="277" width="15.33203125" customWidth="1"/>
    <col min="278" max="278" width="13.33203125" customWidth="1"/>
    <col min="279" max="279" width="15.6640625" customWidth="1"/>
    <col min="280" max="280" width="13.6640625" customWidth="1"/>
    <col min="281" max="282" width="12.33203125" customWidth="1"/>
    <col min="283" max="283" width="11.88671875" customWidth="1"/>
    <col min="284" max="284" width="12.109375" customWidth="1"/>
    <col min="285" max="285" width="19.33203125" customWidth="1"/>
    <col min="286" max="286" width="14" customWidth="1"/>
    <col min="287" max="287" width="17.44140625" customWidth="1"/>
    <col min="288" max="288" width="17.6640625" customWidth="1"/>
    <col min="289" max="289" width="19.6640625" customWidth="1"/>
    <col min="290" max="290" width="20" customWidth="1"/>
    <col min="291" max="291" width="15.6640625" customWidth="1"/>
    <col min="292" max="292" width="16.5546875" customWidth="1"/>
    <col min="293" max="293" width="13.33203125" customWidth="1"/>
    <col min="294" max="294" width="14.5546875" customWidth="1"/>
    <col min="295" max="295" width="18" customWidth="1"/>
    <col min="296" max="297" width="14.33203125" customWidth="1"/>
    <col min="298" max="298" width="17.6640625" customWidth="1"/>
    <col min="299" max="300" width="14.33203125" customWidth="1"/>
    <col min="301" max="301" width="14.5546875" customWidth="1"/>
    <col min="302" max="303" width="14.33203125" customWidth="1"/>
    <col min="304" max="304" width="14.5546875" customWidth="1"/>
    <col min="305" max="306" width="14.33203125" customWidth="1"/>
    <col min="307" max="307" width="13.33203125" customWidth="1"/>
    <col min="308" max="308" width="11.5546875" style="2"/>
    <col min="311" max="311" width="14.109375" customWidth="1"/>
    <col min="313" max="313" width="15.44140625" customWidth="1"/>
    <col min="314" max="314" width="16.33203125" customWidth="1"/>
    <col min="316" max="317" width="11.88671875" customWidth="1"/>
    <col min="319" max="319" width="12.5546875" customWidth="1"/>
  </cols>
  <sheetData>
    <row r="1" spans="1:323" s="181" customFormat="1" x14ac:dyDescent="0.3">
      <c r="A1" s="181" t="s">
        <v>820</v>
      </c>
      <c r="B1" s="181" t="s">
        <v>1073</v>
      </c>
      <c r="C1" s="182" t="s">
        <v>529</v>
      </c>
      <c r="D1" s="182" t="s">
        <v>821</v>
      </c>
      <c r="E1" s="182" t="s">
        <v>519</v>
      </c>
      <c r="F1" s="182" t="s">
        <v>520</v>
      </c>
      <c r="G1" s="182" t="s">
        <v>530</v>
      </c>
      <c r="H1" s="182" t="s">
        <v>1062</v>
      </c>
      <c r="I1" s="182" t="s">
        <v>526</v>
      </c>
      <c r="J1" s="182" t="s">
        <v>531</v>
      </c>
      <c r="K1" s="182" t="s">
        <v>527</v>
      </c>
      <c r="L1" s="182" t="s">
        <v>528</v>
      </c>
      <c r="M1" s="182" t="s">
        <v>532</v>
      </c>
      <c r="N1" s="182" t="s">
        <v>533</v>
      </c>
      <c r="O1" s="183" t="s">
        <v>883</v>
      </c>
      <c r="P1" s="183" t="s">
        <v>904</v>
      </c>
      <c r="Q1" s="183" t="s">
        <v>886</v>
      </c>
      <c r="R1" s="183" t="s">
        <v>887</v>
      </c>
      <c r="S1" s="182" t="s">
        <v>534</v>
      </c>
      <c r="T1" s="184" t="s">
        <v>521</v>
      </c>
      <c r="U1" s="182" t="s">
        <v>535</v>
      </c>
      <c r="V1" s="182" t="s">
        <v>536</v>
      </c>
      <c r="W1" s="182" t="s">
        <v>522</v>
      </c>
      <c r="X1" s="182" t="s">
        <v>523</v>
      </c>
      <c r="Y1" s="182" t="s">
        <v>537</v>
      </c>
      <c r="Z1" s="182" t="s">
        <v>538</v>
      </c>
      <c r="AA1" s="182" t="s">
        <v>539</v>
      </c>
      <c r="AB1" s="182" t="s">
        <v>540</v>
      </c>
      <c r="AC1" s="182" t="s">
        <v>541</v>
      </c>
      <c r="AD1" s="182" t="s">
        <v>542</v>
      </c>
      <c r="AE1" s="182" t="s">
        <v>543</v>
      </c>
      <c r="AF1" s="182" t="s">
        <v>544</v>
      </c>
      <c r="AG1" s="182" t="s">
        <v>545</v>
      </c>
      <c r="AH1" s="182" t="s">
        <v>546</v>
      </c>
      <c r="AI1" s="182" t="s">
        <v>547</v>
      </c>
      <c r="AJ1" s="182" t="s">
        <v>548</v>
      </c>
      <c r="AK1" s="182" t="s">
        <v>524</v>
      </c>
      <c r="AL1" s="182" t="s">
        <v>525</v>
      </c>
      <c r="AM1" s="182" t="s">
        <v>549</v>
      </c>
      <c r="AN1" s="182" t="s">
        <v>550</v>
      </c>
      <c r="AO1" s="182" t="s">
        <v>551</v>
      </c>
      <c r="AP1" s="182" t="s">
        <v>552</v>
      </c>
      <c r="AQ1" s="182" t="s">
        <v>553</v>
      </c>
      <c r="AR1" s="182" t="s">
        <v>554</v>
      </c>
      <c r="AS1" s="182" t="s">
        <v>555</v>
      </c>
      <c r="AT1" s="182" t="s">
        <v>556</v>
      </c>
      <c r="AU1" s="182" t="s">
        <v>557</v>
      </c>
      <c r="AV1" s="182" t="s">
        <v>558</v>
      </c>
      <c r="AW1" s="182" t="s">
        <v>559</v>
      </c>
      <c r="AX1" s="182" t="s">
        <v>560</v>
      </c>
      <c r="AY1" s="182" t="s">
        <v>561</v>
      </c>
      <c r="AZ1" s="182" t="s">
        <v>562</v>
      </c>
      <c r="BA1" s="184" t="s">
        <v>563</v>
      </c>
      <c r="BB1" s="184" t="s">
        <v>564</v>
      </c>
      <c r="BC1" s="184" t="s">
        <v>565</v>
      </c>
      <c r="BD1" s="182" t="s">
        <v>566</v>
      </c>
      <c r="BE1" s="182" t="s">
        <v>567</v>
      </c>
      <c r="BF1" s="182" t="s">
        <v>568</v>
      </c>
      <c r="BG1" s="182" t="s">
        <v>569</v>
      </c>
      <c r="BH1" s="182" t="s">
        <v>570</v>
      </c>
      <c r="BI1" s="182" t="s">
        <v>571</v>
      </c>
      <c r="BJ1" s="182" t="s">
        <v>572</v>
      </c>
      <c r="BK1" s="182" t="s">
        <v>573</v>
      </c>
      <c r="BL1" s="182" t="s">
        <v>574</v>
      </c>
      <c r="BM1" s="182" t="s">
        <v>575</v>
      </c>
      <c r="BN1" s="182" t="s">
        <v>576</v>
      </c>
      <c r="BO1" s="182" t="s">
        <v>577</v>
      </c>
      <c r="BP1" s="182" t="s">
        <v>578</v>
      </c>
      <c r="BQ1" s="182" t="s">
        <v>579</v>
      </c>
      <c r="BR1" s="182" t="s">
        <v>580</v>
      </c>
      <c r="BS1" s="182" t="s">
        <v>581</v>
      </c>
      <c r="BT1" s="182" t="s">
        <v>582</v>
      </c>
      <c r="BU1" s="182" t="s">
        <v>583</v>
      </c>
      <c r="BV1" s="182" t="s">
        <v>584</v>
      </c>
      <c r="BW1" s="182" t="s">
        <v>585</v>
      </c>
      <c r="BX1" s="182" t="s">
        <v>586</v>
      </c>
      <c r="BY1" s="182" t="s">
        <v>587</v>
      </c>
      <c r="BZ1" s="182" t="s">
        <v>588</v>
      </c>
      <c r="CA1" s="182" t="s">
        <v>589</v>
      </c>
      <c r="CB1" s="182" t="s">
        <v>590</v>
      </c>
      <c r="CC1" s="182" t="s">
        <v>591</v>
      </c>
      <c r="CD1" s="182" t="s">
        <v>592</v>
      </c>
      <c r="CE1" s="182" t="s">
        <v>593</v>
      </c>
      <c r="CF1" s="182" t="s">
        <v>594</v>
      </c>
      <c r="CG1" s="182" t="s">
        <v>595</v>
      </c>
      <c r="CH1" s="182" t="s">
        <v>596</v>
      </c>
      <c r="CI1" s="182" t="s">
        <v>597</v>
      </c>
      <c r="CJ1" s="182" t="s">
        <v>598</v>
      </c>
      <c r="CK1" s="182" t="s">
        <v>599</v>
      </c>
      <c r="CL1" s="182" t="s">
        <v>600</v>
      </c>
      <c r="CM1" s="182" t="s">
        <v>601</v>
      </c>
      <c r="CN1" s="185" t="s">
        <v>499</v>
      </c>
      <c r="CO1" s="185" t="s">
        <v>899</v>
      </c>
      <c r="CP1" s="182" t="s">
        <v>602</v>
      </c>
      <c r="CQ1" s="182" t="s">
        <v>603</v>
      </c>
      <c r="CR1" s="182" t="s">
        <v>604</v>
      </c>
      <c r="CS1" s="182" t="s">
        <v>605</v>
      </c>
      <c r="CT1" s="182" t="s">
        <v>606</v>
      </c>
      <c r="CU1" s="182" t="s">
        <v>607</v>
      </c>
      <c r="CV1" s="182" t="s">
        <v>608</v>
      </c>
      <c r="CW1" s="182" t="s">
        <v>609</v>
      </c>
      <c r="CX1" s="182" t="s">
        <v>610</v>
      </c>
      <c r="CY1" s="182" t="s">
        <v>611</v>
      </c>
      <c r="CZ1" s="182" t="s">
        <v>612</v>
      </c>
      <c r="DA1" s="182" t="s">
        <v>613</v>
      </c>
      <c r="DB1" s="182" t="s">
        <v>614</v>
      </c>
      <c r="DC1" s="182" t="s">
        <v>615</v>
      </c>
      <c r="DD1" s="182" t="s">
        <v>616</v>
      </c>
      <c r="DE1" s="182" t="s">
        <v>617</v>
      </c>
      <c r="DF1" s="182" t="s">
        <v>618</v>
      </c>
      <c r="DG1" s="182" t="s">
        <v>619</v>
      </c>
      <c r="DH1" s="182" t="s">
        <v>620</v>
      </c>
      <c r="DI1" s="182" t="s">
        <v>621</v>
      </c>
      <c r="DJ1" s="182" t="s">
        <v>622</v>
      </c>
      <c r="DK1" s="182" t="s">
        <v>623</v>
      </c>
      <c r="DL1" s="182" t="s">
        <v>624</v>
      </c>
      <c r="DM1" s="182" t="s">
        <v>625</v>
      </c>
      <c r="DN1" s="182" t="s">
        <v>626</v>
      </c>
      <c r="DO1" s="186" t="s">
        <v>900</v>
      </c>
      <c r="DP1" s="182" t="s">
        <v>627</v>
      </c>
      <c r="DQ1" s="182" t="s">
        <v>628</v>
      </c>
      <c r="DR1" s="182" t="s">
        <v>629</v>
      </c>
      <c r="DS1" s="182" t="s">
        <v>630</v>
      </c>
      <c r="DT1" s="182" t="s">
        <v>631</v>
      </c>
      <c r="DU1" s="182" t="s">
        <v>632</v>
      </c>
      <c r="DV1" s="182" t="s">
        <v>633</v>
      </c>
      <c r="DW1" s="182" t="s">
        <v>634</v>
      </c>
      <c r="DX1" s="182" t="s">
        <v>635</v>
      </c>
      <c r="DY1" s="182" t="s">
        <v>636</v>
      </c>
      <c r="DZ1" s="182" t="s">
        <v>637</v>
      </c>
      <c r="EA1" s="182" t="s">
        <v>638</v>
      </c>
      <c r="EB1" s="182" t="s">
        <v>639</v>
      </c>
      <c r="EC1" s="182" t="s">
        <v>640</v>
      </c>
      <c r="ED1" s="182" t="s">
        <v>641</v>
      </c>
      <c r="EE1" s="182" t="s">
        <v>642</v>
      </c>
      <c r="EF1" s="182" t="s">
        <v>643</v>
      </c>
      <c r="EG1" s="184" t="s">
        <v>644</v>
      </c>
      <c r="EH1" s="182" t="s">
        <v>645</v>
      </c>
      <c r="EI1" s="182" t="s">
        <v>646</v>
      </c>
      <c r="EJ1" s="182" t="s">
        <v>647</v>
      </c>
      <c r="EK1" s="182" t="s">
        <v>648</v>
      </c>
      <c r="EL1" s="182" t="s">
        <v>649</v>
      </c>
      <c r="EM1" s="182" t="s">
        <v>650</v>
      </c>
      <c r="EN1" s="186" t="s">
        <v>890</v>
      </c>
      <c r="EO1" s="182" t="s">
        <v>651</v>
      </c>
      <c r="EP1" s="182" t="s">
        <v>652</v>
      </c>
      <c r="EQ1" s="182" t="s">
        <v>653</v>
      </c>
      <c r="ER1" s="182" t="s">
        <v>654</v>
      </c>
      <c r="ES1" s="182" t="s">
        <v>655</v>
      </c>
      <c r="ET1" s="182" t="s">
        <v>656</v>
      </c>
      <c r="EU1" s="182" t="s">
        <v>657</v>
      </c>
      <c r="EV1" s="182" t="s">
        <v>658</v>
      </c>
      <c r="EW1" s="182" t="s">
        <v>659</v>
      </c>
      <c r="EX1" s="182" t="s">
        <v>660</v>
      </c>
      <c r="EY1" s="182" t="s">
        <v>661</v>
      </c>
      <c r="EZ1" s="182" t="s">
        <v>662</v>
      </c>
      <c r="FA1" s="182" t="s">
        <v>663</v>
      </c>
      <c r="FB1" s="182" t="s">
        <v>664</v>
      </c>
      <c r="FC1" s="182" t="s">
        <v>665</v>
      </c>
      <c r="FD1" s="182" t="s">
        <v>666</v>
      </c>
      <c r="FE1" s="182" t="s">
        <v>667</v>
      </c>
      <c r="FF1" s="182" t="s">
        <v>668</v>
      </c>
      <c r="FG1" s="182" t="s">
        <v>669</v>
      </c>
      <c r="FH1" s="182" t="s">
        <v>670</v>
      </c>
      <c r="FI1" s="185" t="s">
        <v>891</v>
      </c>
      <c r="FJ1" s="182" t="s">
        <v>671</v>
      </c>
      <c r="FK1" s="182" t="s">
        <v>672</v>
      </c>
      <c r="FL1" s="182" t="s">
        <v>673</v>
      </c>
      <c r="FM1" s="182" t="s">
        <v>674</v>
      </c>
      <c r="FN1" s="182" t="s">
        <v>675</v>
      </c>
      <c r="FO1" s="182" t="s">
        <v>676</v>
      </c>
      <c r="FP1" s="182" t="s">
        <v>677</v>
      </c>
      <c r="FQ1" s="182" t="s">
        <v>678</v>
      </c>
      <c r="FR1" s="182" t="s">
        <v>679</v>
      </c>
      <c r="FS1" s="182" t="s">
        <v>680</v>
      </c>
      <c r="FT1" s="182" t="s">
        <v>681</v>
      </c>
      <c r="FU1" s="182" t="s">
        <v>682</v>
      </c>
      <c r="FV1" s="182" t="s">
        <v>683</v>
      </c>
      <c r="FW1" s="182" t="s">
        <v>684</v>
      </c>
      <c r="FX1" s="182" t="s">
        <v>685</v>
      </c>
      <c r="FY1" s="182" t="s">
        <v>686</v>
      </c>
      <c r="FZ1" s="182" t="s">
        <v>687</v>
      </c>
      <c r="GA1" s="182" t="s">
        <v>688</v>
      </c>
      <c r="GB1" s="182" t="s">
        <v>689</v>
      </c>
      <c r="GC1" s="182" t="s">
        <v>690</v>
      </c>
      <c r="GD1" s="182" t="s">
        <v>691</v>
      </c>
      <c r="GE1" s="182" t="s">
        <v>692</v>
      </c>
      <c r="GF1" s="182" t="s">
        <v>693</v>
      </c>
      <c r="GG1" s="182" t="s">
        <v>694</v>
      </c>
      <c r="GH1" s="182" t="s">
        <v>695</v>
      </c>
      <c r="GI1" s="182" t="s">
        <v>696</v>
      </c>
      <c r="GJ1" s="182" t="s">
        <v>697</v>
      </c>
      <c r="GK1" s="182" t="s">
        <v>698</v>
      </c>
      <c r="GL1" s="182" t="s">
        <v>699</v>
      </c>
      <c r="GM1" s="182" t="s">
        <v>700</v>
      </c>
      <c r="GN1" s="182" t="s">
        <v>701</v>
      </c>
      <c r="GO1" s="182" t="s">
        <v>702</v>
      </c>
      <c r="GP1" s="182" t="s">
        <v>703</v>
      </c>
      <c r="GQ1" s="182" t="s">
        <v>704</v>
      </c>
      <c r="GR1" s="182" t="s">
        <v>705</v>
      </c>
      <c r="GS1" s="182" t="s">
        <v>706</v>
      </c>
      <c r="GT1" s="182" t="s">
        <v>707</v>
      </c>
      <c r="GU1" s="182" t="s">
        <v>708</v>
      </c>
      <c r="GV1" s="182" t="s">
        <v>709</v>
      </c>
      <c r="GW1" s="182" t="s">
        <v>710</v>
      </c>
      <c r="GX1" s="182" t="s">
        <v>711</v>
      </c>
      <c r="GY1" s="182" t="s">
        <v>712</v>
      </c>
      <c r="GZ1" s="182" t="s">
        <v>713</v>
      </c>
      <c r="HA1" s="182" t="s">
        <v>714</v>
      </c>
      <c r="HB1" s="182" t="s">
        <v>715</v>
      </c>
      <c r="HC1" s="182" t="s">
        <v>716</v>
      </c>
      <c r="HD1" s="182" t="s">
        <v>717</v>
      </c>
      <c r="HE1" s="182" t="s">
        <v>718</v>
      </c>
      <c r="HF1" s="186" t="s">
        <v>901</v>
      </c>
      <c r="HG1" s="185" t="s">
        <v>893</v>
      </c>
      <c r="HH1" s="182" t="s">
        <v>719</v>
      </c>
      <c r="HI1" s="182" t="s">
        <v>720</v>
      </c>
      <c r="HJ1" s="182" t="s">
        <v>721</v>
      </c>
      <c r="HK1" s="182" t="s">
        <v>722</v>
      </c>
      <c r="HL1" s="182" t="s">
        <v>723</v>
      </c>
      <c r="HM1" s="182" t="s">
        <v>724</v>
      </c>
      <c r="HN1" s="182" t="s">
        <v>725</v>
      </c>
      <c r="HO1" s="182" t="s">
        <v>726</v>
      </c>
      <c r="HP1" s="182" t="s">
        <v>727</v>
      </c>
      <c r="HQ1" s="182" t="s">
        <v>728</v>
      </c>
      <c r="HR1" s="182" t="s">
        <v>729</v>
      </c>
      <c r="HS1" s="182" t="s">
        <v>730</v>
      </c>
      <c r="HT1" s="182" t="s">
        <v>731</v>
      </c>
      <c r="HU1" s="182" t="s">
        <v>732</v>
      </c>
      <c r="HV1" s="182" t="s">
        <v>733</v>
      </c>
      <c r="HW1" s="182" t="s">
        <v>734</v>
      </c>
      <c r="HX1" s="182" t="s">
        <v>735</v>
      </c>
      <c r="HY1" s="182" t="s">
        <v>736</v>
      </c>
      <c r="HZ1" s="182" t="s">
        <v>737</v>
      </c>
      <c r="IA1" s="182" t="s">
        <v>738</v>
      </c>
      <c r="IB1" s="182" t="s">
        <v>739</v>
      </c>
      <c r="IC1" s="182" t="s">
        <v>740</v>
      </c>
      <c r="ID1" s="182" t="s">
        <v>741</v>
      </c>
      <c r="IE1" s="182" t="s">
        <v>742</v>
      </c>
      <c r="IF1" s="182" t="s">
        <v>743</v>
      </c>
      <c r="IG1" s="182" t="s">
        <v>744</v>
      </c>
      <c r="IH1" s="182" t="s">
        <v>745</v>
      </c>
      <c r="II1" s="182" t="s">
        <v>746</v>
      </c>
      <c r="IJ1" s="182" t="s">
        <v>747</v>
      </c>
      <c r="IK1" s="182" t="s">
        <v>748</v>
      </c>
      <c r="IL1" s="182" t="s">
        <v>749</v>
      </c>
      <c r="IM1" s="182" t="s">
        <v>750</v>
      </c>
      <c r="IN1" s="182" t="s">
        <v>751</v>
      </c>
      <c r="IO1" s="182" t="s">
        <v>752</v>
      </c>
      <c r="IP1" s="182" t="s">
        <v>753</v>
      </c>
      <c r="IQ1" s="182" t="s">
        <v>754</v>
      </c>
      <c r="IR1" s="182" t="s">
        <v>755</v>
      </c>
      <c r="IS1" s="182" t="s">
        <v>756</v>
      </c>
      <c r="IT1" s="182" t="s">
        <v>757</v>
      </c>
      <c r="IU1" s="182" t="s">
        <v>758</v>
      </c>
      <c r="IV1" s="182" t="s">
        <v>759</v>
      </c>
      <c r="IW1" s="182" t="s">
        <v>760</v>
      </c>
      <c r="IX1" s="182" t="s">
        <v>761</v>
      </c>
      <c r="IY1" s="182" t="s">
        <v>762</v>
      </c>
      <c r="IZ1" s="182" t="s">
        <v>902</v>
      </c>
      <c r="JA1" s="182" t="s">
        <v>763</v>
      </c>
      <c r="JB1" s="182" t="s">
        <v>764</v>
      </c>
      <c r="JC1" s="182" t="s">
        <v>765</v>
      </c>
      <c r="JD1" s="182" t="s">
        <v>766</v>
      </c>
      <c r="JE1" s="182" t="s">
        <v>767</v>
      </c>
      <c r="JF1" s="182" t="s">
        <v>768</v>
      </c>
      <c r="JG1" s="182" t="s">
        <v>769</v>
      </c>
      <c r="JH1" s="182" t="s">
        <v>770</v>
      </c>
      <c r="JI1" s="182" t="s">
        <v>771</v>
      </c>
      <c r="JJ1" s="182" t="s">
        <v>772</v>
      </c>
      <c r="JK1" s="182" t="s">
        <v>773</v>
      </c>
      <c r="JL1" s="186" t="s">
        <v>903</v>
      </c>
      <c r="JM1" s="182" t="s">
        <v>774</v>
      </c>
      <c r="JN1" s="182" t="s">
        <v>775</v>
      </c>
      <c r="JO1" s="182" t="s">
        <v>776</v>
      </c>
      <c r="JP1" s="182" t="s">
        <v>777</v>
      </c>
      <c r="JQ1" s="182" t="s">
        <v>778</v>
      </c>
      <c r="JR1" s="182" t="s">
        <v>779</v>
      </c>
      <c r="JS1" s="182" t="s">
        <v>780</v>
      </c>
      <c r="JT1" s="182" t="s">
        <v>781</v>
      </c>
      <c r="JU1" s="182" t="s">
        <v>782</v>
      </c>
      <c r="JV1" s="182" t="s">
        <v>783</v>
      </c>
      <c r="JW1" s="182" t="s">
        <v>784</v>
      </c>
      <c r="JX1" s="182" t="s">
        <v>785</v>
      </c>
      <c r="JY1" s="182" t="s">
        <v>786</v>
      </c>
      <c r="JZ1" s="182" t="s">
        <v>787</v>
      </c>
      <c r="KA1" s="182" t="s">
        <v>788</v>
      </c>
      <c r="KB1" s="182" t="s">
        <v>789</v>
      </c>
      <c r="KC1" s="182" t="s">
        <v>790</v>
      </c>
      <c r="KD1" s="182" t="s">
        <v>791</v>
      </c>
      <c r="KE1" s="182" t="s">
        <v>792</v>
      </c>
      <c r="KF1" s="182" t="s">
        <v>793</v>
      </c>
      <c r="KG1" s="182" t="s">
        <v>794</v>
      </c>
      <c r="KH1" s="182" t="s">
        <v>795</v>
      </c>
      <c r="KI1" s="182" t="s">
        <v>796</v>
      </c>
      <c r="KJ1" s="182" t="s">
        <v>797</v>
      </c>
      <c r="KK1" s="182" t="s">
        <v>798</v>
      </c>
      <c r="KL1" s="182" t="s">
        <v>799</v>
      </c>
      <c r="KM1" s="182" t="s">
        <v>800</v>
      </c>
      <c r="KN1" s="182" t="s">
        <v>801</v>
      </c>
      <c r="KO1" s="182" t="s">
        <v>802</v>
      </c>
      <c r="KP1" s="182" t="s">
        <v>803</v>
      </c>
      <c r="KQ1" s="182" t="s">
        <v>804</v>
      </c>
      <c r="KR1" s="182" t="s">
        <v>805</v>
      </c>
      <c r="KS1" s="182" t="s">
        <v>806</v>
      </c>
      <c r="KT1" s="182" t="s">
        <v>807</v>
      </c>
      <c r="KU1" s="182" t="s">
        <v>808</v>
      </c>
      <c r="KV1" s="182" t="s">
        <v>809</v>
      </c>
      <c r="KW1" s="182" t="s">
        <v>810</v>
      </c>
      <c r="KX1" s="182" t="s">
        <v>811</v>
      </c>
      <c r="KY1" s="182" t="s">
        <v>812</v>
      </c>
      <c r="KZ1" s="182" t="s">
        <v>813</v>
      </c>
      <c r="LA1" s="182" t="s">
        <v>814</v>
      </c>
      <c r="LB1" s="182" t="s">
        <v>815</v>
      </c>
      <c r="LC1" s="182" t="s">
        <v>816</v>
      </c>
      <c r="LD1" s="182" t="s">
        <v>817</v>
      </c>
      <c r="LE1" s="182" t="s">
        <v>818</v>
      </c>
      <c r="LF1" s="182" t="s">
        <v>819</v>
      </c>
      <c r="LK1" s="187"/>
    </row>
    <row r="2" spans="1:323" s="89" customFormat="1" x14ac:dyDescent="0.3">
      <c r="A2" s="204" t="s">
        <v>61</v>
      </c>
      <c r="B2" s="204">
        <v>1.1000000000000001</v>
      </c>
      <c r="C2" s="86" t="s">
        <v>482</v>
      </c>
      <c r="D2" s="86">
        <v>12</v>
      </c>
      <c r="E2" s="5" t="s">
        <v>239</v>
      </c>
      <c r="F2" s="5" t="s">
        <v>218</v>
      </c>
      <c r="G2" s="5"/>
      <c r="H2" s="5">
        <v>2</v>
      </c>
      <c r="I2" s="6" t="s">
        <v>91</v>
      </c>
      <c r="J2" s="5" t="s">
        <v>7</v>
      </c>
      <c r="K2" s="5" t="s">
        <v>95</v>
      </c>
      <c r="L2" s="5" t="s">
        <v>113</v>
      </c>
      <c r="M2" s="5" t="s">
        <v>93</v>
      </c>
      <c r="N2" s="213" t="s">
        <v>846</v>
      </c>
      <c r="O2" s="162">
        <f>SUM((W2*Tableau1[[#This Row],[IR_inter1]]),(AN2*Tableau1[[#This Row],[IR_inter2]]),(BC2*Tableau1[[#This Row],[IR_inter3]]),(Tableau1[[#This Row],[IR_freq4]]*BR2),(CG2*Tableau1[[#This Row],[IR_inter5]]))</f>
        <v>6.5</v>
      </c>
      <c r="P2" s="162">
        <f t="shared" ref="P2:P46" si="0">SUM(W2,AN2,BC2,BR2,CG2)</f>
        <v>7</v>
      </c>
      <c r="Q2" s="162">
        <f t="shared" ref="Q2:Q46" si="1">SUM(T2*W2,AK2*AN2,AZ2*BC2,BO2*BR2,CD2*CG2)/P2</f>
        <v>0.9285714285714286</v>
      </c>
      <c r="R2" s="162">
        <f t="shared" ref="R2:R46" si="2">MAX(U2:V2,AL2:AM2,BA2:BB2,BP2:BQ2,CE2:CF2)</f>
        <v>50</v>
      </c>
      <c r="S2" s="8" t="s">
        <v>17</v>
      </c>
      <c r="T2" s="9">
        <v>1</v>
      </c>
      <c r="U2" s="9">
        <v>10</v>
      </c>
      <c r="V2" s="9">
        <v>15</v>
      </c>
      <c r="W2" s="8">
        <v>2</v>
      </c>
      <c r="X2" s="8" t="s">
        <v>135</v>
      </c>
      <c r="Y2" s="8" t="s">
        <v>18</v>
      </c>
      <c r="Z2" s="8" t="s">
        <v>16</v>
      </c>
      <c r="AA2" s="8"/>
      <c r="AB2" s="8"/>
      <c r="AC2" s="8" t="s">
        <v>124</v>
      </c>
      <c r="AD2" s="8" t="s">
        <v>130</v>
      </c>
      <c r="AE2" s="8"/>
      <c r="AF2" s="8"/>
      <c r="AG2" s="8" t="s">
        <v>38</v>
      </c>
      <c r="AH2" s="8" t="s">
        <v>129</v>
      </c>
      <c r="AI2" s="8"/>
      <c r="AJ2" s="13" t="s">
        <v>131</v>
      </c>
      <c r="AK2" s="14">
        <v>1</v>
      </c>
      <c r="AL2" s="14">
        <v>20</v>
      </c>
      <c r="AM2" s="14">
        <v>30</v>
      </c>
      <c r="AN2" s="13">
        <v>4</v>
      </c>
      <c r="AO2" s="13" t="s">
        <v>18</v>
      </c>
      <c r="AP2" s="13" t="s">
        <v>11</v>
      </c>
      <c r="AQ2" s="13" t="s">
        <v>15</v>
      </c>
      <c r="AR2" s="13" t="s">
        <v>16</v>
      </c>
      <c r="AS2" s="13"/>
      <c r="AT2" s="13"/>
      <c r="AU2" s="13"/>
      <c r="AV2" s="13"/>
      <c r="AW2" s="13"/>
      <c r="AX2" s="13"/>
      <c r="AY2" s="18" t="s">
        <v>114</v>
      </c>
      <c r="AZ2" s="19">
        <v>0.5</v>
      </c>
      <c r="BA2" s="19">
        <v>40</v>
      </c>
      <c r="BB2" s="19">
        <v>50</v>
      </c>
      <c r="BC2" s="19">
        <v>1</v>
      </c>
      <c r="BD2" s="18" t="s">
        <v>28</v>
      </c>
      <c r="BE2" s="18"/>
      <c r="BF2" s="18"/>
      <c r="BG2" s="18"/>
      <c r="BH2" s="18"/>
      <c r="BI2" s="18"/>
      <c r="BJ2" s="18"/>
      <c r="BK2" s="18"/>
      <c r="BL2" s="18"/>
      <c r="BM2" s="18"/>
      <c r="BN2" s="99"/>
      <c r="BO2" s="100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25"/>
      <c r="CD2" s="26"/>
      <c r="CE2" s="25"/>
      <c r="CF2" s="25"/>
      <c r="CG2" s="25"/>
      <c r="CH2" s="25"/>
      <c r="CI2" s="25"/>
      <c r="CJ2" s="25"/>
      <c r="CK2" s="25"/>
      <c r="CL2" s="25"/>
      <c r="CM2" s="25"/>
      <c r="CN2" s="169">
        <f t="shared" ref="CN2:CN46" si="3">SUM(CO2,DO2)</f>
        <v>3</v>
      </c>
      <c r="CO2" s="167">
        <f t="shared" ref="CO2:CO46" si="4">IF(OR(CP2="lames",CP2="rotatif"),2,0)</f>
        <v>2</v>
      </c>
      <c r="CP2" s="30" t="s">
        <v>147</v>
      </c>
      <c r="CQ2" s="30">
        <v>1</v>
      </c>
      <c r="CR2" s="30">
        <v>5</v>
      </c>
      <c r="CS2" s="30">
        <v>10</v>
      </c>
      <c r="CT2" s="30">
        <v>3</v>
      </c>
      <c r="CU2" s="30">
        <v>3</v>
      </c>
      <c r="CV2" s="30" t="s">
        <v>11</v>
      </c>
      <c r="CW2" s="30" t="s">
        <v>15</v>
      </c>
      <c r="CX2" s="30" t="s">
        <v>16</v>
      </c>
      <c r="CY2" s="30"/>
      <c r="CZ2" s="30"/>
      <c r="DA2" s="30"/>
      <c r="DB2" s="30"/>
      <c r="DC2" s="30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167">
        <f t="shared" ref="DO2:DO46" si="5">IF(DP2&gt;0,1,0)</f>
        <v>1</v>
      </c>
      <c r="DP2" s="49">
        <v>1</v>
      </c>
      <c r="DQ2" s="49"/>
      <c r="DR2" s="49" t="s">
        <v>14</v>
      </c>
      <c r="DS2" s="49"/>
      <c r="DT2" s="49"/>
      <c r="DU2" s="49"/>
      <c r="DV2" s="50"/>
      <c r="DW2" s="44" t="s">
        <v>154</v>
      </c>
      <c r="DX2" s="45" t="s">
        <v>7</v>
      </c>
      <c r="DY2" s="45" t="s">
        <v>150</v>
      </c>
      <c r="DZ2" s="45" t="s">
        <v>7</v>
      </c>
      <c r="EA2" s="44">
        <v>480</v>
      </c>
      <c r="EB2" s="44"/>
      <c r="EC2" s="44">
        <v>0.01</v>
      </c>
      <c r="ED2" s="45" t="s">
        <v>23</v>
      </c>
      <c r="EE2" s="41" t="s">
        <v>156</v>
      </c>
      <c r="EF2" s="41" t="s">
        <v>156</v>
      </c>
      <c r="EG2" s="160">
        <v>1</v>
      </c>
      <c r="EH2" s="41"/>
      <c r="EI2" s="41"/>
      <c r="EJ2" s="41"/>
      <c r="EK2" s="41"/>
      <c r="EL2" s="41"/>
      <c r="EM2" s="41"/>
      <c r="EN2" s="164">
        <v>0</v>
      </c>
      <c r="EO2" s="8" t="s">
        <v>26</v>
      </c>
      <c r="EP2" s="8"/>
      <c r="EQ2" s="8"/>
      <c r="ER2" s="8"/>
      <c r="ES2" s="8"/>
      <c r="ET2" s="8"/>
      <c r="EU2" s="8"/>
      <c r="EV2" s="8"/>
      <c r="EW2" s="8"/>
      <c r="EX2" s="8"/>
      <c r="EY2" s="8"/>
      <c r="EZ2" s="13"/>
      <c r="FA2" s="13"/>
      <c r="FB2" s="13"/>
      <c r="FC2" s="13"/>
      <c r="FD2" s="13"/>
      <c r="FE2" s="13"/>
      <c r="FF2" s="13"/>
      <c r="FG2" s="13"/>
      <c r="FH2" s="13"/>
      <c r="FI2" s="166">
        <v>1</v>
      </c>
      <c r="FJ2" s="151" t="s">
        <v>29</v>
      </c>
      <c r="FK2" s="151" t="s">
        <v>7</v>
      </c>
      <c r="FL2" s="152" t="s">
        <v>7</v>
      </c>
      <c r="FM2" s="151" t="s">
        <v>7</v>
      </c>
      <c r="FN2" s="151" t="s">
        <v>7</v>
      </c>
      <c r="FO2" s="151">
        <v>1</v>
      </c>
      <c r="FP2" s="151" t="s">
        <v>7</v>
      </c>
      <c r="FQ2" s="151" t="s">
        <v>28</v>
      </c>
      <c r="FR2" s="151" t="s">
        <v>7</v>
      </c>
      <c r="FS2" s="151"/>
      <c r="FT2" s="151"/>
      <c r="FU2" s="151" t="s">
        <v>7</v>
      </c>
      <c r="FV2" s="15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129" t="s">
        <v>217</v>
      </c>
      <c r="GH2" s="129"/>
      <c r="GI2" s="129"/>
      <c r="GJ2" s="129" t="s">
        <v>33</v>
      </c>
      <c r="GK2" s="129" t="s">
        <v>214</v>
      </c>
      <c r="GL2" s="129" t="s">
        <v>34</v>
      </c>
      <c r="GM2" s="129"/>
      <c r="GN2" s="129"/>
      <c r="GO2" s="129"/>
      <c r="GP2" s="129" t="s">
        <v>35</v>
      </c>
      <c r="GQ2" s="129">
        <v>1</v>
      </c>
      <c r="GR2" s="55"/>
      <c r="GS2" s="55"/>
      <c r="GT2" s="55"/>
      <c r="GU2" s="55" t="s">
        <v>225</v>
      </c>
      <c r="GV2" s="55">
        <v>0.5</v>
      </c>
      <c r="GW2" s="55"/>
      <c r="GX2" s="55"/>
      <c r="GY2" s="55" t="s">
        <v>9</v>
      </c>
      <c r="GZ2" s="55">
        <v>1</v>
      </c>
      <c r="HA2" s="55"/>
      <c r="HB2" s="55"/>
      <c r="HC2" s="55"/>
      <c r="HD2" s="55"/>
      <c r="HE2" s="55"/>
      <c r="HF2" s="170"/>
      <c r="HG2" s="172">
        <f t="shared" ref="HG2:HG46" si="6">(HI2*HY2+IK2*IZ2)*10</f>
        <v>375</v>
      </c>
      <c r="HH2" s="82" t="s">
        <v>9</v>
      </c>
      <c r="HI2" s="76">
        <v>1</v>
      </c>
      <c r="HJ2" s="76" t="s">
        <v>230</v>
      </c>
      <c r="HK2" s="76" t="s">
        <v>135</v>
      </c>
      <c r="HL2" s="76" t="s">
        <v>229</v>
      </c>
      <c r="HM2" s="76"/>
      <c r="HN2" s="76"/>
      <c r="HO2" s="76" t="s">
        <v>236</v>
      </c>
      <c r="HP2" s="76" t="s">
        <v>239</v>
      </c>
      <c r="HQ2" s="76" t="s">
        <v>37</v>
      </c>
      <c r="HR2" s="76"/>
      <c r="HS2" s="76"/>
      <c r="HT2" s="76"/>
      <c r="HU2" s="76"/>
      <c r="HV2" s="76"/>
      <c r="HW2" s="77">
        <v>20</v>
      </c>
      <c r="HX2" s="77">
        <v>20</v>
      </c>
      <c r="HY2" s="131">
        <f t="shared" ref="HY2:HY27" si="7">IFERROR(AVERAGE(HW2:HX2),0)</f>
        <v>20</v>
      </c>
      <c r="HZ2" s="76" t="s">
        <v>39</v>
      </c>
      <c r="IA2" s="76" t="s">
        <v>248</v>
      </c>
      <c r="IB2" s="76">
        <v>10000</v>
      </c>
      <c r="IC2" s="76">
        <v>1</v>
      </c>
      <c r="ID2" s="76">
        <v>1</v>
      </c>
      <c r="IE2" s="76">
        <v>1</v>
      </c>
      <c r="IF2" s="76">
        <v>1</v>
      </c>
      <c r="IG2" s="76">
        <v>8</v>
      </c>
      <c r="IH2" s="76">
        <v>10</v>
      </c>
      <c r="II2" s="76"/>
      <c r="IJ2" s="76"/>
      <c r="IK2" s="72">
        <v>1</v>
      </c>
      <c r="IL2" s="72" t="s">
        <v>16</v>
      </c>
      <c r="IM2" s="72"/>
      <c r="IN2" s="72"/>
      <c r="IO2" s="72"/>
      <c r="IP2" s="72" t="s">
        <v>236</v>
      </c>
      <c r="IQ2" s="72" t="s">
        <v>239</v>
      </c>
      <c r="IR2" s="72" t="s">
        <v>4</v>
      </c>
      <c r="IS2" s="72"/>
      <c r="IT2" s="72"/>
      <c r="IU2" s="72" t="s">
        <v>187</v>
      </c>
      <c r="IV2" s="72"/>
      <c r="IW2" s="72"/>
      <c r="IX2" s="73">
        <v>15</v>
      </c>
      <c r="IY2" s="73">
        <v>20</v>
      </c>
      <c r="IZ2" s="138">
        <f t="shared" ref="IZ2:IZ27" si="8">IFERROR(AVERAGE(IX2:IY2),0)</f>
        <v>17.5</v>
      </c>
      <c r="JA2" s="72" t="s">
        <v>39</v>
      </c>
      <c r="JB2" s="72" t="s">
        <v>248</v>
      </c>
      <c r="JC2" s="72"/>
      <c r="JD2" s="72">
        <v>1</v>
      </c>
      <c r="JE2" s="72">
        <v>1</v>
      </c>
      <c r="JF2" s="72">
        <v>1</v>
      </c>
      <c r="JG2" s="72">
        <v>1</v>
      </c>
      <c r="JH2" s="72">
        <v>7</v>
      </c>
      <c r="JI2" s="72">
        <v>10</v>
      </c>
      <c r="JJ2" s="72"/>
      <c r="JK2" s="72"/>
      <c r="JL2" s="173">
        <v>0</v>
      </c>
      <c r="JM2" s="70" t="s">
        <v>24</v>
      </c>
      <c r="JN2" s="70" t="s">
        <v>24</v>
      </c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65" t="s">
        <v>9</v>
      </c>
      <c r="KA2" s="65">
        <v>60</v>
      </c>
      <c r="KB2" s="65">
        <v>60</v>
      </c>
      <c r="KC2" s="67">
        <v>4</v>
      </c>
      <c r="KD2" s="67">
        <v>5</v>
      </c>
      <c r="KE2" s="67">
        <v>40</v>
      </c>
      <c r="KF2" s="65" t="s">
        <v>256</v>
      </c>
      <c r="KG2" s="65" t="s">
        <v>33</v>
      </c>
      <c r="KH2" s="65" t="s">
        <v>7</v>
      </c>
      <c r="KI2" s="63" t="s">
        <v>7</v>
      </c>
      <c r="KJ2" s="63"/>
      <c r="KK2" s="63"/>
      <c r="KL2" s="63"/>
      <c r="KM2" s="63"/>
      <c r="KN2" s="63"/>
      <c r="KO2" s="63"/>
      <c r="KP2" s="63"/>
      <c r="KQ2" s="63"/>
      <c r="KR2" s="63"/>
      <c r="KS2" s="63"/>
      <c r="KT2" s="63"/>
      <c r="KU2" s="61" t="s">
        <v>9</v>
      </c>
      <c r="KV2" s="58">
        <v>1</v>
      </c>
      <c r="KW2" s="41" t="s">
        <v>267</v>
      </c>
      <c r="KX2" s="41" t="s">
        <v>7</v>
      </c>
      <c r="KY2" s="59" t="s">
        <v>24</v>
      </c>
      <c r="KZ2" s="59" t="s">
        <v>9</v>
      </c>
      <c r="LA2" s="59" t="s">
        <v>9</v>
      </c>
      <c r="LB2" s="59" t="s">
        <v>9</v>
      </c>
      <c r="LC2" s="59" t="s">
        <v>9</v>
      </c>
      <c r="LD2" s="59" t="s">
        <v>144</v>
      </c>
      <c r="LE2" s="59"/>
      <c r="LF2" s="59" t="s">
        <v>830</v>
      </c>
      <c r="LG2" s="87"/>
    </row>
    <row r="3" spans="1:323" x14ac:dyDescent="0.3">
      <c r="A3" s="204" t="s">
        <v>60</v>
      </c>
      <c r="B3" s="204">
        <v>2.1</v>
      </c>
      <c r="C3" s="86" t="s">
        <v>481</v>
      </c>
      <c r="D3" s="86">
        <v>6.3</v>
      </c>
      <c r="E3" s="5" t="s">
        <v>36</v>
      </c>
      <c r="F3" s="5" t="s">
        <v>514</v>
      </c>
      <c r="G3" s="5"/>
      <c r="H3" s="5">
        <v>1</v>
      </c>
      <c r="I3" s="6" t="s">
        <v>7</v>
      </c>
      <c r="J3" s="5" t="s">
        <v>7</v>
      </c>
      <c r="K3" s="5" t="s">
        <v>93</v>
      </c>
      <c r="L3" s="5" t="s">
        <v>110</v>
      </c>
      <c r="M3" s="5" t="s">
        <v>98</v>
      </c>
      <c r="N3" s="213" t="s">
        <v>846</v>
      </c>
      <c r="O3" s="162">
        <f>SUM((W3*Tableau1[[#This Row],[IR_inter1]]),(AN3*Tableau1[[#This Row],[IR_inter2]]),(BC3*Tableau1[[#This Row],[IR_inter3]]),(Tableau1[[#This Row],[IR_freq4]]*BR3),(CG3*Tableau1[[#This Row],[IR_inter5]]))</f>
        <v>6.5</v>
      </c>
      <c r="P3" s="162">
        <f t="shared" si="0"/>
        <v>6.5</v>
      </c>
      <c r="Q3" s="162">
        <f t="shared" si="1"/>
        <v>1</v>
      </c>
      <c r="R3" s="162">
        <f t="shared" si="2"/>
        <v>15</v>
      </c>
      <c r="S3" s="8" t="s">
        <v>17</v>
      </c>
      <c r="T3" s="9">
        <v>1</v>
      </c>
      <c r="U3" s="9">
        <v>5</v>
      </c>
      <c r="V3" s="9">
        <v>10</v>
      </c>
      <c r="W3" s="8">
        <v>2.5</v>
      </c>
      <c r="X3" s="8" t="s">
        <v>13</v>
      </c>
      <c r="Y3" s="8" t="s">
        <v>14</v>
      </c>
      <c r="Z3" s="8" t="s">
        <v>15</v>
      </c>
      <c r="AA3" s="8" t="s">
        <v>16</v>
      </c>
      <c r="AB3" s="8" t="s">
        <v>22</v>
      </c>
      <c r="AC3" s="8" t="s">
        <v>20</v>
      </c>
      <c r="AD3" s="8" t="s">
        <v>124</v>
      </c>
      <c r="AE3" s="8"/>
      <c r="AF3" s="8"/>
      <c r="AG3" s="8" t="s">
        <v>129</v>
      </c>
      <c r="AH3" s="8"/>
      <c r="AI3" s="8"/>
      <c r="AJ3" s="13" t="s">
        <v>131</v>
      </c>
      <c r="AK3" s="14">
        <v>1</v>
      </c>
      <c r="AL3" s="14">
        <v>15</v>
      </c>
      <c r="AM3" s="14">
        <v>15</v>
      </c>
      <c r="AN3" s="13">
        <v>4</v>
      </c>
      <c r="AO3" s="13" t="s">
        <v>11</v>
      </c>
      <c r="AP3" s="13" t="s">
        <v>13</v>
      </c>
      <c r="AQ3" s="13" t="s">
        <v>14</v>
      </c>
      <c r="AR3" s="13" t="s">
        <v>15</v>
      </c>
      <c r="AS3" s="13" t="s">
        <v>16</v>
      </c>
      <c r="AT3" s="13" t="s">
        <v>119</v>
      </c>
      <c r="AU3" s="13"/>
      <c r="AV3" s="13" t="s">
        <v>129</v>
      </c>
      <c r="AW3" s="13"/>
      <c r="AX3" s="13"/>
      <c r="AY3" s="18"/>
      <c r="AZ3" s="19"/>
      <c r="BA3" s="19"/>
      <c r="BB3" s="19"/>
      <c r="BC3" s="19"/>
      <c r="BD3" s="18"/>
      <c r="BE3" s="18"/>
      <c r="BF3" s="18"/>
      <c r="BG3" s="18"/>
      <c r="BH3" s="18"/>
      <c r="BI3" s="18"/>
      <c r="BJ3" s="18"/>
      <c r="BK3" s="18"/>
      <c r="BL3" s="18" t="s">
        <v>129</v>
      </c>
      <c r="BM3" s="18"/>
      <c r="BN3" s="99"/>
      <c r="BO3" s="100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99"/>
      <c r="CC3" s="25"/>
      <c r="CD3" s="26"/>
      <c r="CE3" s="25"/>
      <c r="CF3" s="25"/>
      <c r="CG3" s="25"/>
      <c r="CH3" s="25"/>
      <c r="CI3" s="25"/>
      <c r="CJ3" s="25"/>
      <c r="CK3" s="25"/>
      <c r="CL3" s="25"/>
      <c r="CM3" s="25"/>
      <c r="CN3" s="169">
        <f t="shared" si="3"/>
        <v>3</v>
      </c>
      <c r="CO3" s="167">
        <f t="shared" si="4"/>
        <v>2</v>
      </c>
      <c r="CP3" s="30" t="s">
        <v>147</v>
      </c>
      <c r="CQ3" s="30">
        <v>1</v>
      </c>
      <c r="CR3" s="30">
        <v>5</v>
      </c>
      <c r="CS3" s="30">
        <v>10</v>
      </c>
      <c r="CT3" s="30">
        <v>2</v>
      </c>
      <c r="CU3" s="30"/>
      <c r="CV3" s="30" t="s">
        <v>11</v>
      </c>
      <c r="CW3" s="30" t="s">
        <v>16</v>
      </c>
      <c r="CX3" s="30"/>
      <c r="CY3" s="30"/>
      <c r="CZ3" s="30"/>
      <c r="DA3" s="30"/>
      <c r="DB3" s="30"/>
      <c r="DC3" s="30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167">
        <f t="shared" si="5"/>
        <v>1</v>
      </c>
      <c r="DP3" s="49">
        <v>2</v>
      </c>
      <c r="DQ3" s="49" t="s">
        <v>11</v>
      </c>
      <c r="DR3" s="49" t="s">
        <v>14</v>
      </c>
      <c r="DS3" s="49" t="s">
        <v>148</v>
      </c>
      <c r="DT3" s="49" t="s">
        <v>150</v>
      </c>
      <c r="DU3" s="49">
        <v>480</v>
      </c>
      <c r="DV3" s="50">
        <v>0.01</v>
      </c>
      <c r="DW3" s="44" t="s">
        <v>227</v>
      </c>
      <c r="DX3" s="44"/>
      <c r="DY3" s="44" t="s">
        <v>150</v>
      </c>
      <c r="DZ3" s="44" t="s">
        <v>7</v>
      </c>
      <c r="EA3" s="44">
        <v>480</v>
      </c>
      <c r="EB3" s="44"/>
      <c r="EC3" s="44">
        <v>1.4999999999999999E-2</v>
      </c>
      <c r="ED3" s="44" t="s">
        <v>23</v>
      </c>
      <c r="EE3" s="41" t="s">
        <v>155</v>
      </c>
      <c r="EF3" s="41" t="s">
        <v>8</v>
      </c>
      <c r="EG3" s="160">
        <v>1</v>
      </c>
      <c r="EH3" s="41"/>
      <c r="EI3" s="41"/>
      <c r="EJ3" s="41"/>
      <c r="EK3" s="41"/>
      <c r="EL3" s="41"/>
      <c r="EM3" s="41"/>
      <c r="EN3" s="164">
        <v>0</v>
      </c>
      <c r="EO3" s="8" t="s">
        <v>26</v>
      </c>
      <c r="EP3" s="8"/>
      <c r="EQ3" s="8"/>
      <c r="ER3" s="8"/>
      <c r="ES3" s="8"/>
      <c r="ET3" s="8"/>
      <c r="EU3" s="8"/>
      <c r="EV3" s="8"/>
      <c r="EW3" s="8"/>
      <c r="EX3" s="8"/>
      <c r="EY3" s="8"/>
      <c r="EZ3" s="13"/>
      <c r="FA3" s="13"/>
      <c r="FB3" s="13"/>
      <c r="FC3" s="13"/>
      <c r="FD3" s="13"/>
      <c r="FE3" s="13"/>
      <c r="FF3" s="13"/>
      <c r="FG3" s="13"/>
      <c r="FH3" s="13"/>
      <c r="FI3" s="166">
        <v>1</v>
      </c>
      <c r="FJ3" s="151" t="s">
        <v>29</v>
      </c>
      <c r="FK3" s="151" t="s">
        <v>831</v>
      </c>
      <c r="FL3" s="152" t="s">
        <v>832</v>
      </c>
      <c r="FM3" s="151" t="s">
        <v>7</v>
      </c>
      <c r="FN3" s="151" t="s">
        <v>7</v>
      </c>
      <c r="FO3" s="151">
        <v>1</v>
      </c>
      <c r="FP3" s="151" t="s">
        <v>7</v>
      </c>
      <c r="FQ3" s="151" t="s">
        <v>134</v>
      </c>
      <c r="FR3" s="151" t="s">
        <v>207</v>
      </c>
      <c r="FS3" s="151"/>
      <c r="FT3" s="151"/>
      <c r="FU3" s="151" t="s">
        <v>38</v>
      </c>
      <c r="FV3" s="15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129" t="s">
        <v>217</v>
      </c>
      <c r="GH3" s="129"/>
      <c r="GI3" s="129"/>
      <c r="GJ3" s="129" t="s">
        <v>33</v>
      </c>
      <c r="GK3" s="129" t="s">
        <v>214</v>
      </c>
      <c r="GL3" s="129" t="s">
        <v>34</v>
      </c>
      <c r="GM3" s="129"/>
      <c r="GN3" s="129"/>
      <c r="GO3" s="129"/>
      <c r="GP3" s="129" t="s">
        <v>35</v>
      </c>
      <c r="GQ3" s="129">
        <v>1</v>
      </c>
      <c r="GR3" s="55" t="s">
        <v>28</v>
      </c>
      <c r="GS3" s="55"/>
      <c r="GT3" s="55"/>
      <c r="GU3" s="55"/>
      <c r="GV3" s="55"/>
      <c r="GW3" s="55"/>
      <c r="GX3" s="55"/>
      <c r="GY3" s="55" t="s">
        <v>9</v>
      </c>
      <c r="GZ3" s="55">
        <v>1</v>
      </c>
      <c r="HA3" s="55" t="s">
        <v>28</v>
      </c>
      <c r="HB3" s="55"/>
      <c r="HC3" s="55"/>
      <c r="HD3" s="55"/>
      <c r="HE3" s="55"/>
      <c r="HF3" s="170"/>
      <c r="HG3" s="172">
        <f t="shared" si="6"/>
        <v>300</v>
      </c>
      <c r="HH3" s="82" t="s">
        <v>9</v>
      </c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7"/>
      <c r="HX3" s="77"/>
      <c r="HY3" s="131">
        <f t="shared" si="7"/>
        <v>0</v>
      </c>
      <c r="HZ3" s="76" t="s">
        <v>39</v>
      </c>
      <c r="IA3" s="76" t="s">
        <v>40</v>
      </c>
      <c r="IB3" s="76"/>
      <c r="IC3" s="76"/>
      <c r="ID3" s="76"/>
      <c r="IE3" s="76"/>
      <c r="IF3" s="76"/>
      <c r="IG3" s="76"/>
      <c r="IH3" s="76"/>
      <c r="II3" s="76"/>
      <c r="IJ3" s="76"/>
      <c r="IK3" s="72">
        <v>3</v>
      </c>
      <c r="IL3" s="72" t="s">
        <v>14</v>
      </c>
      <c r="IM3" s="72" t="s">
        <v>16</v>
      </c>
      <c r="IN3" s="72" t="s">
        <v>22</v>
      </c>
      <c r="IO3" s="72"/>
      <c r="IP3" s="72" t="s">
        <v>236</v>
      </c>
      <c r="IQ3" s="72" t="s">
        <v>833</v>
      </c>
      <c r="IR3" s="72" t="s">
        <v>244</v>
      </c>
      <c r="IS3" s="72" t="s">
        <v>37</v>
      </c>
      <c r="IT3" s="72"/>
      <c r="IU3" s="72" t="s">
        <v>187</v>
      </c>
      <c r="IV3" s="72" t="s">
        <v>213</v>
      </c>
      <c r="IW3" s="72" t="s">
        <v>834</v>
      </c>
      <c r="IX3" s="73">
        <v>10</v>
      </c>
      <c r="IY3" s="73">
        <v>10</v>
      </c>
      <c r="IZ3" s="138">
        <f t="shared" si="8"/>
        <v>10</v>
      </c>
      <c r="JA3" s="72" t="s">
        <v>39</v>
      </c>
      <c r="JB3" s="72" t="s">
        <v>40</v>
      </c>
      <c r="JC3" s="72"/>
      <c r="JD3" s="72">
        <v>1</v>
      </c>
      <c r="JE3" s="72">
        <v>1</v>
      </c>
      <c r="JF3" s="72">
        <v>2</v>
      </c>
      <c r="JG3" s="72">
        <v>2</v>
      </c>
      <c r="JH3" s="72">
        <v>10</v>
      </c>
      <c r="JI3" s="72">
        <v>15</v>
      </c>
      <c r="JJ3" s="72"/>
      <c r="JK3" s="72"/>
      <c r="JL3" s="173">
        <v>0</v>
      </c>
      <c r="JM3" s="70" t="s">
        <v>24</v>
      </c>
      <c r="JN3" s="70" t="s">
        <v>24</v>
      </c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65" t="s">
        <v>9</v>
      </c>
      <c r="KA3" s="65">
        <v>45</v>
      </c>
      <c r="KB3" s="65">
        <v>45</v>
      </c>
      <c r="KC3" s="67">
        <v>4</v>
      </c>
      <c r="KD3" s="67">
        <v>5</v>
      </c>
      <c r="KE3" s="67">
        <v>50</v>
      </c>
      <c r="KF3" s="65" t="s">
        <v>256</v>
      </c>
      <c r="KG3" s="65" t="s">
        <v>33</v>
      </c>
      <c r="KH3" s="65" t="s">
        <v>7</v>
      </c>
      <c r="KI3" s="63" t="s">
        <v>264</v>
      </c>
      <c r="KJ3" s="63">
        <v>1</v>
      </c>
      <c r="KK3" s="63">
        <v>50</v>
      </c>
      <c r="KL3" s="63" t="s">
        <v>17</v>
      </c>
      <c r="KM3" s="63">
        <v>1</v>
      </c>
      <c r="KN3" s="63">
        <v>15</v>
      </c>
      <c r="KO3" s="63"/>
      <c r="KP3" s="63"/>
      <c r="KQ3" s="63"/>
      <c r="KR3" s="63"/>
      <c r="KS3" s="63"/>
      <c r="KT3" s="63"/>
      <c r="KU3" s="61" t="s">
        <v>9</v>
      </c>
      <c r="KV3" s="58">
        <v>2</v>
      </c>
      <c r="KW3" s="41" t="s">
        <v>267</v>
      </c>
      <c r="KX3" s="41" t="s">
        <v>7</v>
      </c>
      <c r="KY3" s="59" t="s">
        <v>24</v>
      </c>
      <c r="KZ3" s="59" t="s">
        <v>9</v>
      </c>
      <c r="LA3" s="59" t="s">
        <v>24</v>
      </c>
      <c r="LB3" s="59" t="s">
        <v>9</v>
      </c>
      <c r="LC3" s="59" t="s">
        <v>9</v>
      </c>
      <c r="LD3" s="59" t="s">
        <v>272</v>
      </c>
      <c r="LE3" s="59"/>
      <c r="LF3" s="59" t="s">
        <v>7</v>
      </c>
      <c r="LG3" s="3"/>
    </row>
    <row r="4" spans="1:323" x14ac:dyDescent="0.3">
      <c r="A4" s="104" t="s">
        <v>5</v>
      </c>
      <c r="B4" s="104">
        <v>3.2</v>
      </c>
      <c r="C4" s="104" t="s">
        <v>6</v>
      </c>
      <c r="D4" s="104">
        <v>29</v>
      </c>
      <c r="E4" s="104" t="s">
        <v>36</v>
      </c>
      <c r="F4" s="104" t="s">
        <v>514</v>
      </c>
      <c r="G4" s="104">
        <v>90</v>
      </c>
      <c r="H4" s="104">
        <v>5</v>
      </c>
      <c r="I4" s="104" t="s">
        <v>7</v>
      </c>
      <c r="J4" s="104"/>
      <c r="K4" s="105"/>
      <c r="L4" s="105" t="s">
        <v>90</v>
      </c>
      <c r="M4" s="105" t="s">
        <v>93</v>
      </c>
      <c r="N4" s="214" t="s">
        <v>847</v>
      </c>
      <c r="O4" s="162">
        <f>SUM((W4*Tableau1[[#This Row],[IR_inter1]]),(AN4*Tableau1[[#This Row],[IR_inter2]]),(BC4*Tableau1[[#This Row],[IR_inter3]]),(Tableau1[[#This Row],[IR_freq4]]*BR4),(CG4*Tableau1[[#This Row],[IR_inter5]]))</f>
        <v>3.5</v>
      </c>
      <c r="P4" s="162">
        <f t="shared" si="0"/>
        <v>7</v>
      </c>
      <c r="Q4" s="162">
        <f t="shared" si="1"/>
        <v>0.5</v>
      </c>
      <c r="R4" s="162">
        <f t="shared" si="2"/>
        <v>30</v>
      </c>
      <c r="S4" s="106" t="s">
        <v>10</v>
      </c>
      <c r="T4" s="107">
        <v>0.5</v>
      </c>
      <c r="U4" s="107">
        <v>25</v>
      </c>
      <c r="V4" s="107">
        <v>30</v>
      </c>
      <c r="W4" s="106">
        <v>5</v>
      </c>
      <c r="X4" s="106" t="s">
        <v>11</v>
      </c>
      <c r="Y4" s="106" t="s">
        <v>13</v>
      </c>
      <c r="Z4" s="106" t="s">
        <v>14</v>
      </c>
      <c r="AA4" s="106" t="s">
        <v>15</v>
      </c>
      <c r="AB4" s="106" t="s">
        <v>16</v>
      </c>
      <c r="AC4" s="106" t="s">
        <v>12</v>
      </c>
      <c r="AD4" s="106"/>
      <c r="AE4" s="106"/>
      <c r="AF4" s="106"/>
      <c r="AG4" s="106" t="s">
        <v>21</v>
      </c>
      <c r="AH4" s="108" t="s">
        <v>129</v>
      </c>
      <c r="AI4" s="106"/>
      <c r="AJ4" s="109" t="s">
        <v>131</v>
      </c>
      <c r="AK4" s="110">
        <v>0.5</v>
      </c>
      <c r="AL4" s="110">
        <v>15</v>
      </c>
      <c r="AM4" s="110">
        <v>15</v>
      </c>
      <c r="AN4" s="109">
        <v>1</v>
      </c>
      <c r="AO4" s="109" t="s">
        <v>18</v>
      </c>
      <c r="AP4" s="109" t="s">
        <v>11</v>
      </c>
      <c r="AQ4" s="109"/>
      <c r="AR4" s="109"/>
      <c r="AS4" s="109"/>
      <c r="AT4" s="109" t="s">
        <v>20</v>
      </c>
      <c r="AU4" s="109" t="s">
        <v>19</v>
      </c>
      <c r="AV4" s="109" t="s">
        <v>21</v>
      </c>
      <c r="AW4" s="111"/>
      <c r="AX4" s="112"/>
      <c r="AY4" s="113" t="s">
        <v>115</v>
      </c>
      <c r="AZ4" s="114">
        <v>0.5</v>
      </c>
      <c r="BA4" s="161" t="s">
        <v>7</v>
      </c>
      <c r="BB4" s="161" t="s">
        <v>7</v>
      </c>
      <c r="BC4" s="161">
        <v>1</v>
      </c>
      <c r="BD4" s="113" t="s">
        <v>7</v>
      </c>
      <c r="BE4" s="113"/>
      <c r="BF4" s="113"/>
      <c r="BG4" s="113"/>
      <c r="BH4" s="113"/>
      <c r="BI4" s="113" t="s">
        <v>143</v>
      </c>
      <c r="BJ4" s="113" t="s">
        <v>124</v>
      </c>
      <c r="BK4" s="113"/>
      <c r="BL4" s="113" t="s">
        <v>7</v>
      </c>
      <c r="BM4" s="115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7"/>
      <c r="CC4" s="118"/>
      <c r="CD4" s="119"/>
      <c r="CE4" s="118"/>
      <c r="CF4" s="118"/>
      <c r="CG4" s="118"/>
      <c r="CH4" s="118"/>
      <c r="CI4" s="118"/>
      <c r="CJ4" s="118"/>
      <c r="CK4" s="118"/>
      <c r="CL4" s="118"/>
      <c r="CM4" s="119"/>
      <c r="CN4" s="169">
        <f t="shared" si="3"/>
        <v>2</v>
      </c>
      <c r="CO4" s="167">
        <f t="shared" si="4"/>
        <v>2</v>
      </c>
      <c r="CP4" s="120" t="s">
        <v>147</v>
      </c>
      <c r="CQ4" s="120">
        <v>1</v>
      </c>
      <c r="CR4" s="120">
        <v>5</v>
      </c>
      <c r="CS4" s="120">
        <v>10</v>
      </c>
      <c r="CT4" s="120">
        <v>6</v>
      </c>
      <c r="CU4" s="120">
        <v>3</v>
      </c>
      <c r="CV4" s="120" t="s">
        <v>13</v>
      </c>
      <c r="CW4" s="120" t="s">
        <v>14</v>
      </c>
      <c r="CX4" s="120" t="s">
        <v>15</v>
      </c>
      <c r="CY4" s="120" t="s">
        <v>16</v>
      </c>
      <c r="CZ4" s="120" t="s">
        <v>22</v>
      </c>
      <c r="DA4" s="120" t="s">
        <v>121</v>
      </c>
      <c r="DB4" s="120"/>
      <c r="DC4" s="120" t="s">
        <v>21</v>
      </c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  <c r="DO4" s="167">
        <f t="shared" si="5"/>
        <v>0</v>
      </c>
      <c r="DP4" s="122">
        <v>0</v>
      </c>
      <c r="DQ4" s="122"/>
      <c r="DR4" s="122"/>
      <c r="DS4" s="122"/>
      <c r="DT4" s="122"/>
      <c r="DU4" s="122"/>
      <c r="DV4" s="123"/>
      <c r="DW4" s="124"/>
      <c r="DX4" s="124"/>
      <c r="DY4" s="124"/>
      <c r="DZ4" s="124"/>
      <c r="EA4" s="124"/>
      <c r="EB4" s="124"/>
      <c r="EC4" s="124"/>
      <c r="ED4" s="124"/>
      <c r="EE4" s="125" t="s">
        <v>25</v>
      </c>
      <c r="EF4" s="125" t="s">
        <v>8</v>
      </c>
      <c r="EG4" s="147">
        <v>0.5</v>
      </c>
      <c r="EH4" s="125" t="s">
        <v>155</v>
      </c>
      <c r="EI4" s="125" t="s">
        <v>8</v>
      </c>
      <c r="EJ4" s="125">
        <v>0.5</v>
      </c>
      <c r="EK4" s="125" t="s">
        <v>158</v>
      </c>
      <c r="EL4" s="125" t="s">
        <v>2</v>
      </c>
      <c r="EM4" s="125" t="s">
        <v>157</v>
      </c>
      <c r="EN4" s="165">
        <v>0</v>
      </c>
      <c r="EO4" s="106" t="s">
        <v>26</v>
      </c>
      <c r="EP4" s="106"/>
      <c r="EQ4" s="106"/>
      <c r="ER4" s="106"/>
      <c r="ES4" s="106">
        <v>0</v>
      </c>
      <c r="ET4" s="106"/>
      <c r="EU4" s="106"/>
      <c r="EV4" s="106"/>
      <c r="EW4" s="106"/>
      <c r="EX4" s="106"/>
      <c r="EY4" s="106"/>
      <c r="EZ4" s="109"/>
      <c r="FA4" s="109"/>
      <c r="FB4" s="109"/>
      <c r="FC4" s="109"/>
      <c r="FD4" s="109"/>
      <c r="FE4" s="109"/>
      <c r="FF4" s="109"/>
      <c r="FG4" s="109"/>
      <c r="FH4" s="109"/>
      <c r="FI4" s="167">
        <v>1</v>
      </c>
      <c r="FJ4" s="126" t="s">
        <v>29</v>
      </c>
      <c r="FK4" s="126" t="s">
        <v>182</v>
      </c>
      <c r="FL4" s="126" t="s">
        <v>7</v>
      </c>
      <c r="FM4" s="126" t="s">
        <v>7</v>
      </c>
      <c r="FN4" s="126" t="s">
        <v>7</v>
      </c>
      <c r="FO4" s="126">
        <v>1</v>
      </c>
      <c r="FP4" s="126" t="s">
        <v>7</v>
      </c>
      <c r="FQ4" s="126" t="s">
        <v>28</v>
      </c>
      <c r="FR4" s="126" t="s">
        <v>2</v>
      </c>
      <c r="FS4" s="126"/>
      <c r="FT4" s="126"/>
      <c r="FU4" s="126" t="s">
        <v>21</v>
      </c>
      <c r="FV4" s="126" t="s">
        <v>209</v>
      </c>
      <c r="FW4" s="125" t="s">
        <v>29</v>
      </c>
      <c r="FX4" s="127" t="s">
        <v>212</v>
      </c>
      <c r="FY4" s="125" t="s">
        <v>30</v>
      </c>
      <c r="FZ4" s="125" t="s">
        <v>7</v>
      </c>
      <c r="GA4" s="125">
        <v>1</v>
      </c>
      <c r="GB4" s="125">
        <v>500</v>
      </c>
      <c r="GC4" s="125" t="s">
        <v>31</v>
      </c>
      <c r="GD4" s="125" t="s">
        <v>2</v>
      </c>
      <c r="GE4" s="125"/>
      <c r="GF4" s="125" t="s">
        <v>213</v>
      </c>
      <c r="GG4" s="128" t="s">
        <v>217</v>
      </c>
      <c r="GH4" s="128" t="s">
        <v>7</v>
      </c>
      <c r="GI4" s="128" t="s">
        <v>7</v>
      </c>
      <c r="GJ4" s="128" t="s">
        <v>33</v>
      </c>
      <c r="GK4" s="128" t="s">
        <v>214</v>
      </c>
      <c r="GL4" s="128" t="s">
        <v>34</v>
      </c>
      <c r="GM4" s="128"/>
      <c r="GN4" s="128"/>
      <c r="GO4" s="128"/>
      <c r="GP4" s="128" t="s">
        <v>35</v>
      </c>
      <c r="GQ4" s="128">
        <v>1</v>
      </c>
      <c r="GR4" s="128" t="s">
        <v>229</v>
      </c>
      <c r="GS4" s="128" t="s">
        <v>11</v>
      </c>
      <c r="GT4" s="128"/>
      <c r="GU4" s="128" t="s">
        <v>7</v>
      </c>
      <c r="GV4" s="128" t="s">
        <v>7</v>
      </c>
      <c r="GW4" s="128" t="s">
        <v>7</v>
      </c>
      <c r="GX4" s="128"/>
      <c r="GY4" s="128" t="s">
        <v>9</v>
      </c>
      <c r="GZ4" s="129">
        <v>1</v>
      </c>
      <c r="HA4" s="129" t="s">
        <v>229</v>
      </c>
      <c r="HB4" s="129" t="s">
        <v>11</v>
      </c>
      <c r="HC4" s="129"/>
      <c r="HD4" s="129"/>
      <c r="HE4" s="129"/>
      <c r="HF4" s="170"/>
      <c r="HG4" s="172">
        <f t="shared" si="6"/>
        <v>37.5</v>
      </c>
      <c r="HH4" s="130" t="s">
        <v>9</v>
      </c>
      <c r="HI4" s="131">
        <v>1</v>
      </c>
      <c r="HJ4" s="132" t="s">
        <v>11</v>
      </c>
      <c r="HK4" s="132"/>
      <c r="HL4" s="132"/>
      <c r="HM4" s="132"/>
      <c r="HN4" s="132"/>
      <c r="HO4" s="131" t="s">
        <v>235</v>
      </c>
      <c r="HP4" s="131" t="s">
        <v>36</v>
      </c>
      <c r="HQ4" s="131" t="s">
        <v>37</v>
      </c>
      <c r="HR4" s="132"/>
      <c r="HS4" s="132"/>
      <c r="HT4" s="131" t="s">
        <v>38</v>
      </c>
      <c r="HU4" s="132"/>
      <c r="HV4" s="132"/>
      <c r="HW4" s="133">
        <v>0</v>
      </c>
      <c r="HX4" s="134">
        <v>5</v>
      </c>
      <c r="HY4" s="131">
        <f t="shared" si="7"/>
        <v>2.5</v>
      </c>
      <c r="HZ4" s="131" t="s">
        <v>39</v>
      </c>
      <c r="IA4" s="132" t="s">
        <v>40</v>
      </c>
      <c r="IB4" s="131">
        <v>10000</v>
      </c>
      <c r="IC4" s="131">
        <v>2</v>
      </c>
      <c r="ID4" s="132">
        <v>2</v>
      </c>
      <c r="IE4" s="131">
        <v>2</v>
      </c>
      <c r="IF4" s="132">
        <v>2</v>
      </c>
      <c r="IG4" s="131">
        <v>10</v>
      </c>
      <c r="IH4" s="132">
        <v>15</v>
      </c>
      <c r="II4" s="132">
        <f>SUM(IC4,IE4,IG4)</f>
        <v>14</v>
      </c>
      <c r="IJ4" s="132">
        <f>SUM(ID4,IF4,IH4)</f>
        <v>19</v>
      </c>
      <c r="IK4" s="135">
        <v>0.5</v>
      </c>
      <c r="IL4" s="135" t="s">
        <v>16</v>
      </c>
      <c r="IM4" s="136"/>
      <c r="IN4" s="136"/>
      <c r="IO4" s="136"/>
      <c r="IP4" s="135" t="s">
        <v>235</v>
      </c>
      <c r="IQ4" s="135" t="s">
        <v>36</v>
      </c>
      <c r="IR4" s="135" t="s">
        <v>37</v>
      </c>
      <c r="IS4" s="136"/>
      <c r="IT4" s="136"/>
      <c r="IU4" s="135" t="s">
        <v>38</v>
      </c>
      <c r="IV4" s="136"/>
      <c r="IW4" s="136"/>
      <c r="IX4" s="137">
        <v>0</v>
      </c>
      <c r="IY4" s="138">
        <v>5</v>
      </c>
      <c r="IZ4" s="138">
        <f t="shared" si="8"/>
        <v>2.5</v>
      </c>
      <c r="JA4" s="135" t="s">
        <v>39</v>
      </c>
      <c r="JB4" s="136" t="s">
        <v>40</v>
      </c>
      <c r="JC4" s="135">
        <v>10000</v>
      </c>
      <c r="JD4" s="135">
        <v>2</v>
      </c>
      <c r="JE4" s="136">
        <v>2</v>
      </c>
      <c r="JF4" s="135">
        <v>2</v>
      </c>
      <c r="JG4" s="136">
        <v>2</v>
      </c>
      <c r="JH4" s="135">
        <v>10</v>
      </c>
      <c r="JI4" s="136">
        <v>15</v>
      </c>
      <c r="JJ4" s="136">
        <f>SUM(JD4,JF4,JH4)</f>
        <v>14</v>
      </c>
      <c r="JK4" s="136">
        <f>SUM(JE4,JG4,JI4)</f>
        <v>19</v>
      </c>
      <c r="JL4" s="173">
        <v>0</v>
      </c>
      <c r="JM4" s="139" t="s">
        <v>24</v>
      </c>
      <c r="JN4" s="139" t="s">
        <v>24</v>
      </c>
      <c r="JO4" s="140"/>
      <c r="JP4" s="139"/>
      <c r="JQ4" s="139"/>
      <c r="JR4" s="139"/>
      <c r="JS4" s="140"/>
      <c r="JT4" s="139"/>
      <c r="JU4" s="140"/>
      <c r="JV4" s="140"/>
      <c r="JW4" s="139"/>
      <c r="JX4" s="139"/>
      <c r="JY4" s="139"/>
      <c r="JZ4" s="141" t="s">
        <v>9</v>
      </c>
      <c r="KA4" s="141">
        <v>60</v>
      </c>
      <c r="KB4" s="141">
        <v>60</v>
      </c>
      <c r="KC4" s="142">
        <v>4.8</v>
      </c>
      <c r="KD4" s="143">
        <v>4.8</v>
      </c>
      <c r="KE4" s="142">
        <v>65</v>
      </c>
      <c r="KF4" s="141" t="s">
        <v>255</v>
      </c>
      <c r="KG4" s="141" t="s">
        <v>7</v>
      </c>
      <c r="KH4" s="141" t="s">
        <v>7</v>
      </c>
      <c r="KI4" s="144" t="s">
        <v>115</v>
      </c>
      <c r="KJ4" s="145">
        <v>2</v>
      </c>
      <c r="KK4" s="144">
        <v>15</v>
      </c>
      <c r="KL4" s="144" t="s">
        <v>114</v>
      </c>
      <c r="KM4" s="145">
        <v>1</v>
      </c>
      <c r="KN4" s="145">
        <v>30</v>
      </c>
      <c r="KO4" s="145" t="s">
        <v>17</v>
      </c>
      <c r="KP4" s="145">
        <v>1</v>
      </c>
      <c r="KQ4" s="145">
        <v>10</v>
      </c>
      <c r="KR4" s="145"/>
      <c r="KS4" s="145"/>
      <c r="KT4" s="145"/>
      <c r="KU4" s="146" t="s">
        <v>24</v>
      </c>
      <c r="KV4" s="147">
        <v>5</v>
      </c>
      <c r="KW4" s="125" t="s">
        <v>265</v>
      </c>
      <c r="KX4" s="125" t="s">
        <v>2</v>
      </c>
      <c r="KY4" s="148" t="s">
        <v>9</v>
      </c>
      <c r="KZ4" s="148" t="s">
        <v>9</v>
      </c>
      <c r="LA4" s="148" t="s">
        <v>24</v>
      </c>
      <c r="LB4" s="148" t="s">
        <v>9</v>
      </c>
      <c r="LC4" s="148" t="s">
        <v>9</v>
      </c>
      <c r="LD4" s="148" t="s">
        <v>271</v>
      </c>
      <c r="LE4" s="149"/>
      <c r="LF4" s="149" t="s">
        <v>224</v>
      </c>
      <c r="LG4" s="3"/>
    </row>
    <row r="5" spans="1:323" x14ac:dyDescent="0.3">
      <c r="A5" s="204" t="s">
        <v>59</v>
      </c>
      <c r="B5" s="204">
        <v>4.0999999999999996</v>
      </c>
      <c r="C5" s="86" t="s">
        <v>279</v>
      </c>
      <c r="D5" s="86">
        <v>28.5</v>
      </c>
      <c r="E5" s="5" t="s">
        <v>241</v>
      </c>
      <c r="F5" s="5" t="s">
        <v>499</v>
      </c>
      <c r="G5" s="5"/>
      <c r="H5" s="5">
        <v>5</v>
      </c>
      <c r="I5" s="6" t="s">
        <v>106</v>
      </c>
      <c r="J5" s="5" t="s">
        <v>7</v>
      </c>
      <c r="K5" s="5" t="s">
        <v>26</v>
      </c>
      <c r="L5" s="5" t="s">
        <v>113</v>
      </c>
      <c r="M5" s="5" t="s">
        <v>93</v>
      </c>
      <c r="N5" s="213" t="s">
        <v>846</v>
      </c>
      <c r="O5" s="162">
        <f>SUM((W5*Tableau1[[#This Row],[IR_inter1]]),(AN5*Tableau1[[#This Row],[IR_inter2]]),(BC5*Tableau1[[#This Row],[IR_inter3]]),(Tableau1[[#This Row],[IR_freq4]]*BR5),(CG5*Tableau1[[#This Row],[IR_inter5]]))</f>
        <v>2.5</v>
      </c>
      <c r="P5" s="162">
        <f t="shared" si="0"/>
        <v>5</v>
      </c>
      <c r="Q5" s="162">
        <f t="shared" si="1"/>
        <v>0.5</v>
      </c>
      <c r="R5" s="162">
        <f t="shared" si="2"/>
        <v>30</v>
      </c>
      <c r="S5" s="8" t="s">
        <v>115</v>
      </c>
      <c r="T5" s="9">
        <v>0.5</v>
      </c>
      <c r="U5" s="9">
        <v>10</v>
      </c>
      <c r="V5" s="9">
        <v>15</v>
      </c>
      <c r="W5" s="8">
        <v>1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13" t="s">
        <v>131</v>
      </c>
      <c r="AK5" s="14">
        <v>0.5</v>
      </c>
      <c r="AL5" s="14">
        <v>10</v>
      </c>
      <c r="AM5" s="14">
        <v>30</v>
      </c>
      <c r="AN5" s="13">
        <v>1</v>
      </c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8" t="s">
        <v>10</v>
      </c>
      <c r="AZ5" s="19">
        <v>0.5</v>
      </c>
      <c r="BA5" s="19">
        <v>25</v>
      </c>
      <c r="BB5" s="19">
        <v>30</v>
      </c>
      <c r="BC5" s="19">
        <v>3</v>
      </c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99"/>
      <c r="BO5" s="100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25"/>
      <c r="CD5" s="26"/>
      <c r="CE5" s="25"/>
      <c r="CF5" s="25"/>
      <c r="CG5" s="25"/>
      <c r="CH5" s="25"/>
      <c r="CI5" s="25"/>
      <c r="CJ5" s="25"/>
      <c r="CK5" s="25"/>
      <c r="CL5" s="25"/>
      <c r="CM5" s="25"/>
      <c r="CN5" s="169">
        <f t="shared" si="3"/>
        <v>2</v>
      </c>
      <c r="CO5" s="167">
        <f t="shared" si="4"/>
        <v>2</v>
      </c>
      <c r="CP5" s="30" t="s">
        <v>147</v>
      </c>
      <c r="CQ5" s="30">
        <v>1</v>
      </c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167">
        <f t="shared" si="5"/>
        <v>0</v>
      </c>
      <c r="DP5" s="49">
        <v>0</v>
      </c>
      <c r="DQ5" s="49"/>
      <c r="DR5" s="49"/>
      <c r="DS5" s="49"/>
      <c r="DT5" s="49"/>
      <c r="DU5" s="49"/>
      <c r="DV5" s="50"/>
      <c r="DW5" s="44"/>
      <c r="DX5" s="44"/>
      <c r="DY5" s="44"/>
      <c r="DZ5" s="44"/>
      <c r="EA5" s="44"/>
      <c r="EB5" s="44"/>
      <c r="EC5" s="44"/>
      <c r="ED5" s="44"/>
      <c r="EE5" s="41" t="s">
        <v>25</v>
      </c>
      <c r="EF5" s="41" t="s">
        <v>8</v>
      </c>
      <c r="EG5" s="160">
        <v>0.5</v>
      </c>
      <c r="EH5" s="41"/>
      <c r="EI5" s="41"/>
      <c r="EJ5" s="41"/>
      <c r="EK5" s="41"/>
      <c r="EL5" s="41"/>
      <c r="EM5" s="41"/>
      <c r="EN5" s="164">
        <v>0</v>
      </c>
      <c r="EO5" s="8" t="s">
        <v>26</v>
      </c>
      <c r="EP5" s="8"/>
      <c r="EQ5" s="8"/>
      <c r="ER5" s="8"/>
      <c r="ES5" s="8"/>
      <c r="ET5" s="8"/>
      <c r="EU5" s="8"/>
      <c r="EV5" s="8"/>
      <c r="EW5" s="8"/>
      <c r="EX5" s="8"/>
      <c r="EY5" s="8"/>
      <c r="EZ5" s="13"/>
      <c r="FA5" s="13"/>
      <c r="FB5" s="13"/>
      <c r="FC5" s="13"/>
      <c r="FD5" s="13"/>
      <c r="FE5" s="13"/>
      <c r="FF5" s="13"/>
      <c r="FG5" s="13"/>
      <c r="FH5" s="13"/>
      <c r="FI5" s="166">
        <v>1</v>
      </c>
      <c r="FJ5" s="151" t="s">
        <v>29</v>
      </c>
      <c r="FK5" s="151" t="s">
        <v>7</v>
      </c>
      <c r="FL5" s="152" t="s">
        <v>828</v>
      </c>
      <c r="FM5" s="151" t="s">
        <v>829</v>
      </c>
      <c r="FN5" s="151" t="s">
        <v>7</v>
      </c>
      <c r="FO5" s="151">
        <v>1</v>
      </c>
      <c r="FP5" s="151">
        <v>450</v>
      </c>
      <c r="FQ5" s="151"/>
      <c r="FR5" s="151"/>
      <c r="FS5" s="151"/>
      <c r="FT5" s="151"/>
      <c r="FU5" s="151"/>
      <c r="FV5" s="15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129" t="s">
        <v>217</v>
      </c>
      <c r="GH5" s="129"/>
      <c r="GI5" s="129"/>
      <c r="GJ5" s="129" t="s">
        <v>33</v>
      </c>
      <c r="GK5" s="129"/>
      <c r="GL5" s="129"/>
      <c r="GM5" s="129"/>
      <c r="GN5" s="129"/>
      <c r="GO5" s="129"/>
      <c r="GP5" s="129"/>
      <c r="GQ5" s="129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170"/>
      <c r="HG5" s="172">
        <f t="shared" si="6"/>
        <v>350</v>
      </c>
      <c r="HH5" s="82" t="s">
        <v>9</v>
      </c>
      <c r="HI5" s="76">
        <v>1</v>
      </c>
      <c r="HJ5" s="76" t="s">
        <v>135</v>
      </c>
      <c r="HK5" s="76"/>
      <c r="HL5" s="76"/>
      <c r="HM5" s="76"/>
      <c r="HN5" s="76"/>
      <c r="HO5" s="76" t="s">
        <v>235</v>
      </c>
      <c r="HP5" s="76"/>
      <c r="HQ5" s="76" t="s">
        <v>37</v>
      </c>
      <c r="HR5" s="76" t="s">
        <v>244</v>
      </c>
      <c r="HS5" s="76"/>
      <c r="HT5" s="76" t="s">
        <v>221</v>
      </c>
      <c r="HU5" s="76"/>
      <c r="HV5" s="76"/>
      <c r="HW5" s="77">
        <v>20</v>
      </c>
      <c r="HX5" s="77">
        <v>50</v>
      </c>
      <c r="HY5" s="131">
        <f t="shared" si="7"/>
        <v>35</v>
      </c>
      <c r="HZ5" s="76" t="s">
        <v>39</v>
      </c>
      <c r="IA5" s="76" t="s">
        <v>248</v>
      </c>
      <c r="IB5" s="76" t="s">
        <v>249</v>
      </c>
      <c r="IC5" s="76">
        <v>1</v>
      </c>
      <c r="ID5" s="76">
        <v>1</v>
      </c>
      <c r="IE5" s="76">
        <v>7</v>
      </c>
      <c r="IF5" s="76">
        <v>10</v>
      </c>
      <c r="IG5" s="76">
        <v>7</v>
      </c>
      <c r="IH5" s="76">
        <v>15</v>
      </c>
      <c r="II5" s="76"/>
      <c r="IJ5" s="76"/>
      <c r="IK5" s="74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3"/>
      <c r="IY5" s="73"/>
      <c r="IZ5" s="138">
        <f t="shared" si="8"/>
        <v>0</v>
      </c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173">
        <v>0</v>
      </c>
      <c r="JM5" s="70" t="s">
        <v>24</v>
      </c>
      <c r="JN5" s="70" t="s">
        <v>24</v>
      </c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65" t="s">
        <v>24</v>
      </c>
      <c r="KA5" s="65"/>
      <c r="KB5" s="65"/>
      <c r="KC5" s="67"/>
      <c r="KD5" s="67"/>
      <c r="KE5" s="67"/>
      <c r="KF5" s="65"/>
      <c r="KG5" s="65"/>
      <c r="KH5" s="65"/>
      <c r="KI5" s="63" t="s">
        <v>7</v>
      </c>
      <c r="KJ5" s="63"/>
      <c r="KK5" s="63"/>
      <c r="KL5" s="63"/>
      <c r="KM5" s="63"/>
      <c r="KN5" s="63"/>
      <c r="KO5" s="63"/>
      <c r="KP5" s="63"/>
      <c r="KQ5" s="63"/>
      <c r="KR5" s="63"/>
      <c r="KS5" s="63"/>
      <c r="KT5" s="63"/>
      <c r="KU5" s="61" t="s">
        <v>7</v>
      </c>
      <c r="KV5" s="58" t="s">
        <v>7</v>
      </c>
      <c r="KW5" s="41"/>
      <c r="KX5" s="41"/>
      <c r="KY5" s="59" t="s">
        <v>24</v>
      </c>
      <c r="KZ5" s="59" t="s">
        <v>9</v>
      </c>
      <c r="LA5" s="59" t="s">
        <v>24</v>
      </c>
      <c r="LB5" s="59" t="s">
        <v>9</v>
      </c>
      <c r="LC5" s="59" t="s">
        <v>24</v>
      </c>
      <c r="LD5" s="59" t="s">
        <v>272</v>
      </c>
      <c r="LE5" s="59"/>
      <c r="LF5" s="59" t="s">
        <v>830</v>
      </c>
      <c r="LG5" s="3"/>
    </row>
    <row r="6" spans="1:323" x14ac:dyDescent="0.3">
      <c r="A6" s="104" t="s">
        <v>58</v>
      </c>
      <c r="B6" s="104">
        <v>5.0999999999999996</v>
      </c>
      <c r="C6" s="85" t="s">
        <v>480</v>
      </c>
      <c r="D6" s="85">
        <v>5.8</v>
      </c>
      <c r="E6" s="5" t="s">
        <v>255</v>
      </c>
      <c r="F6" s="5" t="s">
        <v>255</v>
      </c>
      <c r="G6" s="5"/>
      <c r="H6" s="5">
        <v>4</v>
      </c>
      <c r="I6" s="6" t="s">
        <v>92</v>
      </c>
      <c r="J6" s="6" t="s">
        <v>7</v>
      </c>
      <c r="K6" s="6"/>
      <c r="L6" s="6" t="s">
        <v>90</v>
      </c>
      <c r="M6" s="6" t="s">
        <v>90</v>
      </c>
      <c r="N6" s="213" t="s">
        <v>847</v>
      </c>
      <c r="O6" s="162">
        <f>SUM((W6*Tableau1[[#This Row],[IR_inter1]]),(AN6*Tableau1[[#This Row],[IR_inter2]]),(BC6*Tableau1[[#This Row],[IR_inter3]]),(Tableau1[[#This Row],[IR_freq4]]*BR6),(CG6*Tableau1[[#This Row],[IR_inter5]]))</f>
        <v>4.5</v>
      </c>
      <c r="P6" s="162">
        <f t="shared" si="0"/>
        <v>4.5</v>
      </c>
      <c r="Q6" s="162">
        <f t="shared" si="1"/>
        <v>1</v>
      </c>
      <c r="R6" s="162">
        <f t="shared" si="2"/>
        <v>30</v>
      </c>
      <c r="S6" s="11" t="s">
        <v>115</v>
      </c>
      <c r="T6" s="12">
        <v>1</v>
      </c>
      <c r="U6" s="12">
        <v>10</v>
      </c>
      <c r="V6" s="9">
        <v>15</v>
      </c>
      <c r="W6" s="11">
        <v>4</v>
      </c>
      <c r="X6" s="11" t="s">
        <v>11</v>
      </c>
      <c r="Y6" s="8" t="s">
        <v>13</v>
      </c>
      <c r="Z6" s="8" t="s">
        <v>14</v>
      </c>
      <c r="AA6" s="8" t="s">
        <v>15</v>
      </c>
      <c r="AB6" s="8"/>
      <c r="AC6" s="10" t="s">
        <v>20</v>
      </c>
      <c r="AD6" s="10" t="s">
        <v>19</v>
      </c>
      <c r="AE6" s="11"/>
      <c r="AF6" s="8"/>
      <c r="AG6" s="8"/>
      <c r="AH6" s="8"/>
      <c r="AI6" s="8"/>
      <c r="AJ6" s="15" t="s">
        <v>10</v>
      </c>
      <c r="AK6" s="98">
        <v>1</v>
      </c>
      <c r="AL6" s="17">
        <v>20</v>
      </c>
      <c r="AM6" s="14">
        <v>30</v>
      </c>
      <c r="AN6" s="17">
        <v>0.5</v>
      </c>
      <c r="AO6" s="15" t="s">
        <v>16</v>
      </c>
      <c r="AP6" s="15" t="s">
        <v>136</v>
      </c>
      <c r="AQ6" s="13"/>
      <c r="AR6" s="13"/>
      <c r="AS6" s="13"/>
      <c r="AT6" s="15" t="s">
        <v>119</v>
      </c>
      <c r="AU6" s="13"/>
      <c r="AV6" s="13"/>
      <c r="AW6" s="15" t="s">
        <v>7</v>
      </c>
      <c r="AX6" s="13"/>
      <c r="AY6" s="21"/>
      <c r="AZ6" s="24"/>
      <c r="BA6" s="22"/>
      <c r="BB6" s="19"/>
      <c r="BC6" s="22"/>
      <c r="BD6" s="21"/>
      <c r="BE6" s="21"/>
      <c r="BF6" s="21"/>
      <c r="BG6" s="21"/>
      <c r="BH6" s="21"/>
      <c r="BI6" s="21"/>
      <c r="BJ6" s="18"/>
      <c r="BK6" s="18"/>
      <c r="BL6" s="21"/>
      <c r="BM6" s="18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27"/>
      <c r="CD6" s="28"/>
      <c r="CE6" s="27"/>
      <c r="CF6" s="25"/>
      <c r="CG6" s="27"/>
      <c r="CH6" s="27"/>
      <c r="CI6" s="27"/>
      <c r="CJ6" s="27"/>
      <c r="CK6" s="27"/>
      <c r="CL6" s="27"/>
      <c r="CM6" s="25"/>
      <c r="CN6" s="169">
        <f t="shared" si="3"/>
        <v>2</v>
      </c>
      <c r="CO6" s="167">
        <f t="shared" si="4"/>
        <v>2</v>
      </c>
      <c r="CP6" s="31" t="s">
        <v>147</v>
      </c>
      <c r="CQ6" s="30">
        <v>1</v>
      </c>
      <c r="CR6" s="32">
        <v>5</v>
      </c>
      <c r="CS6" s="33">
        <v>5</v>
      </c>
      <c r="CT6" s="31">
        <v>3.5</v>
      </c>
      <c r="CU6" s="30"/>
      <c r="CV6" s="31" t="s">
        <v>18</v>
      </c>
      <c r="CW6" s="30" t="s">
        <v>11</v>
      </c>
      <c r="CX6" s="30" t="s">
        <v>13</v>
      </c>
      <c r="CY6" s="30" t="s">
        <v>14</v>
      </c>
      <c r="CZ6" s="30" t="s">
        <v>15</v>
      </c>
      <c r="DA6" s="31" t="s">
        <v>121</v>
      </c>
      <c r="DB6" s="31"/>
      <c r="DC6" s="31" t="s">
        <v>23</v>
      </c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167">
        <f t="shared" si="5"/>
        <v>0</v>
      </c>
      <c r="DP6" s="51">
        <v>0</v>
      </c>
      <c r="DQ6" s="51"/>
      <c r="DR6" s="49"/>
      <c r="DS6" s="51"/>
      <c r="DT6" s="51"/>
      <c r="DU6" s="51"/>
      <c r="DV6" s="52"/>
      <c r="DW6" s="44"/>
      <c r="DX6" s="44"/>
      <c r="DY6" s="44"/>
      <c r="DZ6" s="44"/>
      <c r="EA6" s="44"/>
      <c r="EB6" s="44"/>
      <c r="EC6" s="44"/>
      <c r="ED6" s="45"/>
      <c r="EE6" s="43" t="s">
        <v>155</v>
      </c>
      <c r="EF6" s="43" t="s">
        <v>8</v>
      </c>
      <c r="EG6" s="58">
        <v>1</v>
      </c>
      <c r="EH6" s="41"/>
      <c r="EI6" s="41"/>
      <c r="EJ6" s="41"/>
      <c r="EK6" s="43"/>
      <c r="EL6" s="43"/>
      <c r="EM6" s="43"/>
      <c r="EN6" s="165">
        <v>0</v>
      </c>
      <c r="EO6" s="8"/>
      <c r="EP6" s="11"/>
      <c r="EQ6" s="11"/>
      <c r="ER6" s="11"/>
      <c r="ES6" s="11"/>
      <c r="ET6" s="11"/>
      <c r="EU6" s="8"/>
      <c r="EV6" s="8"/>
      <c r="EW6" s="11"/>
      <c r="EX6" s="11"/>
      <c r="EY6" s="8"/>
      <c r="EZ6" s="13"/>
      <c r="FA6" s="13"/>
      <c r="FB6" s="13"/>
      <c r="FC6" s="13"/>
      <c r="FD6" s="13"/>
      <c r="FE6" s="13"/>
      <c r="FF6" s="13"/>
      <c r="FG6" s="13"/>
      <c r="FH6" s="13"/>
      <c r="FI6" s="166">
        <v>1</v>
      </c>
      <c r="FJ6" s="126" t="s">
        <v>29</v>
      </c>
      <c r="FK6" s="126" t="s">
        <v>187</v>
      </c>
      <c r="FL6" s="126" t="s">
        <v>7</v>
      </c>
      <c r="FM6" s="126" t="s">
        <v>7</v>
      </c>
      <c r="FN6" s="126" t="s">
        <v>7</v>
      </c>
      <c r="FO6" s="126">
        <v>0.5</v>
      </c>
      <c r="FP6" s="126" t="s">
        <v>7</v>
      </c>
      <c r="FQ6" s="126" t="s">
        <v>135</v>
      </c>
      <c r="FR6" s="126"/>
      <c r="FS6" s="126"/>
      <c r="FT6" s="126"/>
      <c r="FU6" s="151" t="s">
        <v>210</v>
      </c>
      <c r="FV6" s="151"/>
      <c r="FW6" s="43"/>
      <c r="FX6" s="43"/>
      <c r="FY6" s="41"/>
      <c r="FZ6" s="43"/>
      <c r="GA6" s="43"/>
      <c r="GB6" s="41"/>
      <c r="GC6" s="41"/>
      <c r="GD6" s="43"/>
      <c r="GE6" s="43"/>
      <c r="GF6" s="43"/>
      <c r="GG6" s="128" t="s">
        <v>218</v>
      </c>
      <c r="GH6" s="129"/>
      <c r="GI6" s="129"/>
      <c r="GJ6" s="128" t="s">
        <v>33</v>
      </c>
      <c r="GK6" s="129"/>
      <c r="GL6" s="128"/>
      <c r="GM6" s="128"/>
      <c r="GN6" s="128"/>
      <c r="GO6" s="129"/>
      <c r="GP6" s="128" t="s">
        <v>225</v>
      </c>
      <c r="GQ6" s="128">
        <v>1</v>
      </c>
      <c r="GR6" s="56" t="s">
        <v>134</v>
      </c>
      <c r="GS6" s="55"/>
      <c r="GT6" s="56"/>
      <c r="GU6" s="55"/>
      <c r="GV6" s="56"/>
      <c r="GW6" s="55"/>
      <c r="GX6" s="56"/>
      <c r="GY6" s="56" t="s">
        <v>24</v>
      </c>
      <c r="GZ6" s="55"/>
      <c r="HA6" s="55"/>
      <c r="HB6" s="55"/>
      <c r="HC6" s="55"/>
      <c r="HD6" s="55"/>
      <c r="HE6" s="55"/>
      <c r="HF6" s="170"/>
      <c r="HG6" s="172">
        <f t="shared" si="6"/>
        <v>0</v>
      </c>
      <c r="HH6" s="84" t="s">
        <v>24</v>
      </c>
      <c r="HI6" s="79"/>
      <c r="HJ6" s="76"/>
      <c r="HK6" s="76"/>
      <c r="HL6" s="76"/>
      <c r="HM6" s="76"/>
      <c r="HN6" s="76"/>
      <c r="HO6" s="79"/>
      <c r="HP6" s="79"/>
      <c r="HQ6" s="79"/>
      <c r="HR6" s="76"/>
      <c r="HS6" s="76"/>
      <c r="HT6" s="79"/>
      <c r="HU6" s="76"/>
      <c r="HV6" s="76"/>
      <c r="HW6" s="80"/>
      <c r="HX6" s="77"/>
      <c r="HY6" s="131">
        <f t="shared" si="7"/>
        <v>0</v>
      </c>
      <c r="HZ6" s="79"/>
      <c r="IA6" s="76" t="s">
        <v>892</v>
      </c>
      <c r="IB6" s="79"/>
      <c r="IC6" s="79"/>
      <c r="ID6" s="76"/>
      <c r="IE6" s="79"/>
      <c r="IF6" s="76"/>
      <c r="IG6" s="79"/>
      <c r="IH6" s="76"/>
      <c r="II6" s="76"/>
      <c r="IJ6" s="76"/>
      <c r="IK6" s="74"/>
      <c r="IL6" s="72"/>
      <c r="IM6" s="72"/>
      <c r="IN6" s="72"/>
      <c r="IO6" s="72"/>
      <c r="IP6" s="72"/>
      <c r="IQ6" s="72"/>
      <c r="IR6" s="72"/>
      <c r="IS6" s="72"/>
      <c r="IT6" s="72"/>
      <c r="IU6" s="72"/>
      <c r="IV6" s="72"/>
      <c r="IW6" s="72"/>
      <c r="IX6" s="73"/>
      <c r="IY6" s="73"/>
      <c r="IZ6" s="138">
        <f t="shared" si="8"/>
        <v>0</v>
      </c>
      <c r="JA6" s="72"/>
      <c r="JB6" s="72"/>
      <c r="JC6" s="72"/>
      <c r="JD6" s="72"/>
      <c r="JE6" s="72"/>
      <c r="JF6" s="72"/>
      <c r="JG6" s="72"/>
      <c r="JH6" s="72"/>
      <c r="JI6" s="72"/>
      <c r="JJ6" s="72"/>
      <c r="JK6" s="72"/>
      <c r="JL6" s="173">
        <v>1</v>
      </c>
      <c r="JM6" s="71" t="s">
        <v>9</v>
      </c>
      <c r="JN6" s="71" t="s">
        <v>24</v>
      </c>
      <c r="JO6" s="70" t="s">
        <v>15</v>
      </c>
      <c r="JP6" s="71" t="s">
        <v>16</v>
      </c>
      <c r="JQ6" s="71" t="s">
        <v>22</v>
      </c>
      <c r="JR6" s="71" t="s">
        <v>251</v>
      </c>
      <c r="JS6" s="70"/>
      <c r="JT6" s="71" t="s">
        <v>4</v>
      </c>
      <c r="JU6" s="71" t="s">
        <v>250</v>
      </c>
      <c r="JV6" s="71" t="s">
        <v>246</v>
      </c>
      <c r="JW6" s="71" t="s">
        <v>187</v>
      </c>
      <c r="JX6" s="71" t="s">
        <v>7</v>
      </c>
      <c r="JY6" s="71" t="s">
        <v>7</v>
      </c>
      <c r="JZ6" s="4" t="s">
        <v>9</v>
      </c>
      <c r="KA6" s="4">
        <v>50</v>
      </c>
      <c r="KB6" s="4">
        <v>50</v>
      </c>
      <c r="KC6" s="68" t="s">
        <v>7</v>
      </c>
      <c r="KD6" s="67"/>
      <c r="KE6" s="68">
        <v>20</v>
      </c>
      <c r="KF6" s="4" t="s">
        <v>255</v>
      </c>
      <c r="KG6" s="4" t="s">
        <v>98</v>
      </c>
      <c r="KH6" s="4" t="s">
        <v>7</v>
      </c>
      <c r="KI6" s="64" t="s">
        <v>258</v>
      </c>
      <c r="KJ6" s="63">
        <v>1</v>
      </c>
      <c r="KK6" s="63">
        <v>70</v>
      </c>
      <c r="KL6" s="64" t="s">
        <v>115</v>
      </c>
      <c r="KM6" s="63">
        <v>1</v>
      </c>
      <c r="KN6" s="63">
        <v>15</v>
      </c>
      <c r="KO6" s="63"/>
      <c r="KP6" s="63"/>
      <c r="KQ6" s="63"/>
      <c r="KR6" s="63"/>
      <c r="KS6" s="63"/>
      <c r="KT6" s="63"/>
      <c r="KU6" s="62" t="s">
        <v>24</v>
      </c>
      <c r="KV6" s="58">
        <v>0</v>
      </c>
      <c r="KW6" s="43"/>
      <c r="KX6" s="43"/>
      <c r="KY6" s="60" t="s">
        <v>9</v>
      </c>
      <c r="KZ6" s="59" t="s">
        <v>9</v>
      </c>
      <c r="LA6" s="60" t="s">
        <v>9</v>
      </c>
      <c r="LB6" s="59" t="s">
        <v>9</v>
      </c>
      <c r="LC6" s="60" t="s">
        <v>24</v>
      </c>
      <c r="LD6" s="60" t="s">
        <v>273</v>
      </c>
      <c r="LE6" s="59"/>
      <c r="LF6" s="59" t="s">
        <v>7</v>
      </c>
      <c r="LG6" s="3"/>
    </row>
    <row r="7" spans="1:323" x14ac:dyDescent="0.3">
      <c r="A7" s="104" t="s">
        <v>57</v>
      </c>
      <c r="B7" s="104">
        <v>6.1</v>
      </c>
      <c r="C7" s="85" t="s">
        <v>278</v>
      </c>
      <c r="D7" s="85">
        <v>26.9</v>
      </c>
      <c r="E7" s="5" t="s">
        <v>239</v>
      </c>
      <c r="F7" s="5" t="s">
        <v>218</v>
      </c>
      <c r="G7" s="5"/>
      <c r="H7" s="5">
        <v>1</v>
      </c>
      <c r="I7" s="6" t="s">
        <v>91</v>
      </c>
      <c r="J7" s="6" t="s">
        <v>7</v>
      </c>
      <c r="K7" s="6" t="s">
        <v>95</v>
      </c>
      <c r="L7" s="6" t="s">
        <v>113</v>
      </c>
      <c r="M7" s="6" t="s">
        <v>93</v>
      </c>
      <c r="N7" s="213" t="s">
        <v>847</v>
      </c>
      <c r="O7" s="162">
        <f>SUM((W7*Tableau1[[#This Row],[IR_inter1]]),(AN7*Tableau1[[#This Row],[IR_inter2]]),(BC7*Tableau1[[#This Row],[IR_inter3]]),(Tableau1[[#This Row],[IR_freq4]]*BR7),(CG7*Tableau1[[#This Row],[IR_inter5]]))</f>
        <v>4.5</v>
      </c>
      <c r="P7" s="162">
        <f t="shared" si="0"/>
        <v>4.5</v>
      </c>
      <c r="Q7" s="162">
        <f t="shared" si="1"/>
        <v>1</v>
      </c>
      <c r="R7" s="162">
        <f t="shared" si="2"/>
        <v>50</v>
      </c>
      <c r="S7" s="11" t="s">
        <v>131</v>
      </c>
      <c r="T7" s="12">
        <v>1</v>
      </c>
      <c r="U7" s="12">
        <v>10</v>
      </c>
      <c r="V7" s="9">
        <v>15</v>
      </c>
      <c r="W7" s="11">
        <v>2</v>
      </c>
      <c r="X7" s="11" t="s">
        <v>18</v>
      </c>
      <c r="Y7" s="8" t="s">
        <v>11</v>
      </c>
      <c r="Z7" s="8" t="s">
        <v>13</v>
      </c>
      <c r="AA7" s="8" t="s">
        <v>14</v>
      </c>
      <c r="AB7" s="8" t="s">
        <v>16</v>
      </c>
      <c r="AC7" s="10" t="s">
        <v>20</v>
      </c>
      <c r="AD7" s="10" t="s">
        <v>19</v>
      </c>
      <c r="AE7" s="11"/>
      <c r="AF7" s="8"/>
      <c r="AG7" s="8"/>
      <c r="AH7" s="8"/>
      <c r="AI7" s="8"/>
      <c r="AJ7" s="15" t="s">
        <v>10</v>
      </c>
      <c r="AK7" s="97">
        <v>1</v>
      </c>
      <c r="AL7" s="17">
        <v>30</v>
      </c>
      <c r="AM7" s="14">
        <v>50</v>
      </c>
      <c r="AN7" s="17">
        <v>1</v>
      </c>
      <c r="AO7" s="15" t="s">
        <v>28</v>
      </c>
      <c r="AP7" s="13"/>
      <c r="AQ7" s="13"/>
      <c r="AR7" s="13"/>
      <c r="AS7" s="13"/>
      <c r="AT7" s="15" t="s">
        <v>119</v>
      </c>
      <c r="AU7" s="13"/>
      <c r="AV7" s="13"/>
      <c r="AW7" s="15" t="s">
        <v>7</v>
      </c>
      <c r="AX7" s="13"/>
      <c r="AY7" s="21" t="s">
        <v>131</v>
      </c>
      <c r="AZ7" s="23">
        <v>1</v>
      </c>
      <c r="BA7" s="22">
        <v>20</v>
      </c>
      <c r="BB7" s="19">
        <v>20</v>
      </c>
      <c r="BC7" s="22">
        <v>1.5</v>
      </c>
      <c r="BD7" s="21" t="s">
        <v>7</v>
      </c>
      <c r="BE7" s="21"/>
      <c r="BF7" s="21"/>
      <c r="BG7" s="21"/>
      <c r="BH7" s="21"/>
      <c r="BI7" s="21" t="s">
        <v>119</v>
      </c>
      <c r="BJ7" s="18"/>
      <c r="BK7" s="18"/>
      <c r="BL7" s="21" t="s">
        <v>144</v>
      </c>
      <c r="BM7" s="18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27"/>
      <c r="CD7" s="28"/>
      <c r="CE7" s="27"/>
      <c r="CF7" s="25"/>
      <c r="CG7" s="27"/>
      <c r="CH7" s="27"/>
      <c r="CI7" s="27"/>
      <c r="CJ7" s="27"/>
      <c r="CK7" s="27"/>
      <c r="CL7" s="27"/>
      <c r="CM7" s="25"/>
      <c r="CN7" s="169">
        <f t="shared" si="3"/>
        <v>3</v>
      </c>
      <c r="CO7" s="167">
        <f t="shared" si="4"/>
        <v>2</v>
      </c>
      <c r="CP7" s="31" t="s">
        <v>147</v>
      </c>
      <c r="CQ7" s="30">
        <v>1</v>
      </c>
      <c r="CR7" s="32">
        <v>5</v>
      </c>
      <c r="CS7" s="33">
        <v>5</v>
      </c>
      <c r="CT7" s="31">
        <v>2</v>
      </c>
      <c r="CU7" s="30"/>
      <c r="CV7" s="31" t="s">
        <v>18</v>
      </c>
      <c r="CW7" s="30" t="s">
        <v>11</v>
      </c>
      <c r="CX7" s="30"/>
      <c r="CY7" s="30"/>
      <c r="CZ7" s="30"/>
      <c r="DA7" s="30"/>
      <c r="DB7" s="30"/>
      <c r="DC7" s="30"/>
      <c r="DD7" s="36"/>
      <c r="DE7" s="37"/>
      <c r="DF7" s="37"/>
      <c r="DG7" s="37"/>
      <c r="DH7" s="36"/>
      <c r="DI7" s="36"/>
      <c r="DJ7" s="36"/>
      <c r="DK7" s="36"/>
      <c r="DL7" s="36"/>
      <c r="DM7" s="36"/>
      <c r="DN7" s="36"/>
      <c r="DO7" s="167">
        <f t="shared" si="5"/>
        <v>1</v>
      </c>
      <c r="DP7" s="51">
        <v>1</v>
      </c>
      <c r="DQ7" s="51" t="s">
        <v>18</v>
      </c>
      <c r="DR7" s="49"/>
      <c r="DS7" s="51" t="s">
        <v>227</v>
      </c>
      <c r="DT7" s="51" t="s">
        <v>150</v>
      </c>
      <c r="DU7" s="51">
        <v>480</v>
      </c>
      <c r="DV7" s="52" t="s">
        <v>7</v>
      </c>
      <c r="DW7" s="44"/>
      <c r="DX7" s="44"/>
      <c r="DY7" s="44"/>
      <c r="DZ7" s="44"/>
      <c r="EA7" s="44"/>
      <c r="EB7" s="44"/>
      <c r="EC7" s="44"/>
      <c r="ED7" s="45"/>
      <c r="EE7" s="43" t="s">
        <v>155</v>
      </c>
      <c r="EF7" s="43" t="s">
        <v>8</v>
      </c>
      <c r="EG7" s="58">
        <v>1</v>
      </c>
      <c r="EH7" s="41"/>
      <c r="EI7" s="41"/>
      <c r="EJ7" s="41"/>
      <c r="EK7" s="43"/>
      <c r="EL7" s="43"/>
      <c r="EM7" s="43"/>
      <c r="EN7" s="165">
        <v>1</v>
      </c>
      <c r="EO7" s="8" t="s">
        <v>159</v>
      </c>
      <c r="EP7" s="11" t="s">
        <v>160</v>
      </c>
      <c r="EQ7" s="11" t="s">
        <v>7</v>
      </c>
      <c r="ER7" s="11" t="s">
        <v>7</v>
      </c>
      <c r="ES7" s="11">
        <v>1</v>
      </c>
      <c r="ET7" s="11">
        <v>10000</v>
      </c>
      <c r="EU7" s="11" t="s">
        <v>175</v>
      </c>
      <c r="EV7" s="8">
        <v>2</v>
      </c>
      <c r="EW7" s="11" t="s">
        <v>37</v>
      </c>
      <c r="EX7" s="11" t="s">
        <v>171</v>
      </c>
      <c r="EY7" s="8"/>
      <c r="EZ7" s="13"/>
      <c r="FA7" s="13"/>
      <c r="FB7" s="13"/>
      <c r="FC7" s="13"/>
      <c r="FD7" s="13"/>
      <c r="FE7" s="13"/>
      <c r="FF7" s="13"/>
      <c r="FG7" s="13"/>
      <c r="FH7" s="13"/>
      <c r="FI7" s="166">
        <v>3</v>
      </c>
      <c r="FJ7" s="126" t="s">
        <v>29</v>
      </c>
      <c r="FK7" s="126" t="s">
        <v>7</v>
      </c>
      <c r="FL7" s="126" t="s">
        <v>7</v>
      </c>
      <c r="FM7" s="126" t="s">
        <v>7</v>
      </c>
      <c r="FN7" s="126" t="s">
        <v>7</v>
      </c>
      <c r="FO7" s="126">
        <v>0.5</v>
      </c>
      <c r="FP7" s="126">
        <v>1000</v>
      </c>
      <c r="FQ7" s="126" t="s">
        <v>134</v>
      </c>
      <c r="FR7" s="126" t="s">
        <v>207</v>
      </c>
      <c r="FS7" s="126"/>
      <c r="FT7" s="126"/>
      <c r="FU7" s="151" t="s">
        <v>21</v>
      </c>
      <c r="FV7" s="151"/>
      <c r="FW7" s="43" t="s">
        <v>178</v>
      </c>
      <c r="FX7" s="43" t="s">
        <v>7</v>
      </c>
      <c r="FY7" s="43" t="s">
        <v>7</v>
      </c>
      <c r="FZ7" s="43" t="s">
        <v>7</v>
      </c>
      <c r="GA7" s="43">
        <v>0.5</v>
      </c>
      <c r="GB7" s="41">
        <v>400</v>
      </c>
      <c r="GC7" s="41"/>
      <c r="GD7" s="41"/>
      <c r="GE7" s="54" t="s">
        <v>21</v>
      </c>
      <c r="GF7" s="41"/>
      <c r="GG7" s="128" t="s">
        <v>217</v>
      </c>
      <c r="GH7" s="129"/>
      <c r="GI7" s="129"/>
      <c r="GJ7" s="128" t="s">
        <v>33</v>
      </c>
      <c r="GK7" s="129"/>
      <c r="GL7" s="128" t="s">
        <v>34</v>
      </c>
      <c r="GM7" s="128"/>
      <c r="GN7" s="128"/>
      <c r="GO7" s="129"/>
      <c r="GP7" s="128" t="s">
        <v>35</v>
      </c>
      <c r="GQ7" s="128">
        <v>2</v>
      </c>
      <c r="GR7" s="56" t="s">
        <v>16</v>
      </c>
      <c r="GS7" s="55" t="s">
        <v>230</v>
      </c>
      <c r="GT7" s="56"/>
      <c r="GU7" s="56" t="s">
        <v>225</v>
      </c>
      <c r="GV7" s="56"/>
      <c r="GW7" s="55"/>
      <c r="GX7" s="56"/>
      <c r="GY7" s="56" t="s">
        <v>24</v>
      </c>
      <c r="GZ7" s="55"/>
      <c r="HA7" s="55"/>
      <c r="HB7" s="55"/>
      <c r="HC7" s="55"/>
      <c r="HD7" s="55"/>
      <c r="HE7" s="55"/>
      <c r="HF7" s="170"/>
      <c r="HG7" s="172">
        <f t="shared" si="6"/>
        <v>225</v>
      </c>
      <c r="HH7" s="84" t="s">
        <v>9</v>
      </c>
      <c r="HI7" s="79">
        <v>1</v>
      </c>
      <c r="HJ7" s="76" t="s">
        <v>206</v>
      </c>
      <c r="HK7" s="76"/>
      <c r="HL7" s="76"/>
      <c r="HM7" s="76"/>
      <c r="HN7" s="76"/>
      <c r="HO7" s="79" t="s">
        <v>236</v>
      </c>
      <c r="HP7" s="79" t="s">
        <v>239</v>
      </c>
      <c r="HQ7" s="79" t="s">
        <v>37</v>
      </c>
      <c r="HR7" s="79" t="s">
        <v>4</v>
      </c>
      <c r="HS7" s="79"/>
      <c r="HT7" s="79" t="s">
        <v>38</v>
      </c>
      <c r="HU7" s="79" t="s">
        <v>245</v>
      </c>
      <c r="HV7" s="76"/>
      <c r="HW7" s="81">
        <v>5</v>
      </c>
      <c r="HX7" s="77">
        <v>10</v>
      </c>
      <c r="HY7" s="131">
        <f t="shared" si="7"/>
        <v>7.5</v>
      </c>
      <c r="HZ7" s="79" t="s">
        <v>39</v>
      </c>
      <c r="IA7" s="76" t="s">
        <v>40</v>
      </c>
      <c r="IB7" s="79" t="s">
        <v>249</v>
      </c>
      <c r="IC7" s="79">
        <v>1</v>
      </c>
      <c r="ID7" s="76">
        <v>2</v>
      </c>
      <c r="IE7" s="79">
        <v>2</v>
      </c>
      <c r="IF7" s="76">
        <v>2</v>
      </c>
      <c r="IG7" s="79">
        <v>7</v>
      </c>
      <c r="IH7" s="76">
        <v>7</v>
      </c>
      <c r="II7" s="76">
        <f t="shared" ref="II7:IJ9" si="9">SUM(IC7,IE7,IG7)</f>
        <v>10</v>
      </c>
      <c r="IJ7" s="76">
        <f t="shared" si="9"/>
        <v>11</v>
      </c>
      <c r="IK7" s="74">
        <v>2</v>
      </c>
      <c r="IL7" s="72" t="s">
        <v>13</v>
      </c>
      <c r="IM7" s="72" t="s">
        <v>14</v>
      </c>
      <c r="IN7" s="72" t="s">
        <v>16</v>
      </c>
      <c r="IO7" s="72"/>
      <c r="IP7" s="74" t="s">
        <v>236</v>
      </c>
      <c r="IQ7" s="74" t="s">
        <v>239</v>
      </c>
      <c r="IR7" s="74" t="s">
        <v>37</v>
      </c>
      <c r="IS7" s="74" t="s">
        <v>4</v>
      </c>
      <c r="IT7" s="74" t="s">
        <v>245</v>
      </c>
      <c r="IU7" s="74" t="s">
        <v>38</v>
      </c>
      <c r="IV7" s="74" t="s">
        <v>245</v>
      </c>
      <c r="IW7" s="72"/>
      <c r="IX7" s="75">
        <v>5</v>
      </c>
      <c r="IY7" s="73">
        <v>10</v>
      </c>
      <c r="IZ7" s="138">
        <f t="shared" si="8"/>
        <v>7.5</v>
      </c>
      <c r="JA7" s="74" t="s">
        <v>39</v>
      </c>
      <c r="JB7" s="72" t="s">
        <v>40</v>
      </c>
      <c r="JC7" s="74" t="s">
        <v>249</v>
      </c>
      <c r="JD7" s="74">
        <v>1</v>
      </c>
      <c r="JE7" s="72">
        <v>2</v>
      </c>
      <c r="JF7" s="74">
        <v>2</v>
      </c>
      <c r="JG7" s="72">
        <v>2</v>
      </c>
      <c r="JH7" s="74">
        <v>7</v>
      </c>
      <c r="JI7" s="72">
        <v>7</v>
      </c>
      <c r="JJ7" s="72">
        <f>SUM(JD7,JF7,JH7)</f>
        <v>10</v>
      </c>
      <c r="JK7" s="72">
        <f>SUM(JE7,JG7,JI7)</f>
        <v>11</v>
      </c>
      <c r="JL7" s="173">
        <v>0</v>
      </c>
      <c r="JM7" s="71" t="s">
        <v>24</v>
      </c>
      <c r="JN7" s="71" t="s">
        <v>24</v>
      </c>
      <c r="JO7" s="70"/>
      <c r="JP7" s="71"/>
      <c r="JQ7" s="71"/>
      <c r="JR7" s="71"/>
      <c r="JS7" s="70"/>
      <c r="JT7" s="71"/>
      <c r="JU7" s="70"/>
      <c r="JV7" s="70"/>
      <c r="JW7" s="71"/>
      <c r="JX7" s="71"/>
      <c r="JY7" s="71"/>
      <c r="JZ7" s="4" t="s">
        <v>9</v>
      </c>
      <c r="KA7" s="4">
        <v>40</v>
      </c>
      <c r="KB7" s="4">
        <v>40</v>
      </c>
      <c r="KC7" s="68">
        <v>4.5</v>
      </c>
      <c r="KD7" s="67">
        <v>4.5</v>
      </c>
      <c r="KE7" s="68">
        <v>50</v>
      </c>
      <c r="KF7" s="4" t="s">
        <v>255</v>
      </c>
      <c r="KG7" s="4"/>
      <c r="KH7" s="4">
        <v>150</v>
      </c>
      <c r="KI7" s="64" t="s">
        <v>259</v>
      </c>
      <c r="KJ7" s="63">
        <v>1</v>
      </c>
      <c r="KK7" s="63">
        <v>45</v>
      </c>
      <c r="KL7" s="63" t="s">
        <v>10</v>
      </c>
      <c r="KM7" s="63">
        <v>1</v>
      </c>
      <c r="KN7" s="63">
        <v>35</v>
      </c>
      <c r="KO7" s="63" t="s">
        <v>114</v>
      </c>
      <c r="KP7" s="63">
        <v>1</v>
      </c>
      <c r="KQ7" s="63">
        <v>30</v>
      </c>
      <c r="KR7" s="63" t="s">
        <v>17</v>
      </c>
      <c r="KS7" s="63">
        <v>1</v>
      </c>
      <c r="KT7" s="63">
        <v>10</v>
      </c>
      <c r="KU7" s="62" t="s">
        <v>9</v>
      </c>
      <c r="KV7" s="58">
        <v>3</v>
      </c>
      <c r="KW7" s="43" t="s">
        <v>266</v>
      </c>
      <c r="KX7" s="43" t="s">
        <v>7</v>
      </c>
      <c r="KY7" s="60" t="s">
        <v>24</v>
      </c>
      <c r="KZ7" s="60" t="s">
        <v>9</v>
      </c>
      <c r="LA7" s="60" t="s">
        <v>7</v>
      </c>
      <c r="LB7" s="60" t="s">
        <v>7</v>
      </c>
      <c r="LC7" s="60" t="s">
        <v>24</v>
      </c>
      <c r="LD7" s="60" t="s">
        <v>144</v>
      </c>
      <c r="LE7" s="60" t="s">
        <v>272</v>
      </c>
      <c r="LF7" s="60" t="s">
        <v>224</v>
      </c>
      <c r="LG7" s="3"/>
    </row>
    <row r="8" spans="1:323" x14ac:dyDescent="0.3">
      <c r="A8" s="204" t="s">
        <v>55</v>
      </c>
      <c r="B8" s="204">
        <v>7.1</v>
      </c>
      <c r="C8" s="86" t="s">
        <v>277</v>
      </c>
      <c r="D8" s="86">
        <v>12</v>
      </c>
      <c r="E8" s="5"/>
      <c r="F8" s="5" t="s">
        <v>514</v>
      </c>
      <c r="G8" s="5"/>
      <c r="H8" s="5">
        <v>3</v>
      </c>
      <c r="I8" s="6" t="s">
        <v>106</v>
      </c>
      <c r="J8" s="5"/>
      <c r="K8" s="5" t="s">
        <v>95</v>
      </c>
      <c r="L8" s="5" t="s">
        <v>113</v>
      </c>
      <c r="M8" s="5" t="s">
        <v>93</v>
      </c>
      <c r="N8" s="213" t="s">
        <v>845</v>
      </c>
      <c r="O8" s="162">
        <f>SUM((W8*Tableau1[[#This Row],[IR_inter1]]),(AN8*Tableau1[[#This Row],[IR_inter2]]),(BC8*Tableau1[[#This Row],[IR_inter3]]),(Tableau1[[#This Row],[IR_freq4]]*BR8),(CG8*Tableau1[[#This Row],[IR_inter5]]))</f>
        <v>6.5</v>
      </c>
      <c r="P8" s="162">
        <f t="shared" si="0"/>
        <v>6.5</v>
      </c>
      <c r="Q8" s="162">
        <f t="shared" si="1"/>
        <v>1</v>
      </c>
      <c r="R8" s="162">
        <f t="shared" si="2"/>
        <v>40</v>
      </c>
      <c r="S8" s="8" t="s">
        <v>114</v>
      </c>
      <c r="T8" s="9">
        <v>1</v>
      </c>
      <c r="U8" s="9">
        <v>40</v>
      </c>
      <c r="V8" s="9">
        <v>40</v>
      </c>
      <c r="W8" s="8">
        <v>1</v>
      </c>
      <c r="X8" s="8" t="s">
        <v>28</v>
      </c>
      <c r="Y8" s="8"/>
      <c r="Z8" s="8"/>
      <c r="AA8" s="8"/>
      <c r="AB8" s="8"/>
      <c r="AC8" s="8" t="s">
        <v>123</v>
      </c>
      <c r="AD8" s="8"/>
      <c r="AE8" s="8"/>
      <c r="AF8" s="8"/>
      <c r="AG8" s="8" t="s">
        <v>40</v>
      </c>
      <c r="AH8" s="8"/>
      <c r="AI8" s="8"/>
      <c r="AJ8" s="15" t="s">
        <v>131</v>
      </c>
      <c r="AK8" s="14">
        <v>1</v>
      </c>
      <c r="AL8" s="14">
        <v>15</v>
      </c>
      <c r="AM8" s="14">
        <v>15</v>
      </c>
      <c r="AN8" s="13">
        <v>3.5</v>
      </c>
      <c r="AO8" s="13" t="s">
        <v>13</v>
      </c>
      <c r="AP8" s="13" t="s">
        <v>14</v>
      </c>
      <c r="AQ8" s="13" t="s">
        <v>15</v>
      </c>
      <c r="AR8" s="13"/>
      <c r="AS8" s="13"/>
      <c r="AT8" s="13" t="s">
        <v>119</v>
      </c>
      <c r="AU8" s="13"/>
      <c r="AV8" s="13" t="s">
        <v>2</v>
      </c>
      <c r="AW8" s="13"/>
      <c r="AX8" s="13"/>
      <c r="AY8" s="18" t="s">
        <v>17</v>
      </c>
      <c r="AZ8" s="19">
        <v>1</v>
      </c>
      <c r="BA8" s="19">
        <v>20</v>
      </c>
      <c r="BB8" s="19">
        <v>20</v>
      </c>
      <c r="BC8" s="19">
        <v>2</v>
      </c>
      <c r="BD8" s="18" t="s">
        <v>28</v>
      </c>
      <c r="BE8" s="18"/>
      <c r="BF8" s="18"/>
      <c r="BG8" s="18"/>
      <c r="BH8" s="18"/>
      <c r="BI8" s="18" t="s">
        <v>124</v>
      </c>
      <c r="BJ8" s="18"/>
      <c r="BK8" s="18"/>
      <c r="BL8" s="18" t="s">
        <v>21</v>
      </c>
      <c r="BM8" s="18" t="s">
        <v>129</v>
      </c>
      <c r="BN8" s="99"/>
      <c r="BO8" s="100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25"/>
      <c r="CD8" s="26"/>
      <c r="CE8" s="25"/>
      <c r="CF8" s="25"/>
      <c r="CG8" s="25"/>
      <c r="CH8" s="25"/>
      <c r="CI8" s="25"/>
      <c r="CJ8" s="25"/>
      <c r="CK8" s="25"/>
      <c r="CL8" s="25"/>
      <c r="CM8" s="25"/>
      <c r="CN8" s="169">
        <f t="shared" si="3"/>
        <v>2</v>
      </c>
      <c r="CO8" s="167">
        <f t="shared" si="4"/>
        <v>2</v>
      </c>
      <c r="CP8" s="30" t="s">
        <v>147</v>
      </c>
      <c r="CQ8" s="30"/>
      <c r="CR8" s="30">
        <v>5</v>
      </c>
      <c r="CS8" s="30">
        <v>10</v>
      </c>
      <c r="CT8" s="30">
        <v>2</v>
      </c>
      <c r="CU8" s="30"/>
      <c r="CV8" s="30" t="s">
        <v>28</v>
      </c>
      <c r="CW8" s="30" t="s">
        <v>14</v>
      </c>
      <c r="CX8" s="30" t="s">
        <v>15</v>
      </c>
      <c r="CY8" s="30"/>
      <c r="CZ8" s="30"/>
      <c r="DA8" s="30"/>
      <c r="DB8" s="30"/>
      <c r="DC8" s="30" t="s">
        <v>38</v>
      </c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167">
        <f t="shared" si="5"/>
        <v>0</v>
      </c>
      <c r="DP8" s="51">
        <v>0</v>
      </c>
      <c r="DQ8" s="51"/>
      <c r="DR8" s="49"/>
      <c r="DS8" s="51"/>
      <c r="DT8" s="51"/>
      <c r="DU8" s="51"/>
      <c r="DV8" s="50"/>
      <c r="DW8" s="44"/>
      <c r="DX8" s="44"/>
      <c r="DY8" s="44"/>
      <c r="DZ8" s="44"/>
      <c r="EA8" s="44"/>
      <c r="EB8" s="44"/>
      <c r="EC8" s="44"/>
      <c r="ED8" s="44"/>
      <c r="EE8" s="43" t="s">
        <v>155</v>
      </c>
      <c r="EF8" s="43" t="s">
        <v>8</v>
      </c>
      <c r="EG8" s="160">
        <v>1</v>
      </c>
      <c r="EH8" s="41"/>
      <c r="EI8" s="41"/>
      <c r="EJ8" s="41"/>
      <c r="EK8" s="41"/>
      <c r="EL8" s="41"/>
      <c r="EM8" s="41"/>
      <c r="EN8" s="164">
        <v>0</v>
      </c>
      <c r="EO8" s="8" t="s">
        <v>26</v>
      </c>
      <c r="EP8" s="8"/>
      <c r="EQ8" s="8"/>
      <c r="ER8" s="8"/>
      <c r="ES8" s="8"/>
      <c r="ET8" s="8"/>
      <c r="EU8" s="8"/>
      <c r="EV8" s="8"/>
      <c r="EW8" s="8"/>
      <c r="EX8" s="8"/>
      <c r="EY8" s="8"/>
      <c r="EZ8" s="13"/>
      <c r="FA8" s="13"/>
      <c r="FB8" s="13"/>
      <c r="FC8" s="13"/>
      <c r="FD8" s="13"/>
      <c r="FE8" s="13"/>
      <c r="FF8" s="13"/>
      <c r="FG8" s="13"/>
      <c r="FH8" s="13"/>
      <c r="FI8" s="166">
        <v>2</v>
      </c>
      <c r="FJ8" s="151" t="s">
        <v>159</v>
      </c>
      <c r="FK8" s="151" t="s">
        <v>7</v>
      </c>
      <c r="FL8" s="152" t="s">
        <v>7</v>
      </c>
      <c r="FM8" s="151" t="s">
        <v>7</v>
      </c>
      <c r="FN8" s="151" t="s">
        <v>168</v>
      </c>
      <c r="FO8" s="151">
        <v>1</v>
      </c>
      <c r="FP8" s="151" t="s">
        <v>7</v>
      </c>
      <c r="FQ8" s="151" t="s">
        <v>14</v>
      </c>
      <c r="FR8" s="151" t="s">
        <v>207</v>
      </c>
      <c r="FS8" s="151"/>
      <c r="FT8" s="151"/>
      <c r="FU8" s="151"/>
      <c r="FV8" s="15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129"/>
      <c r="GH8" s="129"/>
      <c r="GI8" s="129"/>
      <c r="GJ8" s="129" t="s">
        <v>26</v>
      </c>
      <c r="GK8" s="129"/>
      <c r="GL8" s="129"/>
      <c r="GM8" s="129"/>
      <c r="GN8" s="129"/>
      <c r="GO8" s="129"/>
      <c r="GP8" s="129"/>
      <c r="GQ8" s="129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5"/>
      <c r="HD8" s="55"/>
      <c r="HE8" s="55"/>
      <c r="HF8" s="170"/>
      <c r="HG8" s="172">
        <f t="shared" si="6"/>
        <v>112.5</v>
      </c>
      <c r="HH8" s="82" t="s">
        <v>9</v>
      </c>
      <c r="HI8" s="76">
        <v>1</v>
      </c>
      <c r="HJ8" s="76" t="s">
        <v>206</v>
      </c>
      <c r="HK8" s="76" t="s">
        <v>135</v>
      </c>
      <c r="HL8" s="76" t="s">
        <v>18</v>
      </c>
      <c r="HM8" s="76"/>
      <c r="HN8" s="76"/>
      <c r="HO8" s="76"/>
      <c r="HP8" s="76" t="s">
        <v>36</v>
      </c>
      <c r="HQ8" s="76" t="s">
        <v>37</v>
      </c>
      <c r="HR8" s="76" t="s">
        <v>4</v>
      </c>
      <c r="HS8" s="76"/>
      <c r="HT8" s="76" t="s">
        <v>221</v>
      </c>
      <c r="HU8" s="76"/>
      <c r="HV8" s="76"/>
      <c r="HW8" s="77"/>
      <c r="HX8" s="77"/>
      <c r="HY8" s="131">
        <f t="shared" si="7"/>
        <v>0</v>
      </c>
      <c r="HZ8" s="76" t="s">
        <v>39</v>
      </c>
      <c r="IA8" s="76" t="s">
        <v>248</v>
      </c>
      <c r="IB8" s="76" t="s">
        <v>249</v>
      </c>
      <c r="IC8" s="76">
        <v>3</v>
      </c>
      <c r="ID8" s="76">
        <v>3</v>
      </c>
      <c r="IE8" s="76">
        <v>2</v>
      </c>
      <c r="IF8" s="76">
        <v>2</v>
      </c>
      <c r="IG8" s="76">
        <v>3</v>
      </c>
      <c r="IH8" s="76">
        <v>3</v>
      </c>
      <c r="II8" s="76">
        <f t="shared" si="9"/>
        <v>8</v>
      </c>
      <c r="IJ8" s="76">
        <f t="shared" si="9"/>
        <v>8</v>
      </c>
      <c r="IK8" s="72">
        <v>1.5</v>
      </c>
      <c r="IL8" s="72" t="s">
        <v>15</v>
      </c>
      <c r="IM8" s="72" t="s">
        <v>16</v>
      </c>
      <c r="IN8" s="72" t="s">
        <v>22</v>
      </c>
      <c r="IO8" s="72"/>
      <c r="IP8" s="72" t="s">
        <v>235</v>
      </c>
      <c r="IQ8" s="72" t="s">
        <v>36</v>
      </c>
      <c r="IR8" s="72" t="s">
        <v>37</v>
      </c>
      <c r="IS8" s="72" t="s">
        <v>4</v>
      </c>
      <c r="IT8" s="72"/>
      <c r="IU8" s="72" t="s">
        <v>221</v>
      </c>
      <c r="IV8" s="72"/>
      <c r="IW8" s="72"/>
      <c r="IX8" s="73">
        <v>5</v>
      </c>
      <c r="IY8" s="73">
        <v>10</v>
      </c>
      <c r="IZ8" s="138">
        <f t="shared" si="8"/>
        <v>7.5</v>
      </c>
      <c r="JA8" s="72" t="s">
        <v>39</v>
      </c>
      <c r="JB8" s="72" t="s">
        <v>248</v>
      </c>
      <c r="JC8" s="72" t="s">
        <v>249</v>
      </c>
      <c r="JD8" s="72">
        <v>3</v>
      </c>
      <c r="JE8" s="72">
        <v>3</v>
      </c>
      <c r="JF8" s="72">
        <v>2</v>
      </c>
      <c r="JG8" s="72">
        <v>2</v>
      </c>
      <c r="JH8" s="72">
        <v>3</v>
      </c>
      <c r="JI8" s="72">
        <v>3</v>
      </c>
      <c r="JJ8" s="72"/>
      <c r="JK8" s="72"/>
      <c r="JL8" s="173">
        <v>0</v>
      </c>
      <c r="JM8" s="70" t="s">
        <v>24</v>
      </c>
      <c r="JN8" s="70" t="s">
        <v>24</v>
      </c>
      <c r="JO8" s="70"/>
      <c r="JP8" s="70"/>
      <c r="JQ8" s="70"/>
      <c r="JR8" s="70"/>
      <c r="JS8" s="70"/>
      <c r="JT8" s="70"/>
      <c r="JU8" s="70"/>
      <c r="JV8" s="70"/>
      <c r="JW8" s="70"/>
      <c r="JX8" s="70"/>
      <c r="JY8" s="70"/>
      <c r="JZ8" s="65" t="s">
        <v>9</v>
      </c>
      <c r="KA8" s="65">
        <v>40</v>
      </c>
      <c r="KB8" s="65">
        <v>40</v>
      </c>
      <c r="KC8" s="67">
        <v>4</v>
      </c>
      <c r="KD8" s="67">
        <v>4</v>
      </c>
      <c r="KE8" s="67">
        <v>50</v>
      </c>
      <c r="KF8" s="65" t="s">
        <v>256</v>
      </c>
      <c r="KG8" s="65" t="s">
        <v>33</v>
      </c>
      <c r="KH8" s="65"/>
      <c r="KI8" s="63" t="s">
        <v>259</v>
      </c>
      <c r="KJ8" s="63">
        <v>1</v>
      </c>
      <c r="KK8" s="63">
        <v>50</v>
      </c>
      <c r="KL8" s="63" t="s">
        <v>10</v>
      </c>
      <c r="KM8" s="63">
        <v>1</v>
      </c>
      <c r="KN8" s="63">
        <v>30</v>
      </c>
      <c r="KO8" s="63"/>
      <c r="KP8" s="63"/>
      <c r="KQ8" s="63"/>
      <c r="KR8" s="63"/>
      <c r="KS8" s="63"/>
      <c r="KT8" s="63"/>
      <c r="KU8" s="61" t="s">
        <v>9</v>
      </c>
      <c r="KV8" s="58">
        <v>0</v>
      </c>
      <c r="KW8" s="41"/>
      <c r="KX8" s="41"/>
      <c r="KY8" s="59" t="s">
        <v>24</v>
      </c>
      <c r="KZ8" s="59" t="s">
        <v>9</v>
      </c>
      <c r="LA8" s="59" t="s">
        <v>24</v>
      </c>
      <c r="LB8" s="59" t="s">
        <v>9</v>
      </c>
      <c r="LC8" s="59" t="s">
        <v>24</v>
      </c>
      <c r="LD8" s="59" t="s">
        <v>272</v>
      </c>
      <c r="LE8" s="59"/>
      <c r="LF8" s="59"/>
      <c r="LG8" s="3"/>
    </row>
    <row r="9" spans="1:323" x14ac:dyDescent="0.3">
      <c r="A9" s="204" t="s">
        <v>56</v>
      </c>
      <c r="B9" s="204">
        <v>7.2</v>
      </c>
      <c r="C9" s="86" t="s">
        <v>479</v>
      </c>
      <c r="D9" s="86">
        <v>6</v>
      </c>
      <c r="E9" s="5" t="s">
        <v>241</v>
      </c>
      <c r="F9" s="5" t="s">
        <v>499</v>
      </c>
      <c r="G9" s="5"/>
      <c r="H9" s="5">
        <v>3</v>
      </c>
      <c r="I9" s="6" t="s">
        <v>91</v>
      </c>
      <c r="J9" s="5"/>
      <c r="K9" s="5" t="s">
        <v>90</v>
      </c>
      <c r="L9" s="5" t="s">
        <v>113</v>
      </c>
      <c r="M9" s="5" t="s">
        <v>98</v>
      </c>
      <c r="N9" s="213" t="s">
        <v>845</v>
      </c>
      <c r="O9" s="162">
        <f>SUM((W9*Tableau1[[#This Row],[IR_inter1]]),(AN9*Tableau1[[#This Row],[IR_inter2]]),(BC9*Tableau1[[#This Row],[IR_inter3]]),(Tableau1[[#This Row],[IR_freq4]]*BR9),(CG9*Tableau1[[#This Row],[IR_inter5]]))</f>
        <v>6.5</v>
      </c>
      <c r="P9" s="162">
        <f t="shared" si="0"/>
        <v>6.5</v>
      </c>
      <c r="Q9" s="162">
        <f t="shared" si="1"/>
        <v>1</v>
      </c>
      <c r="R9" s="162">
        <f t="shared" si="2"/>
        <v>40</v>
      </c>
      <c r="S9" s="8" t="s">
        <v>114</v>
      </c>
      <c r="T9" s="9">
        <v>1</v>
      </c>
      <c r="U9" s="9">
        <v>40</v>
      </c>
      <c r="V9" s="9">
        <v>40</v>
      </c>
      <c r="W9" s="8">
        <v>1</v>
      </c>
      <c r="X9" s="8" t="s">
        <v>28</v>
      </c>
      <c r="Y9" s="8"/>
      <c r="Z9" s="8"/>
      <c r="AA9" s="8"/>
      <c r="AB9" s="8"/>
      <c r="AC9" s="8" t="s">
        <v>123</v>
      </c>
      <c r="AD9" s="8"/>
      <c r="AE9" s="8"/>
      <c r="AF9" s="8"/>
      <c r="AG9" s="8" t="s">
        <v>40</v>
      </c>
      <c r="AH9" s="8"/>
      <c r="AI9" s="8"/>
      <c r="AJ9" s="15" t="s">
        <v>131</v>
      </c>
      <c r="AK9" s="14">
        <v>1</v>
      </c>
      <c r="AL9" s="14">
        <v>15</v>
      </c>
      <c r="AM9" s="14">
        <v>15</v>
      </c>
      <c r="AN9" s="13">
        <v>3.5</v>
      </c>
      <c r="AO9" s="13" t="s">
        <v>13</v>
      </c>
      <c r="AP9" s="13" t="s">
        <v>14</v>
      </c>
      <c r="AQ9" s="13" t="s">
        <v>15</v>
      </c>
      <c r="AR9" s="13"/>
      <c r="AS9" s="13"/>
      <c r="AT9" s="13" t="s">
        <v>119</v>
      </c>
      <c r="AU9" s="13"/>
      <c r="AV9" s="13" t="s">
        <v>2</v>
      </c>
      <c r="AW9" s="13"/>
      <c r="AX9" s="13"/>
      <c r="AY9" s="18" t="s">
        <v>17</v>
      </c>
      <c r="AZ9" s="19">
        <v>1</v>
      </c>
      <c r="BA9" s="19">
        <v>20</v>
      </c>
      <c r="BB9" s="19">
        <v>20</v>
      </c>
      <c r="BC9" s="19">
        <v>2</v>
      </c>
      <c r="BD9" s="18" t="s">
        <v>28</v>
      </c>
      <c r="BE9" s="18"/>
      <c r="BF9" s="18"/>
      <c r="BG9" s="18"/>
      <c r="BH9" s="18"/>
      <c r="BI9" s="18" t="s">
        <v>124</v>
      </c>
      <c r="BJ9" s="18"/>
      <c r="BK9" s="18"/>
      <c r="BL9" s="18" t="s">
        <v>21</v>
      </c>
      <c r="BM9" s="18" t="s">
        <v>129</v>
      </c>
      <c r="BN9" s="99"/>
      <c r="BO9" s="100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25"/>
      <c r="CD9" s="26"/>
      <c r="CE9" s="25"/>
      <c r="CF9" s="25"/>
      <c r="CG9" s="25"/>
      <c r="CH9" s="25"/>
      <c r="CI9" s="25"/>
      <c r="CJ9" s="25"/>
      <c r="CK9" s="25"/>
      <c r="CL9" s="25"/>
      <c r="CM9" s="25"/>
      <c r="CN9" s="169">
        <f t="shared" si="3"/>
        <v>2</v>
      </c>
      <c r="CO9" s="167">
        <f t="shared" si="4"/>
        <v>2</v>
      </c>
      <c r="CP9" s="30" t="s">
        <v>147</v>
      </c>
      <c r="CQ9" s="30"/>
      <c r="CR9" s="30">
        <v>5</v>
      </c>
      <c r="CS9" s="30">
        <v>10</v>
      </c>
      <c r="CT9" s="30">
        <v>2</v>
      </c>
      <c r="CU9" s="30"/>
      <c r="CV9" s="30" t="s">
        <v>28</v>
      </c>
      <c r="CW9" s="30" t="s">
        <v>14</v>
      </c>
      <c r="CX9" s="30" t="s">
        <v>15</v>
      </c>
      <c r="CY9" s="30"/>
      <c r="CZ9" s="30"/>
      <c r="DA9" s="30"/>
      <c r="DB9" s="30"/>
      <c r="DC9" s="30" t="s">
        <v>38</v>
      </c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167">
        <f t="shared" si="5"/>
        <v>0</v>
      </c>
      <c r="DP9" s="51">
        <v>0</v>
      </c>
      <c r="DQ9" s="51"/>
      <c r="DR9" s="49"/>
      <c r="DS9" s="51"/>
      <c r="DT9" s="51"/>
      <c r="DU9" s="51"/>
      <c r="DV9" s="50"/>
      <c r="DW9" s="44"/>
      <c r="DX9" s="44"/>
      <c r="DY9" s="44"/>
      <c r="DZ9" s="44"/>
      <c r="EA9" s="44"/>
      <c r="EB9" s="44"/>
      <c r="EC9" s="44"/>
      <c r="ED9" s="44"/>
      <c r="EE9" s="43" t="s">
        <v>155</v>
      </c>
      <c r="EF9" s="43" t="s">
        <v>8</v>
      </c>
      <c r="EG9" s="160">
        <v>1</v>
      </c>
      <c r="EH9" s="41"/>
      <c r="EI9" s="41"/>
      <c r="EJ9" s="41"/>
      <c r="EK9" s="41"/>
      <c r="EL9" s="41"/>
      <c r="EM9" s="41"/>
      <c r="EN9" s="164">
        <v>0</v>
      </c>
      <c r="EO9" s="8" t="s">
        <v>26</v>
      </c>
      <c r="EP9" s="8"/>
      <c r="EQ9" s="8"/>
      <c r="ER9" s="8"/>
      <c r="ES9" s="8"/>
      <c r="ET9" s="8"/>
      <c r="EU9" s="8"/>
      <c r="EV9" s="8"/>
      <c r="EW9" s="8"/>
      <c r="EX9" s="8"/>
      <c r="EY9" s="8"/>
      <c r="EZ9" s="13"/>
      <c r="FA9" s="13"/>
      <c r="FB9" s="13"/>
      <c r="FC9" s="13"/>
      <c r="FD9" s="13"/>
      <c r="FE9" s="13"/>
      <c r="FF9" s="13"/>
      <c r="FG9" s="13"/>
      <c r="FH9" s="13"/>
      <c r="FI9" s="166">
        <v>2</v>
      </c>
      <c r="FJ9" s="151" t="s">
        <v>159</v>
      </c>
      <c r="FK9" s="151" t="s">
        <v>7</v>
      </c>
      <c r="FL9" s="152" t="s">
        <v>7</v>
      </c>
      <c r="FM9" s="151" t="s">
        <v>7</v>
      </c>
      <c r="FN9" s="151" t="s">
        <v>168</v>
      </c>
      <c r="FO9" s="151">
        <v>1</v>
      </c>
      <c r="FP9" s="151" t="s">
        <v>7</v>
      </c>
      <c r="FQ9" s="151" t="s">
        <v>14</v>
      </c>
      <c r="FR9" s="151" t="s">
        <v>207</v>
      </c>
      <c r="FS9" s="151"/>
      <c r="FT9" s="151"/>
      <c r="FU9" s="151"/>
      <c r="FV9" s="15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129" t="s">
        <v>217</v>
      </c>
      <c r="GH9" s="129" t="s">
        <v>7</v>
      </c>
      <c r="GI9" s="129" t="s">
        <v>7</v>
      </c>
      <c r="GJ9" s="129" t="s">
        <v>33</v>
      </c>
      <c r="GK9" s="129" t="s">
        <v>214</v>
      </c>
      <c r="GL9" s="129" t="s">
        <v>34</v>
      </c>
      <c r="GM9" s="129"/>
      <c r="GN9" s="129" t="s">
        <v>21</v>
      </c>
      <c r="GO9" s="129"/>
      <c r="GP9" s="129" t="s">
        <v>35</v>
      </c>
      <c r="GQ9" s="129">
        <v>1</v>
      </c>
      <c r="GR9" s="55" t="s">
        <v>7</v>
      </c>
      <c r="GS9" s="55"/>
      <c r="GT9" s="55"/>
      <c r="GU9" s="55" t="s">
        <v>225</v>
      </c>
      <c r="GV9" s="55">
        <v>0.33</v>
      </c>
      <c r="GW9" s="55" t="s">
        <v>7</v>
      </c>
      <c r="GX9" s="55"/>
      <c r="GY9" s="55" t="s">
        <v>9</v>
      </c>
      <c r="GZ9" s="55">
        <v>1</v>
      </c>
      <c r="HA9" s="55" t="s">
        <v>7</v>
      </c>
      <c r="HB9" s="55"/>
      <c r="HC9" s="55"/>
      <c r="HD9" s="55"/>
      <c r="HE9" s="55"/>
      <c r="HF9" s="170"/>
      <c r="HG9" s="172">
        <f t="shared" si="6"/>
        <v>75</v>
      </c>
      <c r="HH9" s="82" t="s">
        <v>9</v>
      </c>
      <c r="HI9" s="76">
        <v>1</v>
      </c>
      <c r="HJ9" s="76" t="s">
        <v>206</v>
      </c>
      <c r="HK9" s="76" t="s">
        <v>135</v>
      </c>
      <c r="HL9" s="76" t="s">
        <v>18</v>
      </c>
      <c r="HM9" s="76"/>
      <c r="HN9" s="76"/>
      <c r="HO9" s="76" t="s">
        <v>235</v>
      </c>
      <c r="HP9" s="76" t="s">
        <v>238</v>
      </c>
      <c r="HQ9" s="76" t="s">
        <v>37</v>
      </c>
      <c r="HR9" s="76" t="s">
        <v>4</v>
      </c>
      <c r="HS9" s="76"/>
      <c r="HT9" s="76" t="s">
        <v>7</v>
      </c>
      <c r="HU9" s="76"/>
      <c r="HV9" s="76"/>
      <c r="HW9" s="77">
        <v>5</v>
      </c>
      <c r="HX9" s="77">
        <v>10</v>
      </c>
      <c r="HY9" s="131">
        <f t="shared" si="7"/>
        <v>7.5</v>
      </c>
      <c r="HZ9" s="76" t="s">
        <v>39</v>
      </c>
      <c r="IA9" s="76" t="s">
        <v>248</v>
      </c>
      <c r="IB9" s="76" t="s">
        <v>249</v>
      </c>
      <c r="IC9" s="76">
        <v>3</v>
      </c>
      <c r="ID9" s="76">
        <v>3</v>
      </c>
      <c r="IE9" s="76">
        <v>2</v>
      </c>
      <c r="IF9" s="76">
        <v>2</v>
      </c>
      <c r="IG9" s="76">
        <v>3</v>
      </c>
      <c r="IH9" s="76">
        <v>3</v>
      </c>
      <c r="II9" s="76">
        <f t="shared" si="9"/>
        <v>8</v>
      </c>
      <c r="IJ9" s="76">
        <f t="shared" si="9"/>
        <v>8</v>
      </c>
      <c r="IK9" s="72"/>
      <c r="IL9" s="72"/>
      <c r="IM9" s="72"/>
      <c r="IN9" s="72"/>
      <c r="IO9" s="72"/>
      <c r="IP9" s="72"/>
      <c r="IQ9" s="72"/>
      <c r="IR9" s="72"/>
      <c r="IS9" s="72"/>
      <c r="IT9" s="72"/>
      <c r="IU9" s="72"/>
      <c r="IV9" s="72"/>
      <c r="IW9" s="72"/>
      <c r="IX9" s="73"/>
      <c r="IY9" s="73"/>
      <c r="IZ9" s="138">
        <f t="shared" si="8"/>
        <v>0</v>
      </c>
      <c r="JA9" s="72"/>
      <c r="JB9" s="72"/>
      <c r="JC9" s="72"/>
      <c r="JD9" s="72"/>
      <c r="JE9" s="72"/>
      <c r="JF9" s="72"/>
      <c r="JG9" s="72"/>
      <c r="JH9" s="72"/>
      <c r="JI9" s="72"/>
      <c r="JJ9" s="72"/>
      <c r="JK9" s="72"/>
      <c r="JL9" s="173">
        <v>0</v>
      </c>
      <c r="JM9" s="70" t="s">
        <v>24</v>
      </c>
      <c r="JN9" s="70" t="s">
        <v>24</v>
      </c>
      <c r="JO9" s="70"/>
      <c r="JP9" s="70"/>
      <c r="JQ9" s="70"/>
      <c r="JR9" s="70"/>
      <c r="JS9" s="70"/>
      <c r="JT9" s="70"/>
      <c r="JU9" s="70"/>
      <c r="JV9" s="70"/>
      <c r="JW9" s="70"/>
      <c r="JX9" s="70"/>
      <c r="JY9" s="70"/>
      <c r="JZ9" s="65" t="s">
        <v>24</v>
      </c>
      <c r="KA9" s="65"/>
      <c r="KB9" s="65"/>
      <c r="KC9" s="67"/>
      <c r="KD9" s="67"/>
      <c r="KE9" s="67"/>
      <c r="KF9" s="65"/>
      <c r="KG9" s="65"/>
      <c r="KH9" s="65"/>
      <c r="KI9" s="63" t="s">
        <v>259</v>
      </c>
      <c r="KJ9" s="63">
        <v>1</v>
      </c>
      <c r="KK9" s="63">
        <v>50</v>
      </c>
      <c r="KL9" s="63" t="s">
        <v>10</v>
      </c>
      <c r="KM9" s="63">
        <v>1</v>
      </c>
      <c r="KN9" s="63">
        <v>30</v>
      </c>
      <c r="KO9" s="63"/>
      <c r="KP9" s="63"/>
      <c r="KQ9" s="63"/>
      <c r="KR9" s="63"/>
      <c r="KS9" s="63"/>
      <c r="KT9" s="63"/>
      <c r="KU9" s="61" t="s">
        <v>9</v>
      </c>
      <c r="KV9" s="58">
        <v>0</v>
      </c>
      <c r="KW9" s="41"/>
      <c r="KX9" s="41"/>
      <c r="KY9" s="59" t="s">
        <v>24</v>
      </c>
      <c r="KZ9" s="59" t="s">
        <v>9</v>
      </c>
      <c r="LA9" s="59" t="s">
        <v>24</v>
      </c>
      <c r="LB9" s="59" t="s">
        <v>9</v>
      </c>
      <c r="LC9" s="59" t="s">
        <v>24</v>
      </c>
      <c r="LD9" s="59" t="s">
        <v>272</v>
      </c>
      <c r="LE9" s="59"/>
      <c r="LF9" s="59"/>
      <c r="LG9" s="3"/>
    </row>
    <row r="10" spans="1:323" x14ac:dyDescent="0.3">
      <c r="A10" s="104" t="s">
        <v>53</v>
      </c>
      <c r="B10" s="104">
        <v>8.1</v>
      </c>
      <c r="C10" s="85" t="s">
        <v>477</v>
      </c>
      <c r="D10" s="85">
        <v>4.9000000000000004</v>
      </c>
      <c r="E10" s="5" t="s">
        <v>255</v>
      </c>
      <c r="F10" s="5" t="s">
        <v>255</v>
      </c>
      <c r="G10" s="5"/>
      <c r="H10" s="5">
        <v>4</v>
      </c>
      <c r="I10" s="6" t="s">
        <v>96</v>
      </c>
      <c r="J10" s="6" t="s">
        <v>98</v>
      </c>
      <c r="K10" s="6"/>
      <c r="L10" s="6" t="s">
        <v>90</v>
      </c>
      <c r="M10" s="6" t="s">
        <v>94</v>
      </c>
      <c r="N10" s="213" t="s">
        <v>847</v>
      </c>
      <c r="O10" s="162">
        <f>SUM((W10*Tableau1[[#This Row],[IR_inter1]]),(AN10*Tableau1[[#This Row],[IR_inter2]]),(BC10*Tableau1[[#This Row],[IR_inter3]]),(Tableau1[[#This Row],[IR_freq4]]*BR10),(CG10*Tableau1[[#This Row],[IR_inter5]]))</f>
        <v>3.5</v>
      </c>
      <c r="P10" s="162">
        <f t="shared" si="0"/>
        <v>3.5</v>
      </c>
      <c r="Q10" s="162">
        <f t="shared" si="1"/>
        <v>1</v>
      </c>
      <c r="R10" s="162">
        <f t="shared" si="2"/>
        <v>25</v>
      </c>
      <c r="S10" s="11" t="s">
        <v>17</v>
      </c>
      <c r="T10" s="12">
        <v>1</v>
      </c>
      <c r="U10" s="12">
        <v>15</v>
      </c>
      <c r="V10" s="9">
        <v>20</v>
      </c>
      <c r="W10" s="11">
        <v>1</v>
      </c>
      <c r="X10" s="11" t="s">
        <v>116</v>
      </c>
      <c r="Y10" s="8" t="s">
        <v>11</v>
      </c>
      <c r="Z10" s="8"/>
      <c r="AA10" s="8"/>
      <c r="AB10" s="8"/>
      <c r="AC10" s="11" t="s">
        <v>120</v>
      </c>
      <c r="AD10" s="8"/>
      <c r="AE10" s="8"/>
      <c r="AF10" s="8"/>
      <c r="AG10" s="11" t="s">
        <v>38</v>
      </c>
      <c r="AH10" s="8" t="s">
        <v>129</v>
      </c>
      <c r="AI10" s="8"/>
      <c r="AJ10" s="15" t="s">
        <v>131</v>
      </c>
      <c r="AK10" s="17">
        <v>1</v>
      </c>
      <c r="AL10" s="17">
        <v>20</v>
      </c>
      <c r="AM10" s="14">
        <v>25</v>
      </c>
      <c r="AN10" s="15">
        <v>2.5</v>
      </c>
      <c r="AO10" s="15" t="s">
        <v>13</v>
      </c>
      <c r="AP10" s="13" t="s">
        <v>14</v>
      </c>
      <c r="AQ10" s="13" t="s">
        <v>15</v>
      </c>
      <c r="AR10" s="13"/>
      <c r="AS10" s="13"/>
      <c r="AT10" s="15" t="s">
        <v>119</v>
      </c>
      <c r="AU10" s="13"/>
      <c r="AV10" s="15" t="s">
        <v>21</v>
      </c>
      <c r="AW10" s="13" t="s">
        <v>38</v>
      </c>
      <c r="AX10" s="13"/>
      <c r="AY10" s="21"/>
      <c r="AZ10" s="23"/>
      <c r="BA10" s="22"/>
      <c r="BB10" s="19"/>
      <c r="BC10" s="22"/>
      <c r="BD10" s="21"/>
      <c r="BE10" s="21"/>
      <c r="BF10" s="21"/>
      <c r="BG10" s="21"/>
      <c r="BH10" s="18"/>
      <c r="BI10" s="20"/>
      <c r="BJ10" s="18"/>
      <c r="BK10" s="18"/>
      <c r="BL10" s="21"/>
      <c r="BM10" s="18"/>
      <c r="BN10" s="101"/>
      <c r="BO10" s="102"/>
      <c r="BP10" s="101"/>
      <c r="BQ10" s="99"/>
      <c r="BR10" s="101"/>
      <c r="BS10" s="101"/>
      <c r="BT10" s="101"/>
      <c r="BU10" s="101"/>
      <c r="BV10" s="101"/>
      <c r="BW10" s="101"/>
      <c r="BX10" s="101"/>
      <c r="BY10" s="99"/>
      <c r="BZ10" s="99"/>
      <c r="CA10" s="101"/>
      <c r="CB10" s="99"/>
      <c r="CC10" s="27"/>
      <c r="CD10" s="28"/>
      <c r="CE10" s="27"/>
      <c r="CF10" s="25"/>
      <c r="CG10" s="27"/>
      <c r="CH10" s="27"/>
      <c r="CI10" s="27"/>
      <c r="CJ10" s="27"/>
      <c r="CK10" s="27"/>
      <c r="CL10" s="27"/>
      <c r="CM10" s="25"/>
      <c r="CN10" s="169">
        <f t="shared" si="3"/>
        <v>3</v>
      </c>
      <c r="CO10" s="167">
        <f t="shared" si="4"/>
        <v>2</v>
      </c>
      <c r="CP10" s="30" t="s">
        <v>147</v>
      </c>
      <c r="CQ10" s="30"/>
      <c r="CR10" s="30">
        <v>5</v>
      </c>
      <c r="CS10" s="30">
        <v>10</v>
      </c>
      <c r="CT10" s="30">
        <v>1</v>
      </c>
      <c r="CU10" s="30"/>
      <c r="CV10" s="30" t="s">
        <v>13</v>
      </c>
      <c r="CW10" s="30" t="s">
        <v>14</v>
      </c>
      <c r="CX10" s="30" t="s">
        <v>15</v>
      </c>
      <c r="CY10" s="30"/>
      <c r="CZ10" s="30"/>
      <c r="DA10" s="30"/>
      <c r="DB10" s="30"/>
      <c r="DC10" s="30" t="s">
        <v>38</v>
      </c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167">
        <f t="shared" si="5"/>
        <v>1</v>
      </c>
      <c r="DP10" s="51">
        <v>1</v>
      </c>
      <c r="DQ10" s="51" t="s">
        <v>11</v>
      </c>
      <c r="DR10" s="49"/>
      <c r="DS10" s="51" t="s">
        <v>227</v>
      </c>
      <c r="DT10" s="51" t="s">
        <v>150</v>
      </c>
      <c r="DU10" s="51">
        <v>480</v>
      </c>
      <c r="DV10" s="52" t="s">
        <v>7</v>
      </c>
      <c r="DW10" s="44"/>
      <c r="DX10" s="44"/>
      <c r="DY10" s="44"/>
      <c r="DZ10" s="44"/>
      <c r="EA10" s="44"/>
      <c r="EB10" s="44"/>
      <c r="EC10" s="44"/>
      <c r="ED10" s="45"/>
      <c r="EE10" s="43" t="s">
        <v>155</v>
      </c>
      <c r="EF10" s="43" t="s">
        <v>8</v>
      </c>
      <c r="EG10" s="58">
        <v>1</v>
      </c>
      <c r="EH10" s="41"/>
      <c r="EI10" s="41"/>
      <c r="EJ10" s="41"/>
      <c r="EK10" s="43"/>
      <c r="EL10" s="43"/>
      <c r="EM10" s="43"/>
      <c r="EN10" s="165">
        <v>0</v>
      </c>
      <c r="EO10" s="8"/>
      <c r="EP10" s="11"/>
      <c r="EQ10" s="11"/>
      <c r="ER10" s="11"/>
      <c r="ES10" s="11"/>
      <c r="ET10" s="11"/>
      <c r="EU10" s="8"/>
      <c r="EV10" s="8"/>
      <c r="EW10" s="11"/>
      <c r="EX10" s="11"/>
      <c r="EY10" s="8"/>
      <c r="EZ10" s="13"/>
      <c r="FA10" s="13"/>
      <c r="FB10" s="13"/>
      <c r="FC10" s="13"/>
      <c r="FD10" s="13"/>
      <c r="FE10" s="13"/>
      <c r="FF10" s="13"/>
      <c r="FG10" s="13"/>
      <c r="FH10" s="13"/>
      <c r="FI10" s="166">
        <v>1</v>
      </c>
      <c r="FJ10" s="126" t="s">
        <v>29</v>
      </c>
      <c r="FK10" s="126" t="s">
        <v>162</v>
      </c>
      <c r="FL10" s="150" t="s">
        <v>191</v>
      </c>
      <c r="FM10" s="126" t="s">
        <v>185</v>
      </c>
      <c r="FN10" s="126" t="s">
        <v>186</v>
      </c>
      <c r="FO10" s="126">
        <v>0.33</v>
      </c>
      <c r="FP10" s="126">
        <v>800</v>
      </c>
      <c r="FQ10" s="126" t="s">
        <v>134</v>
      </c>
      <c r="FR10" s="126"/>
      <c r="FS10" s="126"/>
      <c r="FT10" s="126"/>
      <c r="FU10" s="151"/>
      <c r="FV10" s="151"/>
      <c r="FW10" s="43"/>
      <c r="FX10" s="43"/>
      <c r="FY10" s="41"/>
      <c r="FZ10" s="43"/>
      <c r="GA10" s="43"/>
      <c r="GB10" s="41"/>
      <c r="GC10" s="41"/>
      <c r="GD10" s="43"/>
      <c r="GE10" s="43"/>
      <c r="GF10" s="43"/>
      <c r="GG10" s="128" t="s">
        <v>217</v>
      </c>
      <c r="GH10" s="129"/>
      <c r="GI10" s="129"/>
      <c r="GJ10" s="128" t="s">
        <v>33</v>
      </c>
      <c r="GK10" s="129" t="s">
        <v>826</v>
      </c>
      <c r="GL10" s="128" t="s">
        <v>34</v>
      </c>
      <c r="GM10" s="128"/>
      <c r="GN10" s="128"/>
      <c r="GO10" s="129"/>
      <c r="GP10" s="128" t="s">
        <v>35</v>
      </c>
      <c r="GQ10" s="128">
        <v>1</v>
      </c>
      <c r="GR10" s="56"/>
      <c r="GS10" s="55"/>
      <c r="GT10" s="56"/>
      <c r="GU10" s="55" t="s">
        <v>225</v>
      </c>
      <c r="GV10" s="56">
        <v>0.2</v>
      </c>
      <c r="GW10" s="56" t="s">
        <v>7</v>
      </c>
      <c r="GX10" s="56"/>
      <c r="GY10" s="56" t="s">
        <v>24</v>
      </c>
      <c r="GZ10" s="55"/>
      <c r="HA10" s="55"/>
      <c r="HB10" s="55"/>
      <c r="HC10" s="55"/>
      <c r="HD10" s="55"/>
      <c r="HE10" s="55"/>
      <c r="HF10" s="170"/>
      <c r="HG10" s="172">
        <f t="shared" si="6"/>
        <v>0</v>
      </c>
      <c r="HH10" s="84" t="s">
        <v>24</v>
      </c>
      <c r="HI10" s="79"/>
      <c r="HJ10" s="76"/>
      <c r="HK10" s="76"/>
      <c r="HL10" s="76"/>
      <c r="HM10" s="76"/>
      <c r="HN10" s="76"/>
      <c r="HO10" s="79"/>
      <c r="HP10" s="79"/>
      <c r="HQ10" s="79"/>
      <c r="HR10" s="76"/>
      <c r="HS10" s="76"/>
      <c r="HT10" s="79"/>
      <c r="HU10" s="76"/>
      <c r="HV10" s="76"/>
      <c r="HW10" s="80"/>
      <c r="HX10" s="77"/>
      <c r="HY10" s="131">
        <f t="shared" si="7"/>
        <v>0</v>
      </c>
      <c r="HZ10" s="79"/>
      <c r="IA10" s="76" t="s">
        <v>892</v>
      </c>
      <c r="IB10" s="79"/>
      <c r="IC10" s="79"/>
      <c r="ID10" s="76"/>
      <c r="IE10" s="79"/>
      <c r="IF10" s="76"/>
      <c r="IG10" s="79"/>
      <c r="IH10" s="79"/>
      <c r="II10" s="76"/>
      <c r="IJ10" s="76"/>
      <c r="IK10" s="74"/>
      <c r="IL10" s="72"/>
      <c r="IM10" s="72"/>
      <c r="IN10" s="72"/>
      <c r="IO10" s="72"/>
      <c r="IP10" s="72"/>
      <c r="IQ10" s="72"/>
      <c r="IR10" s="72"/>
      <c r="IS10" s="72"/>
      <c r="IT10" s="72"/>
      <c r="IU10" s="72"/>
      <c r="IV10" s="72"/>
      <c r="IW10" s="72"/>
      <c r="IX10" s="73"/>
      <c r="IY10" s="73"/>
      <c r="IZ10" s="138">
        <f t="shared" si="8"/>
        <v>0</v>
      </c>
      <c r="JA10" s="72"/>
      <c r="JB10" s="72"/>
      <c r="JC10" s="72"/>
      <c r="JD10" s="72"/>
      <c r="JE10" s="72"/>
      <c r="JF10" s="72"/>
      <c r="JG10" s="72"/>
      <c r="JH10" s="72"/>
      <c r="JI10" s="72"/>
      <c r="JJ10" s="72"/>
      <c r="JK10" s="72"/>
      <c r="JL10" s="173">
        <v>0</v>
      </c>
      <c r="JM10" s="71" t="s">
        <v>24</v>
      </c>
      <c r="JN10" s="71" t="s">
        <v>24</v>
      </c>
      <c r="JO10" s="70"/>
      <c r="JP10" s="71"/>
      <c r="JQ10" s="71"/>
      <c r="JR10" s="71"/>
      <c r="JS10" s="70"/>
      <c r="JT10" s="71"/>
      <c r="JU10" s="70"/>
      <c r="JV10" s="70"/>
      <c r="JW10" s="71"/>
      <c r="JX10" s="71"/>
      <c r="JY10" s="71"/>
      <c r="JZ10" s="4" t="s">
        <v>24</v>
      </c>
      <c r="KA10" s="4"/>
      <c r="KB10" s="4"/>
      <c r="KC10" s="68"/>
      <c r="KD10" s="67"/>
      <c r="KE10" s="68"/>
      <c r="KF10" s="4"/>
      <c r="KG10" s="4"/>
      <c r="KH10" s="4"/>
      <c r="KI10" s="64" t="s">
        <v>263</v>
      </c>
      <c r="KJ10" s="63">
        <v>1</v>
      </c>
      <c r="KK10" s="63">
        <v>60</v>
      </c>
      <c r="KL10" s="63"/>
      <c r="KM10" s="63"/>
      <c r="KN10" s="63"/>
      <c r="KO10" s="63"/>
      <c r="KP10" s="63"/>
      <c r="KQ10" s="63"/>
      <c r="KR10" s="63"/>
      <c r="KS10" s="63"/>
      <c r="KT10" s="63"/>
      <c r="KU10" s="62" t="s">
        <v>24</v>
      </c>
      <c r="KV10" s="58">
        <v>0</v>
      </c>
      <c r="KW10" s="43"/>
      <c r="KX10" s="43"/>
      <c r="KY10" s="60" t="s">
        <v>24</v>
      </c>
      <c r="KZ10" s="59" t="s">
        <v>9</v>
      </c>
      <c r="LA10" s="60" t="s">
        <v>9</v>
      </c>
      <c r="LB10" s="59" t="s">
        <v>9</v>
      </c>
      <c r="LC10" s="60" t="s">
        <v>9</v>
      </c>
      <c r="LD10" s="60" t="s">
        <v>273</v>
      </c>
      <c r="LE10" s="60" t="s">
        <v>272</v>
      </c>
      <c r="LF10" s="59" t="s">
        <v>224</v>
      </c>
    </row>
    <row r="11" spans="1:323" x14ac:dyDescent="0.3">
      <c r="A11" s="104" t="s">
        <v>54</v>
      </c>
      <c r="B11" s="104">
        <v>8.1999999999999993</v>
      </c>
      <c r="C11" s="85" t="s">
        <v>478</v>
      </c>
      <c r="D11" s="85">
        <v>7.4</v>
      </c>
      <c r="E11" s="5" t="s">
        <v>255</v>
      </c>
      <c r="F11" s="5" t="s">
        <v>255</v>
      </c>
      <c r="G11" s="5"/>
      <c r="H11" s="5">
        <v>3</v>
      </c>
      <c r="I11" s="6" t="s">
        <v>99</v>
      </c>
      <c r="J11" s="6"/>
      <c r="K11" s="6"/>
      <c r="L11" s="6" t="s">
        <v>113</v>
      </c>
      <c r="M11" s="6" t="s">
        <v>93</v>
      </c>
      <c r="N11" s="213" t="s">
        <v>847</v>
      </c>
      <c r="O11" s="162">
        <f>SUM((W11*Tableau1[[#This Row],[IR_inter1]]),(AN11*Tableau1[[#This Row],[IR_inter2]]),(BC11*Tableau1[[#This Row],[IR_inter3]]),(Tableau1[[#This Row],[IR_freq4]]*BR11),(CG11*Tableau1[[#This Row],[IR_inter5]]))</f>
        <v>3.5</v>
      </c>
      <c r="P11" s="162">
        <f t="shared" si="0"/>
        <v>3.5</v>
      </c>
      <c r="Q11" s="162">
        <f t="shared" si="1"/>
        <v>1</v>
      </c>
      <c r="R11" s="162">
        <f t="shared" si="2"/>
        <v>25</v>
      </c>
      <c r="S11" s="11" t="s">
        <v>17</v>
      </c>
      <c r="T11" s="12">
        <v>1</v>
      </c>
      <c r="U11" s="12">
        <v>15</v>
      </c>
      <c r="V11" s="9">
        <v>20</v>
      </c>
      <c r="W11" s="11">
        <v>1</v>
      </c>
      <c r="X11" s="11" t="s">
        <v>18</v>
      </c>
      <c r="Y11" s="8" t="s">
        <v>11</v>
      </c>
      <c r="Z11" s="8"/>
      <c r="AA11" s="8"/>
      <c r="AB11" s="8"/>
      <c r="AC11" s="11" t="s">
        <v>120</v>
      </c>
      <c r="AD11" s="8"/>
      <c r="AE11" s="8"/>
      <c r="AF11" s="8"/>
      <c r="AG11" s="11" t="s">
        <v>38</v>
      </c>
      <c r="AH11" s="8" t="s">
        <v>129</v>
      </c>
      <c r="AI11" s="8"/>
      <c r="AJ11" s="15" t="s">
        <v>131</v>
      </c>
      <c r="AK11" s="17">
        <v>1</v>
      </c>
      <c r="AL11" s="17">
        <v>20</v>
      </c>
      <c r="AM11" s="14">
        <v>25</v>
      </c>
      <c r="AN11" s="15">
        <v>2.5</v>
      </c>
      <c r="AO11" s="15" t="s">
        <v>13</v>
      </c>
      <c r="AP11" s="13" t="s">
        <v>14</v>
      </c>
      <c r="AQ11" s="13" t="s">
        <v>15</v>
      </c>
      <c r="AR11" s="13"/>
      <c r="AS11" s="13"/>
      <c r="AT11" s="15" t="s">
        <v>119</v>
      </c>
      <c r="AU11" s="13"/>
      <c r="AV11" s="15" t="s">
        <v>21</v>
      </c>
      <c r="AW11" s="13" t="s">
        <v>38</v>
      </c>
      <c r="AX11" s="13"/>
      <c r="AY11" s="21"/>
      <c r="AZ11" s="23"/>
      <c r="BA11" s="22"/>
      <c r="BB11" s="19"/>
      <c r="BC11" s="22"/>
      <c r="BD11" s="21"/>
      <c r="BE11" s="21"/>
      <c r="BF11" s="21"/>
      <c r="BG11" s="21"/>
      <c r="BH11" s="18"/>
      <c r="BI11" s="20"/>
      <c r="BJ11" s="18"/>
      <c r="BK11" s="18"/>
      <c r="BL11" s="21"/>
      <c r="BM11" s="18"/>
      <c r="BN11" s="101"/>
      <c r="BO11" s="102"/>
      <c r="BP11" s="101"/>
      <c r="BQ11" s="99"/>
      <c r="BR11" s="101"/>
      <c r="BS11" s="101"/>
      <c r="BT11" s="101"/>
      <c r="BU11" s="101"/>
      <c r="BV11" s="101"/>
      <c r="BW11" s="101"/>
      <c r="BX11" s="101"/>
      <c r="BY11" s="99"/>
      <c r="BZ11" s="99"/>
      <c r="CA11" s="101"/>
      <c r="CB11" s="99"/>
      <c r="CC11" s="27"/>
      <c r="CD11" s="28"/>
      <c r="CE11" s="27"/>
      <c r="CF11" s="25"/>
      <c r="CG11" s="27"/>
      <c r="CH11" s="27"/>
      <c r="CI11" s="27"/>
      <c r="CJ11" s="27"/>
      <c r="CK11" s="27"/>
      <c r="CL11" s="27"/>
      <c r="CM11" s="25"/>
      <c r="CN11" s="169">
        <f t="shared" si="3"/>
        <v>3</v>
      </c>
      <c r="CO11" s="167">
        <f t="shared" si="4"/>
        <v>2</v>
      </c>
      <c r="CP11" s="30" t="s">
        <v>147</v>
      </c>
      <c r="CQ11" s="30"/>
      <c r="CR11" s="30">
        <v>5</v>
      </c>
      <c r="CS11" s="30">
        <v>10</v>
      </c>
      <c r="CT11" s="30">
        <v>1</v>
      </c>
      <c r="CU11" s="30"/>
      <c r="CV11" s="30" t="s">
        <v>13</v>
      </c>
      <c r="CW11" s="30" t="s">
        <v>14</v>
      </c>
      <c r="CX11" s="30" t="s">
        <v>15</v>
      </c>
      <c r="CY11" s="30"/>
      <c r="CZ11" s="30"/>
      <c r="DA11" s="30"/>
      <c r="DB11" s="30"/>
      <c r="DC11" s="30" t="s">
        <v>38</v>
      </c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167">
        <f t="shared" si="5"/>
        <v>1</v>
      </c>
      <c r="DP11" s="51">
        <v>1</v>
      </c>
      <c r="DQ11" s="51" t="s">
        <v>11</v>
      </c>
      <c r="DR11" s="49"/>
      <c r="DS11" s="51" t="s">
        <v>227</v>
      </c>
      <c r="DT11" s="51" t="s">
        <v>150</v>
      </c>
      <c r="DU11" s="51">
        <v>480</v>
      </c>
      <c r="DV11" s="52" t="s">
        <v>7</v>
      </c>
      <c r="DW11" s="44"/>
      <c r="DX11" s="44"/>
      <c r="DY11" s="44"/>
      <c r="DZ11" s="44"/>
      <c r="EA11" s="44"/>
      <c r="EB11" s="44"/>
      <c r="EC11" s="44"/>
      <c r="ED11" s="45"/>
      <c r="EE11" s="43" t="s">
        <v>155</v>
      </c>
      <c r="EF11" s="43" t="s">
        <v>8</v>
      </c>
      <c r="EG11" s="58">
        <v>1</v>
      </c>
      <c r="EH11" s="41"/>
      <c r="EI11" s="41"/>
      <c r="EJ11" s="41"/>
      <c r="EK11" s="43"/>
      <c r="EL11" s="43"/>
      <c r="EM11" s="43"/>
      <c r="EN11" s="165">
        <v>0</v>
      </c>
      <c r="EO11" s="8"/>
      <c r="EP11" s="11"/>
      <c r="EQ11" s="11"/>
      <c r="ER11" s="11"/>
      <c r="ES11" s="11"/>
      <c r="ET11" s="11"/>
      <c r="EU11" s="8"/>
      <c r="EV11" s="8"/>
      <c r="EW11" s="11"/>
      <c r="EX11" s="11"/>
      <c r="EY11" s="8"/>
      <c r="EZ11" s="13"/>
      <c r="FA11" s="13"/>
      <c r="FB11" s="13"/>
      <c r="FC11" s="13"/>
      <c r="FD11" s="13"/>
      <c r="FE11" s="13"/>
      <c r="FF11" s="13"/>
      <c r="FG11" s="13"/>
      <c r="FH11" s="13"/>
      <c r="FI11" s="166">
        <v>1</v>
      </c>
      <c r="FJ11" s="126" t="s">
        <v>29</v>
      </c>
      <c r="FK11" s="126" t="s">
        <v>162</v>
      </c>
      <c r="FL11" s="150" t="s">
        <v>191</v>
      </c>
      <c r="FM11" s="126" t="s">
        <v>185</v>
      </c>
      <c r="FN11" s="126" t="s">
        <v>186</v>
      </c>
      <c r="FO11" s="126">
        <v>0.33</v>
      </c>
      <c r="FP11" s="126">
        <v>800</v>
      </c>
      <c r="FQ11" s="126" t="s">
        <v>206</v>
      </c>
      <c r="FR11" s="126"/>
      <c r="FS11" s="126"/>
      <c r="FT11" s="126"/>
      <c r="FU11" s="151"/>
      <c r="FV11" s="151"/>
      <c r="FW11" s="43"/>
      <c r="FX11" s="43"/>
      <c r="FY11" s="41"/>
      <c r="FZ11" s="43"/>
      <c r="GA11" s="43"/>
      <c r="GB11" s="41"/>
      <c r="GC11" s="41"/>
      <c r="GD11" s="43"/>
      <c r="GE11" s="43"/>
      <c r="GF11" s="43"/>
      <c r="GG11" s="128" t="s">
        <v>217</v>
      </c>
      <c r="GH11" s="129"/>
      <c r="GI11" s="129"/>
      <c r="GJ11" s="128" t="s">
        <v>33</v>
      </c>
      <c r="GK11" s="129" t="s">
        <v>826</v>
      </c>
      <c r="GL11" s="128" t="s">
        <v>34</v>
      </c>
      <c r="GM11" s="128"/>
      <c r="GN11" s="128"/>
      <c r="GO11" s="129"/>
      <c r="GP11" s="128" t="s">
        <v>35</v>
      </c>
      <c r="GQ11" s="128">
        <v>1</v>
      </c>
      <c r="GR11" s="56"/>
      <c r="GS11" s="55"/>
      <c r="GT11" s="56"/>
      <c r="GU11" s="55" t="s">
        <v>225</v>
      </c>
      <c r="GV11" s="56">
        <v>0.2</v>
      </c>
      <c r="GW11" s="56" t="s">
        <v>7</v>
      </c>
      <c r="GX11" s="56"/>
      <c r="GY11" s="56" t="s">
        <v>24</v>
      </c>
      <c r="GZ11" s="55"/>
      <c r="HA11" s="55"/>
      <c r="HB11" s="55"/>
      <c r="HC11" s="55"/>
      <c r="HD11" s="55"/>
      <c r="HE11" s="55"/>
      <c r="HF11" s="170"/>
      <c r="HG11" s="172">
        <f t="shared" si="6"/>
        <v>125</v>
      </c>
      <c r="HH11" s="84" t="s">
        <v>9</v>
      </c>
      <c r="HI11" s="79">
        <v>1</v>
      </c>
      <c r="HJ11" s="76" t="s">
        <v>11</v>
      </c>
      <c r="HK11" s="76"/>
      <c r="HL11" s="76"/>
      <c r="HM11" s="76"/>
      <c r="HN11" s="76"/>
      <c r="HO11" s="79" t="s">
        <v>235</v>
      </c>
      <c r="HP11" s="79"/>
      <c r="HQ11" s="79" t="s">
        <v>37</v>
      </c>
      <c r="HR11" s="76" t="s">
        <v>244</v>
      </c>
      <c r="HS11" s="76"/>
      <c r="HT11" s="79" t="s">
        <v>187</v>
      </c>
      <c r="HU11" s="79" t="s">
        <v>38</v>
      </c>
      <c r="HV11" s="76"/>
      <c r="HW11" s="81">
        <v>10</v>
      </c>
      <c r="HX11" s="77">
        <v>15</v>
      </c>
      <c r="HY11" s="131">
        <f t="shared" si="7"/>
        <v>12.5</v>
      </c>
      <c r="HZ11" s="79" t="s">
        <v>247</v>
      </c>
      <c r="IA11" s="76" t="s">
        <v>248</v>
      </c>
      <c r="IB11" s="79">
        <v>1500</v>
      </c>
      <c r="IC11" s="79">
        <v>3</v>
      </c>
      <c r="ID11" s="76">
        <v>3</v>
      </c>
      <c r="IE11" s="79">
        <v>7</v>
      </c>
      <c r="IF11" s="76">
        <v>15</v>
      </c>
      <c r="IG11" s="79">
        <v>3</v>
      </c>
      <c r="IH11" s="79">
        <v>3</v>
      </c>
      <c r="II11" s="76">
        <f t="shared" ref="II11:II22" si="10">SUM(IC11,IE11,IG11)</f>
        <v>13</v>
      </c>
      <c r="IJ11" s="76">
        <f t="shared" ref="IJ11:IJ22" si="11">SUM(ID11,IF11,IH11)</f>
        <v>21</v>
      </c>
      <c r="IK11" s="74">
        <v>1</v>
      </c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3"/>
      <c r="IY11" s="73"/>
      <c r="IZ11" s="138">
        <f t="shared" si="8"/>
        <v>0</v>
      </c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173">
        <v>0</v>
      </c>
      <c r="JM11" s="71" t="s">
        <v>24</v>
      </c>
      <c r="JN11" s="71" t="s">
        <v>24</v>
      </c>
      <c r="JO11" s="70"/>
      <c r="JP11" s="71"/>
      <c r="JQ11" s="71"/>
      <c r="JR11" s="71"/>
      <c r="JS11" s="70"/>
      <c r="JT11" s="71"/>
      <c r="JU11" s="70"/>
      <c r="JV11" s="70"/>
      <c r="JW11" s="71"/>
      <c r="JX11" s="71"/>
      <c r="JY11" s="71"/>
      <c r="JZ11" s="4" t="s">
        <v>24</v>
      </c>
      <c r="KA11" s="4"/>
      <c r="KB11" s="4"/>
      <c r="KC11" s="68"/>
      <c r="KD11" s="67"/>
      <c r="KE11" s="68"/>
      <c r="KF11" s="4"/>
      <c r="KG11" s="4"/>
      <c r="KH11" s="4"/>
      <c r="KI11" s="64" t="s">
        <v>259</v>
      </c>
      <c r="KJ11" s="63">
        <v>1</v>
      </c>
      <c r="KK11" s="63">
        <v>60</v>
      </c>
      <c r="KL11" s="63"/>
      <c r="KM11" s="63"/>
      <c r="KN11" s="63"/>
      <c r="KO11" s="63"/>
      <c r="KP11" s="63"/>
      <c r="KQ11" s="63"/>
      <c r="KR11" s="63"/>
      <c r="KS11" s="63"/>
      <c r="KT11" s="63"/>
      <c r="KU11" s="62" t="s">
        <v>9</v>
      </c>
      <c r="KV11" s="58">
        <v>0</v>
      </c>
      <c r="KW11" s="43"/>
      <c r="KX11" s="43"/>
      <c r="KY11" s="60" t="s">
        <v>24</v>
      </c>
      <c r="KZ11" s="59" t="s">
        <v>9</v>
      </c>
      <c r="LA11" s="60" t="s">
        <v>9</v>
      </c>
      <c r="LB11" s="59" t="s">
        <v>9</v>
      </c>
      <c r="LC11" s="60" t="s">
        <v>9</v>
      </c>
      <c r="LD11" s="60" t="s">
        <v>273</v>
      </c>
      <c r="LE11" s="60" t="s">
        <v>272</v>
      </c>
      <c r="LF11" s="60" t="s">
        <v>224</v>
      </c>
    </row>
    <row r="12" spans="1:323" x14ac:dyDescent="0.3">
      <c r="A12" s="104" t="s">
        <v>51</v>
      </c>
      <c r="B12" s="104">
        <v>9.1</v>
      </c>
      <c r="C12" s="85" t="s">
        <v>275</v>
      </c>
      <c r="D12" s="85">
        <v>1.3</v>
      </c>
      <c r="E12" s="5" t="s">
        <v>241</v>
      </c>
      <c r="F12" s="5" t="s">
        <v>499</v>
      </c>
      <c r="G12" s="5"/>
      <c r="H12" s="5">
        <v>2</v>
      </c>
      <c r="I12" s="6" t="s">
        <v>7</v>
      </c>
      <c r="J12" s="6" t="s">
        <v>7</v>
      </c>
      <c r="K12" s="6" t="s">
        <v>93</v>
      </c>
      <c r="L12" s="6" t="s">
        <v>113</v>
      </c>
      <c r="M12" s="6" t="s">
        <v>93</v>
      </c>
      <c r="N12" s="213" t="s">
        <v>846</v>
      </c>
      <c r="O12" s="162">
        <f>SUM((W12*Tableau1[[#This Row],[IR_inter1]]),(AN12*Tableau1[[#This Row],[IR_inter2]]),(BC12*Tableau1[[#This Row],[IR_inter3]]),(Tableau1[[#This Row],[IR_freq4]]*BR12),(CG12*Tableau1[[#This Row],[IR_inter5]]))</f>
        <v>7.5</v>
      </c>
      <c r="P12" s="162">
        <f t="shared" si="0"/>
        <v>8</v>
      </c>
      <c r="Q12" s="162">
        <f t="shared" si="1"/>
        <v>0.9375</v>
      </c>
      <c r="R12" s="162">
        <f t="shared" si="2"/>
        <v>80</v>
      </c>
      <c r="S12" s="11" t="s">
        <v>114</v>
      </c>
      <c r="T12" s="12">
        <v>0.5</v>
      </c>
      <c r="U12" s="12">
        <v>80</v>
      </c>
      <c r="V12" s="9">
        <v>80</v>
      </c>
      <c r="W12" s="11">
        <v>1</v>
      </c>
      <c r="X12" s="11" t="s">
        <v>28</v>
      </c>
      <c r="Y12" s="8"/>
      <c r="Z12" s="8"/>
      <c r="AA12" s="8"/>
      <c r="AB12" s="8"/>
      <c r="AC12" s="11" t="s">
        <v>119</v>
      </c>
      <c r="AD12" s="8"/>
      <c r="AE12" s="8"/>
      <c r="AF12" s="8"/>
      <c r="AG12" s="11" t="s">
        <v>21</v>
      </c>
      <c r="AH12" s="8" t="s">
        <v>129</v>
      </c>
      <c r="AI12" s="8"/>
      <c r="AJ12" s="15" t="s">
        <v>114</v>
      </c>
      <c r="AK12" s="17">
        <v>1</v>
      </c>
      <c r="AL12" s="17">
        <v>40</v>
      </c>
      <c r="AM12" s="14">
        <v>50</v>
      </c>
      <c r="AN12" s="15">
        <v>2</v>
      </c>
      <c r="AO12" s="15" t="s">
        <v>28</v>
      </c>
      <c r="AP12" s="13" t="s">
        <v>15</v>
      </c>
      <c r="AQ12" s="13"/>
      <c r="AR12" s="13"/>
      <c r="AS12" s="13"/>
      <c r="AT12" s="15" t="s">
        <v>119</v>
      </c>
      <c r="AU12" s="13"/>
      <c r="AV12" s="15" t="s">
        <v>21</v>
      </c>
      <c r="AW12" s="13"/>
      <c r="AX12" s="13"/>
      <c r="AY12" s="21" t="s">
        <v>17</v>
      </c>
      <c r="AZ12" s="23">
        <v>1</v>
      </c>
      <c r="BA12" s="22">
        <v>15</v>
      </c>
      <c r="BB12" s="19">
        <v>20</v>
      </c>
      <c r="BC12" s="22">
        <v>2</v>
      </c>
      <c r="BD12" s="21" t="s">
        <v>134</v>
      </c>
      <c r="BE12" s="18" t="s">
        <v>15</v>
      </c>
      <c r="BF12" s="18"/>
      <c r="BG12" s="18"/>
      <c r="BH12" s="18"/>
      <c r="BI12" s="21" t="s">
        <v>124</v>
      </c>
      <c r="BJ12" s="18"/>
      <c r="BK12" s="18"/>
      <c r="BL12" s="21" t="s">
        <v>38</v>
      </c>
      <c r="BM12" s="18" t="s">
        <v>129</v>
      </c>
      <c r="BN12" s="101" t="s">
        <v>141</v>
      </c>
      <c r="BO12" s="103">
        <v>1</v>
      </c>
      <c r="BP12" s="101">
        <v>0</v>
      </c>
      <c r="BQ12" s="99">
        <v>0</v>
      </c>
      <c r="BR12" s="101">
        <v>1</v>
      </c>
      <c r="BS12" s="101" t="s">
        <v>18</v>
      </c>
      <c r="BT12" s="99" t="s">
        <v>11</v>
      </c>
      <c r="BU12" s="101"/>
      <c r="BV12" s="101"/>
      <c r="BW12" s="101"/>
      <c r="BX12" s="101" t="s">
        <v>20</v>
      </c>
      <c r="BY12" s="99"/>
      <c r="BZ12" s="99"/>
      <c r="CA12" s="101"/>
      <c r="CB12" s="99"/>
      <c r="CC12" s="27" t="s">
        <v>131</v>
      </c>
      <c r="CD12" s="96">
        <v>1</v>
      </c>
      <c r="CE12" s="25">
        <v>25</v>
      </c>
      <c r="CF12" s="27">
        <v>30</v>
      </c>
      <c r="CG12" s="27">
        <v>2</v>
      </c>
      <c r="CH12" s="27" t="s">
        <v>15</v>
      </c>
      <c r="CI12" s="25" t="s">
        <v>16</v>
      </c>
      <c r="CJ12" s="27"/>
      <c r="CK12" s="27" t="s">
        <v>130</v>
      </c>
      <c r="CL12" s="27"/>
      <c r="CM12" s="25" t="s">
        <v>38</v>
      </c>
      <c r="CN12" s="169">
        <f t="shared" si="3"/>
        <v>3</v>
      </c>
      <c r="CO12" s="167">
        <f t="shared" si="4"/>
        <v>2</v>
      </c>
      <c r="CP12" s="30" t="s">
        <v>147</v>
      </c>
      <c r="CQ12" s="30"/>
      <c r="CR12" s="30">
        <v>5</v>
      </c>
      <c r="CS12" s="30">
        <v>10</v>
      </c>
      <c r="CT12" s="30">
        <v>1</v>
      </c>
      <c r="CU12" s="30"/>
      <c r="CV12" s="30" t="s">
        <v>13</v>
      </c>
      <c r="CW12" s="30" t="s">
        <v>14</v>
      </c>
      <c r="CX12" s="30" t="s">
        <v>15</v>
      </c>
      <c r="CY12" s="30"/>
      <c r="CZ12" s="30"/>
      <c r="DA12" s="30"/>
      <c r="DB12" s="30"/>
      <c r="DC12" s="30" t="s">
        <v>38</v>
      </c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167">
        <f t="shared" si="5"/>
        <v>1</v>
      </c>
      <c r="DP12" s="51">
        <v>1</v>
      </c>
      <c r="DQ12" s="51" t="s">
        <v>18</v>
      </c>
      <c r="DR12" s="49"/>
      <c r="DS12" s="51" t="s">
        <v>227</v>
      </c>
      <c r="DT12" s="51" t="s">
        <v>150</v>
      </c>
      <c r="DU12" s="51">
        <v>480</v>
      </c>
      <c r="DV12" s="52">
        <v>0.02</v>
      </c>
      <c r="DW12" s="44"/>
      <c r="DX12" s="44"/>
      <c r="DY12" s="44"/>
      <c r="DZ12" s="44"/>
      <c r="EA12" s="44"/>
      <c r="EB12" s="44"/>
      <c r="EC12" s="44"/>
      <c r="ED12" s="45" t="s">
        <v>23</v>
      </c>
      <c r="EE12" s="43" t="s">
        <v>156</v>
      </c>
      <c r="EF12" s="43" t="s">
        <v>156</v>
      </c>
      <c r="EG12" s="58">
        <v>1</v>
      </c>
      <c r="EH12" s="41"/>
      <c r="EI12" s="41"/>
      <c r="EJ12" s="41"/>
      <c r="EK12" s="43"/>
      <c r="EL12" s="43"/>
      <c r="EM12" s="43"/>
      <c r="EN12" s="165">
        <v>1</v>
      </c>
      <c r="EO12" s="11" t="s">
        <v>159</v>
      </c>
      <c r="EP12" s="11" t="s">
        <v>160</v>
      </c>
      <c r="EQ12" s="11" t="s">
        <v>7</v>
      </c>
      <c r="ER12" s="11" t="s">
        <v>7</v>
      </c>
      <c r="ES12" s="11">
        <v>1</v>
      </c>
      <c r="ET12" s="11">
        <v>10000</v>
      </c>
      <c r="EU12" s="11" t="s">
        <v>175</v>
      </c>
      <c r="EV12" s="8">
        <v>3.1</v>
      </c>
      <c r="EW12" s="11" t="s">
        <v>37</v>
      </c>
      <c r="EX12" s="11"/>
      <c r="EY12" s="8"/>
      <c r="EZ12" s="13"/>
      <c r="FA12" s="13"/>
      <c r="FB12" s="13"/>
      <c r="FC12" s="13"/>
      <c r="FD12" s="13"/>
      <c r="FE12" s="13"/>
      <c r="FF12" s="13"/>
      <c r="FG12" s="13"/>
      <c r="FH12" s="13"/>
      <c r="FI12" s="166">
        <v>1</v>
      </c>
      <c r="FJ12" s="126" t="s">
        <v>29</v>
      </c>
      <c r="FK12" s="126" t="s">
        <v>7</v>
      </c>
      <c r="FL12" s="150" t="s">
        <v>179</v>
      </c>
      <c r="FM12" s="126" t="s">
        <v>7</v>
      </c>
      <c r="FN12" s="126" t="s">
        <v>7</v>
      </c>
      <c r="FO12" s="126">
        <v>1</v>
      </c>
      <c r="FP12" s="126">
        <v>750</v>
      </c>
      <c r="FQ12" s="126" t="s">
        <v>28</v>
      </c>
      <c r="FR12" s="126" t="s">
        <v>207</v>
      </c>
      <c r="FS12" s="126"/>
      <c r="FT12" s="126"/>
      <c r="FU12" s="151" t="s">
        <v>21</v>
      </c>
      <c r="FV12" s="151"/>
      <c r="FW12" s="43"/>
      <c r="FX12" s="43"/>
      <c r="FY12" s="41"/>
      <c r="FZ12" s="43"/>
      <c r="GA12" s="43"/>
      <c r="GB12" s="41"/>
      <c r="GC12" s="41"/>
      <c r="GD12" s="43"/>
      <c r="GE12" s="43"/>
      <c r="GF12" s="43"/>
      <c r="GG12" s="128" t="s">
        <v>217</v>
      </c>
      <c r="GH12" s="129"/>
      <c r="GI12" s="129"/>
      <c r="GJ12" s="128" t="s">
        <v>219</v>
      </c>
      <c r="GK12" s="129" t="s">
        <v>214</v>
      </c>
      <c r="GL12" s="128" t="s">
        <v>34</v>
      </c>
      <c r="GM12" s="128"/>
      <c r="GN12" s="128"/>
      <c r="GO12" s="129"/>
      <c r="GP12" s="128" t="s">
        <v>35</v>
      </c>
      <c r="GQ12" s="128">
        <v>2</v>
      </c>
      <c r="GR12" s="56" t="s">
        <v>7</v>
      </c>
      <c r="GS12" s="55"/>
      <c r="GT12" s="56"/>
      <c r="GU12" s="56" t="s">
        <v>225</v>
      </c>
      <c r="GV12" s="56">
        <v>0.2</v>
      </c>
      <c r="GW12" s="56" t="s">
        <v>7</v>
      </c>
      <c r="GX12" s="56"/>
      <c r="GY12" s="56" t="s">
        <v>9</v>
      </c>
      <c r="GZ12" s="55" t="s">
        <v>7</v>
      </c>
      <c r="HA12" s="56" t="s">
        <v>7</v>
      </c>
      <c r="HB12" s="55" t="s">
        <v>7</v>
      </c>
      <c r="HC12" s="55"/>
      <c r="HD12" s="55"/>
      <c r="HE12" s="55"/>
      <c r="HF12" s="170"/>
      <c r="HG12" s="172">
        <f t="shared" si="6"/>
        <v>225</v>
      </c>
      <c r="HH12" s="83" t="s">
        <v>9</v>
      </c>
      <c r="HI12" s="78">
        <v>1</v>
      </c>
      <c r="HJ12" s="76" t="s">
        <v>206</v>
      </c>
      <c r="HK12" s="76"/>
      <c r="HL12" s="76"/>
      <c r="HM12" s="76"/>
      <c r="HN12" s="76"/>
      <c r="HO12" s="79" t="s">
        <v>235</v>
      </c>
      <c r="HP12" s="79" t="s">
        <v>238</v>
      </c>
      <c r="HQ12" s="79" t="s">
        <v>37</v>
      </c>
      <c r="HR12" s="76"/>
      <c r="HS12" s="76"/>
      <c r="HT12" s="79" t="s">
        <v>221</v>
      </c>
      <c r="HU12" s="76"/>
      <c r="HV12" s="76"/>
      <c r="HW12" s="81">
        <v>20</v>
      </c>
      <c r="HX12" s="77">
        <v>25</v>
      </c>
      <c r="HY12" s="131">
        <f t="shared" si="7"/>
        <v>22.5</v>
      </c>
      <c r="HZ12" s="79" t="s">
        <v>39</v>
      </c>
      <c r="IA12" s="76" t="s">
        <v>248</v>
      </c>
      <c r="IB12" s="79" t="s">
        <v>249</v>
      </c>
      <c r="IC12" s="79">
        <v>0</v>
      </c>
      <c r="ID12" s="76">
        <v>0</v>
      </c>
      <c r="IE12" s="79">
        <v>15</v>
      </c>
      <c r="IF12" s="76">
        <v>15</v>
      </c>
      <c r="IG12" s="79">
        <v>1</v>
      </c>
      <c r="IH12" s="79">
        <v>1</v>
      </c>
      <c r="II12" s="76">
        <f t="shared" si="10"/>
        <v>16</v>
      </c>
      <c r="IJ12" s="76">
        <f t="shared" si="11"/>
        <v>16</v>
      </c>
      <c r="IK12" s="74">
        <v>1</v>
      </c>
      <c r="IL12" s="72"/>
      <c r="IM12" s="72"/>
      <c r="IN12" s="72"/>
      <c r="IO12" s="72"/>
      <c r="IP12" s="72"/>
      <c r="IQ12" s="72"/>
      <c r="IR12" s="72"/>
      <c r="IS12" s="72"/>
      <c r="IT12" s="72"/>
      <c r="IU12" s="72"/>
      <c r="IV12" s="72"/>
      <c r="IW12" s="72"/>
      <c r="IX12" s="73"/>
      <c r="IY12" s="73"/>
      <c r="IZ12" s="138">
        <f t="shared" si="8"/>
        <v>0</v>
      </c>
      <c r="JA12" s="72"/>
      <c r="JB12" s="72"/>
      <c r="JC12" s="72"/>
      <c r="JD12" s="72"/>
      <c r="JE12" s="72"/>
      <c r="JF12" s="72"/>
      <c r="JG12" s="72"/>
      <c r="JH12" s="72"/>
      <c r="JI12" s="72"/>
      <c r="JJ12" s="72"/>
      <c r="JK12" s="72"/>
      <c r="JL12" s="173">
        <v>1</v>
      </c>
      <c r="JM12" s="71" t="s">
        <v>24</v>
      </c>
      <c r="JN12" s="71" t="s">
        <v>9</v>
      </c>
      <c r="JO12" s="70"/>
      <c r="JP12" s="71"/>
      <c r="JQ12" s="71"/>
      <c r="JR12" s="71" t="s">
        <v>251</v>
      </c>
      <c r="JS12" s="70"/>
      <c r="JT12" s="71" t="s">
        <v>244</v>
      </c>
      <c r="JU12" s="70" t="s">
        <v>4</v>
      </c>
      <c r="JV12" s="70"/>
      <c r="JW12" s="71" t="s">
        <v>38</v>
      </c>
      <c r="JX12" s="71" t="s">
        <v>232</v>
      </c>
      <c r="JY12" s="71">
        <v>10</v>
      </c>
      <c r="JZ12" s="4" t="s">
        <v>24</v>
      </c>
      <c r="KA12" s="4"/>
      <c r="KB12" s="4"/>
      <c r="KC12" s="68"/>
      <c r="KD12" s="67"/>
      <c r="KE12" s="68"/>
      <c r="KF12" s="4"/>
      <c r="KG12" s="4"/>
      <c r="KH12" s="4"/>
      <c r="KI12" s="64" t="s">
        <v>259</v>
      </c>
      <c r="KJ12" s="63">
        <v>1</v>
      </c>
      <c r="KK12" s="63">
        <v>60</v>
      </c>
      <c r="KL12" s="63" t="s">
        <v>17</v>
      </c>
      <c r="KM12" s="63">
        <v>1</v>
      </c>
      <c r="KN12" s="63">
        <v>10</v>
      </c>
      <c r="KO12" s="63" t="s">
        <v>260</v>
      </c>
      <c r="KP12" s="63">
        <v>1</v>
      </c>
      <c r="KQ12" s="63">
        <v>10</v>
      </c>
      <c r="KR12" s="63"/>
      <c r="KS12" s="63"/>
      <c r="KT12" s="63"/>
      <c r="KU12" s="62" t="s">
        <v>9</v>
      </c>
      <c r="KV12" s="58">
        <v>3</v>
      </c>
      <c r="KW12" s="43" t="s">
        <v>266</v>
      </c>
      <c r="KX12" s="43" t="s">
        <v>269</v>
      </c>
      <c r="KY12" s="60" t="s">
        <v>24</v>
      </c>
      <c r="KZ12" s="60" t="s">
        <v>9</v>
      </c>
      <c r="LA12" s="60" t="s">
        <v>9</v>
      </c>
      <c r="LB12" s="60" t="s">
        <v>24</v>
      </c>
      <c r="LC12" s="60" t="s">
        <v>270</v>
      </c>
      <c r="LD12" s="60" t="s">
        <v>272</v>
      </c>
      <c r="LE12" s="59"/>
      <c r="LF12" s="59" t="s">
        <v>224</v>
      </c>
      <c r="LG12" s="3"/>
    </row>
    <row r="13" spans="1:323" x14ac:dyDescent="0.3">
      <c r="A13" s="204" t="s">
        <v>52</v>
      </c>
      <c r="B13" s="204">
        <v>9.1999999999999993</v>
      </c>
      <c r="C13" s="86" t="s">
        <v>276</v>
      </c>
      <c r="D13" s="86">
        <v>8.4</v>
      </c>
      <c r="E13" s="5" t="s">
        <v>241</v>
      </c>
      <c r="F13" s="5" t="s">
        <v>499</v>
      </c>
      <c r="G13" s="5"/>
      <c r="H13" s="5">
        <v>2</v>
      </c>
      <c r="I13" s="5" t="s">
        <v>7</v>
      </c>
      <c r="J13" s="5"/>
      <c r="K13" s="6" t="s">
        <v>26</v>
      </c>
      <c r="L13" s="6" t="s">
        <v>113</v>
      </c>
      <c r="M13" s="6" t="s">
        <v>93</v>
      </c>
      <c r="N13" s="213" t="s">
        <v>846</v>
      </c>
      <c r="O13" s="162">
        <f>SUM((W13*Tableau1[[#This Row],[IR_inter1]]),(AN13*Tableau1[[#This Row],[IR_inter2]]),(BC13*Tableau1[[#This Row],[IR_inter3]]),(Tableau1[[#This Row],[IR_freq4]]*BR13),(CG13*Tableau1[[#This Row],[IR_inter5]]))</f>
        <v>7.5</v>
      </c>
      <c r="P13" s="162">
        <f t="shared" si="0"/>
        <v>8</v>
      </c>
      <c r="Q13" s="162">
        <f t="shared" si="1"/>
        <v>0.9375</v>
      </c>
      <c r="R13" s="162">
        <f t="shared" si="2"/>
        <v>80</v>
      </c>
      <c r="S13" s="11" t="s">
        <v>114</v>
      </c>
      <c r="T13" s="12">
        <v>0.5</v>
      </c>
      <c r="U13" s="12">
        <v>80</v>
      </c>
      <c r="V13" s="9">
        <v>80</v>
      </c>
      <c r="W13" s="11">
        <v>1</v>
      </c>
      <c r="X13" s="11" t="s">
        <v>28</v>
      </c>
      <c r="Y13" s="8"/>
      <c r="Z13" s="8"/>
      <c r="AA13" s="8"/>
      <c r="AB13" s="8"/>
      <c r="AC13" s="11" t="s">
        <v>119</v>
      </c>
      <c r="AD13" s="8"/>
      <c r="AE13" s="8"/>
      <c r="AF13" s="8"/>
      <c r="AG13" s="11" t="s">
        <v>21</v>
      </c>
      <c r="AH13" s="8" t="s">
        <v>129</v>
      </c>
      <c r="AI13" s="8"/>
      <c r="AJ13" s="15" t="s">
        <v>114</v>
      </c>
      <c r="AK13" s="17">
        <v>1</v>
      </c>
      <c r="AL13" s="17">
        <v>40</v>
      </c>
      <c r="AM13" s="14">
        <v>50</v>
      </c>
      <c r="AN13" s="15">
        <v>2</v>
      </c>
      <c r="AO13" s="15" t="s">
        <v>28</v>
      </c>
      <c r="AP13" s="13" t="s">
        <v>15</v>
      </c>
      <c r="AQ13" s="13"/>
      <c r="AR13" s="13"/>
      <c r="AS13" s="13"/>
      <c r="AT13" s="15" t="s">
        <v>119</v>
      </c>
      <c r="AU13" s="13"/>
      <c r="AV13" s="15" t="s">
        <v>21</v>
      </c>
      <c r="AW13" s="13"/>
      <c r="AX13" s="13"/>
      <c r="AY13" s="21" t="s">
        <v>17</v>
      </c>
      <c r="AZ13" s="23">
        <v>1</v>
      </c>
      <c r="BA13" s="22">
        <v>15</v>
      </c>
      <c r="BB13" s="19">
        <v>20</v>
      </c>
      <c r="BC13" s="22">
        <v>2</v>
      </c>
      <c r="BD13" s="21" t="s">
        <v>134</v>
      </c>
      <c r="BE13" s="18" t="s">
        <v>15</v>
      </c>
      <c r="BF13" s="18"/>
      <c r="BG13" s="18"/>
      <c r="BH13" s="18"/>
      <c r="BI13" s="21" t="s">
        <v>124</v>
      </c>
      <c r="BJ13" s="18"/>
      <c r="BK13" s="18"/>
      <c r="BL13" s="21" t="s">
        <v>38</v>
      </c>
      <c r="BM13" s="18" t="s">
        <v>129</v>
      </c>
      <c r="BN13" s="101" t="s">
        <v>141</v>
      </c>
      <c r="BO13" s="103">
        <v>1</v>
      </c>
      <c r="BP13" s="101">
        <v>0</v>
      </c>
      <c r="BQ13" s="99">
        <v>0</v>
      </c>
      <c r="BR13" s="101">
        <v>1</v>
      </c>
      <c r="BS13" s="101" t="s">
        <v>18</v>
      </c>
      <c r="BT13" s="99" t="s">
        <v>11</v>
      </c>
      <c r="BU13" s="101"/>
      <c r="BV13" s="101"/>
      <c r="BW13" s="101"/>
      <c r="BX13" s="101" t="s">
        <v>20</v>
      </c>
      <c r="BY13" s="99"/>
      <c r="BZ13" s="99"/>
      <c r="CA13" s="101"/>
      <c r="CB13" s="99"/>
      <c r="CC13" s="27" t="s">
        <v>131</v>
      </c>
      <c r="CD13" s="96">
        <v>1</v>
      </c>
      <c r="CE13" s="25">
        <v>25</v>
      </c>
      <c r="CF13" s="27">
        <v>30</v>
      </c>
      <c r="CG13" s="27">
        <v>2</v>
      </c>
      <c r="CH13" s="27" t="s">
        <v>15</v>
      </c>
      <c r="CI13" s="25" t="s">
        <v>16</v>
      </c>
      <c r="CJ13" s="27"/>
      <c r="CK13" s="27" t="s">
        <v>130</v>
      </c>
      <c r="CL13" s="27"/>
      <c r="CM13" s="25" t="s">
        <v>38</v>
      </c>
      <c r="CN13" s="169">
        <f t="shared" si="3"/>
        <v>3</v>
      </c>
      <c r="CO13" s="167">
        <f t="shared" si="4"/>
        <v>2</v>
      </c>
      <c r="CP13" s="30" t="s">
        <v>147</v>
      </c>
      <c r="CQ13" s="30"/>
      <c r="CR13" s="30">
        <v>5</v>
      </c>
      <c r="CS13" s="30">
        <v>10</v>
      </c>
      <c r="CT13" s="30">
        <v>2</v>
      </c>
      <c r="CU13" s="30"/>
      <c r="CV13" s="30" t="s">
        <v>13</v>
      </c>
      <c r="CW13" s="30" t="s">
        <v>14</v>
      </c>
      <c r="CX13" s="30" t="s">
        <v>15</v>
      </c>
      <c r="CY13" s="30"/>
      <c r="CZ13" s="30"/>
      <c r="DA13" s="30"/>
      <c r="DB13" s="30"/>
      <c r="DC13" s="30" t="s">
        <v>38</v>
      </c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167">
        <f t="shared" si="5"/>
        <v>1</v>
      </c>
      <c r="DP13" s="51">
        <v>1</v>
      </c>
      <c r="DQ13" s="51" t="s">
        <v>18</v>
      </c>
      <c r="DR13" s="49"/>
      <c r="DS13" s="51" t="s">
        <v>227</v>
      </c>
      <c r="DT13" s="51" t="s">
        <v>150</v>
      </c>
      <c r="DU13" s="51">
        <v>480</v>
      </c>
      <c r="DV13" s="52">
        <v>0.02</v>
      </c>
      <c r="DW13" s="44"/>
      <c r="DX13" s="44"/>
      <c r="DY13" s="44"/>
      <c r="DZ13" s="44"/>
      <c r="EA13" s="44"/>
      <c r="EB13" s="44"/>
      <c r="EC13" s="44"/>
      <c r="ED13" s="45" t="s">
        <v>23</v>
      </c>
      <c r="EE13" s="43" t="s">
        <v>156</v>
      </c>
      <c r="EF13" s="43" t="s">
        <v>156</v>
      </c>
      <c r="EG13" s="58">
        <v>1</v>
      </c>
      <c r="EH13" s="41"/>
      <c r="EI13" s="41"/>
      <c r="EJ13" s="41"/>
      <c r="EK13" s="43"/>
      <c r="EL13" s="43"/>
      <c r="EM13" s="43"/>
      <c r="EN13" s="165">
        <v>1</v>
      </c>
      <c r="EO13" s="11" t="s">
        <v>159</v>
      </c>
      <c r="EP13" s="11" t="s">
        <v>160</v>
      </c>
      <c r="EQ13" s="11" t="s">
        <v>7</v>
      </c>
      <c r="ER13" s="11" t="s">
        <v>7</v>
      </c>
      <c r="ES13" s="11">
        <v>1</v>
      </c>
      <c r="ET13" s="11">
        <v>10000</v>
      </c>
      <c r="EU13" s="11" t="s">
        <v>175</v>
      </c>
      <c r="EV13" s="8">
        <v>6.6</v>
      </c>
      <c r="EW13" s="11" t="s">
        <v>37</v>
      </c>
      <c r="EX13" s="11"/>
      <c r="EY13" s="8"/>
      <c r="EZ13" s="13"/>
      <c r="FA13" s="13"/>
      <c r="FB13" s="13"/>
      <c r="FC13" s="13"/>
      <c r="FD13" s="13"/>
      <c r="FE13" s="13"/>
      <c r="FF13" s="13"/>
      <c r="FG13" s="13"/>
      <c r="FH13" s="13"/>
      <c r="FI13" s="166">
        <v>1</v>
      </c>
      <c r="FJ13" s="126" t="s">
        <v>29</v>
      </c>
      <c r="FK13" s="126" t="s">
        <v>7</v>
      </c>
      <c r="FL13" s="150" t="s">
        <v>179</v>
      </c>
      <c r="FM13" s="126" t="s">
        <v>7</v>
      </c>
      <c r="FN13" s="126" t="s">
        <v>7</v>
      </c>
      <c r="FO13" s="126">
        <v>1</v>
      </c>
      <c r="FP13" s="126">
        <v>750</v>
      </c>
      <c r="FQ13" s="126" t="s">
        <v>28</v>
      </c>
      <c r="FR13" s="126" t="s">
        <v>207</v>
      </c>
      <c r="FS13" s="126"/>
      <c r="FT13" s="126"/>
      <c r="FU13" s="151" t="s">
        <v>21</v>
      </c>
      <c r="FV13" s="151"/>
      <c r="FW13" s="43"/>
      <c r="FX13" s="43"/>
      <c r="FY13" s="41"/>
      <c r="FZ13" s="43"/>
      <c r="GA13" s="43"/>
      <c r="GB13" s="41"/>
      <c r="GC13" s="41"/>
      <c r="GD13" s="43"/>
      <c r="GE13" s="43"/>
      <c r="GF13" s="43"/>
      <c r="GG13" s="128" t="s">
        <v>217</v>
      </c>
      <c r="GH13" s="129"/>
      <c r="GI13" s="129"/>
      <c r="GJ13" s="128" t="s">
        <v>219</v>
      </c>
      <c r="GK13" s="129" t="s">
        <v>214</v>
      </c>
      <c r="GL13" s="128" t="s">
        <v>34</v>
      </c>
      <c r="GM13" s="128"/>
      <c r="GN13" s="128"/>
      <c r="GO13" s="129"/>
      <c r="GP13" s="128" t="s">
        <v>35</v>
      </c>
      <c r="GQ13" s="128">
        <v>2</v>
      </c>
      <c r="GR13" s="56" t="s">
        <v>7</v>
      </c>
      <c r="GS13" s="55"/>
      <c r="GT13" s="56"/>
      <c r="GU13" s="56" t="s">
        <v>225</v>
      </c>
      <c r="GV13" s="56">
        <v>0.2</v>
      </c>
      <c r="GW13" s="56" t="s">
        <v>7</v>
      </c>
      <c r="GX13" s="56"/>
      <c r="GY13" s="56" t="s">
        <v>9</v>
      </c>
      <c r="GZ13" s="55" t="s">
        <v>7</v>
      </c>
      <c r="HA13" s="56" t="s">
        <v>7</v>
      </c>
      <c r="HB13" s="55" t="s">
        <v>7</v>
      </c>
      <c r="HC13" s="55"/>
      <c r="HD13" s="55"/>
      <c r="HE13" s="55"/>
      <c r="HF13" s="170"/>
      <c r="HG13" s="172">
        <f t="shared" si="6"/>
        <v>225</v>
      </c>
      <c r="HH13" s="83" t="s">
        <v>9</v>
      </c>
      <c r="HI13" s="78">
        <v>1</v>
      </c>
      <c r="HJ13" s="76" t="s">
        <v>206</v>
      </c>
      <c r="HK13" s="76"/>
      <c r="HL13" s="76"/>
      <c r="HM13" s="76"/>
      <c r="HN13" s="76"/>
      <c r="HO13" s="79" t="s">
        <v>235</v>
      </c>
      <c r="HP13" s="79" t="s">
        <v>238</v>
      </c>
      <c r="HQ13" s="79" t="s">
        <v>37</v>
      </c>
      <c r="HR13" s="76"/>
      <c r="HS13" s="76"/>
      <c r="HT13" s="79" t="s">
        <v>221</v>
      </c>
      <c r="HU13" s="76"/>
      <c r="HV13" s="76"/>
      <c r="HW13" s="81">
        <v>20</v>
      </c>
      <c r="HX13" s="77">
        <v>25</v>
      </c>
      <c r="HY13" s="131">
        <f t="shared" si="7"/>
        <v>22.5</v>
      </c>
      <c r="HZ13" s="79" t="s">
        <v>39</v>
      </c>
      <c r="IA13" s="76" t="s">
        <v>248</v>
      </c>
      <c r="IB13" s="79" t="s">
        <v>249</v>
      </c>
      <c r="IC13" s="79">
        <v>0</v>
      </c>
      <c r="ID13" s="76">
        <v>0</v>
      </c>
      <c r="IE13" s="79">
        <v>15</v>
      </c>
      <c r="IF13" s="76">
        <v>15</v>
      </c>
      <c r="IG13" s="79">
        <v>1</v>
      </c>
      <c r="IH13" s="79">
        <v>1</v>
      </c>
      <c r="II13" s="76">
        <f t="shared" si="10"/>
        <v>16</v>
      </c>
      <c r="IJ13" s="76">
        <f t="shared" si="11"/>
        <v>16</v>
      </c>
      <c r="IK13" s="74">
        <v>1</v>
      </c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3"/>
      <c r="IY13" s="73"/>
      <c r="IZ13" s="138">
        <f t="shared" si="8"/>
        <v>0</v>
      </c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173">
        <v>1</v>
      </c>
      <c r="JM13" s="71" t="s">
        <v>24</v>
      </c>
      <c r="JN13" s="71" t="s">
        <v>9</v>
      </c>
      <c r="JO13" s="70"/>
      <c r="JP13" s="71"/>
      <c r="JQ13" s="71"/>
      <c r="JR13" s="71" t="s">
        <v>251</v>
      </c>
      <c r="JS13" s="70"/>
      <c r="JT13" s="71" t="s">
        <v>244</v>
      </c>
      <c r="JU13" s="70" t="s">
        <v>4</v>
      </c>
      <c r="JV13" s="70"/>
      <c r="JW13" s="71" t="s">
        <v>38</v>
      </c>
      <c r="JX13" s="71" t="s">
        <v>232</v>
      </c>
      <c r="JY13" s="71">
        <v>10</v>
      </c>
      <c r="JZ13" s="4" t="s">
        <v>24</v>
      </c>
      <c r="KA13" s="4"/>
      <c r="KB13" s="4"/>
      <c r="KC13" s="68"/>
      <c r="KD13" s="67"/>
      <c r="KE13" s="68"/>
      <c r="KF13" s="4"/>
      <c r="KG13" s="4"/>
      <c r="KH13" s="4"/>
      <c r="KI13" s="64" t="s">
        <v>259</v>
      </c>
      <c r="KJ13" s="63">
        <v>1</v>
      </c>
      <c r="KK13" s="63">
        <v>60</v>
      </c>
      <c r="KL13" s="63" t="s">
        <v>17</v>
      </c>
      <c r="KM13" s="63">
        <v>1</v>
      </c>
      <c r="KN13" s="63">
        <v>10</v>
      </c>
      <c r="KO13" s="63" t="s">
        <v>260</v>
      </c>
      <c r="KP13" s="63">
        <v>1</v>
      </c>
      <c r="KQ13" s="63">
        <v>10</v>
      </c>
      <c r="KR13" s="63"/>
      <c r="KS13" s="63"/>
      <c r="KT13" s="63"/>
      <c r="KU13" s="62" t="s">
        <v>9</v>
      </c>
      <c r="KV13" s="58">
        <v>3</v>
      </c>
      <c r="KW13" s="43" t="s">
        <v>266</v>
      </c>
      <c r="KX13" s="43" t="s">
        <v>269</v>
      </c>
      <c r="KY13" s="60" t="s">
        <v>24</v>
      </c>
      <c r="KZ13" s="60" t="s">
        <v>9</v>
      </c>
      <c r="LA13" s="60" t="s">
        <v>9</v>
      </c>
      <c r="LB13" s="60" t="s">
        <v>24</v>
      </c>
      <c r="LC13" s="60" t="s">
        <v>270</v>
      </c>
      <c r="LD13" s="60" t="s">
        <v>272</v>
      </c>
      <c r="LE13" s="59"/>
      <c r="LF13" s="59" t="s">
        <v>224</v>
      </c>
      <c r="LG13" s="3"/>
    </row>
    <row r="14" spans="1:323" x14ac:dyDescent="0.3">
      <c r="A14" s="104" t="s">
        <v>48</v>
      </c>
      <c r="B14" s="104">
        <v>10.1</v>
      </c>
      <c r="C14" s="85" t="s">
        <v>476</v>
      </c>
      <c r="D14" s="85">
        <v>3</v>
      </c>
      <c r="E14" s="5" t="s">
        <v>237</v>
      </c>
      <c r="F14" s="5" t="s">
        <v>516</v>
      </c>
      <c r="G14" s="5"/>
      <c r="H14" s="5">
        <v>3</v>
      </c>
      <c r="I14" s="6" t="s">
        <v>91</v>
      </c>
      <c r="J14" s="6" t="s">
        <v>98</v>
      </c>
      <c r="K14" s="6" t="s">
        <v>90</v>
      </c>
      <c r="L14" s="6" t="s">
        <v>113</v>
      </c>
      <c r="M14" s="6" t="s">
        <v>90</v>
      </c>
      <c r="N14" s="213" t="s">
        <v>847</v>
      </c>
      <c r="O14" s="162">
        <f>SUM((W14*Tableau1[[#This Row],[IR_inter1]]),(AN14*Tableau1[[#This Row],[IR_inter2]]),(BC14*Tableau1[[#This Row],[IR_inter3]]),(Tableau1[[#This Row],[IR_freq4]]*BR14),(CG14*Tableau1[[#This Row],[IR_inter5]]))</f>
        <v>4</v>
      </c>
      <c r="P14" s="162">
        <f t="shared" si="0"/>
        <v>4</v>
      </c>
      <c r="Q14" s="162">
        <f t="shared" si="1"/>
        <v>1</v>
      </c>
      <c r="R14" s="162">
        <f t="shared" si="2"/>
        <v>30</v>
      </c>
      <c r="S14" s="11" t="s">
        <v>17</v>
      </c>
      <c r="T14" s="12">
        <v>1</v>
      </c>
      <c r="U14" s="12">
        <v>10</v>
      </c>
      <c r="V14" s="9">
        <v>15</v>
      </c>
      <c r="W14" s="11">
        <v>2</v>
      </c>
      <c r="X14" s="11" t="s">
        <v>116</v>
      </c>
      <c r="Y14" s="8" t="s">
        <v>11</v>
      </c>
      <c r="Z14" s="8" t="s">
        <v>13</v>
      </c>
      <c r="AA14" s="8"/>
      <c r="AB14" s="8"/>
      <c r="AC14" s="11" t="s">
        <v>20</v>
      </c>
      <c r="AD14" s="8" t="s">
        <v>19</v>
      </c>
      <c r="AE14" s="8"/>
      <c r="AF14" s="8"/>
      <c r="AG14" s="11" t="s">
        <v>21</v>
      </c>
      <c r="AH14" s="8" t="s">
        <v>129</v>
      </c>
      <c r="AI14" s="8"/>
      <c r="AJ14" s="15" t="s">
        <v>10</v>
      </c>
      <c r="AK14" s="17">
        <v>1</v>
      </c>
      <c r="AL14" s="17">
        <v>30</v>
      </c>
      <c r="AM14" s="14">
        <v>30</v>
      </c>
      <c r="AN14" s="15">
        <v>2</v>
      </c>
      <c r="AO14" s="15" t="s">
        <v>18</v>
      </c>
      <c r="AP14" s="13" t="s">
        <v>11</v>
      </c>
      <c r="AQ14" s="13"/>
      <c r="AR14" s="13"/>
      <c r="AS14" s="13"/>
      <c r="AT14" s="15" t="s">
        <v>119</v>
      </c>
      <c r="AU14" s="13"/>
      <c r="AV14" s="15" t="s">
        <v>21</v>
      </c>
      <c r="AW14" s="13"/>
      <c r="AX14" s="13"/>
      <c r="AY14" s="21"/>
      <c r="AZ14" s="22"/>
      <c r="BA14" s="22"/>
      <c r="BB14" s="19"/>
      <c r="BC14" s="22"/>
      <c r="BD14" s="21"/>
      <c r="BE14" s="18"/>
      <c r="BF14" s="18"/>
      <c r="BG14" s="18"/>
      <c r="BH14" s="18"/>
      <c r="BI14" s="21"/>
      <c r="BJ14" s="18"/>
      <c r="BK14" s="18"/>
      <c r="BL14" s="21"/>
      <c r="BM14" s="18"/>
      <c r="BN14" s="101"/>
      <c r="BO14" s="102"/>
      <c r="BP14" s="101"/>
      <c r="BQ14" s="99"/>
      <c r="BR14" s="101"/>
      <c r="BS14" s="101"/>
      <c r="BT14" s="101"/>
      <c r="BU14" s="101"/>
      <c r="BV14" s="101"/>
      <c r="BW14" s="101"/>
      <c r="BX14" s="101"/>
      <c r="BY14" s="99"/>
      <c r="BZ14" s="99"/>
      <c r="CA14" s="101"/>
      <c r="CB14" s="99"/>
      <c r="CC14" s="27"/>
      <c r="CD14" s="28"/>
      <c r="CE14" s="27"/>
      <c r="CF14" s="25"/>
      <c r="CG14" s="27"/>
      <c r="CH14" s="27"/>
      <c r="CI14" s="27"/>
      <c r="CJ14" s="27"/>
      <c r="CK14" s="27"/>
      <c r="CL14" s="27"/>
      <c r="CM14" s="25"/>
      <c r="CN14" s="169">
        <f t="shared" si="3"/>
        <v>1</v>
      </c>
      <c r="CO14" s="167">
        <f t="shared" si="4"/>
        <v>0</v>
      </c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167">
        <f t="shared" si="5"/>
        <v>1</v>
      </c>
      <c r="DP14" s="51">
        <v>2</v>
      </c>
      <c r="DQ14" s="51" t="s">
        <v>11</v>
      </c>
      <c r="DR14" s="49" t="s">
        <v>14</v>
      </c>
      <c r="DS14" s="51" t="s">
        <v>227</v>
      </c>
      <c r="DT14" s="51" t="s">
        <v>150</v>
      </c>
      <c r="DU14" s="51">
        <v>480</v>
      </c>
      <c r="DV14" s="52">
        <v>0.02</v>
      </c>
      <c r="DW14" s="44" t="s">
        <v>154</v>
      </c>
      <c r="DX14" s="45" t="s">
        <v>7</v>
      </c>
      <c r="DY14" s="45" t="s">
        <v>150</v>
      </c>
      <c r="DZ14" s="45" t="s">
        <v>7</v>
      </c>
      <c r="EA14" s="44">
        <v>480</v>
      </c>
      <c r="EB14" s="44"/>
      <c r="EC14" s="44">
        <v>0.02</v>
      </c>
      <c r="ED14" s="45"/>
      <c r="EE14" s="43" t="s">
        <v>155</v>
      </c>
      <c r="EF14" s="43" t="s">
        <v>8</v>
      </c>
      <c r="EG14" s="58">
        <v>1</v>
      </c>
      <c r="EH14" s="41"/>
      <c r="EI14" s="41"/>
      <c r="EJ14" s="41"/>
      <c r="EK14" s="43"/>
      <c r="EL14" s="43"/>
      <c r="EM14" s="43"/>
      <c r="EN14" s="165">
        <v>0</v>
      </c>
      <c r="EO14" s="10" t="s">
        <v>26</v>
      </c>
      <c r="EP14" s="11"/>
      <c r="EQ14" s="11"/>
      <c r="ER14" s="11"/>
      <c r="ES14" s="11"/>
      <c r="ET14" s="11"/>
      <c r="EU14" s="8"/>
      <c r="EV14" s="8"/>
      <c r="EW14" s="11"/>
      <c r="EX14" s="11"/>
      <c r="EY14" s="8"/>
      <c r="EZ14" s="13"/>
      <c r="FA14" s="13"/>
      <c r="FB14" s="13"/>
      <c r="FC14" s="13"/>
      <c r="FD14" s="13"/>
      <c r="FE14" s="13"/>
      <c r="FF14" s="13"/>
      <c r="FG14" s="13"/>
      <c r="FH14" s="13"/>
      <c r="FI14" s="166">
        <v>1</v>
      </c>
      <c r="FJ14" s="126" t="s">
        <v>29</v>
      </c>
      <c r="FK14" s="126" t="s">
        <v>183</v>
      </c>
      <c r="FL14" s="150" t="s">
        <v>204</v>
      </c>
      <c r="FM14" s="126" t="s">
        <v>7</v>
      </c>
      <c r="FN14" s="126" t="s">
        <v>184</v>
      </c>
      <c r="FO14" s="126">
        <v>1</v>
      </c>
      <c r="FP14" s="126">
        <v>500</v>
      </c>
      <c r="FQ14" s="126"/>
      <c r="FR14" s="126"/>
      <c r="FS14" s="126"/>
      <c r="FT14" s="126"/>
      <c r="FU14" s="151" t="s">
        <v>21</v>
      </c>
      <c r="FV14" s="151"/>
      <c r="FW14" s="43"/>
      <c r="FX14" s="43"/>
      <c r="FY14" s="41"/>
      <c r="FZ14" s="43"/>
      <c r="GA14" s="43"/>
      <c r="GB14" s="41"/>
      <c r="GC14" s="41"/>
      <c r="GD14" s="43"/>
      <c r="GE14" s="43"/>
      <c r="GF14" s="43"/>
      <c r="GG14" s="128" t="s">
        <v>217</v>
      </c>
      <c r="GH14" s="129"/>
      <c r="GI14" s="129"/>
      <c r="GJ14" s="128" t="s">
        <v>33</v>
      </c>
      <c r="GK14" s="129" t="s">
        <v>214</v>
      </c>
      <c r="GL14" s="128" t="s">
        <v>34</v>
      </c>
      <c r="GM14" s="128"/>
      <c r="GN14" s="128"/>
      <c r="GO14" s="129"/>
      <c r="GP14" s="128" t="s">
        <v>35</v>
      </c>
      <c r="GQ14" s="128">
        <v>1</v>
      </c>
      <c r="GR14" s="56" t="s">
        <v>28</v>
      </c>
      <c r="GS14" s="55"/>
      <c r="GT14" s="56"/>
      <c r="GU14" s="56" t="s">
        <v>225</v>
      </c>
      <c r="GV14" s="56">
        <v>0.1</v>
      </c>
      <c r="GW14" s="56" t="s">
        <v>234</v>
      </c>
      <c r="GX14" s="56"/>
      <c r="GY14" s="56" t="s">
        <v>24</v>
      </c>
      <c r="GZ14" s="55"/>
      <c r="HA14" s="55"/>
      <c r="HB14" s="55"/>
      <c r="HC14" s="55"/>
      <c r="HD14" s="55"/>
      <c r="HE14" s="55"/>
      <c r="HF14" s="170"/>
      <c r="HG14" s="172">
        <f t="shared" si="6"/>
        <v>200</v>
      </c>
      <c r="HH14" s="83" t="s">
        <v>9</v>
      </c>
      <c r="HI14" s="78">
        <v>1</v>
      </c>
      <c r="HJ14" s="76" t="s">
        <v>206</v>
      </c>
      <c r="HK14" s="76" t="s">
        <v>135</v>
      </c>
      <c r="HL14" s="76" t="s">
        <v>18</v>
      </c>
      <c r="HM14" s="76" t="s">
        <v>11</v>
      </c>
      <c r="HN14" s="76"/>
      <c r="HO14" s="79" t="s">
        <v>235</v>
      </c>
      <c r="HP14" s="79" t="s">
        <v>7</v>
      </c>
      <c r="HQ14" s="79" t="s">
        <v>243</v>
      </c>
      <c r="HR14" s="79" t="s">
        <v>37</v>
      </c>
      <c r="HS14" s="76"/>
      <c r="HT14" s="79" t="s">
        <v>221</v>
      </c>
      <c r="HU14" s="76"/>
      <c r="HV14" s="76"/>
      <c r="HW14" s="80">
        <v>20</v>
      </c>
      <c r="HX14" s="77">
        <v>20</v>
      </c>
      <c r="HY14" s="131">
        <f t="shared" si="7"/>
        <v>20</v>
      </c>
      <c r="HZ14" s="79" t="s">
        <v>247</v>
      </c>
      <c r="IA14" s="76" t="s">
        <v>248</v>
      </c>
      <c r="IB14" s="79" t="s">
        <v>249</v>
      </c>
      <c r="IC14" s="79">
        <v>1</v>
      </c>
      <c r="ID14" s="76">
        <v>1</v>
      </c>
      <c r="IE14" s="79">
        <v>2</v>
      </c>
      <c r="IF14" s="76">
        <v>2</v>
      </c>
      <c r="IG14" s="79">
        <v>7</v>
      </c>
      <c r="IH14" s="79">
        <v>7</v>
      </c>
      <c r="II14" s="76">
        <f t="shared" si="10"/>
        <v>10</v>
      </c>
      <c r="IJ14" s="76">
        <f t="shared" si="11"/>
        <v>10</v>
      </c>
      <c r="IK14" s="74">
        <v>1</v>
      </c>
      <c r="IL14" s="72"/>
      <c r="IM14" s="72"/>
      <c r="IN14" s="72"/>
      <c r="IO14" s="72"/>
      <c r="IP14" s="72"/>
      <c r="IQ14" s="72"/>
      <c r="IR14" s="72"/>
      <c r="IS14" s="72"/>
      <c r="IT14" s="72"/>
      <c r="IU14" s="72"/>
      <c r="IV14" s="72"/>
      <c r="IW14" s="72"/>
      <c r="IX14" s="73"/>
      <c r="IY14" s="73"/>
      <c r="IZ14" s="138">
        <f t="shared" si="8"/>
        <v>0</v>
      </c>
      <c r="JA14" s="72"/>
      <c r="JB14" s="72"/>
      <c r="JC14" s="72"/>
      <c r="JD14" s="72"/>
      <c r="JE14" s="72"/>
      <c r="JF14" s="72"/>
      <c r="JG14" s="72"/>
      <c r="JH14" s="72"/>
      <c r="JI14" s="72"/>
      <c r="JJ14" s="72"/>
      <c r="JK14" s="72"/>
      <c r="JL14" s="173">
        <v>0</v>
      </c>
      <c r="JM14" s="71" t="s">
        <v>24</v>
      </c>
      <c r="JN14" s="71" t="s">
        <v>24</v>
      </c>
      <c r="JO14" s="70"/>
      <c r="JP14" s="71"/>
      <c r="JQ14" s="71"/>
      <c r="JR14" s="71"/>
      <c r="JS14" s="70"/>
      <c r="JT14" s="71"/>
      <c r="JU14" s="70"/>
      <c r="JV14" s="70"/>
      <c r="JW14" s="71"/>
      <c r="JX14" s="71"/>
      <c r="JY14" s="71"/>
      <c r="JZ14" s="4" t="s">
        <v>24</v>
      </c>
      <c r="KA14" s="4"/>
      <c r="KB14" s="4"/>
      <c r="KC14" s="68"/>
      <c r="KD14" s="67"/>
      <c r="KE14" s="68"/>
      <c r="KF14" s="4"/>
      <c r="KG14" s="4"/>
      <c r="KH14" s="4"/>
      <c r="KI14" s="64" t="s">
        <v>263</v>
      </c>
      <c r="KJ14" s="63">
        <v>1</v>
      </c>
      <c r="KK14" s="63">
        <v>60</v>
      </c>
      <c r="KL14" s="63"/>
      <c r="KM14" s="63"/>
      <c r="KN14" s="63"/>
      <c r="KO14" s="63"/>
      <c r="KP14" s="63"/>
      <c r="KQ14" s="63"/>
      <c r="KR14" s="63"/>
      <c r="KS14" s="63"/>
      <c r="KT14" s="63"/>
      <c r="KU14" s="62" t="s">
        <v>9</v>
      </c>
      <c r="KV14" s="58">
        <v>3</v>
      </c>
      <c r="KW14" s="42" t="s">
        <v>265</v>
      </c>
      <c r="KX14" s="42" t="s">
        <v>2</v>
      </c>
      <c r="KY14" s="60" t="s">
        <v>24</v>
      </c>
      <c r="KZ14" s="59" t="s">
        <v>24</v>
      </c>
      <c r="LA14" s="60"/>
      <c r="LB14" s="59"/>
      <c r="LC14" s="60"/>
      <c r="LD14" s="60"/>
      <c r="LE14" s="59"/>
      <c r="LF14" s="59"/>
    </row>
    <row r="15" spans="1:323" x14ac:dyDescent="0.3">
      <c r="A15" s="104" t="s">
        <v>49</v>
      </c>
      <c r="B15" s="104">
        <v>10.199999999999999</v>
      </c>
      <c r="C15" s="85" t="s">
        <v>274</v>
      </c>
      <c r="D15" s="85">
        <v>5.5</v>
      </c>
      <c r="E15" s="5" t="s">
        <v>237</v>
      </c>
      <c r="F15" s="5" t="s">
        <v>515</v>
      </c>
      <c r="G15" s="5"/>
      <c r="H15" s="5">
        <v>3</v>
      </c>
      <c r="I15" s="6" t="s">
        <v>92</v>
      </c>
      <c r="J15" s="6" t="s">
        <v>7</v>
      </c>
      <c r="K15" s="6" t="s">
        <v>90</v>
      </c>
      <c r="L15" s="6" t="s">
        <v>113</v>
      </c>
      <c r="M15" s="6" t="s">
        <v>93</v>
      </c>
      <c r="N15" s="213" t="s">
        <v>845</v>
      </c>
      <c r="O15" s="162">
        <f>SUM((W15*Tableau1[[#This Row],[IR_inter1]]),(AN15*Tableau1[[#This Row],[IR_inter2]]),(BC15*Tableau1[[#This Row],[IR_inter3]]),(Tableau1[[#This Row],[IR_freq4]]*BR15),(CG15*Tableau1[[#This Row],[IR_inter5]]))</f>
        <v>4</v>
      </c>
      <c r="P15" s="162">
        <f t="shared" si="0"/>
        <v>4</v>
      </c>
      <c r="Q15" s="162">
        <f t="shared" si="1"/>
        <v>1</v>
      </c>
      <c r="R15" s="162">
        <f t="shared" si="2"/>
        <v>30</v>
      </c>
      <c r="S15" s="11" t="s">
        <v>17</v>
      </c>
      <c r="T15" s="12">
        <v>1</v>
      </c>
      <c r="U15" s="12">
        <v>10</v>
      </c>
      <c r="V15" s="9">
        <v>15</v>
      </c>
      <c r="W15" s="11">
        <v>2</v>
      </c>
      <c r="X15" s="11" t="s">
        <v>116</v>
      </c>
      <c r="Y15" s="8" t="s">
        <v>11</v>
      </c>
      <c r="Z15" s="8" t="s">
        <v>13</v>
      </c>
      <c r="AA15" s="8"/>
      <c r="AB15" s="8"/>
      <c r="AC15" s="11" t="s">
        <v>20</v>
      </c>
      <c r="AD15" s="8" t="s">
        <v>19</v>
      </c>
      <c r="AE15" s="8"/>
      <c r="AF15" s="8"/>
      <c r="AG15" s="11" t="s">
        <v>21</v>
      </c>
      <c r="AH15" s="8" t="s">
        <v>129</v>
      </c>
      <c r="AI15" s="8"/>
      <c r="AJ15" s="15" t="s">
        <v>10</v>
      </c>
      <c r="AK15" s="17">
        <v>1</v>
      </c>
      <c r="AL15" s="17">
        <v>30</v>
      </c>
      <c r="AM15" s="14">
        <v>30</v>
      </c>
      <c r="AN15" s="15">
        <v>2</v>
      </c>
      <c r="AO15" s="15" t="s">
        <v>18</v>
      </c>
      <c r="AP15" s="13" t="s">
        <v>11</v>
      </c>
      <c r="AQ15" s="13"/>
      <c r="AR15" s="13"/>
      <c r="AS15" s="13"/>
      <c r="AT15" s="15" t="s">
        <v>119</v>
      </c>
      <c r="AU15" s="13"/>
      <c r="AV15" s="15" t="s">
        <v>21</v>
      </c>
      <c r="AW15" s="13"/>
      <c r="AX15" s="13"/>
      <c r="AY15" s="21"/>
      <c r="AZ15" s="22"/>
      <c r="BA15" s="22"/>
      <c r="BB15" s="19"/>
      <c r="BC15" s="22"/>
      <c r="BD15" s="21"/>
      <c r="BE15" s="18"/>
      <c r="BF15" s="18"/>
      <c r="BG15" s="18"/>
      <c r="BH15" s="18"/>
      <c r="BI15" s="21"/>
      <c r="BJ15" s="18"/>
      <c r="BK15" s="18"/>
      <c r="BL15" s="21"/>
      <c r="BM15" s="18"/>
      <c r="BN15" s="101"/>
      <c r="BO15" s="102"/>
      <c r="BP15" s="101"/>
      <c r="BQ15" s="99"/>
      <c r="BR15" s="101"/>
      <c r="BS15" s="101"/>
      <c r="BT15" s="101"/>
      <c r="BU15" s="101"/>
      <c r="BV15" s="101"/>
      <c r="BW15" s="101"/>
      <c r="BX15" s="101"/>
      <c r="BY15" s="99"/>
      <c r="BZ15" s="99"/>
      <c r="CA15" s="101"/>
      <c r="CB15" s="99"/>
      <c r="CC15" s="27"/>
      <c r="CD15" s="28"/>
      <c r="CE15" s="27"/>
      <c r="CF15" s="25"/>
      <c r="CG15" s="27"/>
      <c r="CH15" s="27"/>
      <c r="CI15" s="27"/>
      <c r="CJ15" s="27"/>
      <c r="CK15" s="27"/>
      <c r="CL15" s="27"/>
      <c r="CM15" s="25"/>
      <c r="CN15" s="169">
        <f t="shared" si="3"/>
        <v>1</v>
      </c>
      <c r="CO15" s="167">
        <f t="shared" si="4"/>
        <v>0</v>
      </c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167">
        <f t="shared" si="5"/>
        <v>1</v>
      </c>
      <c r="DP15" s="51">
        <v>2</v>
      </c>
      <c r="DQ15" s="51" t="s">
        <v>11</v>
      </c>
      <c r="DR15" s="49"/>
      <c r="DS15" s="51" t="s">
        <v>227</v>
      </c>
      <c r="DT15" s="51" t="s">
        <v>150</v>
      </c>
      <c r="DU15" s="51">
        <v>480</v>
      </c>
      <c r="DV15" s="52">
        <v>0.02</v>
      </c>
      <c r="DW15" s="44" t="s">
        <v>154</v>
      </c>
      <c r="DX15" s="45" t="s">
        <v>7</v>
      </c>
      <c r="DY15" s="45" t="s">
        <v>150</v>
      </c>
      <c r="DZ15" s="45" t="s">
        <v>7</v>
      </c>
      <c r="EA15" s="44">
        <v>480</v>
      </c>
      <c r="EB15" s="44"/>
      <c r="EC15" s="44">
        <v>0.02</v>
      </c>
      <c r="ED15" s="45"/>
      <c r="EE15" s="43" t="s">
        <v>155</v>
      </c>
      <c r="EF15" s="43" t="s">
        <v>8</v>
      </c>
      <c r="EG15" s="58">
        <v>1</v>
      </c>
      <c r="EH15" s="41"/>
      <c r="EI15" s="41"/>
      <c r="EJ15" s="41"/>
      <c r="EK15" s="43"/>
      <c r="EL15" s="43"/>
      <c r="EM15" s="43"/>
      <c r="EN15" s="165">
        <v>0</v>
      </c>
      <c r="EO15" s="10" t="s">
        <v>26</v>
      </c>
      <c r="EP15" s="11"/>
      <c r="EQ15" s="11"/>
      <c r="ER15" s="11"/>
      <c r="ES15" s="11"/>
      <c r="ET15" s="11"/>
      <c r="EU15" s="8"/>
      <c r="EV15" s="8"/>
      <c r="EW15" s="11"/>
      <c r="EX15" s="11"/>
      <c r="EY15" s="8"/>
      <c r="EZ15" s="13"/>
      <c r="FA15" s="13"/>
      <c r="FB15" s="13"/>
      <c r="FC15" s="13"/>
      <c r="FD15" s="13"/>
      <c r="FE15" s="13"/>
      <c r="FF15" s="13"/>
      <c r="FG15" s="13"/>
      <c r="FH15" s="13"/>
      <c r="FI15" s="166">
        <v>1</v>
      </c>
      <c r="FJ15" s="126" t="s">
        <v>29</v>
      </c>
      <c r="FK15" s="126" t="s">
        <v>183</v>
      </c>
      <c r="FL15" s="150" t="s">
        <v>205</v>
      </c>
      <c r="FM15" s="126" t="s">
        <v>7</v>
      </c>
      <c r="FN15" s="126" t="s">
        <v>184</v>
      </c>
      <c r="FO15" s="126">
        <v>1</v>
      </c>
      <c r="FP15" s="126">
        <v>500</v>
      </c>
      <c r="FQ15" s="126"/>
      <c r="FR15" s="126"/>
      <c r="FS15" s="126"/>
      <c r="FT15" s="126"/>
      <c r="FU15" s="151" t="s">
        <v>21</v>
      </c>
      <c r="FV15" s="151"/>
      <c r="FW15" s="43"/>
      <c r="FX15" s="43"/>
      <c r="FY15" s="41"/>
      <c r="FZ15" s="43"/>
      <c r="GA15" s="43"/>
      <c r="GB15" s="41"/>
      <c r="GC15" s="41"/>
      <c r="GD15" s="43"/>
      <c r="GE15" s="43"/>
      <c r="GF15" s="43"/>
      <c r="GG15" s="128" t="s">
        <v>217</v>
      </c>
      <c r="GH15" s="129"/>
      <c r="GI15" s="129"/>
      <c r="GJ15" s="128" t="s">
        <v>33</v>
      </c>
      <c r="GK15" s="129" t="s">
        <v>214</v>
      </c>
      <c r="GL15" s="128" t="s">
        <v>34</v>
      </c>
      <c r="GM15" s="128"/>
      <c r="GN15" s="128"/>
      <c r="GO15" s="129"/>
      <c r="GP15" s="128" t="s">
        <v>35</v>
      </c>
      <c r="GQ15" s="128">
        <v>1</v>
      </c>
      <c r="GR15" s="56" t="s">
        <v>28</v>
      </c>
      <c r="GS15" s="55"/>
      <c r="GT15" s="56"/>
      <c r="GU15" s="56" t="s">
        <v>225</v>
      </c>
      <c r="GV15" s="56">
        <v>0.1</v>
      </c>
      <c r="GW15" s="56" t="s">
        <v>234</v>
      </c>
      <c r="GX15" s="56"/>
      <c r="GY15" s="56" t="s">
        <v>24</v>
      </c>
      <c r="GZ15" s="55"/>
      <c r="HA15" s="55"/>
      <c r="HB15" s="55"/>
      <c r="HC15" s="55"/>
      <c r="HD15" s="55"/>
      <c r="HE15" s="55"/>
      <c r="HF15" s="170"/>
      <c r="HG15" s="172">
        <f t="shared" si="6"/>
        <v>200</v>
      </c>
      <c r="HH15" s="83" t="s">
        <v>9</v>
      </c>
      <c r="HI15" s="78">
        <v>1</v>
      </c>
      <c r="HJ15" s="76" t="s">
        <v>206</v>
      </c>
      <c r="HK15" s="76" t="s">
        <v>135</v>
      </c>
      <c r="HL15" s="76" t="s">
        <v>18</v>
      </c>
      <c r="HM15" s="76" t="s">
        <v>11</v>
      </c>
      <c r="HN15" s="76"/>
      <c r="HO15" s="79" t="s">
        <v>235</v>
      </c>
      <c r="HP15" s="79" t="s">
        <v>237</v>
      </c>
      <c r="HQ15" s="79" t="s">
        <v>243</v>
      </c>
      <c r="HR15" s="79" t="s">
        <v>37</v>
      </c>
      <c r="HS15" s="76"/>
      <c r="HT15" s="79" t="s">
        <v>221</v>
      </c>
      <c r="HU15" s="76"/>
      <c r="HV15" s="76"/>
      <c r="HW15" s="81">
        <v>20</v>
      </c>
      <c r="HX15" s="77">
        <v>20</v>
      </c>
      <c r="HY15" s="131">
        <f t="shared" si="7"/>
        <v>20</v>
      </c>
      <c r="HZ15" s="79" t="s">
        <v>247</v>
      </c>
      <c r="IA15" s="76" t="s">
        <v>248</v>
      </c>
      <c r="IB15" s="79" t="s">
        <v>249</v>
      </c>
      <c r="IC15" s="79">
        <v>1</v>
      </c>
      <c r="ID15" s="76">
        <v>1</v>
      </c>
      <c r="IE15" s="78">
        <v>2</v>
      </c>
      <c r="IF15" s="76">
        <v>2</v>
      </c>
      <c r="IG15" s="79">
        <v>7</v>
      </c>
      <c r="IH15" s="79">
        <v>7</v>
      </c>
      <c r="II15" s="76">
        <f t="shared" si="10"/>
        <v>10</v>
      </c>
      <c r="IJ15" s="76">
        <f t="shared" si="11"/>
        <v>10</v>
      </c>
      <c r="IK15" s="74">
        <v>1</v>
      </c>
      <c r="IL15" s="72"/>
      <c r="IM15" s="72"/>
      <c r="IN15" s="72"/>
      <c r="IO15" s="72"/>
      <c r="IP15" s="72"/>
      <c r="IQ15" s="72"/>
      <c r="IR15" s="72"/>
      <c r="IS15" s="72"/>
      <c r="IT15" s="72"/>
      <c r="IU15" s="72"/>
      <c r="IV15" s="72"/>
      <c r="IW15" s="72"/>
      <c r="IX15" s="73"/>
      <c r="IY15" s="73"/>
      <c r="IZ15" s="138">
        <f t="shared" si="8"/>
        <v>0</v>
      </c>
      <c r="JA15" s="72"/>
      <c r="JB15" s="72"/>
      <c r="JC15" s="72"/>
      <c r="JD15" s="72"/>
      <c r="JE15" s="72"/>
      <c r="JF15" s="72"/>
      <c r="JG15" s="72"/>
      <c r="JH15" s="72"/>
      <c r="JI15" s="72"/>
      <c r="JJ15" s="72"/>
      <c r="JK15" s="72"/>
      <c r="JL15" s="173">
        <v>0</v>
      </c>
      <c r="JM15" s="71" t="s">
        <v>24</v>
      </c>
      <c r="JN15" s="71" t="s">
        <v>24</v>
      </c>
      <c r="JO15" s="70"/>
      <c r="JP15" s="71"/>
      <c r="JQ15" s="71"/>
      <c r="JR15" s="71"/>
      <c r="JS15" s="70"/>
      <c r="JT15" s="71"/>
      <c r="JU15" s="70"/>
      <c r="JV15" s="70"/>
      <c r="JW15" s="71"/>
      <c r="JX15" s="71"/>
      <c r="JY15" s="71"/>
      <c r="JZ15" s="4" t="s">
        <v>24</v>
      </c>
      <c r="KA15" s="4"/>
      <c r="KB15" s="4"/>
      <c r="KC15" s="68"/>
      <c r="KD15" s="67"/>
      <c r="KE15" s="68"/>
      <c r="KF15" s="4"/>
      <c r="KG15" s="4"/>
      <c r="KH15" s="4"/>
      <c r="KI15" s="64" t="s">
        <v>263</v>
      </c>
      <c r="KJ15" s="63">
        <v>1</v>
      </c>
      <c r="KK15" s="63">
        <v>60</v>
      </c>
      <c r="KL15" s="63"/>
      <c r="KM15" s="63"/>
      <c r="KN15" s="63"/>
      <c r="KO15" s="63"/>
      <c r="KP15" s="63"/>
      <c r="KQ15" s="63"/>
      <c r="KR15" s="63"/>
      <c r="KS15" s="63"/>
      <c r="KT15" s="63"/>
      <c r="KU15" s="62" t="s">
        <v>9</v>
      </c>
      <c r="KV15" s="58">
        <v>3</v>
      </c>
      <c r="KW15" s="42" t="s">
        <v>265</v>
      </c>
      <c r="KX15" s="42" t="s">
        <v>2</v>
      </c>
      <c r="KY15" s="60" t="s">
        <v>24</v>
      </c>
      <c r="KZ15" s="59" t="s">
        <v>24</v>
      </c>
      <c r="LA15" s="60"/>
      <c r="LB15" s="59"/>
      <c r="LC15" s="60"/>
      <c r="LD15" s="60"/>
      <c r="LE15" s="59"/>
      <c r="LF15" s="59"/>
    </row>
    <row r="16" spans="1:323" x14ac:dyDescent="0.3">
      <c r="A16" s="104" t="s">
        <v>50</v>
      </c>
      <c r="B16" s="104">
        <v>10.3</v>
      </c>
      <c r="C16" s="85" t="s">
        <v>475</v>
      </c>
      <c r="D16" s="85">
        <v>0.4</v>
      </c>
      <c r="E16" s="5" t="s">
        <v>237</v>
      </c>
      <c r="F16" s="5" t="s">
        <v>516</v>
      </c>
      <c r="G16" s="5"/>
      <c r="H16" s="5">
        <v>3</v>
      </c>
      <c r="I16" s="6" t="s">
        <v>92</v>
      </c>
      <c r="J16" s="6" t="s">
        <v>7</v>
      </c>
      <c r="K16" s="6" t="s">
        <v>95</v>
      </c>
      <c r="L16" s="6" t="s">
        <v>113</v>
      </c>
      <c r="M16" s="6" t="s">
        <v>93</v>
      </c>
      <c r="N16" s="213" t="s">
        <v>845</v>
      </c>
      <c r="O16" s="162">
        <f>SUM((W16*Tableau1[[#This Row],[IR_inter1]]),(AN16*Tableau1[[#This Row],[IR_inter2]]),(BC16*Tableau1[[#This Row],[IR_inter3]]),(Tableau1[[#This Row],[IR_freq4]]*BR16),(CG16*Tableau1[[#This Row],[IR_inter5]]))</f>
        <v>4</v>
      </c>
      <c r="P16" s="162">
        <f t="shared" si="0"/>
        <v>4</v>
      </c>
      <c r="Q16" s="162">
        <f t="shared" si="1"/>
        <v>1</v>
      </c>
      <c r="R16" s="162">
        <f t="shared" si="2"/>
        <v>30</v>
      </c>
      <c r="S16" s="11" t="s">
        <v>17</v>
      </c>
      <c r="T16" s="12">
        <v>1</v>
      </c>
      <c r="U16" s="12">
        <v>10</v>
      </c>
      <c r="V16" s="9">
        <v>15</v>
      </c>
      <c r="W16" s="11">
        <v>2</v>
      </c>
      <c r="X16" s="11" t="s">
        <v>116</v>
      </c>
      <c r="Y16" s="8" t="s">
        <v>11</v>
      </c>
      <c r="Z16" s="8" t="s">
        <v>13</v>
      </c>
      <c r="AA16" s="8"/>
      <c r="AB16" s="8"/>
      <c r="AC16" s="11" t="s">
        <v>20</v>
      </c>
      <c r="AD16" s="8" t="s">
        <v>19</v>
      </c>
      <c r="AE16" s="8"/>
      <c r="AF16" s="8"/>
      <c r="AG16" s="11" t="s">
        <v>21</v>
      </c>
      <c r="AH16" s="8" t="s">
        <v>129</v>
      </c>
      <c r="AI16" s="8"/>
      <c r="AJ16" s="15" t="s">
        <v>10</v>
      </c>
      <c r="AK16" s="17">
        <v>1</v>
      </c>
      <c r="AL16" s="17">
        <v>30</v>
      </c>
      <c r="AM16" s="14">
        <v>30</v>
      </c>
      <c r="AN16" s="15">
        <v>2</v>
      </c>
      <c r="AO16" s="15" t="s">
        <v>18</v>
      </c>
      <c r="AP16" s="13" t="s">
        <v>11</v>
      </c>
      <c r="AQ16" s="13"/>
      <c r="AR16" s="13"/>
      <c r="AS16" s="13"/>
      <c r="AT16" s="15" t="s">
        <v>119</v>
      </c>
      <c r="AU16" s="13"/>
      <c r="AV16" s="15" t="s">
        <v>21</v>
      </c>
      <c r="AW16" s="13"/>
      <c r="AX16" s="13"/>
      <c r="AY16" s="21"/>
      <c r="AZ16" s="22"/>
      <c r="BA16" s="22"/>
      <c r="BB16" s="19"/>
      <c r="BC16" s="22"/>
      <c r="BD16" s="21"/>
      <c r="BE16" s="18"/>
      <c r="BF16" s="18"/>
      <c r="BG16" s="18"/>
      <c r="BH16" s="18"/>
      <c r="BI16" s="21"/>
      <c r="BJ16" s="18"/>
      <c r="BK16" s="18"/>
      <c r="BL16" s="21"/>
      <c r="BM16" s="18"/>
      <c r="BN16" s="101"/>
      <c r="BO16" s="102"/>
      <c r="BP16" s="101"/>
      <c r="BQ16" s="99"/>
      <c r="BR16" s="101"/>
      <c r="BS16" s="101"/>
      <c r="BT16" s="101"/>
      <c r="BU16" s="101"/>
      <c r="BV16" s="101"/>
      <c r="BW16" s="101"/>
      <c r="BX16" s="101"/>
      <c r="BY16" s="99"/>
      <c r="BZ16" s="99"/>
      <c r="CA16" s="101"/>
      <c r="CB16" s="99"/>
      <c r="CC16" s="27"/>
      <c r="CD16" s="28"/>
      <c r="CE16" s="27"/>
      <c r="CF16" s="25"/>
      <c r="CG16" s="27"/>
      <c r="CH16" s="27"/>
      <c r="CI16" s="27"/>
      <c r="CJ16" s="27"/>
      <c r="CK16" s="27"/>
      <c r="CL16" s="27"/>
      <c r="CM16" s="25"/>
      <c r="CN16" s="169">
        <f t="shared" si="3"/>
        <v>1</v>
      </c>
      <c r="CO16" s="167">
        <f t="shared" si="4"/>
        <v>0</v>
      </c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167">
        <f t="shared" si="5"/>
        <v>1</v>
      </c>
      <c r="DP16" s="51">
        <v>2</v>
      </c>
      <c r="DQ16" s="51" t="s">
        <v>18</v>
      </c>
      <c r="DR16" s="49"/>
      <c r="DS16" s="51" t="s">
        <v>227</v>
      </c>
      <c r="DT16" s="51" t="s">
        <v>150</v>
      </c>
      <c r="DU16" s="51">
        <v>480</v>
      </c>
      <c r="DV16" s="52">
        <v>0.02</v>
      </c>
      <c r="DW16" s="44" t="s">
        <v>154</v>
      </c>
      <c r="DX16" s="45" t="s">
        <v>7</v>
      </c>
      <c r="DY16" s="45" t="s">
        <v>150</v>
      </c>
      <c r="DZ16" s="45" t="s">
        <v>7</v>
      </c>
      <c r="EA16" s="44">
        <v>480</v>
      </c>
      <c r="EB16" s="44"/>
      <c r="EC16" s="44">
        <v>0.02</v>
      </c>
      <c r="ED16" s="45"/>
      <c r="EE16" s="43" t="s">
        <v>155</v>
      </c>
      <c r="EF16" s="43" t="s">
        <v>8</v>
      </c>
      <c r="EG16" s="58">
        <v>1</v>
      </c>
      <c r="EH16" s="41"/>
      <c r="EI16" s="41"/>
      <c r="EJ16" s="41"/>
      <c r="EK16" s="43"/>
      <c r="EL16" s="43"/>
      <c r="EM16" s="43"/>
      <c r="EN16" s="165">
        <v>0</v>
      </c>
      <c r="EO16" s="10" t="s">
        <v>26</v>
      </c>
      <c r="EP16" s="11"/>
      <c r="EQ16" s="11"/>
      <c r="ER16" s="11"/>
      <c r="ES16" s="11"/>
      <c r="ET16" s="11"/>
      <c r="EU16" s="8"/>
      <c r="EV16" s="8"/>
      <c r="EW16" s="11"/>
      <c r="EX16" s="11"/>
      <c r="EY16" s="8"/>
      <c r="EZ16" s="13"/>
      <c r="FA16" s="13"/>
      <c r="FB16" s="13"/>
      <c r="FC16" s="13"/>
      <c r="FD16" s="13"/>
      <c r="FE16" s="13"/>
      <c r="FF16" s="13"/>
      <c r="FG16" s="13"/>
      <c r="FH16" s="13"/>
      <c r="FI16" s="166">
        <v>1</v>
      </c>
      <c r="FJ16" s="126" t="s">
        <v>29</v>
      </c>
      <c r="FK16" s="126" t="s">
        <v>183</v>
      </c>
      <c r="FL16" s="150" t="s">
        <v>203</v>
      </c>
      <c r="FM16" s="126" t="s">
        <v>7</v>
      </c>
      <c r="FN16" s="126" t="s">
        <v>184</v>
      </c>
      <c r="FO16" s="126">
        <v>1</v>
      </c>
      <c r="FP16" s="126">
        <v>500</v>
      </c>
      <c r="FQ16" s="126"/>
      <c r="FR16" s="126"/>
      <c r="FS16" s="126"/>
      <c r="FT16" s="126"/>
      <c r="FU16" s="151" t="s">
        <v>21</v>
      </c>
      <c r="FV16" s="151"/>
      <c r="FW16" s="43"/>
      <c r="FX16" s="43"/>
      <c r="FY16" s="41"/>
      <c r="FZ16" s="43"/>
      <c r="GA16" s="43"/>
      <c r="GB16" s="41"/>
      <c r="GC16" s="41"/>
      <c r="GD16" s="43"/>
      <c r="GE16" s="43"/>
      <c r="GF16" s="43"/>
      <c r="GG16" s="128" t="s">
        <v>217</v>
      </c>
      <c r="GH16" s="129"/>
      <c r="GI16" s="129"/>
      <c r="GJ16" s="128" t="s">
        <v>33</v>
      </c>
      <c r="GK16" s="129" t="s">
        <v>214</v>
      </c>
      <c r="GL16" s="128" t="s">
        <v>34</v>
      </c>
      <c r="GM16" s="128"/>
      <c r="GN16" s="128"/>
      <c r="GO16" s="129"/>
      <c r="GP16" s="128" t="s">
        <v>35</v>
      </c>
      <c r="GQ16" s="128">
        <v>1</v>
      </c>
      <c r="GR16" s="56" t="s">
        <v>28</v>
      </c>
      <c r="GS16" s="55"/>
      <c r="GT16" s="56"/>
      <c r="GU16" s="56" t="s">
        <v>225</v>
      </c>
      <c r="GV16" s="56">
        <v>0.1</v>
      </c>
      <c r="GW16" s="56" t="s">
        <v>234</v>
      </c>
      <c r="GX16" s="56"/>
      <c r="GY16" s="56" t="s">
        <v>24</v>
      </c>
      <c r="GZ16" s="55"/>
      <c r="HA16" s="55"/>
      <c r="HB16" s="55"/>
      <c r="HC16" s="55"/>
      <c r="HD16" s="55"/>
      <c r="HE16" s="55"/>
      <c r="HF16" s="170"/>
      <c r="HG16" s="172">
        <f t="shared" si="6"/>
        <v>200</v>
      </c>
      <c r="HH16" s="83" t="s">
        <v>9</v>
      </c>
      <c r="HI16" s="78">
        <v>1</v>
      </c>
      <c r="HJ16" s="76" t="s">
        <v>206</v>
      </c>
      <c r="HK16" s="76" t="s">
        <v>135</v>
      </c>
      <c r="HL16" s="76" t="s">
        <v>18</v>
      </c>
      <c r="HM16" s="76" t="s">
        <v>11</v>
      </c>
      <c r="HN16" s="76"/>
      <c r="HO16" s="79" t="s">
        <v>235</v>
      </c>
      <c r="HP16" s="79" t="s">
        <v>237</v>
      </c>
      <c r="HQ16" s="79" t="s">
        <v>243</v>
      </c>
      <c r="HR16" s="79" t="s">
        <v>37</v>
      </c>
      <c r="HS16" s="76"/>
      <c r="HT16" s="79" t="s">
        <v>221</v>
      </c>
      <c r="HU16" s="76"/>
      <c r="HV16" s="76"/>
      <c r="HW16" s="81">
        <v>20</v>
      </c>
      <c r="HX16" s="77">
        <v>20</v>
      </c>
      <c r="HY16" s="131">
        <f t="shared" si="7"/>
        <v>20</v>
      </c>
      <c r="HZ16" s="79" t="s">
        <v>247</v>
      </c>
      <c r="IA16" s="76" t="s">
        <v>248</v>
      </c>
      <c r="IB16" s="79" t="s">
        <v>249</v>
      </c>
      <c r="IC16" s="79">
        <v>1</v>
      </c>
      <c r="ID16" s="76">
        <v>1</v>
      </c>
      <c r="IE16" s="79">
        <v>2</v>
      </c>
      <c r="IF16" s="76">
        <v>2</v>
      </c>
      <c r="IG16" s="79">
        <v>7</v>
      </c>
      <c r="IH16" s="79">
        <v>7</v>
      </c>
      <c r="II16" s="76">
        <f t="shared" si="10"/>
        <v>10</v>
      </c>
      <c r="IJ16" s="76">
        <f t="shared" si="11"/>
        <v>10</v>
      </c>
      <c r="IK16" s="74">
        <v>1</v>
      </c>
      <c r="IL16" s="72"/>
      <c r="IM16" s="72"/>
      <c r="IN16" s="72"/>
      <c r="IO16" s="72"/>
      <c r="IP16" s="72"/>
      <c r="IQ16" s="72"/>
      <c r="IR16" s="72"/>
      <c r="IS16" s="72"/>
      <c r="IT16" s="72"/>
      <c r="IU16" s="72"/>
      <c r="IV16" s="72"/>
      <c r="IW16" s="72"/>
      <c r="IX16" s="73"/>
      <c r="IY16" s="73"/>
      <c r="IZ16" s="138">
        <f t="shared" si="8"/>
        <v>0</v>
      </c>
      <c r="JA16" s="72"/>
      <c r="JB16" s="72"/>
      <c r="JC16" s="72"/>
      <c r="JD16" s="72"/>
      <c r="JE16" s="72"/>
      <c r="JF16" s="72"/>
      <c r="JG16" s="72"/>
      <c r="JH16" s="72"/>
      <c r="JI16" s="72"/>
      <c r="JJ16" s="72"/>
      <c r="JK16" s="72"/>
      <c r="JL16" s="173">
        <v>0</v>
      </c>
      <c r="JM16" s="71" t="s">
        <v>24</v>
      </c>
      <c r="JN16" s="71" t="s">
        <v>24</v>
      </c>
      <c r="JO16" s="70"/>
      <c r="JP16" s="71"/>
      <c r="JQ16" s="71"/>
      <c r="JR16" s="71"/>
      <c r="JS16" s="70"/>
      <c r="JT16" s="71"/>
      <c r="JU16" s="70"/>
      <c r="JV16" s="70"/>
      <c r="JW16" s="71"/>
      <c r="JX16" s="71"/>
      <c r="JY16" s="71"/>
      <c r="JZ16" s="4" t="s">
        <v>24</v>
      </c>
      <c r="KA16" s="4"/>
      <c r="KB16" s="4"/>
      <c r="KC16" s="68"/>
      <c r="KD16" s="67"/>
      <c r="KE16" s="68"/>
      <c r="KF16" s="4"/>
      <c r="KG16" s="4"/>
      <c r="KH16" s="4"/>
      <c r="KI16" s="64" t="s">
        <v>263</v>
      </c>
      <c r="KJ16" s="63">
        <v>1</v>
      </c>
      <c r="KK16" s="63">
        <v>60</v>
      </c>
      <c r="KL16" s="63"/>
      <c r="KM16" s="63"/>
      <c r="KN16" s="63"/>
      <c r="KO16" s="63"/>
      <c r="KP16" s="63"/>
      <c r="KQ16" s="63"/>
      <c r="KR16" s="63"/>
      <c r="KS16" s="63"/>
      <c r="KT16" s="63"/>
      <c r="KU16" s="62" t="s">
        <v>9</v>
      </c>
      <c r="KV16" s="58">
        <v>3</v>
      </c>
      <c r="KW16" s="42" t="s">
        <v>265</v>
      </c>
      <c r="KX16" s="42" t="s">
        <v>2</v>
      </c>
      <c r="KY16" s="60" t="s">
        <v>24</v>
      </c>
      <c r="KZ16" s="59" t="s">
        <v>24</v>
      </c>
      <c r="LA16" s="60"/>
      <c r="LB16" s="59"/>
      <c r="LC16" s="60"/>
      <c r="LD16" s="60"/>
      <c r="LE16" s="59"/>
      <c r="LF16" s="59"/>
    </row>
    <row r="17" spans="1:319" x14ac:dyDescent="0.3">
      <c r="A17" s="104" t="s">
        <v>62</v>
      </c>
      <c r="B17" s="104">
        <v>11.1</v>
      </c>
      <c r="C17" s="85" t="s">
        <v>495</v>
      </c>
      <c r="D17" s="85">
        <v>7</v>
      </c>
      <c r="E17" s="5" t="s">
        <v>239</v>
      </c>
      <c r="F17" s="5" t="s">
        <v>218</v>
      </c>
      <c r="G17" s="5"/>
      <c r="H17" s="5">
        <v>5</v>
      </c>
      <c r="I17" s="6" t="s">
        <v>106</v>
      </c>
      <c r="J17" s="6"/>
      <c r="K17" s="6"/>
      <c r="L17" s="6" t="s">
        <v>113</v>
      </c>
      <c r="M17" s="6" t="s">
        <v>93</v>
      </c>
      <c r="N17" s="213" t="s">
        <v>846</v>
      </c>
      <c r="O17" s="162">
        <f>SUM((W17*Tableau1[[#This Row],[IR_inter1]]),(AN17*Tableau1[[#This Row],[IR_inter2]]),(BC17*Tableau1[[#This Row],[IR_inter3]]),(Tableau1[[#This Row],[IR_freq4]]*BR17),(CG17*Tableau1[[#This Row],[IR_inter5]]))</f>
        <v>3.9</v>
      </c>
      <c r="P17" s="162">
        <f t="shared" si="0"/>
        <v>5</v>
      </c>
      <c r="Q17" s="162">
        <f t="shared" si="1"/>
        <v>0.78</v>
      </c>
      <c r="R17" s="162">
        <f t="shared" si="2"/>
        <v>30</v>
      </c>
      <c r="S17" s="95" t="s">
        <v>137</v>
      </c>
      <c r="T17" s="12">
        <v>0.4</v>
      </c>
      <c r="U17" s="12">
        <v>3</v>
      </c>
      <c r="V17" s="9">
        <v>3</v>
      </c>
      <c r="W17" s="11">
        <v>1</v>
      </c>
      <c r="X17" s="11" t="s">
        <v>28</v>
      </c>
      <c r="Y17" s="8"/>
      <c r="Z17" s="8"/>
      <c r="AA17" s="8"/>
      <c r="AB17" s="8"/>
      <c r="AC17" s="11" t="s">
        <v>127</v>
      </c>
      <c r="AD17" s="8"/>
      <c r="AE17" s="8"/>
      <c r="AF17" s="8"/>
      <c r="AG17" s="11"/>
      <c r="AH17" s="8"/>
      <c r="AI17" s="8"/>
      <c r="AJ17" s="15" t="s">
        <v>114</v>
      </c>
      <c r="AK17" s="17">
        <v>0.5</v>
      </c>
      <c r="AL17" s="17">
        <v>30</v>
      </c>
      <c r="AM17" s="14">
        <v>30</v>
      </c>
      <c r="AN17" s="15">
        <v>1</v>
      </c>
      <c r="AO17" s="15" t="s">
        <v>28</v>
      </c>
      <c r="AP17" s="13"/>
      <c r="AQ17" s="13"/>
      <c r="AR17" s="13"/>
      <c r="AS17" s="13"/>
      <c r="AT17" s="15" t="s">
        <v>119</v>
      </c>
      <c r="AU17" s="15"/>
      <c r="AV17" s="15"/>
      <c r="AW17" s="13"/>
      <c r="AX17" s="13"/>
      <c r="AY17" s="21" t="s">
        <v>142</v>
      </c>
      <c r="AZ17" s="23">
        <v>1</v>
      </c>
      <c r="BA17" s="22">
        <v>0</v>
      </c>
      <c r="BB17" s="19">
        <v>0</v>
      </c>
      <c r="BC17" s="22">
        <v>3</v>
      </c>
      <c r="BD17" s="21" t="s">
        <v>13</v>
      </c>
      <c r="BE17" s="21" t="s">
        <v>14</v>
      </c>
      <c r="BF17" s="21" t="s">
        <v>15</v>
      </c>
      <c r="BG17" s="21" t="s">
        <v>16</v>
      </c>
      <c r="BH17" s="21" t="s">
        <v>136</v>
      </c>
      <c r="BI17" s="21" t="s">
        <v>121</v>
      </c>
      <c r="BJ17" s="18"/>
      <c r="BK17" s="18"/>
      <c r="BL17" s="21" t="s">
        <v>23</v>
      </c>
      <c r="BM17" s="18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27"/>
      <c r="CD17" s="28"/>
      <c r="CE17" s="27"/>
      <c r="CF17" s="25"/>
      <c r="CG17" s="27"/>
      <c r="CH17" s="27"/>
      <c r="CI17" s="27"/>
      <c r="CJ17" s="27"/>
      <c r="CK17" s="27"/>
      <c r="CL17" s="27"/>
      <c r="CM17" s="25"/>
      <c r="CN17" s="169">
        <f t="shared" si="3"/>
        <v>2</v>
      </c>
      <c r="CO17" s="167">
        <f t="shared" si="4"/>
        <v>2</v>
      </c>
      <c r="CP17" s="31" t="s">
        <v>145</v>
      </c>
      <c r="CQ17" s="34">
        <v>1</v>
      </c>
      <c r="CR17" s="30">
        <v>5</v>
      </c>
      <c r="CS17" s="30">
        <v>5</v>
      </c>
      <c r="CT17" s="31">
        <v>3</v>
      </c>
      <c r="CU17" s="30"/>
      <c r="CV17" s="31" t="s">
        <v>13</v>
      </c>
      <c r="CW17" s="30" t="s">
        <v>146</v>
      </c>
      <c r="CX17" s="30" t="s">
        <v>15</v>
      </c>
      <c r="CY17" s="30" t="s">
        <v>16</v>
      </c>
      <c r="CZ17" s="30" t="s">
        <v>22</v>
      </c>
      <c r="DA17" s="30"/>
      <c r="DB17" s="30"/>
      <c r="DC17" s="30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167">
        <f t="shared" si="5"/>
        <v>0</v>
      </c>
      <c r="DP17" s="51">
        <v>0</v>
      </c>
      <c r="DQ17" s="51"/>
      <c r="DR17" s="49"/>
      <c r="DS17" s="51"/>
      <c r="DT17" s="51"/>
      <c r="DU17" s="51"/>
      <c r="DV17" s="52"/>
      <c r="DW17" s="44"/>
      <c r="DX17" s="44"/>
      <c r="DY17" s="44"/>
      <c r="DZ17" s="44"/>
      <c r="EA17" s="44"/>
      <c r="EB17" s="44"/>
      <c r="EC17" s="44"/>
      <c r="ED17" s="45"/>
      <c r="EE17" s="43" t="s">
        <v>25</v>
      </c>
      <c r="EF17" s="43" t="s">
        <v>165</v>
      </c>
      <c r="EG17" s="58">
        <v>1</v>
      </c>
      <c r="EH17" s="41"/>
      <c r="EI17" s="41"/>
      <c r="EJ17" s="41"/>
      <c r="EK17" s="43" t="s">
        <v>164</v>
      </c>
      <c r="EL17" s="43"/>
      <c r="EM17" s="43"/>
      <c r="EN17" s="165">
        <v>3</v>
      </c>
      <c r="EO17" s="8" t="s">
        <v>29</v>
      </c>
      <c r="EP17" s="11" t="s">
        <v>162</v>
      </c>
      <c r="EQ17" s="11"/>
      <c r="ER17" s="11"/>
      <c r="ES17" s="11">
        <v>1</v>
      </c>
      <c r="ET17" s="11">
        <v>13000</v>
      </c>
      <c r="EU17" s="8" t="s">
        <v>175</v>
      </c>
      <c r="EV17" s="8">
        <v>7</v>
      </c>
      <c r="EW17" s="11" t="s">
        <v>2</v>
      </c>
      <c r="EX17" s="11"/>
      <c r="EY17" s="8"/>
      <c r="EZ17" s="13"/>
      <c r="FA17" s="13"/>
      <c r="FB17" s="13"/>
      <c r="FC17" s="13"/>
      <c r="FD17" s="13"/>
      <c r="FE17" s="13"/>
      <c r="FF17" s="13"/>
      <c r="FG17" s="13"/>
      <c r="FH17" s="13"/>
      <c r="FI17" s="166">
        <v>1</v>
      </c>
      <c r="FJ17" s="126" t="s">
        <v>29</v>
      </c>
      <c r="FK17" s="126" t="s">
        <v>162</v>
      </c>
      <c r="FL17" s="150" t="s">
        <v>7</v>
      </c>
      <c r="FM17" s="126" t="s">
        <v>7</v>
      </c>
      <c r="FN17" s="126" t="s">
        <v>7</v>
      </c>
      <c r="FO17" s="126">
        <v>1</v>
      </c>
      <c r="FP17" s="126">
        <v>1000</v>
      </c>
      <c r="FQ17" s="126"/>
      <c r="FR17" s="126" t="s">
        <v>208</v>
      </c>
      <c r="FS17" s="126"/>
      <c r="FT17" s="126"/>
      <c r="FU17" s="151"/>
      <c r="FV17" s="151"/>
      <c r="FW17" s="43"/>
      <c r="FX17" s="43"/>
      <c r="FY17" s="41"/>
      <c r="FZ17" s="43"/>
      <c r="GA17" s="43"/>
      <c r="GB17" s="41"/>
      <c r="GC17" s="41"/>
      <c r="GD17" s="43"/>
      <c r="GE17" s="43"/>
      <c r="GF17" s="43"/>
      <c r="GG17" s="128" t="s">
        <v>217</v>
      </c>
      <c r="GH17" s="129"/>
      <c r="GI17" s="129"/>
      <c r="GJ17" s="128" t="s">
        <v>33</v>
      </c>
      <c r="GK17" s="129" t="s">
        <v>215</v>
      </c>
      <c r="GL17" s="128" t="s">
        <v>34</v>
      </c>
      <c r="GM17" s="128"/>
      <c r="GN17" s="128" t="s">
        <v>21</v>
      </c>
      <c r="GO17" s="128" t="s">
        <v>32</v>
      </c>
      <c r="GP17" s="128" t="s">
        <v>35</v>
      </c>
      <c r="GQ17" s="128">
        <v>1</v>
      </c>
      <c r="GR17" s="56" t="s">
        <v>232</v>
      </c>
      <c r="GS17" s="55"/>
      <c r="GT17" s="56"/>
      <c r="GU17" s="56" t="s">
        <v>225</v>
      </c>
      <c r="GV17" s="56">
        <v>1</v>
      </c>
      <c r="GW17" s="56" t="s">
        <v>234</v>
      </c>
      <c r="GX17" s="56"/>
      <c r="GY17" s="56" t="s">
        <v>24</v>
      </c>
      <c r="GZ17" s="55"/>
      <c r="HA17" s="55"/>
      <c r="HB17" s="55"/>
      <c r="HC17" s="55"/>
      <c r="HD17" s="55"/>
      <c r="HE17" s="55"/>
      <c r="HF17" s="170"/>
      <c r="HG17" s="172">
        <f t="shared" si="6"/>
        <v>75</v>
      </c>
      <c r="HH17" s="84" t="s">
        <v>9</v>
      </c>
      <c r="HI17" s="79">
        <v>1</v>
      </c>
      <c r="HJ17" s="79" t="s">
        <v>206</v>
      </c>
      <c r="HK17" s="79" t="s">
        <v>135</v>
      </c>
      <c r="HL17" s="79" t="s">
        <v>229</v>
      </c>
      <c r="HM17" s="76"/>
      <c r="HN17" s="76"/>
      <c r="HO17" s="79" t="s">
        <v>236</v>
      </c>
      <c r="HP17" s="79" t="s">
        <v>239</v>
      </c>
      <c r="HQ17" s="79" t="s">
        <v>37</v>
      </c>
      <c r="HR17" s="79" t="s">
        <v>244</v>
      </c>
      <c r="HS17" s="76"/>
      <c r="HT17" s="79" t="s">
        <v>187</v>
      </c>
      <c r="HU17" s="79" t="s">
        <v>38</v>
      </c>
      <c r="HV17" s="76"/>
      <c r="HW17" s="80">
        <v>5</v>
      </c>
      <c r="HX17" s="77">
        <v>5</v>
      </c>
      <c r="HY17" s="131">
        <f t="shared" si="7"/>
        <v>5</v>
      </c>
      <c r="HZ17" s="79" t="s">
        <v>39</v>
      </c>
      <c r="IA17" s="76" t="s">
        <v>40</v>
      </c>
      <c r="IB17" s="79" t="s">
        <v>249</v>
      </c>
      <c r="IC17" s="79"/>
      <c r="ID17" s="76"/>
      <c r="IE17" s="79">
        <v>30</v>
      </c>
      <c r="IF17" s="76">
        <v>30</v>
      </c>
      <c r="IG17" s="79">
        <v>5</v>
      </c>
      <c r="IH17" s="76">
        <v>10</v>
      </c>
      <c r="II17" s="76">
        <f t="shared" si="10"/>
        <v>35</v>
      </c>
      <c r="IJ17" s="76">
        <f t="shared" si="11"/>
        <v>40</v>
      </c>
      <c r="IK17" s="74">
        <v>0.5</v>
      </c>
      <c r="IL17" s="72" t="s">
        <v>15</v>
      </c>
      <c r="IM17" s="72" t="s">
        <v>16</v>
      </c>
      <c r="IN17" s="72" t="s">
        <v>22</v>
      </c>
      <c r="IO17" s="72"/>
      <c r="IP17" s="74" t="s">
        <v>236</v>
      </c>
      <c r="IQ17" s="74" t="s">
        <v>239</v>
      </c>
      <c r="IR17" s="74" t="s">
        <v>37</v>
      </c>
      <c r="IS17" s="74" t="s">
        <v>244</v>
      </c>
      <c r="IT17" s="72"/>
      <c r="IU17" s="74" t="s">
        <v>187</v>
      </c>
      <c r="IV17" s="74" t="s">
        <v>38</v>
      </c>
      <c r="IW17" s="72"/>
      <c r="IX17" s="75">
        <v>5</v>
      </c>
      <c r="IY17" s="73">
        <v>5</v>
      </c>
      <c r="IZ17" s="138">
        <f t="shared" si="8"/>
        <v>5</v>
      </c>
      <c r="JA17" s="74" t="s">
        <v>39</v>
      </c>
      <c r="JB17" s="72" t="s">
        <v>40</v>
      </c>
      <c r="JC17" s="74" t="s">
        <v>249</v>
      </c>
      <c r="JD17" s="74"/>
      <c r="JE17" s="72"/>
      <c r="JF17" s="74">
        <v>10</v>
      </c>
      <c r="JG17" s="72">
        <v>10</v>
      </c>
      <c r="JH17" s="74">
        <v>5</v>
      </c>
      <c r="JI17" s="72">
        <v>10</v>
      </c>
      <c r="JJ17" s="72">
        <f t="shared" ref="JJ17:JK19" si="12">SUM(JD17,JF17,JH17)</f>
        <v>15</v>
      </c>
      <c r="JK17" s="72">
        <f t="shared" si="12"/>
        <v>20</v>
      </c>
      <c r="JL17" s="173">
        <v>1</v>
      </c>
      <c r="JM17" s="71" t="s">
        <v>9</v>
      </c>
      <c r="JN17" s="71" t="s">
        <v>24</v>
      </c>
      <c r="JO17" s="70" t="s">
        <v>16</v>
      </c>
      <c r="JP17" s="71" t="s">
        <v>22</v>
      </c>
      <c r="JQ17" s="71"/>
      <c r="JR17" s="71" t="s">
        <v>254</v>
      </c>
      <c r="JS17" s="70"/>
      <c r="JT17" s="71" t="s">
        <v>244</v>
      </c>
      <c r="JU17" s="70"/>
      <c r="JV17" s="70"/>
      <c r="JW17" s="71" t="s">
        <v>38</v>
      </c>
      <c r="JX17" s="71">
        <v>3</v>
      </c>
      <c r="JY17" s="71" t="s">
        <v>7</v>
      </c>
      <c r="JZ17" s="4" t="s">
        <v>9</v>
      </c>
      <c r="KA17" s="4">
        <v>100</v>
      </c>
      <c r="KB17" s="4">
        <v>120</v>
      </c>
      <c r="KC17" s="68">
        <v>2.5</v>
      </c>
      <c r="KD17" s="68">
        <v>2.5</v>
      </c>
      <c r="KE17" s="68">
        <v>50</v>
      </c>
      <c r="KF17" s="4" t="s">
        <v>257</v>
      </c>
      <c r="KG17" s="4" t="s">
        <v>33</v>
      </c>
      <c r="KH17" s="4" t="s">
        <v>232</v>
      </c>
      <c r="KI17" s="64" t="s">
        <v>114</v>
      </c>
      <c r="KJ17" s="63">
        <v>1</v>
      </c>
      <c r="KK17" s="63">
        <v>50</v>
      </c>
      <c r="KL17" s="63"/>
      <c r="KM17" s="63"/>
      <c r="KN17" s="63"/>
      <c r="KO17" s="63"/>
      <c r="KP17" s="63"/>
      <c r="KQ17" s="63"/>
      <c r="KR17" s="63"/>
      <c r="KS17" s="63"/>
      <c r="KT17" s="63"/>
      <c r="KU17" s="62" t="s">
        <v>9</v>
      </c>
      <c r="KV17" s="58">
        <v>3</v>
      </c>
      <c r="KW17" s="43" t="s">
        <v>267</v>
      </c>
      <c r="KX17" s="43" t="s">
        <v>7</v>
      </c>
      <c r="KY17" s="60" t="s">
        <v>24</v>
      </c>
      <c r="KZ17" s="60" t="s">
        <v>9</v>
      </c>
      <c r="LA17" s="60" t="s">
        <v>9</v>
      </c>
      <c r="LB17" s="60" t="s">
        <v>9</v>
      </c>
      <c r="LC17" s="60" t="s">
        <v>9</v>
      </c>
      <c r="LD17" s="60" t="s">
        <v>273</v>
      </c>
      <c r="LE17" s="60" t="s">
        <v>272</v>
      </c>
      <c r="LF17" s="60" t="s">
        <v>224</v>
      </c>
      <c r="LG17" s="3"/>
    </row>
    <row r="18" spans="1:319" x14ac:dyDescent="0.3">
      <c r="A18" s="104" t="s">
        <v>173</v>
      </c>
      <c r="B18" s="104">
        <v>12.1</v>
      </c>
      <c r="C18" s="85" t="s">
        <v>483</v>
      </c>
      <c r="D18" s="85">
        <v>8.8000000000000007</v>
      </c>
      <c r="E18" s="5" t="s">
        <v>36</v>
      </c>
      <c r="F18" s="5" t="s">
        <v>514</v>
      </c>
      <c r="G18" s="5"/>
      <c r="H18" s="5">
        <v>1</v>
      </c>
      <c r="I18" s="6" t="s">
        <v>107</v>
      </c>
      <c r="J18" s="6" t="s">
        <v>100</v>
      </c>
      <c r="K18" s="6"/>
      <c r="L18" s="6" t="s">
        <v>113</v>
      </c>
      <c r="M18" s="6" t="s">
        <v>93</v>
      </c>
      <c r="N18" s="213" t="s">
        <v>845</v>
      </c>
      <c r="O18" s="162">
        <f>SUM((W18*Tableau1[[#This Row],[IR_inter1]]),(AN18*Tableau1[[#This Row],[IR_inter2]]),(BC18*Tableau1[[#This Row],[IR_inter3]]),(Tableau1[[#This Row],[IR_freq4]]*BR18),(CG18*Tableau1[[#This Row],[IR_inter5]]))</f>
        <v>4.5</v>
      </c>
      <c r="P18" s="162">
        <f t="shared" si="0"/>
        <v>4.5</v>
      </c>
      <c r="Q18" s="162">
        <f t="shared" si="1"/>
        <v>1</v>
      </c>
      <c r="R18" s="162">
        <f t="shared" si="2"/>
        <v>30</v>
      </c>
      <c r="S18" s="10" t="s">
        <v>10</v>
      </c>
      <c r="T18" s="12">
        <v>1</v>
      </c>
      <c r="U18" s="12">
        <v>20</v>
      </c>
      <c r="V18" s="9">
        <v>30</v>
      </c>
      <c r="W18" s="11">
        <v>3</v>
      </c>
      <c r="X18" s="8" t="s">
        <v>18</v>
      </c>
      <c r="Y18" s="8" t="s">
        <v>11</v>
      </c>
      <c r="Z18" s="8" t="s">
        <v>13</v>
      </c>
      <c r="AA18" s="8" t="s">
        <v>14</v>
      </c>
      <c r="AB18" s="8"/>
      <c r="AC18" s="11" t="s">
        <v>119</v>
      </c>
      <c r="AD18" s="8"/>
      <c r="AE18" s="8"/>
      <c r="AF18" s="8"/>
      <c r="AG18" s="11" t="s">
        <v>38</v>
      </c>
      <c r="AH18" s="8" t="s">
        <v>129</v>
      </c>
      <c r="AI18" s="8"/>
      <c r="AJ18" s="15" t="s">
        <v>115</v>
      </c>
      <c r="AK18" s="17">
        <v>1</v>
      </c>
      <c r="AL18" s="17">
        <v>10</v>
      </c>
      <c r="AM18" s="14">
        <v>10</v>
      </c>
      <c r="AN18" s="15">
        <v>1</v>
      </c>
      <c r="AO18" s="15" t="s">
        <v>18</v>
      </c>
      <c r="AP18" s="13" t="s">
        <v>11</v>
      </c>
      <c r="AQ18" s="13"/>
      <c r="AR18" s="13"/>
      <c r="AS18" s="13"/>
      <c r="AT18" s="16" t="s">
        <v>20</v>
      </c>
      <c r="AU18" s="16" t="s">
        <v>19</v>
      </c>
      <c r="AV18" s="15" t="s">
        <v>38</v>
      </c>
      <c r="AW18" s="13" t="s">
        <v>129</v>
      </c>
      <c r="AX18" s="13"/>
      <c r="AY18" s="21" t="s">
        <v>17</v>
      </c>
      <c r="AZ18" s="23">
        <v>1</v>
      </c>
      <c r="BA18" s="22">
        <v>10</v>
      </c>
      <c r="BB18" s="19">
        <v>10</v>
      </c>
      <c r="BC18" s="22">
        <v>0.5</v>
      </c>
      <c r="BD18" s="21" t="s">
        <v>11</v>
      </c>
      <c r="BE18" s="21"/>
      <c r="BF18" s="21"/>
      <c r="BG18" s="18"/>
      <c r="BH18" s="18"/>
      <c r="BI18" s="21" t="s">
        <v>130</v>
      </c>
      <c r="BJ18" s="18" t="s">
        <v>124</v>
      </c>
      <c r="BK18" s="18"/>
      <c r="BL18" s="21" t="s">
        <v>129</v>
      </c>
      <c r="BM18" s="21" t="s">
        <v>38</v>
      </c>
      <c r="BN18" s="99"/>
      <c r="BO18" s="99"/>
      <c r="BP18" s="99"/>
      <c r="BQ18" s="99"/>
      <c r="BR18" s="99"/>
      <c r="BS18" s="99"/>
      <c r="BT18" s="101"/>
      <c r="BU18" s="101"/>
      <c r="BV18" s="101"/>
      <c r="BW18" s="101"/>
      <c r="BX18" s="99"/>
      <c r="BY18" s="99"/>
      <c r="BZ18" s="99"/>
      <c r="CA18" s="99"/>
      <c r="CB18" s="99"/>
      <c r="CC18" s="27"/>
      <c r="CD18" s="28"/>
      <c r="CE18" s="27"/>
      <c r="CF18" s="25"/>
      <c r="CG18" s="27"/>
      <c r="CH18" s="27"/>
      <c r="CI18" s="27"/>
      <c r="CJ18" s="27"/>
      <c r="CK18" s="27"/>
      <c r="CL18" s="27"/>
      <c r="CM18" s="25"/>
      <c r="CN18" s="169">
        <f t="shared" si="3"/>
        <v>3</v>
      </c>
      <c r="CO18" s="167">
        <f t="shared" si="4"/>
        <v>2</v>
      </c>
      <c r="CP18" s="30" t="s">
        <v>147</v>
      </c>
      <c r="CQ18" s="30">
        <v>1</v>
      </c>
      <c r="CR18" s="30">
        <v>5</v>
      </c>
      <c r="CS18" s="30">
        <v>5</v>
      </c>
      <c r="CT18" s="30">
        <v>0.5</v>
      </c>
      <c r="CU18" s="30"/>
      <c r="CV18" s="30" t="s">
        <v>13</v>
      </c>
      <c r="CW18" s="30" t="s">
        <v>14</v>
      </c>
      <c r="CX18" s="30" t="s">
        <v>15</v>
      </c>
      <c r="CY18" s="30"/>
      <c r="CZ18" s="30"/>
      <c r="DA18" s="30"/>
      <c r="DB18" s="30"/>
      <c r="DC18" s="31" t="s">
        <v>23</v>
      </c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167">
        <f t="shared" si="5"/>
        <v>1</v>
      </c>
      <c r="DP18" s="51">
        <v>2</v>
      </c>
      <c r="DQ18" s="51" t="s">
        <v>11</v>
      </c>
      <c r="DR18" s="49" t="s">
        <v>15</v>
      </c>
      <c r="DS18" s="51" t="s">
        <v>227</v>
      </c>
      <c r="DT18" s="51" t="s">
        <v>150</v>
      </c>
      <c r="DU18" s="51">
        <v>480</v>
      </c>
      <c r="DV18" s="52">
        <v>0.02</v>
      </c>
      <c r="DW18" s="44" t="s">
        <v>154</v>
      </c>
      <c r="DX18" s="45" t="s">
        <v>7</v>
      </c>
      <c r="DY18" s="45" t="s">
        <v>150</v>
      </c>
      <c r="DZ18" s="45" t="s">
        <v>7</v>
      </c>
      <c r="EA18" s="44">
        <v>480</v>
      </c>
      <c r="EB18" s="44"/>
      <c r="EC18" s="44">
        <v>0.02</v>
      </c>
      <c r="ED18" s="45" t="s">
        <v>23</v>
      </c>
      <c r="EE18" s="43" t="s">
        <v>155</v>
      </c>
      <c r="EF18" s="43" t="s">
        <v>8</v>
      </c>
      <c r="EG18" s="58">
        <v>1</v>
      </c>
      <c r="EH18" s="41"/>
      <c r="EI18" s="41"/>
      <c r="EJ18" s="41"/>
      <c r="EK18" s="43" t="s">
        <v>164</v>
      </c>
      <c r="EL18" s="43"/>
      <c r="EM18" s="43"/>
      <c r="EN18" s="165">
        <v>1</v>
      </c>
      <c r="EO18" s="8" t="s">
        <v>159</v>
      </c>
      <c r="EP18" s="11" t="s">
        <v>160</v>
      </c>
      <c r="EQ18" s="11" t="s">
        <v>7</v>
      </c>
      <c r="ER18" s="11" t="s">
        <v>168</v>
      </c>
      <c r="ES18" s="11">
        <v>1</v>
      </c>
      <c r="ET18" s="11">
        <v>500</v>
      </c>
      <c r="EU18" s="11" t="s">
        <v>175</v>
      </c>
      <c r="EV18" s="8">
        <v>2.2999999999999998</v>
      </c>
      <c r="EW18" s="11" t="s">
        <v>37</v>
      </c>
      <c r="EX18" s="11"/>
      <c r="EY18" s="8" t="s">
        <v>172</v>
      </c>
      <c r="EZ18" s="15" t="s">
        <v>29</v>
      </c>
      <c r="FA18" s="53" t="s">
        <v>174</v>
      </c>
      <c r="FB18" s="15" t="s">
        <v>7</v>
      </c>
      <c r="FC18" s="15" t="s">
        <v>7</v>
      </c>
      <c r="FD18" s="15">
        <v>1</v>
      </c>
      <c r="FE18" s="15">
        <v>500</v>
      </c>
      <c r="FF18" s="15" t="s">
        <v>175</v>
      </c>
      <c r="FG18" s="15" t="s">
        <v>2</v>
      </c>
      <c r="FH18" s="13" t="s">
        <v>177</v>
      </c>
      <c r="FI18" s="166">
        <v>1</v>
      </c>
      <c r="FJ18" s="126" t="s">
        <v>29</v>
      </c>
      <c r="FK18" s="126" t="s">
        <v>183</v>
      </c>
      <c r="FL18" s="150" t="s">
        <v>7</v>
      </c>
      <c r="FM18" s="126" t="s">
        <v>7</v>
      </c>
      <c r="FN18" s="126" t="s">
        <v>7</v>
      </c>
      <c r="FO18" s="126">
        <v>1</v>
      </c>
      <c r="FP18" s="126">
        <v>3000</v>
      </c>
      <c r="FQ18" s="126" t="s">
        <v>11</v>
      </c>
      <c r="FR18" s="126" t="s">
        <v>2</v>
      </c>
      <c r="FS18" s="126"/>
      <c r="FT18" s="126"/>
      <c r="FU18" s="151" t="s">
        <v>177</v>
      </c>
      <c r="FV18" s="151"/>
      <c r="FW18" s="43"/>
      <c r="FX18" s="43"/>
      <c r="FY18" s="41"/>
      <c r="FZ18" s="43"/>
      <c r="GA18" s="43"/>
      <c r="GB18" s="41"/>
      <c r="GC18" s="41"/>
      <c r="GD18" s="43"/>
      <c r="GE18" s="43"/>
      <c r="GF18" s="43"/>
      <c r="GG18" s="128" t="s">
        <v>217</v>
      </c>
      <c r="GH18" s="129"/>
      <c r="GI18" s="129"/>
      <c r="GJ18" s="128" t="s">
        <v>33</v>
      </c>
      <c r="GK18" s="129" t="s">
        <v>826</v>
      </c>
      <c r="GL18" s="128" t="s">
        <v>34</v>
      </c>
      <c r="GM18" s="128"/>
      <c r="GN18" s="128"/>
      <c r="GO18" s="129"/>
      <c r="GP18" s="128" t="s">
        <v>35</v>
      </c>
      <c r="GQ18" s="128">
        <v>1</v>
      </c>
      <c r="GR18" s="56" t="s">
        <v>135</v>
      </c>
      <c r="GS18" s="55" t="s">
        <v>229</v>
      </c>
      <c r="GT18" s="56"/>
      <c r="GU18" s="56" t="s">
        <v>225</v>
      </c>
      <c r="GV18" s="55">
        <v>1</v>
      </c>
      <c r="GW18" s="56" t="s">
        <v>135</v>
      </c>
      <c r="GX18" s="56" t="s">
        <v>18</v>
      </c>
      <c r="GY18" s="56" t="s">
        <v>9</v>
      </c>
      <c r="GZ18" s="55">
        <v>1</v>
      </c>
      <c r="HA18" s="56" t="s">
        <v>28</v>
      </c>
      <c r="HB18" s="55"/>
      <c r="HC18" s="55"/>
      <c r="HD18" s="55"/>
      <c r="HE18" s="55"/>
      <c r="HF18" s="170"/>
      <c r="HG18" s="172">
        <f t="shared" si="6"/>
        <v>150</v>
      </c>
      <c r="HH18" s="84" t="s">
        <v>9</v>
      </c>
      <c r="HI18" s="79">
        <v>1</v>
      </c>
      <c r="HJ18" s="76" t="s">
        <v>18</v>
      </c>
      <c r="HK18" s="79" t="s">
        <v>11</v>
      </c>
      <c r="HL18" s="76"/>
      <c r="HM18" s="76"/>
      <c r="HN18" s="76"/>
      <c r="HO18" s="79" t="s">
        <v>236</v>
      </c>
      <c r="HP18" s="79" t="s">
        <v>36</v>
      </c>
      <c r="HQ18" s="79" t="s">
        <v>37</v>
      </c>
      <c r="HR18" s="79" t="s">
        <v>245</v>
      </c>
      <c r="HS18" s="79" t="s">
        <v>246</v>
      </c>
      <c r="HT18" s="79" t="s">
        <v>221</v>
      </c>
      <c r="HU18" s="79" t="s">
        <v>38</v>
      </c>
      <c r="HV18" s="79" t="s">
        <v>213</v>
      </c>
      <c r="HW18" s="81">
        <v>5</v>
      </c>
      <c r="HX18" s="77">
        <v>10</v>
      </c>
      <c r="HY18" s="131">
        <f t="shared" si="7"/>
        <v>7.5</v>
      </c>
      <c r="HZ18" s="79" t="s">
        <v>39</v>
      </c>
      <c r="IA18" s="79" t="s">
        <v>40</v>
      </c>
      <c r="IB18" s="79" t="s">
        <v>249</v>
      </c>
      <c r="IC18" s="79">
        <v>2</v>
      </c>
      <c r="ID18" s="76">
        <v>6</v>
      </c>
      <c r="IE18" s="79">
        <v>2</v>
      </c>
      <c r="IF18" s="76">
        <v>3</v>
      </c>
      <c r="IG18" s="79">
        <v>3</v>
      </c>
      <c r="IH18" s="76">
        <v>7</v>
      </c>
      <c r="II18" s="76">
        <f t="shared" si="10"/>
        <v>7</v>
      </c>
      <c r="IJ18" s="76">
        <f t="shared" si="11"/>
        <v>16</v>
      </c>
      <c r="IK18" s="74">
        <v>1</v>
      </c>
      <c r="IL18" s="72" t="s">
        <v>16</v>
      </c>
      <c r="IM18" s="72" t="s">
        <v>22</v>
      </c>
      <c r="IN18" s="72"/>
      <c r="IO18" s="72"/>
      <c r="IP18" s="74" t="s">
        <v>236</v>
      </c>
      <c r="IQ18" s="74" t="s">
        <v>36</v>
      </c>
      <c r="IR18" s="74" t="s">
        <v>4</v>
      </c>
      <c r="IS18" s="74" t="s">
        <v>37</v>
      </c>
      <c r="IT18" s="72"/>
      <c r="IU18" s="74" t="s">
        <v>221</v>
      </c>
      <c r="IV18" s="74" t="s">
        <v>38</v>
      </c>
      <c r="IW18" s="74" t="s">
        <v>213</v>
      </c>
      <c r="IX18" s="75">
        <v>5</v>
      </c>
      <c r="IY18" s="73">
        <v>10</v>
      </c>
      <c r="IZ18" s="138">
        <f t="shared" si="8"/>
        <v>7.5</v>
      </c>
      <c r="JA18" s="74" t="s">
        <v>39</v>
      </c>
      <c r="JB18" s="74" t="s">
        <v>40</v>
      </c>
      <c r="JC18" s="74" t="s">
        <v>249</v>
      </c>
      <c r="JD18" s="74">
        <v>1</v>
      </c>
      <c r="JE18" s="72">
        <v>3</v>
      </c>
      <c r="JF18" s="74">
        <v>2</v>
      </c>
      <c r="JG18" s="72">
        <v>3</v>
      </c>
      <c r="JH18" s="74">
        <v>3</v>
      </c>
      <c r="JI18" s="72">
        <v>7</v>
      </c>
      <c r="JJ18" s="72">
        <f t="shared" si="12"/>
        <v>6</v>
      </c>
      <c r="JK18" s="72">
        <f t="shared" si="12"/>
        <v>13</v>
      </c>
      <c r="JL18" s="173">
        <v>0</v>
      </c>
      <c r="JM18" s="71" t="s">
        <v>24</v>
      </c>
      <c r="JN18" s="71" t="s">
        <v>24</v>
      </c>
      <c r="JO18" s="70"/>
      <c r="JP18" s="71"/>
      <c r="JQ18" s="71"/>
      <c r="JR18" s="71"/>
      <c r="JS18" s="70"/>
      <c r="JT18" s="71"/>
      <c r="JU18" s="70"/>
      <c r="JV18" s="70"/>
      <c r="JW18" s="71"/>
      <c r="JX18" s="71"/>
      <c r="JY18" s="71"/>
      <c r="JZ18" s="4" t="s">
        <v>9</v>
      </c>
      <c r="KA18" s="4">
        <v>50</v>
      </c>
      <c r="KB18" s="4">
        <v>50</v>
      </c>
      <c r="KC18" s="68">
        <v>4</v>
      </c>
      <c r="KD18" s="67">
        <v>5</v>
      </c>
      <c r="KE18" s="68">
        <v>50</v>
      </c>
      <c r="KF18" s="4" t="s">
        <v>255</v>
      </c>
      <c r="KG18" s="4" t="s">
        <v>33</v>
      </c>
      <c r="KH18" s="4">
        <v>200</v>
      </c>
      <c r="KI18" s="64" t="s">
        <v>258</v>
      </c>
      <c r="KJ18" s="63">
        <v>2</v>
      </c>
      <c r="KK18" s="63">
        <v>90</v>
      </c>
      <c r="KL18" s="63" t="s">
        <v>114</v>
      </c>
      <c r="KM18" s="63">
        <v>1</v>
      </c>
      <c r="KN18" s="63">
        <v>50</v>
      </c>
      <c r="KO18" s="63" t="s">
        <v>17</v>
      </c>
      <c r="KP18" s="63">
        <v>1</v>
      </c>
      <c r="KQ18" s="63">
        <v>10</v>
      </c>
      <c r="KR18" s="63"/>
      <c r="KS18" s="63"/>
      <c r="KT18" s="63"/>
      <c r="KU18" s="62" t="s">
        <v>9</v>
      </c>
      <c r="KV18" s="58">
        <v>0</v>
      </c>
      <c r="KW18" s="43"/>
      <c r="KX18" s="43"/>
      <c r="KY18" s="60" t="s">
        <v>24</v>
      </c>
      <c r="KZ18" s="59" t="s">
        <v>9</v>
      </c>
      <c r="LA18" s="60" t="s">
        <v>9</v>
      </c>
      <c r="LB18" s="59" t="s">
        <v>9</v>
      </c>
      <c r="LC18" s="60" t="s">
        <v>9</v>
      </c>
      <c r="LD18" s="60" t="s">
        <v>273</v>
      </c>
      <c r="LE18" s="59"/>
      <c r="LF18" s="59" t="s">
        <v>7</v>
      </c>
      <c r="LG18" s="3"/>
    </row>
    <row r="19" spans="1:319" x14ac:dyDescent="0.3">
      <c r="A19" s="104" t="s">
        <v>63</v>
      </c>
      <c r="B19" s="104">
        <v>12.2</v>
      </c>
      <c r="C19" s="85" t="s">
        <v>484</v>
      </c>
      <c r="D19" s="85">
        <v>2.6</v>
      </c>
      <c r="E19" s="5" t="s">
        <v>36</v>
      </c>
      <c r="F19" s="5" t="s">
        <v>514</v>
      </c>
      <c r="G19" s="5"/>
      <c r="H19" s="5">
        <v>1</v>
      </c>
      <c r="I19" s="6" t="s">
        <v>107</v>
      </c>
      <c r="J19" s="6" t="s">
        <v>100</v>
      </c>
      <c r="K19" s="6"/>
      <c r="L19" s="6" t="s">
        <v>113</v>
      </c>
      <c r="M19" s="6" t="s">
        <v>93</v>
      </c>
      <c r="N19" s="213" t="s">
        <v>846</v>
      </c>
      <c r="O19" s="162">
        <f>SUM((W19*Tableau1[[#This Row],[IR_inter1]]),(AN19*Tableau1[[#This Row],[IR_inter2]]),(BC19*Tableau1[[#This Row],[IR_inter3]]),(Tableau1[[#This Row],[IR_freq4]]*BR19),(CG19*Tableau1[[#This Row],[IR_inter5]]))</f>
        <v>4.5</v>
      </c>
      <c r="P19" s="162">
        <f t="shared" si="0"/>
        <v>4.5</v>
      </c>
      <c r="Q19" s="162">
        <f t="shared" si="1"/>
        <v>1</v>
      </c>
      <c r="R19" s="162">
        <f t="shared" si="2"/>
        <v>30</v>
      </c>
      <c r="S19" s="10" t="s">
        <v>10</v>
      </c>
      <c r="T19" s="12">
        <v>1</v>
      </c>
      <c r="U19" s="12">
        <v>20</v>
      </c>
      <c r="V19" s="9">
        <v>30</v>
      </c>
      <c r="W19" s="11">
        <v>3</v>
      </c>
      <c r="X19" s="8" t="s">
        <v>18</v>
      </c>
      <c r="Y19" s="8" t="s">
        <v>11</v>
      </c>
      <c r="Z19" s="8" t="s">
        <v>13</v>
      </c>
      <c r="AA19" s="8" t="s">
        <v>14</v>
      </c>
      <c r="AB19" s="8"/>
      <c r="AC19" s="11" t="s">
        <v>119</v>
      </c>
      <c r="AD19" s="8"/>
      <c r="AE19" s="8"/>
      <c r="AF19" s="8"/>
      <c r="AG19" s="11" t="s">
        <v>38</v>
      </c>
      <c r="AH19" s="8" t="s">
        <v>129</v>
      </c>
      <c r="AI19" s="8"/>
      <c r="AJ19" s="15" t="s">
        <v>115</v>
      </c>
      <c r="AK19" s="17">
        <v>1</v>
      </c>
      <c r="AL19" s="17">
        <v>10</v>
      </c>
      <c r="AM19" s="14">
        <v>10</v>
      </c>
      <c r="AN19" s="15">
        <v>1</v>
      </c>
      <c r="AO19" s="15" t="s">
        <v>18</v>
      </c>
      <c r="AP19" s="13" t="s">
        <v>11</v>
      </c>
      <c r="AQ19" s="13"/>
      <c r="AR19" s="13"/>
      <c r="AS19" s="13"/>
      <c r="AT19" s="16" t="s">
        <v>20</v>
      </c>
      <c r="AU19" s="16" t="s">
        <v>19</v>
      </c>
      <c r="AV19" s="15" t="s">
        <v>38</v>
      </c>
      <c r="AW19" s="13" t="s">
        <v>129</v>
      </c>
      <c r="AX19" s="13"/>
      <c r="AY19" s="21" t="s">
        <v>17</v>
      </c>
      <c r="AZ19" s="23">
        <v>1</v>
      </c>
      <c r="BA19" s="22">
        <v>10</v>
      </c>
      <c r="BB19" s="19">
        <v>10</v>
      </c>
      <c r="BC19" s="22">
        <v>0.5</v>
      </c>
      <c r="BD19" s="21" t="s">
        <v>11</v>
      </c>
      <c r="BE19" s="21"/>
      <c r="BF19" s="21"/>
      <c r="BG19" s="18"/>
      <c r="BH19" s="18"/>
      <c r="BI19" s="21" t="s">
        <v>130</v>
      </c>
      <c r="BJ19" s="18" t="s">
        <v>124</v>
      </c>
      <c r="BK19" s="18"/>
      <c r="BL19" s="21" t="s">
        <v>129</v>
      </c>
      <c r="BM19" s="21" t="s">
        <v>38</v>
      </c>
      <c r="BN19" s="99"/>
      <c r="BO19" s="99"/>
      <c r="BP19" s="99"/>
      <c r="BQ19" s="99"/>
      <c r="BR19" s="99"/>
      <c r="BS19" s="99"/>
      <c r="BT19" s="101"/>
      <c r="BU19" s="101"/>
      <c r="BV19" s="101"/>
      <c r="BW19" s="101"/>
      <c r="BX19" s="99"/>
      <c r="BY19" s="99"/>
      <c r="BZ19" s="99"/>
      <c r="CA19" s="99"/>
      <c r="CB19" s="99"/>
      <c r="CC19" s="27"/>
      <c r="CD19" s="28"/>
      <c r="CE19" s="27"/>
      <c r="CF19" s="25"/>
      <c r="CG19" s="27"/>
      <c r="CH19" s="27"/>
      <c r="CI19" s="27"/>
      <c r="CJ19" s="27"/>
      <c r="CK19" s="27"/>
      <c r="CL19" s="27"/>
      <c r="CM19" s="25"/>
      <c r="CN19" s="169">
        <f t="shared" si="3"/>
        <v>3</v>
      </c>
      <c r="CO19" s="167">
        <f t="shared" si="4"/>
        <v>2</v>
      </c>
      <c r="CP19" s="30" t="s">
        <v>147</v>
      </c>
      <c r="CQ19" s="30">
        <v>1</v>
      </c>
      <c r="CR19" s="30">
        <v>5</v>
      </c>
      <c r="CS19" s="30">
        <v>5</v>
      </c>
      <c r="CT19" s="30">
        <v>0.5</v>
      </c>
      <c r="CU19" s="30"/>
      <c r="CV19" s="30" t="s">
        <v>13</v>
      </c>
      <c r="CW19" s="30" t="s">
        <v>14</v>
      </c>
      <c r="CX19" s="30" t="s">
        <v>15</v>
      </c>
      <c r="CY19" s="30"/>
      <c r="CZ19" s="30"/>
      <c r="DA19" s="30"/>
      <c r="DB19" s="30"/>
      <c r="DC19" s="31" t="s">
        <v>23</v>
      </c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167">
        <f t="shared" si="5"/>
        <v>1</v>
      </c>
      <c r="DP19" s="51">
        <v>2</v>
      </c>
      <c r="DQ19" s="51" t="s">
        <v>11</v>
      </c>
      <c r="DR19" s="49" t="s">
        <v>15</v>
      </c>
      <c r="DS19" s="51" t="s">
        <v>227</v>
      </c>
      <c r="DT19" s="51" t="s">
        <v>150</v>
      </c>
      <c r="DU19" s="51">
        <v>480</v>
      </c>
      <c r="DV19" s="52">
        <v>0.02</v>
      </c>
      <c r="DW19" s="44" t="s">
        <v>154</v>
      </c>
      <c r="DX19" s="45" t="s">
        <v>7</v>
      </c>
      <c r="DY19" s="45" t="s">
        <v>150</v>
      </c>
      <c r="DZ19" s="45" t="s">
        <v>7</v>
      </c>
      <c r="EA19" s="44">
        <v>480</v>
      </c>
      <c r="EB19" s="44"/>
      <c r="EC19" s="44">
        <v>0.02</v>
      </c>
      <c r="ED19" s="45" t="s">
        <v>23</v>
      </c>
      <c r="EE19" s="43" t="s">
        <v>155</v>
      </c>
      <c r="EF19" s="43" t="s">
        <v>8</v>
      </c>
      <c r="EG19" s="58">
        <v>1</v>
      </c>
      <c r="EH19" s="41"/>
      <c r="EI19" s="41"/>
      <c r="EJ19" s="41"/>
      <c r="EK19" s="43" t="s">
        <v>164</v>
      </c>
      <c r="EL19" s="43"/>
      <c r="EM19" s="43"/>
      <c r="EN19" s="165">
        <v>3</v>
      </c>
      <c r="EO19" s="8" t="s">
        <v>26</v>
      </c>
      <c r="EP19" s="11"/>
      <c r="EQ19" s="11"/>
      <c r="ER19" s="11"/>
      <c r="ES19" s="11"/>
      <c r="ET19" s="11"/>
      <c r="EU19" s="8"/>
      <c r="EV19" s="8"/>
      <c r="EW19" s="11"/>
      <c r="EX19" s="11"/>
      <c r="EY19" s="8"/>
      <c r="EZ19" s="15" t="s">
        <v>29</v>
      </c>
      <c r="FA19" s="53" t="s">
        <v>174</v>
      </c>
      <c r="FB19" s="15" t="s">
        <v>7</v>
      </c>
      <c r="FC19" s="15" t="s">
        <v>7</v>
      </c>
      <c r="FD19" s="15">
        <v>1</v>
      </c>
      <c r="FE19" s="15">
        <v>500</v>
      </c>
      <c r="FF19" s="15" t="s">
        <v>175</v>
      </c>
      <c r="FG19" s="15" t="s">
        <v>2</v>
      </c>
      <c r="FH19" s="13" t="s">
        <v>177</v>
      </c>
      <c r="FI19" s="166">
        <v>1</v>
      </c>
      <c r="FJ19" s="126" t="s">
        <v>29</v>
      </c>
      <c r="FK19" s="126" t="s">
        <v>183</v>
      </c>
      <c r="FL19" s="150" t="s">
        <v>7</v>
      </c>
      <c r="FM19" s="126" t="s">
        <v>7</v>
      </c>
      <c r="FN19" s="126" t="s">
        <v>7</v>
      </c>
      <c r="FO19" s="126">
        <v>1</v>
      </c>
      <c r="FP19" s="126">
        <v>3000</v>
      </c>
      <c r="FQ19" s="126" t="s">
        <v>11</v>
      </c>
      <c r="FR19" s="126" t="s">
        <v>2</v>
      </c>
      <c r="FS19" s="126"/>
      <c r="FT19" s="126"/>
      <c r="FU19" s="151" t="s">
        <v>177</v>
      </c>
      <c r="FV19" s="151"/>
      <c r="FW19" s="43"/>
      <c r="FX19" s="43"/>
      <c r="FY19" s="41"/>
      <c r="FZ19" s="43"/>
      <c r="GA19" s="43"/>
      <c r="GB19" s="41"/>
      <c r="GC19" s="41"/>
      <c r="GD19" s="43"/>
      <c r="GE19" s="43"/>
      <c r="GF19" s="43"/>
      <c r="GG19" s="128" t="s">
        <v>217</v>
      </c>
      <c r="GH19" s="129"/>
      <c r="GI19" s="129"/>
      <c r="GJ19" s="128" t="s">
        <v>33</v>
      </c>
      <c r="GK19" s="129" t="s">
        <v>826</v>
      </c>
      <c r="GL19" s="128" t="s">
        <v>34</v>
      </c>
      <c r="GM19" s="128"/>
      <c r="GN19" s="128"/>
      <c r="GO19" s="129"/>
      <c r="GP19" s="128" t="s">
        <v>35</v>
      </c>
      <c r="GQ19" s="128">
        <v>1</v>
      </c>
      <c r="GR19" s="56" t="s">
        <v>135</v>
      </c>
      <c r="GS19" s="55" t="s">
        <v>229</v>
      </c>
      <c r="GT19" s="56"/>
      <c r="GU19" s="56" t="s">
        <v>225</v>
      </c>
      <c r="GV19" s="55">
        <v>1</v>
      </c>
      <c r="GW19" s="56" t="s">
        <v>135</v>
      </c>
      <c r="GX19" s="56" t="s">
        <v>18</v>
      </c>
      <c r="GY19" s="56" t="s">
        <v>9</v>
      </c>
      <c r="GZ19" s="55">
        <v>1</v>
      </c>
      <c r="HA19" s="56" t="s">
        <v>28</v>
      </c>
      <c r="HB19" s="55"/>
      <c r="HC19" s="55"/>
      <c r="HD19" s="55"/>
      <c r="HE19" s="55"/>
      <c r="HF19" s="170"/>
      <c r="HG19" s="172">
        <f t="shared" si="6"/>
        <v>150</v>
      </c>
      <c r="HH19" s="84" t="s">
        <v>9</v>
      </c>
      <c r="HI19" s="79">
        <v>1</v>
      </c>
      <c r="HJ19" s="76" t="s">
        <v>18</v>
      </c>
      <c r="HK19" s="79" t="s">
        <v>11</v>
      </c>
      <c r="HL19" s="76"/>
      <c r="HM19" s="76"/>
      <c r="HN19" s="76"/>
      <c r="HO19" s="79" t="s">
        <v>236</v>
      </c>
      <c r="HP19" s="79" t="s">
        <v>36</v>
      </c>
      <c r="HQ19" s="79" t="s">
        <v>37</v>
      </c>
      <c r="HR19" s="79" t="s">
        <v>245</v>
      </c>
      <c r="HS19" s="79" t="s">
        <v>246</v>
      </c>
      <c r="HT19" s="79" t="s">
        <v>221</v>
      </c>
      <c r="HU19" s="79" t="s">
        <v>38</v>
      </c>
      <c r="HV19" s="79" t="s">
        <v>213</v>
      </c>
      <c r="HW19" s="81">
        <v>5</v>
      </c>
      <c r="HX19" s="77">
        <v>10</v>
      </c>
      <c r="HY19" s="131">
        <f t="shared" si="7"/>
        <v>7.5</v>
      </c>
      <c r="HZ19" s="79" t="s">
        <v>247</v>
      </c>
      <c r="IA19" s="79" t="s">
        <v>248</v>
      </c>
      <c r="IB19" s="79" t="s">
        <v>249</v>
      </c>
      <c r="IC19" s="79">
        <v>2</v>
      </c>
      <c r="ID19" s="76">
        <v>6</v>
      </c>
      <c r="IE19" s="79">
        <v>2</v>
      </c>
      <c r="IF19" s="76">
        <v>3</v>
      </c>
      <c r="IG19" s="79">
        <v>3</v>
      </c>
      <c r="IH19" s="76">
        <v>7</v>
      </c>
      <c r="II19" s="76">
        <f t="shared" si="10"/>
        <v>7</v>
      </c>
      <c r="IJ19" s="76">
        <f t="shared" si="11"/>
        <v>16</v>
      </c>
      <c r="IK19" s="74">
        <v>1</v>
      </c>
      <c r="IL19" s="72" t="s">
        <v>16</v>
      </c>
      <c r="IM19" s="72" t="s">
        <v>22</v>
      </c>
      <c r="IN19" s="72"/>
      <c r="IO19" s="72"/>
      <c r="IP19" s="74" t="s">
        <v>236</v>
      </c>
      <c r="IQ19" s="74" t="s">
        <v>36</v>
      </c>
      <c r="IR19" s="74" t="s">
        <v>4</v>
      </c>
      <c r="IS19" s="74" t="s">
        <v>37</v>
      </c>
      <c r="IT19" s="72"/>
      <c r="IU19" s="74" t="s">
        <v>221</v>
      </c>
      <c r="IV19" s="74" t="s">
        <v>38</v>
      </c>
      <c r="IW19" s="74" t="s">
        <v>213</v>
      </c>
      <c r="IX19" s="75">
        <v>5</v>
      </c>
      <c r="IY19" s="73">
        <v>10</v>
      </c>
      <c r="IZ19" s="138">
        <f t="shared" si="8"/>
        <v>7.5</v>
      </c>
      <c r="JA19" s="74" t="s">
        <v>247</v>
      </c>
      <c r="JB19" s="74" t="s">
        <v>248</v>
      </c>
      <c r="JC19" s="74" t="s">
        <v>249</v>
      </c>
      <c r="JD19" s="74">
        <v>1</v>
      </c>
      <c r="JE19" s="72">
        <v>3</v>
      </c>
      <c r="JF19" s="74">
        <v>2</v>
      </c>
      <c r="JG19" s="72">
        <v>3</v>
      </c>
      <c r="JH19" s="74">
        <v>3</v>
      </c>
      <c r="JI19" s="72">
        <v>7</v>
      </c>
      <c r="JJ19" s="72">
        <f t="shared" si="12"/>
        <v>6</v>
      </c>
      <c r="JK19" s="72">
        <f t="shared" si="12"/>
        <v>13</v>
      </c>
      <c r="JL19" s="173">
        <v>0</v>
      </c>
      <c r="JM19" s="71" t="s">
        <v>24</v>
      </c>
      <c r="JN19" s="71" t="s">
        <v>24</v>
      </c>
      <c r="JO19" s="70"/>
      <c r="JP19" s="71"/>
      <c r="JQ19" s="71"/>
      <c r="JR19" s="71"/>
      <c r="JS19" s="70"/>
      <c r="JT19" s="71"/>
      <c r="JU19" s="70"/>
      <c r="JV19" s="70"/>
      <c r="JW19" s="71"/>
      <c r="JX19" s="71"/>
      <c r="JY19" s="71"/>
      <c r="JZ19" s="4" t="s">
        <v>9</v>
      </c>
      <c r="KA19" s="4">
        <v>50</v>
      </c>
      <c r="KB19" s="4">
        <v>50</v>
      </c>
      <c r="KC19" s="68">
        <v>4</v>
      </c>
      <c r="KD19" s="67">
        <v>5</v>
      </c>
      <c r="KE19" s="68">
        <v>50</v>
      </c>
      <c r="KF19" s="4" t="s">
        <v>255</v>
      </c>
      <c r="KG19" s="4" t="s">
        <v>33</v>
      </c>
      <c r="KH19" s="4">
        <v>200</v>
      </c>
      <c r="KI19" s="64" t="s">
        <v>258</v>
      </c>
      <c r="KJ19" s="63">
        <v>2</v>
      </c>
      <c r="KK19" s="63">
        <v>90</v>
      </c>
      <c r="KL19" s="63" t="s">
        <v>114</v>
      </c>
      <c r="KM19" s="63">
        <v>1</v>
      </c>
      <c r="KN19" s="63">
        <v>50</v>
      </c>
      <c r="KO19" s="63" t="s">
        <v>17</v>
      </c>
      <c r="KP19" s="63">
        <v>1</v>
      </c>
      <c r="KQ19" s="63">
        <v>10</v>
      </c>
      <c r="KR19" s="63"/>
      <c r="KS19" s="63"/>
      <c r="KT19" s="63"/>
      <c r="KU19" s="62" t="s">
        <v>9</v>
      </c>
      <c r="KV19" s="58">
        <v>0</v>
      </c>
      <c r="KW19" s="43"/>
      <c r="KX19" s="43"/>
      <c r="KY19" s="60" t="s">
        <v>24</v>
      </c>
      <c r="KZ19" s="59" t="s">
        <v>9</v>
      </c>
      <c r="LA19" s="60" t="s">
        <v>9</v>
      </c>
      <c r="LB19" s="59" t="s">
        <v>9</v>
      </c>
      <c r="LC19" s="60" t="s">
        <v>9</v>
      </c>
      <c r="LD19" s="60" t="s">
        <v>273</v>
      </c>
      <c r="LE19" s="59"/>
      <c r="LF19" s="59" t="s">
        <v>7</v>
      </c>
      <c r="LG19" s="3"/>
    </row>
    <row r="20" spans="1:319" ht="15.6" customHeight="1" x14ac:dyDescent="0.3">
      <c r="A20" s="104" t="s">
        <v>64</v>
      </c>
      <c r="B20" s="104">
        <v>13.1</v>
      </c>
      <c r="C20" s="85" t="s">
        <v>280</v>
      </c>
      <c r="D20" s="85">
        <v>3</v>
      </c>
      <c r="E20" s="5" t="s">
        <v>237</v>
      </c>
      <c r="F20" s="5" t="s">
        <v>516</v>
      </c>
      <c r="G20" s="5"/>
      <c r="H20" s="5">
        <v>2</v>
      </c>
      <c r="I20" s="6" t="s">
        <v>101</v>
      </c>
      <c r="J20" s="5"/>
      <c r="K20" s="6" t="s">
        <v>95</v>
      </c>
      <c r="L20" s="6" t="s">
        <v>98</v>
      </c>
      <c r="M20" s="6" t="s">
        <v>93</v>
      </c>
      <c r="N20" s="213" t="s">
        <v>846</v>
      </c>
      <c r="O20" s="162">
        <f>SUM((W20*Tableau1[[#This Row],[IR_inter1]]),(AN20*Tableau1[[#This Row],[IR_inter2]]),(BC20*Tableau1[[#This Row],[IR_inter3]]),(Tableau1[[#This Row],[IR_freq4]]*BR20),(CG20*Tableau1[[#This Row],[IR_inter5]]))</f>
        <v>6</v>
      </c>
      <c r="P20" s="162">
        <f t="shared" si="0"/>
        <v>6</v>
      </c>
      <c r="Q20" s="162">
        <f t="shared" si="1"/>
        <v>1</v>
      </c>
      <c r="R20" s="162">
        <f t="shared" si="2"/>
        <v>40</v>
      </c>
      <c r="S20" s="11" t="s">
        <v>17</v>
      </c>
      <c r="T20" s="12">
        <v>1</v>
      </c>
      <c r="U20" s="12">
        <v>5</v>
      </c>
      <c r="V20" s="9">
        <v>10</v>
      </c>
      <c r="W20" s="11">
        <v>3</v>
      </c>
      <c r="X20" s="8" t="s">
        <v>18</v>
      </c>
      <c r="Y20" s="8" t="s">
        <v>11</v>
      </c>
      <c r="Z20" s="8" t="s">
        <v>15</v>
      </c>
      <c r="AA20" s="8" t="s">
        <v>16</v>
      </c>
      <c r="AB20" s="8"/>
      <c r="AC20" s="11" t="s">
        <v>20</v>
      </c>
      <c r="AD20" s="8" t="s">
        <v>122</v>
      </c>
      <c r="AE20" s="8"/>
      <c r="AF20" s="8"/>
      <c r="AG20" s="11" t="s">
        <v>38</v>
      </c>
      <c r="AH20" s="8" t="s">
        <v>129</v>
      </c>
      <c r="AI20" s="8"/>
      <c r="AJ20" s="15" t="s">
        <v>10</v>
      </c>
      <c r="AK20" s="17">
        <v>1</v>
      </c>
      <c r="AL20" s="17">
        <v>40</v>
      </c>
      <c r="AM20" s="14">
        <v>40</v>
      </c>
      <c r="AN20" s="15">
        <v>1.5</v>
      </c>
      <c r="AO20" s="15" t="s">
        <v>28</v>
      </c>
      <c r="AP20" s="13" t="s">
        <v>18</v>
      </c>
      <c r="AQ20" s="13" t="s">
        <v>11</v>
      </c>
      <c r="AR20" s="13"/>
      <c r="AS20" s="13"/>
      <c r="AT20" s="15" t="s">
        <v>119</v>
      </c>
      <c r="AU20" s="13"/>
      <c r="AV20" s="15" t="s">
        <v>38</v>
      </c>
      <c r="AW20" s="13" t="s">
        <v>129</v>
      </c>
      <c r="AX20" s="13"/>
      <c r="AY20" s="21" t="s">
        <v>131</v>
      </c>
      <c r="AZ20" s="23">
        <v>1</v>
      </c>
      <c r="BA20" s="22">
        <v>15</v>
      </c>
      <c r="BB20" s="19">
        <v>20</v>
      </c>
      <c r="BC20" s="22">
        <v>1.5</v>
      </c>
      <c r="BD20" s="21" t="s">
        <v>11</v>
      </c>
      <c r="BE20" s="18" t="s">
        <v>28</v>
      </c>
      <c r="BF20" s="18"/>
      <c r="BG20" s="18"/>
      <c r="BH20" s="18"/>
      <c r="BI20" s="21"/>
      <c r="BJ20" s="18"/>
      <c r="BK20" s="18"/>
      <c r="BL20" s="21" t="s">
        <v>38</v>
      </c>
      <c r="BM20" s="18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27"/>
      <c r="CD20" s="28"/>
      <c r="CE20" s="27"/>
      <c r="CF20" s="25"/>
      <c r="CG20" s="27"/>
      <c r="CH20" s="27"/>
      <c r="CI20" s="27"/>
      <c r="CJ20" s="27"/>
      <c r="CK20" s="27"/>
      <c r="CL20" s="27"/>
      <c r="CM20" s="25"/>
      <c r="CN20" s="169">
        <f t="shared" si="3"/>
        <v>3</v>
      </c>
      <c r="CO20" s="167">
        <f t="shared" si="4"/>
        <v>2</v>
      </c>
      <c r="CP20" s="31" t="s">
        <v>147</v>
      </c>
      <c r="CQ20" s="34">
        <v>1</v>
      </c>
      <c r="CR20" s="31">
        <v>5</v>
      </c>
      <c r="CS20" s="30">
        <v>5</v>
      </c>
      <c r="CT20" s="31">
        <v>1</v>
      </c>
      <c r="CU20" s="30"/>
      <c r="CV20" s="31" t="s">
        <v>13</v>
      </c>
      <c r="CW20" s="31" t="s">
        <v>14</v>
      </c>
      <c r="CX20" s="31" t="s">
        <v>15</v>
      </c>
      <c r="CY20" s="30"/>
      <c r="CZ20" s="31"/>
      <c r="DA20" s="31" t="s">
        <v>121</v>
      </c>
      <c r="DB20" s="31"/>
      <c r="DC20" s="30" t="s">
        <v>38</v>
      </c>
      <c r="DD20" s="37" t="s">
        <v>145</v>
      </c>
      <c r="DE20" s="38" t="s">
        <v>138</v>
      </c>
      <c r="DF20" s="37">
        <v>5</v>
      </c>
      <c r="DG20" s="36">
        <v>5</v>
      </c>
      <c r="DH20" s="37">
        <v>1</v>
      </c>
      <c r="DI20" s="37" t="s">
        <v>136</v>
      </c>
      <c r="DJ20" s="36"/>
      <c r="DK20" s="36"/>
      <c r="DL20" s="36"/>
      <c r="DM20" s="37" t="s">
        <v>143</v>
      </c>
      <c r="DN20" s="37" t="s">
        <v>129</v>
      </c>
      <c r="DO20" s="167">
        <f t="shared" si="5"/>
        <v>1</v>
      </c>
      <c r="DP20" s="51">
        <v>1</v>
      </c>
      <c r="DQ20" s="51" t="s">
        <v>13</v>
      </c>
      <c r="DR20" s="49"/>
      <c r="DS20" s="51" t="s">
        <v>227</v>
      </c>
      <c r="DT20" s="51" t="s">
        <v>150</v>
      </c>
      <c r="DU20" s="51">
        <v>480</v>
      </c>
      <c r="DV20" s="52">
        <v>0.01</v>
      </c>
      <c r="DW20" s="44"/>
      <c r="DX20" s="44"/>
      <c r="DY20" s="44"/>
      <c r="DZ20" s="44"/>
      <c r="EA20" s="44"/>
      <c r="EB20" s="44"/>
      <c r="EC20" s="46"/>
      <c r="ED20" s="45" t="s">
        <v>23</v>
      </c>
      <c r="EE20" s="43" t="s">
        <v>155</v>
      </c>
      <c r="EF20" s="43" t="s">
        <v>8</v>
      </c>
      <c r="EG20" s="58">
        <v>1</v>
      </c>
      <c r="EH20" s="41"/>
      <c r="EI20" s="41"/>
      <c r="EJ20" s="41"/>
      <c r="EK20" s="43" t="s">
        <v>157</v>
      </c>
      <c r="EL20" s="43"/>
      <c r="EM20" s="43"/>
      <c r="EN20" s="165">
        <v>0</v>
      </c>
      <c r="EO20" s="8" t="s">
        <v>26</v>
      </c>
      <c r="EP20" s="11"/>
      <c r="EQ20" s="11"/>
      <c r="ER20" s="11"/>
      <c r="ES20" s="11"/>
      <c r="ET20" s="11"/>
      <c r="EU20" s="8"/>
      <c r="EV20" s="8"/>
      <c r="EW20" s="11"/>
      <c r="EX20" s="11"/>
      <c r="EY20" s="8"/>
      <c r="EZ20" s="13"/>
      <c r="FA20" s="13"/>
      <c r="FB20" s="13"/>
      <c r="FC20" s="13"/>
      <c r="FD20" s="13"/>
      <c r="FE20" s="13"/>
      <c r="FF20" s="13"/>
      <c r="FG20" s="13"/>
      <c r="FH20" s="13"/>
      <c r="FI20" s="166">
        <v>2</v>
      </c>
      <c r="FJ20" s="151" t="s">
        <v>178</v>
      </c>
      <c r="FK20" s="151" t="s">
        <v>188</v>
      </c>
      <c r="FL20" s="150" t="s">
        <v>189</v>
      </c>
      <c r="FM20" s="126" t="s">
        <v>190</v>
      </c>
      <c r="FN20" s="126" t="s">
        <v>168</v>
      </c>
      <c r="FO20" s="126">
        <v>1</v>
      </c>
      <c r="FP20" s="126">
        <v>400</v>
      </c>
      <c r="FQ20" s="126" t="s">
        <v>28</v>
      </c>
      <c r="FR20" s="126" t="s">
        <v>207</v>
      </c>
      <c r="FS20" s="126"/>
      <c r="FT20" s="126"/>
      <c r="FU20" s="151" t="s">
        <v>21</v>
      </c>
      <c r="FV20" s="126" t="s">
        <v>38</v>
      </c>
      <c r="FW20" s="43"/>
      <c r="FX20" s="43"/>
      <c r="FY20" s="41"/>
      <c r="FZ20" s="43"/>
      <c r="GA20" s="43"/>
      <c r="GB20" s="41"/>
      <c r="GC20" s="41"/>
      <c r="GD20" s="43"/>
      <c r="GE20" s="43"/>
      <c r="GF20" s="43"/>
      <c r="GG20" s="128" t="s">
        <v>217</v>
      </c>
      <c r="GH20" s="129"/>
      <c r="GI20" s="129"/>
      <c r="GJ20" s="128" t="s">
        <v>219</v>
      </c>
      <c r="GK20" s="129"/>
      <c r="GL20" s="128" t="s">
        <v>34</v>
      </c>
      <c r="GM20" s="128" t="s">
        <v>221</v>
      </c>
      <c r="GN20" s="128" t="s">
        <v>32</v>
      </c>
      <c r="GO20" s="129"/>
      <c r="GP20" s="128" t="s">
        <v>35</v>
      </c>
      <c r="GQ20" s="128">
        <v>0.13</v>
      </c>
      <c r="GR20" s="56" t="s">
        <v>232</v>
      </c>
      <c r="GS20" s="55"/>
      <c r="GT20" s="56"/>
      <c r="GU20" s="55" t="s">
        <v>225</v>
      </c>
      <c r="GV20" s="56">
        <v>0.13</v>
      </c>
      <c r="GW20" s="55"/>
      <c r="GX20" s="56"/>
      <c r="GY20" s="56" t="s">
        <v>9</v>
      </c>
      <c r="GZ20" s="55">
        <v>1</v>
      </c>
      <c r="HA20" s="55" t="s">
        <v>229</v>
      </c>
      <c r="HB20" s="55" t="s">
        <v>28</v>
      </c>
      <c r="HC20" s="55"/>
      <c r="HD20" s="55"/>
      <c r="HE20" s="55"/>
      <c r="HF20" s="170"/>
      <c r="HG20" s="172">
        <f t="shared" si="6"/>
        <v>125</v>
      </c>
      <c r="HH20" s="84" t="s">
        <v>9</v>
      </c>
      <c r="HI20" s="79">
        <v>1</v>
      </c>
      <c r="HJ20" s="76" t="s">
        <v>135</v>
      </c>
      <c r="HK20" s="79" t="s">
        <v>18</v>
      </c>
      <c r="HL20" s="79" t="s">
        <v>11</v>
      </c>
      <c r="HM20" s="76"/>
      <c r="HN20" s="76"/>
      <c r="HO20" s="79" t="s">
        <v>235</v>
      </c>
      <c r="HP20" s="79" t="s">
        <v>237</v>
      </c>
      <c r="HQ20" s="79" t="s">
        <v>37</v>
      </c>
      <c r="HR20" s="79" t="s">
        <v>245</v>
      </c>
      <c r="HS20" s="76"/>
      <c r="HT20" s="79" t="s">
        <v>221</v>
      </c>
      <c r="HU20" s="79" t="s">
        <v>245</v>
      </c>
      <c r="HV20" s="76"/>
      <c r="HW20" s="81">
        <v>10</v>
      </c>
      <c r="HX20" s="77">
        <v>15</v>
      </c>
      <c r="HY20" s="131">
        <f t="shared" si="7"/>
        <v>12.5</v>
      </c>
      <c r="HZ20" s="79" t="s">
        <v>39</v>
      </c>
      <c r="IA20" s="76" t="s">
        <v>248</v>
      </c>
      <c r="IB20" s="79" t="s">
        <v>249</v>
      </c>
      <c r="IC20" s="79">
        <v>0.5</v>
      </c>
      <c r="ID20" s="76">
        <v>0.5</v>
      </c>
      <c r="IE20" s="79">
        <v>8</v>
      </c>
      <c r="IF20" s="76">
        <v>10</v>
      </c>
      <c r="IG20" s="79">
        <v>10</v>
      </c>
      <c r="IH20" s="76">
        <v>15</v>
      </c>
      <c r="II20" s="76">
        <f t="shared" si="10"/>
        <v>18.5</v>
      </c>
      <c r="IJ20" s="76">
        <f t="shared" si="11"/>
        <v>25.5</v>
      </c>
      <c r="IK20" s="74"/>
      <c r="IL20" s="72"/>
      <c r="IM20" s="72"/>
      <c r="IN20" s="72"/>
      <c r="IO20" s="72"/>
      <c r="IP20" s="72"/>
      <c r="IQ20" s="72"/>
      <c r="IR20" s="72"/>
      <c r="IS20" s="72"/>
      <c r="IT20" s="72"/>
      <c r="IU20" s="72"/>
      <c r="IV20" s="72"/>
      <c r="IW20" s="72"/>
      <c r="IX20" s="73"/>
      <c r="IY20" s="73"/>
      <c r="IZ20" s="138">
        <f t="shared" si="8"/>
        <v>0</v>
      </c>
      <c r="JA20" s="72"/>
      <c r="JB20" s="72"/>
      <c r="JC20" s="72"/>
      <c r="JD20" s="72"/>
      <c r="JE20" s="72"/>
      <c r="JF20" s="72"/>
      <c r="JG20" s="72"/>
      <c r="JH20" s="72"/>
      <c r="JI20" s="72"/>
      <c r="JJ20" s="72"/>
      <c r="JK20" s="72"/>
      <c r="JL20" s="173">
        <v>0</v>
      </c>
      <c r="JM20" s="71" t="s">
        <v>24</v>
      </c>
      <c r="JN20" s="71" t="s">
        <v>24</v>
      </c>
      <c r="JO20" s="70"/>
      <c r="JP20" s="71"/>
      <c r="JQ20" s="71"/>
      <c r="JR20" s="71"/>
      <c r="JS20" s="70"/>
      <c r="JT20" s="71"/>
      <c r="JU20" s="70"/>
      <c r="JV20" s="70"/>
      <c r="JW20" s="71"/>
      <c r="JX20" s="71"/>
      <c r="JY20" s="71"/>
      <c r="JZ20" s="4" t="s">
        <v>24</v>
      </c>
      <c r="KA20" s="4"/>
      <c r="KB20" s="4"/>
      <c r="KC20" s="68"/>
      <c r="KD20" s="67"/>
      <c r="KE20" s="68"/>
      <c r="KF20" s="4"/>
      <c r="KG20" s="4"/>
      <c r="KH20" s="4"/>
      <c r="KI20" s="64" t="s">
        <v>259</v>
      </c>
      <c r="KJ20" s="63">
        <v>1</v>
      </c>
      <c r="KK20" s="63">
        <v>40</v>
      </c>
      <c r="KL20" s="63"/>
      <c r="KM20" s="63"/>
      <c r="KN20" s="63"/>
      <c r="KO20" s="63"/>
      <c r="KP20" s="63"/>
      <c r="KQ20" s="63"/>
      <c r="KR20" s="63"/>
      <c r="KS20" s="63"/>
      <c r="KT20" s="63"/>
      <c r="KU20" s="62" t="s">
        <v>24</v>
      </c>
      <c r="KV20" s="58">
        <v>0</v>
      </c>
      <c r="KW20" s="43"/>
      <c r="KX20" s="43"/>
      <c r="KY20" s="60" t="s">
        <v>24</v>
      </c>
      <c r="KZ20" s="59" t="s">
        <v>9</v>
      </c>
      <c r="LA20" s="60" t="s">
        <v>9</v>
      </c>
      <c r="LB20" s="59" t="s">
        <v>24</v>
      </c>
      <c r="LC20" s="60" t="s">
        <v>9</v>
      </c>
      <c r="LD20" s="60" t="s">
        <v>272</v>
      </c>
      <c r="LE20" s="59"/>
      <c r="LF20" s="60" t="s">
        <v>224</v>
      </c>
      <c r="LG20" s="3"/>
    </row>
    <row r="21" spans="1:319" x14ac:dyDescent="0.3">
      <c r="A21" s="104" t="s">
        <v>65</v>
      </c>
      <c r="B21" s="104">
        <v>13.2</v>
      </c>
      <c r="C21" s="85" t="s">
        <v>485</v>
      </c>
      <c r="D21" s="85">
        <v>5</v>
      </c>
      <c r="E21" s="5" t="s">
        <v>237</v>
      </c>
      <c r="F21" s="5" t="s">
        <v>515</v>
      </c>
      <c r="G21" s="5"/>
      <c r="H21" s="5">
        <v>2</v>
      </c>
      <c r="I21" s="6" t="s">
        <v>101</v>
      </c>
      <c r="J21" s="5"/>
      <c r="K21" s="6" t="s">
        <v>98</v>
      </c>
      <c r="L21" s="6"/>
      <c r="M21" s="6" t="s">
        <v>93</v>
      </c>
      <c r="N21" s="213" t="s">
        <v>847</v>
      </c>
      <c r="O21" s="162">
        <f>SUM((W21*Tableau1[[#This Row],[IR_inter1]]),(AN21*Tableau1[[#This Row],[IR_inter2]]),(BC21*Tableau1[[#This Row],[IR_inter3]]),(Tableau1[[#This Row],[IR_freq4]]*BR21),(CG21*Tableau1[[#This Row],[IR_inter5]]))</f>
        <v>6</v>
      </c>
      <c r="P21" s="162">
        <f t="shared" si="0"/>
        <v>6</v>
      </c>
      <c r="Q21" s="162">
        <f t="shared" si="1"/>
        <v>1</v>
      </c>
      <c r="R21" s="162">
        <f t="shared" si="2"/>
        <v>40</v>
      </c>
      <c r="S21" s="11" t="s">
        <v>17</v>
      </c>
      <c r="T21" s="12">
        <v>1</v>
      </c>
      <c r="U21" s="12">
        <v>5</v>
      </c>
      <c r="V21" s="9">
        <v>10</v>
      </c>
      <c r="W21" s="11">
        <v>3</v>
      </c>
      <c r="X21" s="8" t="s">
        <v>18</v>
      </c>
      <c r="Y21" s="8" t="s">
        <v>11</v>
      </c>
      <c r="Z21" s="8" t="s">
        <v>15</v>
      </c>
      <c r="AA21" s="8" t="s">
        <v>16</v>
      </c>
      <c r="AB21" s="8"/>
      <c r="AC21" s="11" t="s">
        <v>20</v>
      </c>
      <c r="AD21" s="8" t="s">
        <v>122</v>
      </c>
      <c r="AE21" s="8"/>
      <c r="AF21" s="8"/>
      <c r="AG21" s="11" t="s">
        <v>38</v>
      </c>
      <c r="AH21" s="8" t="s">
        <v>129</v>
      </c>
      <c r="AI21" s="8"/>
      <c r="AJ21" s="15" t="s">
        <v>10</v>
      </c>
      <c r="AK21" s="17">
        <v>1</v>
      </c>
      <c r="AL21" s="17">
        <v>40</v>
      </c>
      <c r="AM21" s="14">
        <v>40</v>
      </c>
      <c r="AN21" s="15">
        <v>1.5</v>
      </c>
      <c r="AO21" s="15" t="s">
        <v>28</v>
      </c>
      <c r="AP21" s="13" t="s">
        <v>18</v>
      </c>
      <c r="AQ21" s="13" t="s">
        <v>11</v>
      </c>
      <c r="AR21" s="13"/>
      <c r="AS21" s="13"/>
      <c r="AT21" s="15" t="s">
        <v>119</v>
      </c>
      <c r="AU21" s="13"/>
      <c r="AV21" s="15" t="s">
        <v>38</v>
      </c>
      <c r="AW21" s="13" t="s">
        <v>129</v>
      </c>
      <c r="AX21" s="13"/>
      <c r="AY21" s="21" t="s">
        <v>131</v>
      </c>
      <c r="AZ21" s="23">
        <v>1</v>
      </c>
      <c r="BA21" s="22">
        <v>15</v>
      </c>
      <c r="BB21" s="19">
        <v>20</v>
      </c>
      <c r="BC21" s="22">
        <v>1.5</v>
      </c>
      <c r="BD21" s="21" t="s">
        <v>11</v>
      </c>
      <c r="BE21" s="18" t="s">
        <v>28</v>
      </c>
      <c r="BF21" s="18"/>
      <c r="BG21" s="18"/>
      <c r="BH21" s="18"/>
      <c r="BI21" s="21"/>
      <c r="BJ21" s="18"/>
      <c r="BK21" s="18"/>
      <c r="BL21" s="21" t="s">
        <v>38</v>
      </c>
      <c r="BM21" s="18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27"/>
      <c r="CD21" s="28"/>
      <c r="CE21" s="27"/>
      <c r="CF21" s="25"/>
      <c r="CG21" s="27"/>
      <c r="CH21" s="27"/>
      <c r="CI21" s="27"/>
      <c r="CJ21" s="27"/>
      <c r="CK21" s="27"/>
      <c r="CL21" s="27"/>
      <c r="CM21" s="25"/>
      <c r="CN21" s="169">
        <f t="shared" si="3"/>
        <v>3</v>
      </c>
      <c r="CO21" s="167">
        <f t="shared" si="4"/>
        <v>2</v>
      </c>
      <c r="CP21" s="31" t="s">
        <v>147</v>
      </c>
      <c r="CQ21" s="34">
        <v>1</v>
      </c>
      <c r="CR21" s="31">
        <v>5</v>
      </c>
      <c r="CS21" s="30">
        <v>5</v>
      </c>
      <c r="CT21" s="31">
        <v>1</v>
      </c>
      <c r="CU21" s="30"/>
      <c r="CV21" s="31" t="s">
        <v>13</v>
      </c>
      <c r="CW21" s="31" t="s">
        <v>14</v>
      </c>
      <c r="CX21" s="31" t="s">
        <v>15</v>
      </c>
      <c r="CY21" s="30"/>
      <c r="CZ21" s="31"/>
      <c r="DA21" s="31" t="s">
        <v>121</v>
      </c>
      <c r="DB21" s="31"/>
      <c r="DC21" s="30" t="s">
        <v>38</v>
      </c>
      <c r="DD21" s="37" t="s">
        <v>145</v>
      </c>
      <c r="DE21" s="38" t="s">
        <v>138</v>
      </c>
      <c r="DF21" s="37">
        <v>5</v>
      </c>
      <c r="DG21" s="36">
        <v>5</v>
      </c>
      <c r="DH21" s="37">
        <v>1</v>
      </c>
      <c r="DI21" s="37" t="s">
        <v>136</v>
      </c>
      <c r="DJ21" s="36"/>
      <c r="DK21" s="36"/>
      <c r="DL21" s="36"/>
      <c r="DM21" s="37" t="s">
        <v>143</v>
      </c>
      <c r="DN21" s="37" t="s">
        <v>129</v>
      </c>
      <c r="DO21" s="167">
        <f t="shared" si="5"/>
        <v>1</v>
      </c>
      <c r="DP21" s="51">
        <v>1</v>
      </c>
      <c r="DQ21" s="51" t="s">
        <v>13</v>
      </c>
      <c r="DR21" s="49"/>
      <c r="DS21" s="51" t="s">
        <v>227</v>
      </c>
      <c r="DT21" s="51" t="s">
        <v>150</v>
      </c>
      <c r="DU21" s="51">
        <v>480</v>
      </c>
      <c r="DV21" s="52">
        <v>0.01</v>
      </c>
      <c r="DW21" s="44"/>
      <c r="DX21" s="44"/>
      <c r="DY21" s="44"/>
      <c r="DZ21" s="44"/>
      <c r="EA21" s="44"/>
      <c r="EB21" s="44"/>
      <c r="EC21" s="46"/>
      <c r="ED21" s="45" t="s">
        <v>23</v>
      </c>
      <c r="EE21" s="43" t="s">
        <v>155</v>
      </c>
      <c r="EF21" s="43" t="s">
        <v>8</v>
      </c>
      <c r="EG21" s="58">
        <v>1</v>
      </c>
      <c r="EH21" s="41"/>
      <c r="EI21" s="41"/>
      <c r="EJ21" s="41"/>
      <c r="EK21" s="43" t="s">
        <v>157</v>
      </c>
      <c r="EL21" s="43"/>
      <c r="EM21" s="43"/>
      <c r="EN21" s="165">
        <v>0</v>
      </c>
      <c r="EO21" s="8" t="s">
        <v>26</v>
      </c>
      <c r="EP21" s="11"/>
      <c r="EQ21" s="11"/>
      <c r="ER21" s="11"/>
      <c r="ES21" s="11"/>
      <c r="ET21" s="11"/>
      <c r="EU21" s="8"/>
      <c r="EV21" s="8"/>
      <c r="EW21" s="11"/>
      <c r="EX21" s="11"/>
      <c r="EY21" s="8"/>
      <c r="EZ21" s="13"/>
      <c r="FA21" s="13"/>
      <c r="FB21" s="13"/>
      <c r="FC21" s="13"/>
      <c r="FD21" s="13"/>
      <c r="FE21" s="13"/>
      <c r="FF21" s="13"/>
      <c r="FG21" s="13"/>
      <c r="FH21" s="13"/>
      <c r="FI21" s="166">
        <v>2</v>
      </c>
      <c r="FJ21" s="151" t="s">
        <v>178</v>
      </c>
      <c r="FK21" s="151" t="s">
        <v>188</v>
      </c>
      <c r="FL21" s="150" t="s">
        <v>189</v>
      </c>
      <c r="FM21" s="126" t="s">
        <v>190</v>
      </c>
      <c r="FN21" s="126" t="s">
        <v>168</v>
      </c>
      <c r="FO21" s="126">
        <v>1</v>
      </c>
      <c r="FP21" s="126">
        <v>400</v>
      </c>
      <c r="FQ21" s="126" t="s">
        <v>28</v>
      </c>
      <c r="FR21" s="126" t="s">
        <v>207</v>
      </c>
      <c r="FS21" s="126"/>
      <c r="FT21" s="126"/>
      <c r="FU21" s="151" t="s">
        <v>21</v>
      </c>
      <c r="FV21" s="126" t="s">
        <v>38</v>
      </c>
      <c r="FW21" s="43"/>
      <c r="FX21" s="43"/>
      <c r="FY21" s="41"/>
      <c r="FZ21" s="43"/>
      <c r="GA21" s="43"/>
      <c r="GB21" s="41"/>
      <c r="GC21" s="41"/>
      <c r="GD21" s="43"/>
      <c r="GE21" s="43"/>
      <c r="GF21" s="43"/>
      <c r="GG21" s="128" t="s">
        <v>217</v>
      </c>
      <c r="GH21" s="129"/>
      <c r="GI21" s="129"/>
      <c r="GJ21" s="128" t="s">
        <v>219</v>
      </c>
      <c r="GK21" s="129"/>
      <c r="GL21" s="128" t="s">
        <v>34</v>
      </c>
      <c r="GM21" s="128" t="s">
        <v>221</v>
      </c>
      <c r="GN21" s="128" t="s">
        <v>32</v>
      </c>
      <c r="GO21" s="129"/>
      <c r="GP21" s="128" t="s">
        <v>35</v>
      </c>
      <c r="GQ21" s="128">
        <v>0.13</v>
      </c>
      <c r="GR21" s="56" t="s">
        <v>232</v>
      </c>
      <c r="GS21" s="55"/>
      <c r="GT21" s="56"/>
      <c r="GU21" s="55" t="s">
        <v>225</v>
      </c>
      <c r="GV21" s="56">
        <v>0.13</v>
      </c>
      <c r="GW21" s="55"/>
      <c r="GX21" s="56"/>
      <c r="GY21" s="56" t="s">
        <v>9</v>
      </c>
      <c r="GZ21" s="55">
        <v>1</v>
      </c>
      <c r="HA21" s="55" t="s">
        <v>229</v>
      </c>
      <c r="HB21" s="55" t="s">
        <v>28</v>
      </c>
      <c r="HC21" s="55"/>
      <c r="HD21" s="55"/>
      <c r="HE21" s="55"/>
      <c r="HF21" s="170"/>
      <c r="HG21" s="172">
        <f t="shared" si="6"/>
        <v>125</v>
      </c>
      <c r="HH21" s="84" t="s">
        <v>9</v>
      </c>
      <c r="HI21" s="79">
        <v>1</v>
      </c>
      <c r="HJ21" s="76" t="s">
        <v>135</v>
      </c>
      <c r="HK21" s="79" t="s">
        <v>18</v>
      </c>
      <c r="HL21" s="79" t="s">
        <v>11</v>
      </c>
      <c r="HM21" s="76"/>
      <c r="HN21" s="76"/>
      <c r="HO21" s="79" t="s">
        <v>235</v>
      </c>
      <c r="HP21" s="79" t="s">
        <v>237</v>
      </c>
      <c r="HQ21" s="79" t="s">
        <v>37</v>
      </c>
      <c r="HR21" s="79" t="s">
        <v>245</v>
      </c>
      <c r="HS21" s="76"/>
      <c r="HT21" s="79" t="s">
        <v>221</v>
      </c>
      <c r="HU21" s="79" t="s">
        <v>245</v>
      </c>
      <c r="HV21" s="76"/>
      <c r="HW21" s="81">
        <v>10</v>
      </c>
      <c r="HX21" s="77">
        <v>15</v>
      </c>
      <c r="HY21" s="131">
        <f t="shared" si="7"/>
        <v>12.5</v>
      </c>
      <c r="HZ21" s="79" t="s">
        <v>39</v>
      </c>
      <c r="IA21" s="76" t="s">
        <v>248</v>
      </c>
      <c r="IB21" s="79" t="s">
        <v>249</v>
      </c>
      <c r="IC21" s="79">
        <v>0.5</v>
      </c>
      <c r="ID21" s="76">
        <v>0.5</v>
      </c>
      <c r="IE21" s="79">
        <v>8</v>
      </c>
      <c r="IF21" s="76">
        <v>10</v>
      </c>
      <c r="IG21" s="79">
        <v>10</v>
      </c>
      <c r="IH21" s="76">
        <v>15</v>
      </c>
      <c r="II21" s="76">
        <f t="shared" si="10"/>
        <v>18.5</v>
      </c>
      <c r="IJ21" s="76">
        <f t="shared" si="11"/>
        <v>25.5</v>
      </c>
      <c r="IK21" s="74"/>
      <c r="IL21" s="72"/>
      <c r="IM21" s="72"/>
      <c r="IN21" s="72"/>
      <c r="IO21" s="72"/>
      <c r="IP21" s="72"/>
      <c r="IQ21" s="72"/>
      <c r="IR21" s="72"/>
      <c r="IS21" s="72"/>
      <c r="IT21" s="72"/>
      <c r="IU21" s="72"/>
      <c r="IV21" s="72"/>
      <c r="IW21" s="72"/>
      <c r="IX21" s="73"/>
      <c r="IY21" s="73"/>
      <c r="IZ21" s="138">
        <f t="shared" si="8"/>
        <v>0</v>
      </c>
      <c r="JA21" s="72"/>
      <c r="JB21" s="72"/>
      <c r="JC21" s="72"/>
      <c r="JD21" s="72"/>
      <c r="JE21" s="72"/>
      <c r="JF21" s="72"/>
      <c r="JG21" s="72"/>
      <c r="JH21" s="72"/>
      <c r="JI21" s="72"/>
      <c r="JJ21" s="72"/>
      <c r="JK21" s="72"/>
      <c r="JL21" s="173">
        <v>0</v>
      </c>
      <c r="JM21" s="71" t="s">
        <v>24</v>
      </c>
      <c r="JN21" s="71" t="s">
        <v>24</v>
      </c>
      <c r="JO21" s="70"/>
      <c r="JP21" s="71"/>
      <c r="JQ21" s="71"/>
      <c r="JR21" s="71"/>
      <c r="JS21" s="70"/>
      <c r="JT21" s="71"/>
      <c r="JU21" s="70"/>
      <c r="JV21" s="70"/>
      <c r="JW21" s="71"/>
      <c r="JX21" s="71"/>
      <c r="JY21" s="71"/>
      <c r="JZ21" s="4" t="s">
        <v>24</v>
      </c>
      <c r="KA21" s="4"/>
      <c r="KB21" s="4"/>
      <c r="KC21" s="68"/>
      <c r="KD21" s="67"/>
      <c r="KE21" s="68"/>
      <c r="KF21" s="4"/>
      <c r="KG21" s="4"/>
      <c r="KH21" s="4"/>
      <c r="KI21" s="64" t="s">
        <v>259</v>
      </c>
      <c r="KJ21" s="63">
        <v>1</v>
      </c>
      <c r="KK21" s="63">
        <v>40</v>
      </c>
      <c r="KL21" s="63"/>
      <c r="KM21" s="63"/>
      <c r="KN21" s="63"/>
      <c r="KO21" s="63"/>
      <c r="KP21" s="63"/>
      <c r="KQ21" s="63"/>
      <c r="KR21" s="63"/>
      <c r="KS21" s="63"/>
      <c r="KT21" s="63"/>
      <c r="KU21" s="62" t="s">
        <v>24</v>
      </c>
      <c r="KV21" s="58">
        <v>0</v>
      </c>
      <c r="KW21" s="43"/>
      <c r="KX21" s="43"/>
      <c r="KY21" s="60" t="s">
        <v>24</v>
      </c>
      <c r="KZ21" s="59" t="s">
        <v>9</v>
      </c>
      <c r="LA21" s="60" t="s">
        <v>9</v>
      </c>
      <c r="LB21" s="59" t="s">
        <v>24</v>
      </c>
      <c r="LC21" s="60" t="s">
        <v>9</v>
      </c>
      <c r="LD21" s="60" t="s">
        <v>272</v>
      </c>
      <c r="LE21" s="59"/>
      <c r="LF21" s="60" t="s">
        <v>224</v>
      </c>
      <c r="LG21" s="3"/>
    </row>
    <row r="22" spans="1:319" x14ac:dyDescent="0.3">
      <c r="A22" s="104" t="s">
        <v>66</v>
      </c>
      <c r="B22" s="104">
        <v>14.1</v>
      </c>
      <c r="C22" s="85" t="s">
        <v>281</v>
      </c>
      <c r="D22" s="85">
        <v>3.5</v>
      </c>
      <c r="E22" s="5" t="s">
        <v>237</v>
      </c>
      <c r="F22" s="5" t="s">
        <v>516</v>
      </c>
      <c r="G22" s="5"/>
      <c r="H22" s="5">
        <v>3</v>
      </c>
      <c r="I22" s="6" t="s">
        <v>101</v>
      </c>
      <c r="J22" s="6" t="s">
        <v>102</v>
      </c>
      <c r="K22" s="6" t="s">
        <v>95</v>
      </c>
      <c r="L22" s="6" t="s">
        <v>113</v>
      </c>
      <c r="M22" s="6" t="s">
        <v>93</v>
      </c>
      <c r="N22" s="213" t="s">
        <v>847</v>
      </c>
      <c r="O22" s="162">
        <f>SUM((W22*Tableau1[[#This Row],[IR_inter1]]),(AN22*Tableau1[[#This Row],[IR_inter2]]),(BC22*Tableau1[[#This Row],[IR_inter3]]),(Tableau1[[#This Row],[IR_freq4]]*BR22),(CG22*Tableau1[[#This Row],[IR_inter5]]))</f>
        <v>1</v>
      </c>
      <c r="P22" s="162">
        <f t="shared" si="0"/>
        <v>1</v>
      </c>
      <c r="Q22" s="162">
        <f t="shared" si="1"/>
        <v>1</v>
      </c>
      <c r="R22" s="162">
        <f t="shared" si="2"/>
        <v>15</v>
      </c>
      <c r="S22" s="11" t="s">
        <v>17</v>
      </c>
      <c r="T22" s="12">
        <v>1</v>
      </c>
      <c r="U22" s="12">
        <v>10</v>
      </c>
      <c r="V22" s="9">
        <v>15</v>
      </c>
      <c r="W22" s="11">
        <v>1</v>
      </c>
      <c r="X22" s="11" t="s">
        <v>18</v>
      </c>
      <c r="Y22" s="8"/>
      <c r="Z22" s="8"/>
      <c r="AA22" s="8"/>
      <c r="AB22" s="8"/>
      <c r="AC22" s="11" t="s">
        <v>128</v>
      </c>
      <c r="AD22" s="8"/>
      <c r="AE22" s="8"/>
      <c r="AF22" s="8"/>
      <c r="AG22" s="11"/>
      <c r="AH22" s="8"/>
      <c r="AI22" s="8"/>
      <c r="AJ22" s="15"/>
      <c r="AK22" s="17"/>
      <c r="AL22" s="17"/>
      <c r="AM22" s="14"/>
      <c r="AN22" s="15"/>
      <c r="AO22" s="15"/>
      <c r="AP22" s="13"/>
      <c r="AQ22" s="13"/>
      <c r="AR22" s="13"/>
      <c r="AS22" s="13"/>
      <c r="AT22" s="15"/>
      <c r="AU22" s="13"/>
      <c r="AV22" s="15"/>
      <c r="AW22" s="13"/>
      <c r="AX22" s="13"/>
      <c r="AY22" s="21"/>
      <c r="AZ22" s="23">
        <v>1</v>
      </c>
      <c r="BA22" s="22"/>
      <c r="BB22" s="19"/>
      <c r="BC22" s="22"/>
      <c r="BD22" s="21"/>
      <c r="BE22" s="18"/>
      <c r="BF22" s="18"/>
      <c r="BG22" s="18"/>
      <c r="BH22" s="18"/>
      <c r="BI22" s="21"/>
      <c r="BJ22" s="18"/>
      <c r="BK22" s="18"/>
      <c r="BL22" s="21"/>
      <c r="BM22" s="18"/>
      <c r="BN22" s="101"/>
      <c r="BO22" s="102"/>
      <c r="BP22" s="101"/>
      <c r="BQ22" s="99"/>
      <c r="BR22" s="101"/>
      <c r="BS22" s="101"/>
      <c r="BT22" s="101"/>
      <c r="BU22" s="101"/>
      <c r="BV22" s="101"/>
      <c r="BW22" s="101"/>
      <c r="BX22" s="101"/>
      <c r="BY22" s="99"/>
      <c r="BZ22" s="99"/>
      <c r="CA22" s="101"/>
      <c r="CB22" s="99"/>
      <c r="CC22" s="27"/>
      <c r="CD22" s="28"/>
      <c r="CE22" s="27"/>
      <c r="CF22" s="25"/>
      <c r="CG22" s="27"/>
      <c r="CH22" s="27"/>
      <c r="CI22" s="27"/>
      <c r="CJ22" s="27"/>
      <c r="CK22" s="27"/>
      <c r="CL22" s="27"/>
      <c r="CM22" s="25"/>
      <c r="CN22" s="169">
        <f t="shared" si="3"/>
        <v>1</v>
      </c>
      <c r="CO22" s="167">
        <f t="shared" si="4"/>
        <v>0</v>
      </c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167">
        <f t="shared" si="5"/>
        <v>1</v>
      </c>
      <c r="DP22" s="51">
        <v>1</v>
      </c>
      <c r="DQ22" s="51" t="s">
        <v>11</v>
      </c>
      <c r="DR22" s="49"/>
      <c r="DS22" s="51" t="s">
        <v>227</v>
      </c>
      <c r="DT22" s="51" t="s">
        <v>150</v>
      </c>
      <c r="DU22" s="51">
        <v>480</v>
      </c>
      <c r="DV22" s="52">
        <v>0.02</v>
      </c>
      <c r="DW22" s="44"/>
      <c r="DX22" s="44"/>
      <c r="DY22" s="44"/>
      <c r="DZ22" s="44"/>
      <c r="EA22" s="44"/>
      <c r="EB22" s="44"/>
      <c r="EC22" s="44"/>
      <c r="ED22" s="45" t="s">
        <v>129</v>
      </c>
      <c r="EE22" s="43" t="s">
        <v>155</v>
      </c>
      <c r="EF22" s="43" t="s">
        <v>8</v>
      </c>
      <c r="EG22" s="58">
        <v>1</v>
      </c>
      <c r="EH22" s="41"/>
      <c r="EI22" s="41"/>
      <c r="EJ22" s="41"/>
      <c r="EK22" s="43"/>
      <c r="EL22" s="43"/>
      <c r="EM22" s="43"/>
      <c r="EN22" s="165">
        <v>1</v>
      </c>
      <c r="EO22" s="8" t="s">
        <v>159</v>
      </c>
      <c r="EP22" s="11" t="s">
        <v>160</v>
      </c>
      <c r="EQ22" s="8" t="s">
        <v>169</v>
      </c>
      <c r="ER22" s="11" t="s">
        <v>167</v>
      </c>
      <c r="ES22" s="11">
        <v>1</v>
      </c>
      <c r="ET22" s="11">
        <v>300</v>
      </c>
      <c r="EU22" s="11" t="s">
        <v>175</v>
      </c>
      <c r="EV22" s="8">
        <v>5</v>
      </c>
      <c r="EW22" s="11" t="s">
        <v>37</v>
      </c>
      <c r="EX22" s="11"/>
      <c r="EY22" s="8"/>
      <c r="EZ22" s="13" t="s">
        <v>159</v>
      </c>
      <c r="FA22" s="13" t="s">
        <v>163</v>
      </c>
      <c r="FB22" s="15" t="s">
        <v>170</v>
      </c>
      <c r="FC22" s="13" t="s">
        <v>167</v>
      </c>
      <c r="FD22" s="13">
        <v>1</v>
      </c>
      <c r="FE22" s="13">
        <v>300</v>
      </c>
      <c r="FF22" s="13" t="s">
        <v>175</v>
      </c>
      <c r="FG22" s="13" t="s">
        <v>2</v>
      </c>
      <c r="FH22" s="13" t="s">
        <v>177</v>
      </c>
      <c r="FI22" s="166">
        <v>2</v>
      </c>
      <c r="FJ22" s="151" t="s">
        <v>178</v>
      </c>
      <c r="FK22" s="151" t="s">
        <v>7</v>
      </c>
      <c r="FL22" s="150" t="s">
        <v>192</v>
      </c>
      <c r="FM22" s="126" t="s">
        <v>7</v>
      </c>
      <c r="FN22" s="126" t="s">
        <v>168</v>
      </c>
      <c r="FO22" s="126">
        <v>1</v>
      </c>
      <c r="FP22" s="126">
        <v>500</v>
      </c>
      <c r="FQ22" s="126" t="s">
        <v>28</v>
      </c>
      <c r="FR22" s="126"/>
      <c r="FS22" s="126"/>
      <c r="FT22" s="126"/>
      <c r="FU22" s="151"/>
      <c r="FV22" s="151"/>
      <c r="FW22" s="43"/>
      <c r="FX22" s="43"/>
      <c r="FY22" s="41"/>
      <c r="FZ22" s="43"/>
      <c r="GA22" s="43"/>
      <c r="GB22" s="41"/>
      <c r="GC22" s="41"/>
      <c r="GD22" s="43"/>
      <c r="GE22" s="43"/>
      <c r="GF22" s="43"/>
      <c r="GG22" s="128" t="s">
        <v>217</v>
      </c>
      <c r="GH22" s="129"/>
      <c r="GI22" s="129"/>
      <c r="GJ22" s="128" t="s">
        <v>33</v>
      </c>
      <c r="GK22" s="129" t="s">
        <v>214</v>
      </c>
      <c r="GL22" s="128" t="s">
        <v>34</v>
      </c>
      <c r="GM22" s="128"/>
      <c r="GN22" s="128"/>
      <c r="GO22" s="129"/>
      <c r="GP22" s="128" t="s">
        <v>35</v>
      </c>
      <c r="GQ22" s="128">
        <v>1</v>
      </c>
      <c r="GR22" s="56" t="s">
        <v>16</v>
      </c>
      <c r="GS22" s="55"/>
      <c r="GT22" s="56"/>
      <c r="GU22" s="56" t="s">
        <v>225</v>
      </c>
      <c r="GV22" s="56" t="s">
        <v>234</v>
      </c>
      <c r="GW22" s="56" t="s">
        <v>234</v>
      </c>
      <c r="GX22" s="56"/>
      <c r="GY22" s="56" t="s">
        <v>24</v>
      </c>
      <c r="GZ22" s="55"/>
      <c r="HA22" s="55"/>
      <c r="HB22" s="55"/>
      <c r="HC22" s="55"/>
      <c r="HD22" s="55"/>
      <c r="HE22" s="55"/>
      <c r="HF22" s="170"/>
      <c r="HG22" s="172">
        <f t="shared" si="6"/>
        <v>200</v>
      </c>
      <c r="HH22" s="84" t="s">
        <v>9</v>
      </c>
      <c r="HI22" s="79">
        <v>1</v>
      </c>
      <c r="HJ22" s="76" t="s">
        <v>230</v>
      </c>
      <c r="HK22" s="79"/>
      <c r="HL22" s="76"/>
      <c r="HM22" s="76"/>
      <c r="HN22" s="76"/>
      <c r="HO22" s="79" t="s">
        <v>235</v>
      </c>
      <c r="HP22" s="79" t="s">
        <v>237</v>
      </c>
      <c r="HQ22" s="79" t="s">
        <v>37</v>
      </c>
      <c r="HR22" s="79" t="s">
        <v>244</v>
      </c>
      <c r="HS22" s="76"/>
      <c r="HT22" s="79" t="s">
        <v>221</v>
      </c>
      <c r="HU22" s="79" t="s">
        <v>0</v>
      </c>
      <c r="HV22" s="76"/>
      <c r="HW22" s="81">
        <v>20</v>
      </c>
      <c r="HX22" s="77">
        <v>20</v>
      </c>
      <c r="HY22" s="131">
        <f t="shared" si="7"/>
        <v>20</v>
      </c>
      <c r="HZ22" s="79" t="s">
        <v>247</v>
      </c>
      <c r="IA22" s="76" t="s">
        <v>248</v>
      </c>
      <c r="IB22" s="79" t="s">
        <v>249</v>
      </c>
      <c r="IC22" s="79">
        <v>1</v>
      </c>
      <c r="ID22" s="76">
        <v>1</v>
      </c>
      <c r="IE22" s="79">
        <v>10</v>
      </c>
      <c r="IF22" s="76">
        <v>10</v>
      </c>
      <c r="IG22" s="79">
        <v>30</v>
      </c>
      <c r="IH22" s="76">
        <v>30</v>
      </c>
      <c r="II22" s="76">
        <f t="shared" si="10"/>
        <v>41</v>
      </c>
      <c r="IJ22" s="76">
        <f t="shared" si="11"/>
        <v>41</v>
      </c>
      <c r="IK22" s="74"/>
      <c r="IL22" s="72"/>
      <c r="IM22" s="72"/>
      <c r="IN22" s="72"/>
      <c r="IO22" s="72"/>
      <c r="IP22" s="72"/>
      <c r="IQ22" s="72"/>
      <c r="IR22" s="72"/>
      <c r="IS22" s="72"/>
      <c r="IT22" s="72"/>
      <c r="IU22" s="72"/>
      <c r="IV22" s="72"/>
      <c r="IW22" s="72"/>
      <c r="IX22" s="73"/>
      <c r="IY22" s="73"/>
      <c r="IZ22" s="138">
        <f t="shared" si="8"/>
        <v>0</v>
      </c>
      <c r="JA22" s="72"/>
      <c r="JB22" s="72"/>
      <c r="JC22" s="72"/>
      <c r="JD22" s="72"/>
      <c r="JE22" s="72"/>
      <c r="JF22" s="72"/>
      <c r="JG22" s="72"/>
      <c r="JH22" s="72"/>
      <c r="JI22" s="72"/>
      <c r="JJ22" s="72"/>
      <c r="JK22" s="72"/>
      <c r="JL22" s="173">
        <v>0</v>
      </c>
      <c r="JM22" s="71" t="s">
        <v>24</v>
      </c>
      <c r="JN22" s="71" t="s">
        <v>24</v>
      </c>
      <c r="JO22" s="70"/>
      <c r="JP22" s="71"/>
      <c r="JQ22" s="71"/>
      <c r="JR22" s="71"/>
      <c r="JS22" s="70"/>
      <c r="JT22" s="71"/>
      <c r="JU22" s="70"/>
      <c r="JV22" s="70"/>
      <c r="JW22" s="71"/>
      <c r="JX22" s="71"/>
      <c r="JY22" s="71"/>
      <c r="JZ22" s="4" t="s">
        <v>9</v>
      </c>
      <c r="KA22" s="4">
        <v>60</v>
      </c>
      <c r="KB22" s="4">
        <v>60</v>
      </c>
      <c r="KC22" s="68">
        <v>6</v>
      </c>
      <c r="KD22" s="68">
        <v>6</v>
      </c>
      <c r="KE22" s="68">
        <v>40</v>
      </c>
      <c r="KF22" s="4" t="s">
        <v>256</v>
      </c>
      <c r="KG22" s="4" t="s">
        <v>98</v>
      </c>
      <c r="KH22" s="4">
        <v>150</v>
      </c>
      <c r="KI22" s="64" t="s">
        <v>258</v>
      </c>
      <c r="KJ22" s="63">
        <v>1</v>
      </c>
      <c r="KK22" s="63">
        <v>70</v>
      </c>
      <c r="KL22" s="63" t="s">
        <v>259</v>
      </c>
      <c r="KM22" s="63">
        <v>1</v>
      </c>
      <c r="KN22" s="63">
        <v>60</v>
      </c>
      <c r="KO22" s="63" t="s">
        <v>260</v>
      </c>
      <c r="KP22" s="63">
        <v>1</v>
      </c>
      <c r="KQ22" s="63">
        <v>10</v>
      </c>
      <c r="KR22" s="63"/>
      <c r="KS22" s="63"/>
      <c r="KT22" s="63"/>
      <c r="KU22" s="62" t="s">
        <v>9</v>
      </c>
      <c r="KV22" s="58">
        <v>2</v>
      </c>
      <c r="KW22" s="43" t="s">
        <v>267</v>
      </c>
      <c r="KX22" s="43" t="s">
        <v>7</v>
      </c>
      <c r="KY22" s="60" t="s">
        <v>24</v>
      </c>
      <c r="KZ22" s="60" t="s">
        <v>9</v>
      </c>
      <c r="LA22" s="60" t="s">
        <v>9</v>
      </c>
      <c r="LB22" s="60" t="s">
        <v>24</v>
      </c>
      <c r="LC22" s="60" t="s">
        <v>24</v>
      </c>
      <c r="LD22" s="60" t="s">
        <v>272</v>
      </c>
      <c r="LE22" s="60" t="s">
        <v>273</v>
      </c>
      <c r="LF22" s="60" t="s">
        <v>7</v>
      </c>
      <c r="LG22" s="3"/>
    </row>
    <row r="23" spans="1:319" x14ac:dyDescent="0.3">
      <c r="A23" s="104" t="s">
        <v>67</v>
      </c>
      <c r="B23" s="104">
        <v>14.2</v>
      </c>
      <c r="C23" s="85" t="s">
        <v>486</v>
      </c>
      <c r="D23" s="85">
        <v>2.8</v>
      </c>
      <c r="E23" s="5" t="s">
        <v>240</v>
      </c>
      <c r="F23" s="5" t="s">
        <v>517</v>
      </c>
      <c r="G23" s="5"/>
      <c r="H23" s="5">
        <v>3</v>
      </c>
      <c r="I23" s="6" t="s">
        <v>96</v>
      </c>
      <c r="J23" s="6"/>
      <c r="K23" s="6" t="s">
        <v>26</v>
      </c>
      <c r="L23" s="6" t="s">
        <v>113</v>
      </c>
      <c r="M23" s="6" t="s">
        <v>93</v>
      </c>
      <c r="N23" s="213" t="s">
        <v>845</v>
      </c>
      <c r="O23" s="162">
        <f>SUM((W23*Tableau1[[#This Row],[IR_inter1]]),(AN23*Tableau1[[#This Row],[IR_inter2]]),(BC23*Tableau1[[#This Row],[IR_inter3]]),(Tableau1[[#This Row],[IR_freq4]]*BR23),(CG23*Tableau1[[#This Row],[IR_inter5]]))</f>
        <v>3</v>
      </c>
      <c r="P23" s="162">
        <f t="shared" si="0"/>
        <v>3</v>
      </c>
      <c r="Q23" s="162">
        <f t="shared" si="1"/>
        <v>1</v>
      </c>
      <c r="R23" s="162">
        <f t="shared" si="2"/>
        <v>15</v>
      </c>
      <c r="S23" s="11" t="s">
        <v>17</v>
      </c>
      <c r="T23" s="12">
        <v>1</v>
      </c>
      <c r="U23" s="12">
        <v>10</v>
      </c>
      <c r="V23" s="9">
        <v>15</v>
      </c>
      <c r="W23" s="11">
        <v>1</v>
      </c>
      <c r="X23" s="11" t="s">
        <v>18</v>
      </c>
      <c r="Y23" s="8" t="s">
        <v>11</v>
      </c>
      <c r="Z23" s="8"/>
      <c r="AA23" s="8"/>
      <c r="AB23" s="8"/>
      <c r="AC23" s="11" t="s">
        <v>12</v>
      </c>
      <c r="AD23" s="8"/>
      <c r="AE23" s="8"/>
      <c r="AF23" s="8"/>
      <c r="AG23" s="11"/>
      <c r="AH23" s="8"/>
      <c r="AI23" s="8"/>
      <c r="AJ23" s="15" t="s">
        <v>131</v>
      </c>
      <c r="AK23" s="17">
        <v>1</v>
      </c>
      <c r="AL23" s="17">
        <v>15</v>
      </c>
      <c r="AM23" s="14">
        <v>15</v>
      </c>
      <c r="AN23" s="15">
        <v>1</v>
      </c>
      <c r="AO23" s="15" t="s">
        <v>13</v>
      </c>
      <c r="AP23" s="13" t="s">
        <v>14</v>
      </c>
      <c r="AQ23" s="13"/>
      <c r="AR23" s="13"/>
      <c r="AS23" s="13"/>
      <c r="AT23" s="15" t="s">
        <v>119</v>
      </c>
      <c r="AU23" s="13"/>
      <c r="AV23" s="15"/>
      <c r="AW23" s="13"/>
      <c r="AX23" s="13"/>
      <c r="AY23" s="21" t="s">
        <v>131</v>
      </c>
      <c r="AZ23" s="23">
        <v>1</v>
      </c>
      <c r="BA23" s="22">
        <v>10</v>
      </c>
      <c r="BB23" s="19">
        <v>10</v>
      </c>
      <c r="BC23" s="22">
        <v>1</v>
      </c>
      <c r="BD23" s="21" t="s">
        <v>15</v>
      </c>
      <c r="BE23" s="18"/>
      <c r="BF23" s="18"/>
      <c r="BG23" s="18"/>
      <c r="BH23" s="18"/>
      <c r="BI23" s="21" t="s">
        <v>140</v>
      </c>
      <c r="BJ23" s="18" t="s">
        <v>121</v>
      </c>
      <c r="BK23" s="18"/>
      <c r="BL23" s="21"/>
      <c r="BM23" s="18"/>
      <c r="BN23" s="101"/>
      <c r="BO23" s="102"/>
      <c r="BP23" s="101"/>
      <c r="BQ23" s="99"/>
      <c r="BR23" s="101"/>
      <c r="BS23" s="101"/>
      <c r="BT23" s="101"/>
      <c r="BU23" s="101"/>
      <c r="BV23" s="101"/>
      <c r="BW23" s="101"/>
      <c r="BX23" s="101"/>
      <c r="BY23" s="99"/>
      <c r="BZ23" s="99"/>
      <c r="CA23" s="101"/>
      <c r="CB23" s="99"/>
      <c r="CC23" s="27"/>
      <c r="CD23" s="28"/>
      <c r="CE23" s="27"/>
      <c r="CF23" s="25"/>
      <c r="CG23" s="27"/>
      <c r="CH23" s="27"/>
      <c r="CI23" s="27"/>
      <c r="CJ23" s="27"/>
      <c r="CK23" s="27"/>
      <c r="CL23" s="27"/>
      <c r="CM23" s="25"/>
      <c r="CN23" s="169">
        <f t="shared" si="3"/>
        <v>1</v>
      </c>
      <c r="CO23" s="167">
        <f t="shared" si="4"/>
        <v>0</v>
      </c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167">
        <f t="shared" si="5"/>
        <v>1</v>
      </c>
      <c r="DP23" s="51">
        <v>1</v>
      </c>
      <c r="DQ23" s="51" t="s">
        <v>11</v>
      </c>
      <c r="DR23" s="49"/>
      <c r="DS23" s="51" t="s">
        <v>227</v>
      </c>
      <c r="DT23" s="51" t="s">
        <v>150</v>
      </c>
      <c r="DU23" s="51">
        <v>480</v>
      </c>
      <c r="DV23" s="52">
        <v>0.02</v>
      </c>
      <c r="DW23" s="44"/>
      <c r="DX23" s="44"/>
      <c r="DY23" s="44"/>
      <c r="DZ23" s="44"/>
      <c r="EA23" s="44"/>
      <c r="EB23" s="44"/>
      <c r="EC23" s="44"/>
      <c r="ED23" s="45" t="s">
        <v>129</v>
      </c>
      <c r="EE23" s="43" t="s">
        <v>155</v>
      </c>
      <c r="EF23" s="43" t="s">
        <v>8</v>
      </c>
      <c r="EG23" s="58">
        <v>1</v>
      </c>
      <c r="EH23" s="41"/>
      <c r="EI23" s="41"/>
      <c r="EJ23" s="41"/>
      <c r="EK23" s="43"/>
      <c r="EL23" s="43"/>
      <c r="EM23" s="43"/>
      <c r="EN23" s="165">
        <v>3</v>
      </c>
      <c r="EO23" s="8" t="s">
        <v>29</v>
      </c>
      <c r="EP23" s="11" t="s">
        <v>161</v>
      </c>
      <c r="EQ23" s="11" t="s">
        <v>7</v>
      </c>
      <c r="ER23" s="11" t="s">
        <v>7</v>
      </c>
      <c r="ES23" s="11" t="s">
        <v>7</v>
      </c>
      <c r="ET23" s="11" t="s">
        <v>7</v>
      </c>
      <c r="EU23" s="8"/>
      <c r="EV23" s="8">
        <v>1.3</v>
      </c>
      <c r="EW23" s="11" t="s">
        <v>2</v>
      </c>
      <c r="EX23" s="11"/>
      <c r="EY23" s="8"/>
      <c r="EZ23" s="13"/>
      <c r="FA23" s="13"/>
      <c r="FB23" s="13"/>
      <c r="FC23" s="13"/>
      <c r="FD23" s="13"/>
      <c r="FE23" s="13"/>
      <c r="FF23" s="13"/>
      <c r="FG23" s="13"/>
      <c r="FH23" s="13"/>
      <c r="FI23" s="166">
        <v>2</v>
      </c>
      <c r="FJ23" s="151" t="s">
        <v>178</v>
      </c>
      <c r="FK23" s="151" t="s">
        <v>7</v>
      </c>
      <c r="FL23" s="150" t="s">
        <v>192</v>
      </c>
      <c r="FM23" s="126" t="s">
        <v>7</v>
      </c>
      <c r="FN23" s="126" t="s">
        <v>168</v>
      </c>
      <c r="FO23" s="126">
        <v>1</v>
      </c>
      <c r="FP23" s="126">
        <v>500</v>
      </c>
      <c r="FQ23" s="126" t="s">
        <v>28</v>
      </c>
      <c r="FR23" s="126"/>
      <c r="FS23" s="126"/>
      <c r="FT23" s="126"/>
      <c r="FU23" s="151"/>
      <c r="FV23" s="151"/>
      <c r="FW23" s="43"/>
      <c r="FX23" s="43"/>
      <c r="FY23" s="41"/>
      <c r="FZ23" s="43"/>
      <c r="GA23" s="43"/>
      <c r="GB23" s="41"/>
      <c r="GC23" s="41"/>
      <c r="GD23" s="43"/>
      <c r="GE23" s="43"/>
      <c r="GF23" s="43"/>
      <c r="GG23" s="128" t="s">
        <v>217</v>
      </c>
      <c r="GH23" s="129"/>
      <c r="GI23" s="129"/>
      <c r="GJ23" s="128" t="s">
        <v>33</v>
      </c>
      <c r="GK23" s="129" t="s">
        <v>214</v>
      </c>
      <c r="GL23" s="128" t="s">
        <v>34</v>
      </c>
      <c r="GM23" s="128"/>
      <c r="GN23" s="128"/>
      <c r="GO23" s="129"/>
      <c r="GP23" s="128" t="s">
        <v>35</v>
      </c>
      <c r="GQ23" s="128">
        <v>1</v>
      </c>
      <c r="GR23" s="56" t="s">
        <v>16</v>
      </c>
      <c r="GS23" s="55"/>
      <c r="GT23" s="56"/>
      <c r="GU23" s="56" t="s">
        <v>225</v>
      </c>
      <c r="GV23" s="56" t="s">
        <v>234</v>
      </c>
      <c r="GW23" s="56" t="s">
        <v>234</v>
      </c>
      <c r="GX23" s="56"/>
      <c r="GY23" s="56" t="s">
        <v>24</v>
      </c>
      <c r="GZ23" s="55"/>
      <c r="HA23" s="55"/>
      <c r="HB23" s="55"/>
      <c r="HC23" s="55"/>
      <c r="HD23" s="55"/>
      <c r="HE23" s="55"/>
      <c r="HF23" s="170"/>
      <c r="HG23" s="172">
        <f t="shared" si="6"/>
        <v>200</v>
      </c>
      <c r="HH23" s="84" t="s">
        <v>9</v>
      </c>
      <c r="HI23" s="79">
        <v>1</v>
      </c>
      <c r="HJ23" s="76" t="s">
        <v>229</v>
      </c>
      <c r="HK23" s="76"/>
      <c r="HL23" s="76"/>
      <c r="HM23" s="76"/>
      <c r="HN23" s="76"/>
      <c r="HO23" s="79"/>
      <c r="HP23" s="79" t="s">
        <v>240</v>
      </c>
      <c r="HQ23" s="79" t="s">
        <v>37</v>
      </c>
      <c r="HR23" s="79" t="s">
        <v>244</v>
      </c>
      <c r="HS23" s="76"/>
      <c r="HT23" s="79"/>
      <c r="HU23" s="76"/>
      <c r="HV23" s="76"/>
      <c r="HW23" s="81">
        <v>20</v>
      </c>
      <c r="HX23" s="77">
        <v>20</v>
      </c>
      <c r="HY23" s="131">
        <f t="shared" si="7"/>
        <v>20</v>
      </c>
      <c r="HZ23" s="79" t="s">
        <v>39</v>
      </c>
      <c r="IA23" s="76" t="s">
        <v>248</v>
      </c>
      <c r="IB23" s="79"/>
      <c r="IC23" s="79"/>
      <c r="ID23" s="76"/>
      <c r="IE23" s="79"/>
      <c r="IF23" s="76"/>
      <c r="IG23" s="79"/>
      <c r="IH23" s="76"/>
      <c r="II23" s="76"/>
      <c r="IJ23" s="76"/>
      <c r="IK23" s="74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3"/>
      <c r="IY23" s="73"/>
      <c r="IZ23" s="138">
        <f t="shared" si="8"/>
        <v>0</v>
      </c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173">
        <v>1</v>
      </c>
      <c r="JM23" s="71" t="s">
        <v>9</v>
      </c>
      <c r="JN23" s="71" t="s">
        <v>24</v>
      </c>
      <c r="JO23" s="70" t="s">
        <v>16</v>
      </c>
      <c r="JP23" s="71" t="s">
        <v>22</v>
      </c>
      <c r="JQ23" s="71"/>
      <c r="JR23" s="71" t="s">
        <v>251</v>
      </c>
      <c r="JS23" s="70"/>
      <c r="JT23" s="71" t="s">
        <v>244</v>
      </c>
      <c r="JU23" s="70"/>
      <c r="JV23" s="70"/>
      <c r="JW23" s="71" t="s">
        <v>38</v>
      </c>
      <c r="JX23" s="71">
        <v>1</v>
      </c>
      <c r="JY23" s="71">
        <v>15</v>
      </c>
      <c r="JZ23" s="4" t="s">
        <v>24</v>
      </c>
      <c r="KA23" s="4"/>
      <c r="KB23" s="4"/>
      <c r="KC23" s="68"/>
      <c r="KD23" s="67"/>
      <c r="KE23" s="68"/>
      <c r="KF23" s="4"/>
      <c r="KG23" s="4"/>
      <c r="KH23" s="4"/>
      <c r="KI23" s="64" t="s">
        <v>258</v>
      </c>
      <c r="KJ23" s="63">
        <v>1</v>
      </c>
      <c r="KK23" s="63">
        <v>70</v>
      </c>
      <c r="KL23" s="63" t="s">
        <v>259</v>
      </c>
      <c r="KM23" s="63">
        <v>1</v>
      </c>
      <c r="KN23" s="63">
        <v>60</v>
      </c>
      <c r="KO23" s="63" t="s">
        <v>260</v>
      </c>
      <c r="KP23" s="63">
        <v>1</v>
      </c>
      <c r="KQ23" s="63">
        <v>10</v>
      </c>
      <c r="KR23" s="63"/>
      <c r="KS23" s="63"/>
      <c r="KT23" s="63"/>
      <c r="KU23" s="62" t="s">
        <v>9</v>
      </c>
      <c r="KV23" s="58">
        <v>2</v>
      </c>
      <c r="KW23" s="43" t="s">
        <v>267</v>
      </c>
      <c r="KX23" s="43" t="s">
        <v>7</v>
      </c>
      <c r="KY23" s="60" t="s">
        <v>24</v>
      </c>
      <c r="KZ23" s="60" t="s">
        <v>9</v>
      </c>
      <c r="LA23" s="60" t="s">
        <v>9</v>
      </c>
      <c r="LB23" s="60" t="s">
        <v>24</v>
      </c>
      <c r="LC23" s="60" t="s">
        <v>24</v>
      </c>
      <c r="LD23" s="60" t="s">
        <v>272</v>
      </c>
      <c r="LE23" s="60" t="s">
        <v>273</v>
      </c>
      <c r="LF23" s="60" t="s">
        <v>7</v>
      </c>
      <c r="LG23" s="3"/>
    </row>
    <row r="24" spans="1:319" x14ac:dyDescent="0.3">
      <c r="A24" s="104" t="s">
        <v>70</v>
      </c>
      <c r="B24" s="104">
        <v>15.1</v>
      </c>
      <c r="C24" s="85" t="s">
        <v>489</v>
      </c>
      <c r="D24" s="85">
        <v>3.06</v>
      </c>
      <c r="E24" s="5" t="s">
        <v>510</v>
      </c>
      <c r="F24" s="5" t="s">
        <v>518</v>
      </c>
      <c r="G24" s="5"/>
      <c r="H24" s="5">
        <v>4</v>
      </c>
      <c r="I24" s="6" t="s">
        <v>7</v>
      </c>
      <c r="J24" s="6"/>
      <c r="K24" s="7" t="s">
        <v>93</v>
      </c>
      <c r="L24" s="6" t="s">
        <v>90</v>
      </c>
      <c r="M24" s="6"/>
      <c r="N24" s="213" t="s">
        <v>847</v>
      </c>
      <c r="O24" s="162">
        <f>SUM((W24*Tableau1[[#This Row],[IR_inter1]]),(AN24*Tableau1[[#This Row],[IR_inter2]]),(BC24*Tableau1[[#This Row],[IR_inter3]]),(Tableau1[[#This Row],[IR_freq4]]*BR24),(CG24*Tableau1[[#This Row],[IR_inter5]]))</f>
        <v>6</v>
      </c>
      <c r="P24" s="162">
        <f t="shared" si="0"/>
        <v>6.5</v>
      </c>
      <c r="Q24" s="162">
        <f t="shared" si="1"/>
        <v>0.92307692307692313</v>
      </c>
      <c r="R24" s="162">
        <f t="shared" si="2"/>
        <v>50</v>
      </c>
      <c r="S24" s="11" t="s">
        <v>114</v>
      </c>
      <c r="T24" s="12">
        <v>0.5</v>
      </c>
      <c r="U24" s="12">
        <v>50</v>
      </c>
      <c r="V24" s="9">
        <v>50</v>
      </c>
      <c r="W24" s="11">
        <v>1</v>
      </c>
      <c r="X24" s="11" t="s">
        <v>28</v>
      </c>
      <c r="Y24" s="8"/>
      <c r="Z24" s="8"/>
      <c r="AA24" s="8"/>
      <c r="AB24" s="8"/>
      <c r="AC24" s="11" t="s">
        <v>124</v>
      </c>
      <c r="AD24" s="8" t="s">
        <v>130</v>
      </c>
      <c r="AE24" s="8"/>
      <c r="AF24" s="8"/>
      <c r="AG24" s="11" t="s">
        <v>23</v>
      </c>
      <c r="AH24" s="8" t="s">
        <v>2</v>
      </c>
      <c r="AI24" s="8"/>
      <c r="AJ24" s="15" t="s">
        <v>10</v>
      </c>
      <c r="AK24" s="17">
        <v>1</v>
      </c>
      <c r="AL24" s="17">
        <v>30</v>
      </c>
      <c r="AM24" s="14">
        <v>30</v>
      </c>
      <c r="AN24" s="15">
        <v>5</v>
      </c>
      <c r="AO24" s="15" t="s">
        <v>28</v>
      </c>
      <c r="AP24" s="13" t="s">
        <v>11</v>
      </c>
      <c r="AQ24" s="13" t="s">
        <v>13</v>
      </c>
      <c r="AR24" s="13" t="s">
        <v>14</v>
      </c>
      <c r="AS24" s="13" t="s">
        <v>15</v>
      </c>
      <c r="AT24" s="15"/>
      <c r="AU24" s="13"/>
      <c r="AV24" s="15" t="s">
        <v>23</v>
      </c>
      <c r="AW24" s="13" t="s">
        <v>2</v>
      </c>
      <c r="AX24" s="13"/>
      <c r="AY24" s="21" t="s">
        <v>17</v>
      </c>
      <c r="AZ24" s="23">
        <v>1</v>
      </c>
      <c r="BA24" s="22">
        <v>15</v>
      </c>
      <c r="BB24" s="19">
        <v>15</v>
      </c>
      <c r="BC24" s="22">
        <v>0.5</v>
      </c>
      <c r="BD24" s="21" t="s">
        <v>13</v>
      </c>
      <c r="BE24" s="21" t="s">
        <v>14</v>
      </c>
      <c r="BF24" s="21" t="s">
        <v>15</v>
      </c>
      <c r="BG24" s="18"/>
      <c r="BH24" s="18"/>
      <c r="BI24" s="21" t="s">
        <v>119</v>
      </c>
      <c r="BJ24" s="18"/>
      <c r="BK24" s="18"/>
      <c r="BL24" s="21" t="s">
        <v>2</v>
      </c>
      <c r="BM24" s="18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27"/>
      <c r="CD24" s="28"/>
      <c r="CE24" s="27"/>
      <c r="CF24" s="25"/>
      <c r="CG24" s="27"/>
      <c r="CH24" s="27"/>
      <c r="CI24" s="27"/>
      <c r="CJ24" s="27"/>
      <c r="CK24" s="27"/>
      <c r="CL24" s="27"/>
      <c r="CM24" s="25"/>
      <c r="CN24" s="169">
        <f t="shared" si="3"/>
        <v>3</v>
      </c>
      <c r="CO24" s="167">
        <f t="shared" si="4"/>
        <v>2</v>
      </c>
      <c r="CP24" s="31" t="s">
        <v>147</v>
      </c>
      <c r="CQ24" s="34">
        <v>1</v>
      </c>
      <c r="CR24" s="31">
        <v>5</v>
      </c>
      <c r="CS24" s="30">
        <v>10</v>
      </c>
      <c r="CT24" s="31">
        <v>2</v>
      </c>
      <c r="CU24" s="30"/>
      <c r="CV24" s="31" t="s">
        <v>13</v>
      </c>
      <c r="CW24" s="31" t="s">
        <v>14</v>
      </c>
      <c r="CX24" s="31" t="s">
        <v>15</v>
      </c>
      <c r="CY24" s="31"/>
      <c r="CZ24" s="31"/>
      <c r="DA24" s="31"/>
      <c r="DB24" s="31"/>
      <c r="DC24" s="30"/>
      <c r="DD24" s="36"/>
      <c r="DE24" s="37"/>
      <c r="DF24" s="37"/>
      <c r="DG24" s="37"/>
      <c r="DH24" s="36"/>
      <c r="DI24" s="36"/>
      <c r="DJ24" s="36"/>
      <c r="DK24" s="36"/>
      <c r="DL24" s="36"/>
      <c r="DM24" s="36"/>
      <c r="DN24" s="36"/>
      <c r="DO24" s="167">
        <f t="shared" si="5"/>
        <v>1</v>
      </c>
      <c r="DP24" s="51">
        <v>1.5</v>
      </c>
      <c r="DQ24" s="51" t="s">
        <v>11</v>
      </c>
      <c r="DR24" s="49"/>
      <c r="DS24" s="51" t="s">
        <v>227</v>
      </c>
      <c r="DT24" s="51" t="s">
        <v>150</v>
      </c>
      <c r="DU24" s="51">
        <v>480</v>
      </c>
      <c r="DV24" s="52">
        <v>0.03</v>
      </c>
      <c r="DW24" s="44" t="s">
        <v>166</v>
      </c>
      <c r="DX24" s="45" t="s">
        <v>7</v>
      </c>
      <c r="DY24" s="45" t="s">
        <v>150</v>
      </c>
      <c r="DZ24" s="45" t="s">
        <v>7</v>
      </c>
      <c r="EA24" s="44">
        <v>480</v>
      </c>
      <c r="EB24" s="44"/>
      <c r="EC24" s="44"/>
      <c r="ED24" s="45" t="s">
        <v>23</v>
      </c>
      <c r="EE24" s="43" t="s">
        <v>156</v>
      </c>
      <c r="EF24" s="43" t="s">
        <v>156</v>
      </c>
      <c r="EG24" s="58">
        <v>1</v>
      </c>
      <c r="EH24" s="41"/>
      <c r="EI24" s="41"/>
      <c r="EJ24" s="41"/>
      <c r="EK24" s="43"/>
      <c r="EL24" s="43"/>
      <c r="EM24" s="43"/>
      <c r="EN24" s="165">
        <v>3</v>
      </c>
      <c r="EO24" s="8" t="s">
        <v>29</v>
      </c>
      <c r="EP24" s="11" t="s">
        <v>187</v>
      </c>
      <c r="EQ24" s="11" t="s">
        <v>7</v>
      </c>
      <c r="ER24" s="11" t="s">
        <v>7</v>
      </c>
      <c r="ES24" s="11" t="s">
        <v>7</v>
      </c>
      <c r="ET24" s="11">
        <v>1000</v>
      </c>
      <c r="EU24" s="11" t="s">
        <v>175</v>
      </c>
      <c r="EV24" s="8">
        <v>3.06</v>
      </c>
      <c r="EW24" s="11"/>
      <c r="EX24" s="11"/>
      <c r="EY24" s="8"/>
      <c r="EZ24" s="13"/>
      <c r="FA24" s="13"/>
      <c r="FB24" s="13"/>
      <c r="FC24" s="13"/>
      <c r="FD24" s="13"/>
      <c r="FE24" s="13"/>
      <c r="FF24" s="13"/>
      <c r="FG24" s="13"/>
      <c r="FH24" s="13"/>
      <c r="FI24" s="166">
        <v>3</v>
      </c>
      <c r="FJ24" s="126" t="s">
        <v>29</v>
      </c>
      <c r="FK24" s="126" t="s">
        <v>7</v>
      </c>
      <c r="FL24" s="150" t="s">
        <v>7</v>
      </c>
      <c r="FM24" s="126" t="s">
        <v>7</v>
      </c>
      <c r="FN24" s="126" t="s">
        <v>7</v>
      </c>
      <c r="FO24" s="126">
        <v>0.5</v>
      </c>
      <c r="FP24" s="126">
        <v>1000</v>
      </c>
      <c r="FQ24" s="126" t="s">
        <v>134</v>
      </c>
      <c r="FR24" s="126" t="s">
        <v>207</v>
      </c>
      <c r="FS24" s="126"/>
      <c r="FT24" s="126"/>
      <c r="FU24" s="151" t="s">
        <v>21</v>
      </c>
      <c r="FV24" s="151"/>
      <c r="FW24" s="43" t="s">
        <v>178</v>
      </c>
      <c r="FX24" s="43" t="s">
        <v>7</v>
      </c>
      <c r="FY24" s="43" t="s">
        <v>7</v>
      </c>
      <c r="FZ24" s="43" t="s">
        <v>7</v>
      </c>
      <c r="GA24" s="43">
        <v>0.5</v>
      </c>
      <c r="GB24" s="41">
        <v>400</v>
      </c>
      <c r="GC24" s="41" t="s">
        <v>11</v>
      </c>
      <c r="GD24" s="41"/>
      <c r="GE24" s="43" t="s">
        <v>21</v>
      </c>
      <c r="GF24" s="43" t="s">
        <v>211</v>
      </c>
      <c r="GG24" s="128" t="s">
        <v>218</v>
      </c>
      <c r="GH24" s="129"/>
      <c r="GI24" s="129"/>
      <c r="GJ24" s="129" t="s">
        <v>220</v>
      </c>
      <c r="GK24" s="129" t="s">
        <v>214</v>
      </c>
      <c r="GL24" s="128"/>
      <c r="GM24" s="128"/>
      <c r="GN24" s="128"/>
      <c r="GO24" s="129"/>
      <c r="GP24" s="128"/>
      <c r="GQ24" s="128"/>
      <c r="GR24" s="56"/>
      <c r="GS24" s="55"/>
      <c r="GT24" s="56"/>
      <c r="GU24" s="55"/>
      <c r="GV24" s="56"/>
      <c r="GW24" s="55"/>
      <c r="GX24" s="56"/>
      <c r="GY24" s="56"/>
      <c r="GZ24" s="55"/>
      <c r="HA24" s="55"/>
      <c r="HB24" s="55"/>
      <c r="HC24" s="55"/>
      <c r="HD24" s="55"/>
      <c r="HE24" s="55"/>
      <c r="HF24" s="170"/>
      <c r="HG24" s="172">
        <f t="shared" si="6"/>
        <v>0</v>
      </c>
      <c r="HH24" s="84" t="s">
        <v>24</v>
      </c>
      <c r="HI24" s="79"/>
      <c r="HJ24" s="76"/>
      <c r="HK24" s="76"/>
      <c r="HL24" s="76"/>
      <c r="HM24" s="76"/>
      <c r="HN24" s="76"/>
      <c r="HO24" s="79"/>
      <c r="HP24" s="79"/>
      <c r="HQ24" s="79"/>
      <c r="HR24" s="76"/>
      <c r="HS24" s="76"/>
      <c r="HT24" s="79"/>
      <c r="HU24" s="76"/>
      <c r="HV24" s="76"/>
      <c r="HW24" s="80"/>
      <c r="HX24" s="77"/>
      <c r="HY24" s="131">
        <f t="shared" si="7"/>
        <v>0</v>
      </c>
      <c r="HZ24" s="79"/>
      <c r="IA24" s="76" t="s">
        <v>892</v>
      </c>
      <c r="IB24" s="79"/>
      <c r="IC24" s="79"/>
      <c r="ID24" s="76"/>
      <c r="IE24" s="79"/>
      <c r="IF24" s="76"/>
      <c r="IG24" s="79"/>
      <c r="IH24" s="76"/>
      <c r="II24" s="76"/>
      <c r="IJ24" s="76"/>
      <c r="IK24" s="74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3"/>
      <c r="IY24" s="73"/>
      <c r="IZ24" s="138">
        <f t="shared" si="8"/>
        <v>0</v>
      </c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173">
        <v>1</v>
      </c>
      <c r="JM24" s="71" t="s">
        <v>9</v>
      </c>
      <c r="JN24" s="71" t="s">
        <v>24</v>
      </c>
      <c r="JO24" s="70" t="s">
        <v>16</v>
      </c>
      <c r="JP24" s="71" t="s">
        <v>22</v>
      </c>
      <c r="JQ24" s="71"/>
      <c r="JR24" s="71" t="s">
        <v>252</v>
      </c>
      <c r="JS24" s="70"/>
      <c r="JT24" s="71" t="s">
        <v>244</v>
      </c>
      <c r="JU24" s="70"/>
      <c r="JV24" s="70"/>
      <c r="JW24" s="71" t="s">
        <v>38</v>
      </c>
      <c r="JX24" s="71">
        <v>3</v>
      </c>
      <c r="JY24" s="71">
        <v>30</v>
      </c>
      <c r="JZ24" s="4" t="s">
        <v>24</v>
      </c>
      <c r="KA24" s="4"/>
      <c r="KB24" s="4"/>
      <c r="KC24" s="68"/>
      <c r="KD24" s="67"/>
      <c r="KE24" s="68"/>
      <c r="KF24" s="4"/>
      <c r="KG24" s="4"/>
      <c r="KH24" s="4"/>
      <c r="KI24" s="64" t="s">
        <v>114</v>
      </c>
      <c r="KJ24" s="63">
        <v>2</v>
      </c>
      <c r="KK24" s="63">
        <v>35</v>
      </c>
      <c r="KL24" s="63"/>
      <c r="KM24" s="63"/>
      <c r="KN24" s="63"/>
      <c r="KO24" s="63"/>
      <c r="KP24" s="63"/>
      <c r="KQ24" s="63"/>
      <c r="KR24" s="63"/>
      <c r="KS24" s="63"/>
      <c r="KT24" s="63"/>
      <c r="KU24" s="62" t="s">
        <v>24</v>
      </c>
      <c r="KV24" s="58">
        <v>0</v>
      </c>
      <c r="KW24" s="43"/>
      <c r="KX24" s="43"/>
      <c r="KY24" s="60" t="s">
        <v>24</v>
      </c>
      <c r="KZ24" s="60" t="s">
        <v>9</v>
      </c>
      <c r="LA24" s="60" t="s">
        <v>9</v>
      </c>
      <c r="LB24" s="60" t="s">
        <v>24</v>
      </c>
      <c r="LC24" s="60" t="s">
        <v>9</v>
      </c>
      <c r="LD24" s="60" t="s">
        <v>144</v>
      </c>
      <c r="LE24" s="60" t="s">
        <v>272</v>
      </c>
      <c r="LF24" s="60" t="s">
        <v>224</v>
      </c>
      <c r="LG24" s="3"/>
    </row>
    <row r="25" spans="1:319" x14ac:dyDescent="0.3">
      <c r="A25" s="104" t="s">
        <v>71</v>
      </c>
      <c r="B25" s="104">
        <v>16.100000000000001</v>
      </c>
      <c r="C25" s="85" t="s">
        <v>490</v>
      </c>
      <c r="D25" s="85">
        <v>7.2</v>
      </c>
      <c r="E25" s="5" t="s">
        <v>241</v>
      </c>
      <c r="F25" s="5" t="s">
        <v>499</v>
      </c>
      <c r="G25" s="5"/>
      <c r="H25" s="5">
        <v>2</v>
      </c>
      <c r="I25" s="6" t="s">
        <v>7</v>
      </c>
      <c r="J25" s="6"/>
      <c r="K25" s="6" t="s">
        <v>98</v>
      </c>
      <c r="L25" s="6" t="s">
        <v>113</v>
      </c>
      <c r="M25" s="6"/>
      <c r="N25" s="213" t="s">
        <v>847</v>
      </c>
      <c r="O25" s="162">
        <f>SUM((W25*Tableau1[[#This Row],[IR_inter1]]),(AN25*Tableau1[[#This Row],[IR_inter2]]),(BC25*Tableau1[[#This Row],[IR_inter3]]),(Tableau1[[#This Row],[IR_freq4]]*BR25),(CG25*Tableau1[[#This Row],[IR_inter5]]))</f>
        <v>6</v>
      </c>
      <c r="P25" s="162">
        <f t="shared" si="0"/>
        <v>6.5</v>
      </c>
      <c r="Q25" s="162">
        <f t="shared" si="1"/>
        <v>0.92307692307692313</v>
      </c>
      <c r="R25" s="162">
        <f t="shared" si="2"/>
        <v>50</v>
      </c>
      <c r="S25" s="11" t="s">
        <v>114</v>
      </c>
      <c r="T25" s="12">
        <v>0.5</v>
      </c>
      <c r="U25" s="12">
        <v>50</v>
      </c>
      <c r="V25" s="9">
        <v>50</v>
      </c>
      <c r="W25" s="11">
        <v>1</v>
      </c>
      <c r="X25" s="11" t="s">
        <v>28</v>
      </c>
      <c r="Y25" s="8"/>
      <c r="Z25" s="8"/>
      <c r="AA25" s="8"/>
      <c r="AB25" s="8"/>
      <c r="AC25" s="11" t="s">
        <v>124</v>
      </c>
      <c r="AD25" s="8" t="s">
        <v>130</v>
      </c>
      <c r="AE25" s="8"/>
      <c r="AF25" s="8"/>
      <c r="AG25" s="11" t="s">
        <v>23</v>
      </c>
      <c r="AH25" s="8"/>
      <c r="AI25" s="8"/>
      <c r="AJ25" s="15" t="s">
        <v>10</v>
      </c>
      <c r="AK25" s="17">
        <v>1</v>
      </c>
      <c r="AL25" s="17">
        <v>30</v>
      </c>
      <c r="AM25" s="14">
        <v>30</v>
      </c>
      <c r="AN25" s="15">
        <v>5</v>
      </c>
      <c r="AO25" s="15" t="s">
        <v>28</v>
      </c>
      <c r="AP25" s="13" t="s">
        <v>11</v>
      </c>
      <c r="AQ25" s="13" t="s">
        <v>13</v>
      </c>
      <c r="AR25" s="13" t="s">
        <v>14</v>
      </c>
      <c r="AS25" s="13" t="s">
        <v>15</v>
      </c>
      <c r="AT25" s="15"/>
      <c r="AU25" s="13"/>
      <c r="AV25" s="15" t="s">
        <v>23</v>
      </c>
      <c r="AW25" s="13" t="s">
        <v>2</v>
      </c>
      <c r="AX25" s="13"/>
      <c r="AY25" s="21" t="s">
        <v>17</v>
      </c>
      <c r="AZ25" s="23">
        <v>1</v>
      </c>
      <c r="BA25" s="22">
        <v>15</v>
      </c>
      <c r="BB25" s="19">
        <v>15</v>
      </c>
      <c r="BC25" s="22">
        <v>0.5</v>
      </c>
      <c r="BD25" s="21" t="s">
        <v>13</v>
      </c>
      <c r="BE25" s="21" t="s">
        <v>14</v>
      </c>
      <c r="BF25" s="21" t="s">
        <v>15</v>
      </c>
      <c r="BG25" s="18"/>
      <c r="BH25" s="18"/>
      <c r="BI25" s="21" t="s">
        <v>119</v>
      </c>
      <c r="BJ25" s="18"/>
      <c r="BK25" s="18"/>
      <c r="BL25" s="21" t="s">
        <v>2</v>
      </c>
      <c r="BM25" s="18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27"/>
      <c r="CD25" s="28"/>
      <c r="CE25" s="27"/>
      <c r="CF25" s="25"/>
      <c r="CG25" s="27"/>
      <c r="CH25" s="27"/>
      <c r="CI25" s="27"/>
      <c r="CJ25" s="27"/>
      <c r="CK25" s="27"/>
      <c r="CL25" s="27"/>
      <c r="CM25" s="25"/>
      <c r="CN25" s="169">
        <f t="shared" si="3"/>
        <v>3</v>
      </c>
      <c r="CO25" s="167">
        <f t="shared" si="4"/>
        <v>2</v>
      </c>
      <c r="CP25" s="31" t="s">
        <v>147</v>
      </c>
      <c r="CQ25" s="34">
        <v>1</v>
      </c>
      <c r="CR25" s="31">
        <v>5</v>
      </c>
      <c r="CS25" s="30">
        <v>10</v>
      </c>
      <c r="CT25" s="31">
        <v>2</v>
      </c>
      <c r="CU25" s="30"/>
      <c r="CV25" s="31" t="s">
        <v>13</v>
      </c>
      <c r="CW25" s="31" t="s">
        <v>14</v>
      </c>
      <c r="CX25" s="31" t="s">
        <v>15</v>
      </c>
      <c r="CY25" s="31"/>
      <c r="CZ25" s="31"/>
      <c r="DA25" s="31"/>
      <c r="DB25" s="31"/>
      <c r="DC25" s="30"/>
      <c r="DD25" s="36"/>
      <c r="DE25" s="37"/>
      <c r="DF25" s="37"/>
      <c r="DG25" s="37"/>
      <c r="DH25" s="36"/>
      <c r="DI25" s="36"/>
      <c r="DJ25" s="36"/>
      <c r="DK25" s="36"/>
      <c r="DL25" s="36"/>
      <c r="DM25" s="36"/>
      <c r="DN25" s="36"/>
      <c r="DO25" s="167">
        <f t="shared" si="5"/>
        <v>1</v>
      </c>
      <c r="DP25" s="51">
        <v>1.5</v>
      </c>
      <c r="DQ25" s="51" t="s">
        <v>11</v>
      </c>
      <c r="DR25" s="49"/>
      <c r="DS25" s="51" t="s">
        <v>227</v>
      </c>
      <c r="DT25" s="51" t="s">
        <v>150</v>
      </c>
      <c r="DU25" s="51">
        <v>480</v>
      </c>
      <c r="DV25" s="52">
        <v>0.03</v>
      </c>
      <c r="DW25" s="44" t="s">
        <v>166</v>
      </c>
      <c r="DX25" s="45" t="s">
        <v>7</v>
      </c>
      <c r="DY25" s="45" t="s">
        <v>150</v>
      </c>
      <c r="DZ25" s="45" t="s">
        <v>7</v>
      </c>
      <c r="EA25" s="44">
        <v>480</v>
      </c>
      <c r="EB25" s="44"/>
      <c r="EC25" s="44"/>
      <c r="ED25" s="45" t="s">
        <v>23</v>
      </c>
      <c r="EE25" s="43" t="s">
        <v>156</v>
      </c>
      <c r="EF25" s="43" t="s">
        <v>156</v>
      </c>
      <c r="EG25" s="58">
        <v>1</v>
      </c>
      <c r="EH25" s="41"/>
      <c r="EI25" s="41"/>
      <c r="EJ25" s="41"/>
      <c r="EK25" s="43"/>
      <c r="EL25" s="43"/>
      <c r="EM25" s="43"/>
      <c r="EN25" s="165">
        <v>0</v>
      </c>
      <c r="EO25" s="8" t="s">
        <v>26</v>
      </c>
      <c r="EP25" s="11"/>
      <c r="EQ25" s="11"/>
      <c r="ER25" s="11"/>
      <c r="ES25" s="11"/>
      <c r="ET25" s="11"/>
      <c r="EU25" s="8"/>
      <c r="EV25" s="8"/>
      <c r="EW25" s="11"/>
      <c r="EX25" s="11"/>
      <c r="EY25" s="8"/>
      <c r="EZ25" s="13"/>
      <c r="FA25" s="13"/>
      <c r="FB25" s="13"/>
      <c r="FC25" s="13"/>
      <c r="FD25" s="13"/>
      <c r="FE25" s="13"/>
      <c r="FF25" s="13"/>
      <c r="FG25" s="13"/>
      <c r="FH25" s="13"/>
      <c r="FI25" s="166">
        <v>3</v>
      </c>
      <c r="FJ25" s="126" t="s">
        <v>29</v>
      </c>
      <c r="FK25" s="126" t="s">
        <v>7</v>
      </c>
      <c r="FL25" s="150" t="s">
        <v>7</v>
      </c>
      <c r="FM25" s="126" t="s">
        <v>7</v>
      </c>
      <c r="FN25" s="126" t="s">
        <v>7</v>
      </c>
      <c r="FO25" s="126">
        <v>0.5</v>
      </c>
      <c r="FP25" s="126">
        <v>800</v>
      </c>
      <c r="FQ25" s="126" t="s">
        <v>134</v>
      </c>
      <c r="FR25" s="126" t="s">
        <v>207</v>
      </c>
      <c r="FS25" s="126"/>
      <c r="FT25" s="126"/>
      <c r="FU25" s="151" t="s">
        <v>21</v>
      </c>
      <c r="FV25" s="151"/>
      <c r="FW25" s="43" t="s">
        <v>178</v>
      </c>
      <c r="FX25" s="43" t="s">
        <v>7</v>
      </c>
      <c r="FY25" s="43" t="s">
        <v>7</v>
      </c>
      <c r="FZ25" s="43" t="s">
        <v>7</v>
      </c>
      <c r="GA25" s="43">
        <v>0.5</v>
      </c>
      <c r="GB25" s="41">
        <v>400</v>
      </c>
      <c r="GC25" s="41" t="s">
        <v>11</v>
      </c>
      <c r="GD25" s="41"/>
      <c r="GE25" s="43" t="s">
        <v>21</v>
      </c>
      <c r="GF25" s="43" t="s">
        <v>211</v>
      </c>
      <c r="GG25" s="128" t="s">
        <v>217</v>
      </c>
      <c r="GH25" s="129"/>
      <c r="GI25" s="129"/>
      <c r="GJ25" s="128" t="s">
        <v>219</v>
      </c>
      <c r="GK25" s="129" t="s">
        <v>215</v>
      </c>
      <c r="GL25" s="128" t="s">
        <v>34</v>
      </c>
      <c r="GM25" s="128"/>
      <c r="GN25" s="128"/>
      <c r="GO25" s="129"/>
      <c r="GP25" s="128" t="s">
        <v>35</v>
      </c>
      <c r="GQ25" s="128">
        <v>1</v>
      </c>
      <c r="GR25" s="56" t="s">
        <v>136</v>
      </c>
      <c r="GS25" s="55"/>
      <c r="GT25" s="56"/>
      <c r="GU25" s="55"/>
      <c r="GV25" s="56"/>
      <c r="GW25" s="55"/>
      <c r="GX25" s="56"/>
      <c r="GY25" s="56" t="s">
        <v>24</v>
      </c>
      <c r="GZ25" s="55"/>
      <c r="HA25" s="55"/>
      <c r="HB25" s="55"/>
      <c r="HC25" s="55"/>
      <c r="HD25" s="55"/>
      <c r="HE25" s="55"/>
      <c r="HF25" s="170"/>
      <c r="HG25" s="172">
        <f t="shared" si="6"/>
        <v>500</v>
      </c>
      <c r="HH25" s="84" t="s">
        <v>9</v>
      </c>
      <c r="HI25" s="79">
        <v>1</v>
      </c>
      <c r="HJ25" s="76" t="s">
        <v>134</v>
      </c>
      <c r="HK25" s="79" t="s">
        <v>230</v>
      </c>
      <c r="HL25" s="76"/>
      <c r="HM25" s="76"/>
      <c r="HN25" s="76"/>
      <c r="HO25" s="79" t="s">
        <v>235</v>
      </c>
      <c r="HP25" s="79" t="s">
        <v>241</v>
      </c>
      <c r="HQ25" s="79" t="s">
        <v>37</v>
      </c>
      <c r="HR25" s="79" t="s">
        <v>245</v>
      </c>
      <c r="HS25" s="79" t="s">
        <v>244</v>
      </c>
      <c r="HT25" s="79" t="s">
        <v>221</v>
      </c>
      <c r="HU25" s="76"/>
      <c r="HV25" s="76"/>
      <c r="HW25" s="81">
        <v>50</v>
      </c>
      <c r="HX25" s="77"/>
      <c r="HY25" s="131">
        <f t="shared" si="7"/>
        <v>50</v>
      </c>
      <c r="HZ25" s="79" t="s">
        <v>247</v>
      </c>
      <c r="IA25" s="76" t="s">
        <v>248</v>
      </c>
      <c r="IB25" s="79" t="s">
        <v>249</v>
      </c>
      <c r="IC25" s="79">
        <v>3</v>
      </c>
      <c r="ID25" s="76">
        <v>7</v>
      </c>
      <c r="IE25" s="79">
        <v>2</v>
      </c>
      <c r="IF25" s="76">
        <v>2</v>
      </c>
      <c r="IG25" s="79">
        <v>10</v>
      </c>
      <c r="IH25" s="76">
        <v>15</v>
      </c>
      <c r="II25" s="76">
        <f>SUM(IC25,IE25,IG25)</f>
        <v>15</v>
      </c>
      <c r="IJ25" s="76">
        <f>SUM(ID25,IF25,IH25)</f>
        <v>24</v>
      </c>
      <c r="IK25" s="74"/>
      <c r="IL25" s="72"/>
      <c r="IM25" s="72"/>
      <c r="IN25" s="72"/>
      <c r="IO25" s="72"/>
      <c r="IP25" s="72"/>
      <c r="IQ25" s="72"/>
      <c r="IR25" s="72"/>
      <c r="IS25" s="72"/>
      <c r="IT25" s="72"/>
      <c r="IU25" s="72"/>
      <c r="IV25" s="72"/>
      <c r="IW25" s="72"/>
      <c r="IX25" s="73"/>
      <c r="IY25" s="73"/>
      <c r="IZ25" s="138">
        <f t="shared" si="8"/>
        <v>0</v>
      </c>
      <c r="JA25" s="72"/>
      <c r="JB25" s="72"/>
      <c r="JC25" s="72"/>
      <c r="JD25" s="72"/>
      <c r="JE25" s="72"/>
      <c r="JF25" s="72"/>
      <c r="JG25" s="72"/>
      <c r="JH25" s="72"/>
      <c r="JI25" s="72"/>
      <c r="JJ25" s="72"/>
      <c r="JK25" s="72"/>
      <c r="JL25" s="173">
        <v>1</v>
      </c>
      <c r="JM25" s="71" t="s">
        <v>9</v>
      </c>
      <c r="JN25" s="71" t="s">
        <v>24</v>
      </c>
      <c r="JO25" s="70" t="s">
        <v>16</v>
      </c>
      <c r="JP25" s="71" t="s">
        <v>22</v>
      </c>
      <c r="JQ25" s="71"/>
      <c r="JR25" s="71" t="s">
        <v>251</v>
      </c>
      <c r="JS25" s="70"/>
      <c r="JT25" s="71" t="s">
        <v>4</v>
      </c>
      <c r="JU25" s="70"/>
      <c r="JV25" s="70"/>
      <c r="JW25" s="71" t="s">
        <v>38</v>
      </c>
      <c r="JX25" s="71">
        <v>3</v>
      </c>
      <c r="JY25" s="71">
        <v>25</v>
      </c>
      <c r="JZ25" s="4" t="s">
        <v>24</v>
      </c>
      <c r="KA25" s="4"/>
      <c r="KB25" s="4"/>
      <c r="KC25" s="68"/>
      <c r="KD25" s="67"/>
      <c r="KE25" s="68"/>
      <c r="KF25" s="4"/>
      <c r="KG25" s="4"/>
      <c r="KH25" s="4"/>
      <c r="KI25" s="64" t="s">
        <v>114</v>
      </c>
      <c r="KJ25" s="63">
        <v>2</v>
      </c>
      <c r="KK25" s="63">
        <v>35</v>
      </c>
      <c r="KL25" s="63"/>
      <c r="KM25" s="63"/>
      <c r="KN25" s="63"/>
      <c r="KO25" s="63"/>
      <c r="KP25" s="63"/>
      <c r="KQ25" s="63"/>
      <c r="KR25" s="63"/>
      <c r="KS25" s="63"/>
      <c r="KT25" s="63"/>
      <c r="KU25" s="62" t="s">
        <v>24</v>
      </c>
      <c r="KV25" s="58">
        <v>0</v>
      </c>
      <c r="KW25" s="43"/>
      <c r="KX25" s="43"/>
      <c r="KY25" s="60" t="s">
        <v>24</v>
      </c>
      <c r="KZ25" s="60" t="s">
        <v>9</v>
      </c>
      <c r="LA25" s="60" t="s">
        <v>9</v>
      </c>
      <c r="LB25" s="60" t="s">
        <v>24</v>
      </c>
      <c r="LC25" s="60" t="s">
        <v>9</v>
      </c>
      <c r="LD25" s="60" t="s">
        <v>144</v>
      </c>
      <c r="LE25" s="60" t="s">
        <v>272</v>
      </c>
      <c r="LF25" s="60" t="s">
        <v>224</v>
      </c>
      <c r="LG25" s="3"/>
    </row>
    <row r="26" spans="1:319" x14ac:dyDescent="0.3">
      <c r="A26" s="104" t="s">
        <v>68</v>
      </c>
      <c r="B26" s="104">
        <v>17.100000000000001</v>
      </c>
      <c r="C26" s="85" t="s">
        <v>487</v>
      </c>
      <c r="D26" s="85">
        <v>8</v>
      </c>
      <c r="E26" s="5" t="s">
        <v>239</v>
      </c>
      <c r="F26" s="5" t="s">
        <v>218</v>
      </c>
      <c r="G26" s="5"/>
      <c r="H26" s="5">
        <v>4</v>
      </c>
      <c r="I26" s="6" t="s">
        <v>103</v>
      </c>
      <c r="J26" s="6"/>
      <c r="K26" s="6" t="s">
        <v>93</v>
      </c>
      <c r="L26" s="6" t="s">
        <v>113</v>
      </c>
      <c r="M26" s="6"/>
      <c r="N26" s="213" t="s">
        <v>845</v>
      </c>
      <c r="O26" s="162">
        <f>SUM((W26*Tableau1[[#This Row],[IR_inter1]]),(AN26*Tableau1[[#This Row],[IR_inter2]]),(BC26*Tableau1[[#This Row],[IR_inter3]]),(Tableau1[[#This Row],[IR_freq4]]*BR26),(CG26*Tableau1[[#This Row],[IR_inter5]]))</f>
        <v>8.75</v>
      </c>
      <c r="P26" s="162">
        <f t="shared" si="0"/>
        <v>5.5</v>
      </c>
      <c r="Q26" s="162">
        <f t="shared" si="1"/>
        <v>0.90909090909090906</v>
      </c>
      <c r="R26" s="162">
        <f t="shared" si="2"/>
        <v>50</v>
      </c>
      <c r="S26" s="11" t="s">
        <v>259</v>
      </c>
      <c r="T26" s="12">
        <v>1</v>
      </c>
      <c r="U26" s="12">
        <v>20</v>
      </c>
      <c r="V26" s="9">
        <v>30</v>
      </c>
      <c r="W26" s="11">
        <v>1</v>
      </c>
      <c r="X26" s="11" t="s">
        <v>28</v>
      </c>
      <c r="Y26" s="8"/>
      <c r="Z26" s="8"/>
      <c r="AA26" s="8"/>
      <c r="AB26" s="8"/>
      <c r="AC26" s="11" t="s">
        <v>119</v>
      </c>
      <c r="AD26" s="8"/>
      <c r="AE26" s="8"/>
      <c r="AF26" s="8"/>
      <c r="AG26" s="11" t="s">
        <v>21</v>
      </c>
      <c r="AH26" s="8" t="s">
        <v>2</v>
      </c>
      <c r="AI26" s="8"/>
      <c r="AJ26" s="15" t="s">
        <v>114</v>
      </c>
      <c r="AK26" s="17">
        <v>0.5</v>
      </c>
      <c r="AL26" s="17">
        <v>50</v>
      </c>
      <c r="AM26" s="14">
        <v>50</v>
      </c>
      <c r="AN26" s="15">
        <v>1</v>
      </c>
      <c r="AO26" s="15" t="s">
        <v>28</v>
      </c>
      <c r="AP26" s="13"/>
      <c r="AQ26" s="13"/>
      <c r="AR26" s="13"/>
      <c r="AS26" s="13"/>
      <c r="AT26" s="15"/>
      <c r="AU26" s="13"/>
      <c r="AV26" s="15" t="s">
        <v>21</v>
      </c>
      <c r="AW26" s="13" t="s">
        <v>2</v>
      </c>
      <c r="AX26" s="13"/>
      <c r="AY26" s="21" t="s">
        <v>17</v>
      </c>
      <c r="AZ26" s="23">
        <v>1</v>
      </c>
      <c r="BA26" s="22">
        <v>10</v>
      </c>
      <c r="BB26" s="19">
        <v>10</v>
      </c>
      <c r="BC26" s="22">
        <v>1</v>
      </c>
      <c r="BD26" s="21" t="s">
        <v>18</v>
      </c>
      <c r="BE26" s="18" t="s">
        <v>11</v>
      </c>
      <c r="BF26" s="18"/>
      <c r="BG26" s="18"/>
      <c r="BH26" s="18"/>
      <c r="BI26" s="21" t="s">
        <v>19</v>
      </c>
      <c r="BJ26" s="18"/>
      <c r="BK26" s="18"/>
      <c r="BL26" s="21" t="s">
        <v>21</v>
      </c>
      <c r="BM26" s="18"/>
      <c r="BN26" s="101" t="s">
        <v>131</v>
      </c>
      <c r="BO26" s="103">
        <v>1</v>
      </c>
      <c r="BP26" s="101">
        <v>20</v>
      </c>
      <c r="BQ26" s="99">
        <v>20</v>
      </c>
      <c r="BR26" s="101">
        <v>2.5</v>
      </c>
      <c r="BS26" s="101" t="s">
        <v>13</v>
      </c>
      <c r="BT26" s="101" t="s">
        <v>14</v>
      </c>
      <c r="BU26" s="101" t="s">
        <v>15</v>
      </c>
      <c r="BV26" s="101" t="s">
        <v>16</v>
      </c>
      <c r="BW26" s="101"/>
      <c r="BX26" s="101" t="s">
        <v>143</v>
      </c>
      <c r="BY26" s="101" t="s">
        <v>119</v>
      </c>
      <c r="BZ26" s="99"/>
      <c r="CA26" s="101" t="s">
        <v>38</v>
      </c>
      <c r="CB26" s="101" t="s">
        <v>2</v>
      </c>
      <c r="CC26" s="27"/>
      <c r="CD26" s="28"/>
      <c r="CE26" s="27"/>
      <c r="CF26" s="25"/>
      <c r="CG26" s="27"/>
      <c r="CH26" s="27"/>
      <c r="CI26" s="27"/>
      <c r="CJ26" s="27"/>
      <c r="CK26" s="27"/>
      <c r="CL26" s="27"/>
      <c r="CM26" s="25"/>
      <c r="CN26" s="169">
        <f t="shared" si="3"/>
        <v>2</v>
      </c>
      <c r="CO26" s="167">
        <f t="shared" si="4"/>
        <v>2</v>
      </c>
      <c r="CP26" s="30" t="s">
        <v>147</v>
      </c>
      <c r="CQ26" s="30"/>
      <c r="CR26" s="30"/>
      <c r="CS26" s="30"/>
      <c r="CT26" s="30">
        <v>4</v>
      </c>
      <c r="CU26" s="30"/>
      <c r="CV26" s="30" t="s">
        <v>28</v>
      </c>
      <c r="CW26" s="31" t="s">
        <v>13</v>
      </c>
      <c r="CX26" s="31" t="s">
        <v>14</v>
      </c>
      <c r="CY26" s="31" t="s">
        <v>15</v>
      </c>
      <c r="CZ26" s="30"/>
      <c r="DA26" s="30"/>
      <c r="DB26" s="30"/>
      <c r="DC26" s="30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167">
        <f t="shared" si="5"/>
        <v>0</v>
      </c>
      <c r="DP26" s="51">
        <v>0</v>
      </c>
      <c r="DQ26" s="51"/>
      <c r="DR26" s="49"/>
      <c r="DS26" s="51"/>
      <c r="DT26" s="51"/>
      <c r="DU26" s="51"/>
      <c r="DV26" s="52"/>
      <c r="DW26" s="44"/>
      <c r="DX26" s="44"/>
      <c r="DY26" s="44"/>
      <c r="DZ26" s="44"/>
      <c r="EA26" s="44"/>
      <c r="EB26" s="44"/>
      <c r="EC26" s="44"/>
      <c r="ED26" s="45"/>
      <c r="EE26" s="43" t="s">
        <v>156</v>
      </c>
      <c r="EF26" s="43" t="s">
        <v>156</v>
      </c>
      <c r="EG26" s="58">
        <v>1</v>
      </c>
      <c r="EH26" s="41"/>
      <c r="EI26" s="41"/>
      <c r="EJ26" s="41"/>
      <c r="EK26" s="43"/>
      <c r="EL26" s="43"/>
      <c r="EM26" s="43"/>
      <c r="EN26" s="165">
        <v>0</v>
      </c>
      <c r="EO26" s="8" t="s">
        <v>26</v>
      </c>
      <c r="EP26" s="11"/>
      <c r="EQ26" s="11"/>
      <c r="ER26" s="11"/>
      <c r="ES26" s="11"/>
      <c r="ET26" s="11"/>
      <c r="EU26" s="8"/>
      <c r="EV26" s="8"/>
      <c r="EW26" s="11"/>
      <c r="EX26" s="11"/>
      <c r="EY26" s="8"/>
      <c r="EZ26" s="13"/>
      <c r="FA26" s="13"/>
      <c r="FB26" s="13"/>
      <c r="FC26" s="13"/>
      <c r="FD26" s="13"/>
      <c r="FE26" s="13"/>
      <c r="FF26" s="13"/>
      <c r="FG26" s="13"/>
      <c r="FH26" s="13"/>
      <c r="FI26" s="166">
        <v>2</v>
      </c>
      <c r="FJ26" s="151" t="s">
        <v>159</v>
      </c>
      <c r="FK26" s="126" t="s">
        <v>7</v>
      </c>
      <c r="FL26" s="126" t="s">
        <v>7</v>
      </c>
      <c r="FM26" s="126" t="s">
        <v>7</v>
      </c>
      <c r="FN26" s="126" t="s">
        <v>168</v>
      </c>
      <c r="FO26" s="126">
        <v>0.25</v>
      </c>
      <c r="FP26" s="126">
        <v>400</v>
      </c>
      <c r="FQ26" s="126" t="s">
        <v>13</v>
      </c>
      <c r="FR26" s="126" t="s">
        <v>207</v>
      </c>
      <c r="FS26" s="126"/>
      <c r="FT26" s="126"/>
      <c r="FU26" s="151" t="s">
        <v>172</v>
      </c>
      <c r="FV26" s="126" t="s">
        <v>21</v>
      </c>
      <c r="FW26" s="43" t="s">
        <v>178</v>
      </c>
      <c r="FX26" s="43" t="s">
        <v>7</v>
      </c>
      <c r="FY26" s="43" t="s">
        <v>7</v>
      </c>
      <c r="FZ26" s="43" t="s">
        <v>168</v>
      </c>
      <c r="GA26" s="43">
        <v>0.25</v>
      </c>
      <c r="GB26" s="41">
        <v>400</v>
      </c>
      <c r="GC26" s="43" t="s">
        <v>28</v>
      </c>
      <c r="GD26" s="41"/>
      <c r="GE26" s="43" t="s">
        <v>21</v>
      </c>
      <c r="GF26" s="43" t="s">
        <v>172</v>
      </c>
      <c r="GG26" s="128" t="s">
        <v>217</v>
      </c>
      <c r="GH26" s="129"/>
      <c r="GI26" s="129"/>
      <c r="GJ26" s="128" t="s">
        <v>33</v>
      </c>
      <c r="GK26" s="129" t="s">
        <v>214</v>
      </c>
      <c r="GL26" s="128" t="s">
        <v>34</v>
      </c>
      <c r="GM26" s="128"/>
      <c r="GN26" s="128" t="s">
        <v>21</v>
      </c>
      <c r="GO26" s="129"/>
      <c r="GP26" s="128" t="s">
        <v>35</v>
      </c>
      <c r="GQ26" s="128">
        <v>1</v>
      </c>
      <c r="GR26" s="56" t="s">
        <v>28</v>
      </c>
      <c r="GS26" s="56" t="s">
        <v>134</v>
      </c>
      <c r="GT26" s="56"/>
      <c r="GU26" s="56" t="s">
        <v>225</v>
      </c>
      <c r="GV26" s="56" t="s">
        <v>234</v>
      </c>
      <c r="GW26" s="56" t="s">
        <v>234</v>
      </c>
      <c r="GX26" s="56"/>
      <c r="GY26" s="56" t="s">
        <v>9</v>
      </c>
      <c r="GZ26" s="55">
        <v>1</v>
      </c>
      <c r="HA26" s="56" t="s">
        <v>135</v>
      </c>
      <c r="HB26" s="55" t="s">
        <v>229</v>
      </c>
      <c r="HC26" s="55"/>
      <c r="HD26" s="55"/>
      <c r="HE26" s="55"/>
      <c r="HF26" s="170"/>
      <c r="HG26" s="172">
        <f t="shared" si="6"/>
        <v>0</v>
      </c>
      <c r="HH26" s="84" t="s">
        <v>24</v>
      </c>
      <c r="HI26" s="79"/>
      <c r="HJ26" s="76"/>
      <c r="HK26" s="76"/>
      <c r="HL26" s="76"/>
      <c r="HM26" s="76"/>
      <c r="HN26" s="76"/>
      <c r="HO26" s="79"/>
      <c r="HP26" s="79"/>
      <c r="HQ26" s="79"/>
      <c r="HR26" s="76"/>
      <c r="HS26" s="76"/>
      <c r="HT26" s="79"/>
      <c r="HU26" s="76"/>
      <c r="HV26" s="76"/>
      <c r="HW26" s="80"/>
      <c r="HX26" s="77"/>
      <c r="HY26" s="131">
        <f t="shared" si="7"/>
        <v>0</v>
      </c>
      <c r="HZ26" s="79"/>
      <c r="IA26" s="76" t="s">
        <v>892</v>
      </c>
      <c r="IB26" s="79"/>
      <c r="IC26" s="79"/>
      <c r="ID26" s="76"/>
      <c r="IE26" s="79"/>
      <c r="IF26" s="76"/>
      <c r="IG26" s="79"/>
      <c r="IH26" s="76"/>
      <c r="II26" s="76"/>
      <c r="IJ26" s="76"/>
      <c r="IK26" s="74"/>
      <c r="IL26" s="72"/>
      <c r="IM26" s="72"/>
      <c r="IN26" s="72"/>
      <c r="IO26" s="72"/>
      <c r="IP26" s="72"/>
      <c r="IQ26" s="72"/>
      <c r="IR26" s="72"/>
      <c r="IS26" s="72"/>
      <c r="IT26" s="72"/>
      <c r="IU26" s="72"/>
      <c r="IV26" s="72"/>
      <c r="IW26" s="72"/>
      <c r="IX26" s="73"/>
      <c r="IY26" s="73"/>
      <c r="IZ26" s="138">
        <f t="shared" si="8"/>
        <v>0</v>
      </c>
      <c r="JA26" s="72"/>
      <c r="JB26" s="72"/>
      <c r="JC26" s="72"/>
      <c r="JD26" s="72"/>
      <c r="JE26" s="72"/>
      <c r="JF26" s="72"/>
      <c r="JG26" s="72"/>
      <c r="JH26" s="72"/>
      <c r="JI26" s="72"/>
      <c r="JJ26" s="72"/>
      <c r="JK26" s="72"/>
      <c r="JL26" s="173">
        <v>0</v>
      </c>
      <c r="JM26" s="71" t="s">
        <v>24</v>
      </c>
      <c r="JN26" s="71" t="s">
        <v>24</v>
      </c>
      <c r="JO26" s="70"/>
      <c r="JP26" s="71"/>
      <c r="JQ26" s="71"/>
      <c r="JR26" s="71"/>
      <c r="JS26" s="70"/>
      <c r="JT26" s="71"/>
      <c r="JU26" s="70"/>
      <c r="JV26" s="70"/>
      <c r="JW26" s="71"/>
      <c r="JX26" s="71"/>
      <c r="JY26" s="71"/>
      <c r="JZ26" s="4" t="s">
        <v>24</v>
      </c>
      <c r="KA26" s="4"/>
      <c r="KB26" s="4"/>
      <c r="KC26" s="68"/>
      <c r="KD26" s="67"/>
      <c r="KE26" s="68"/>
      <c r="KF26" s="4"/>
      <c r="KG26" s="4"/>
      <c r="KH26" s="4"/>
      <c r="KI26" s="64" t="s">
        <v>258</v>
      </c>
      <c r="KJ26" s="63">
        <v>1</v>
      </c>
      <c r="KK26" s="63">
        <v>70</v>
      </c>
      <c r="KL26" s="63" t="s">
        <v>17</v>
      </c>
      <c r="KM26" s="63">
        <v>1</v>
      </c>
      <c r="KN26" s="63">
        <v>10</v>
      </c>
      <c r="KO26" s="63"/>
      <c r="KP26" s="63"/>
      <c r="KQ26" s="63"/>
      <c r="KR26" s="63"/>
      <c r="KS26" s="63"/>
      <c r="KT26" s="63"/>
      <c r="KU26" s="62" t="s">
        <v>24</v>
      </c>
      <c r="KV26" s="58">
        <v>1</v>
      </c>
      <c r="KW26" s="43" t="s">
        <v>267</v>
      </c>
      <c r="KX26" s="43" t="s">
        <v>2</v>
      </c>
      <c r="KY26" s="60" t="s">
        <v>24</v>
      </c>
      <c r="KZ26" s="60" t="s">
        <v>9</v>
      </c>
      <c r="LA26" s="60" t="s">
        <v>9</v>
      </c>
      <c r="LB26" s="60" t="s">
        <v>24</v>
      </c>
      <c r="LC26" s="60" t="s">
        <v>9</v>
      </c>
      <c r="LD26" s="60" t="s">
        <v>37</v>
      </c>
      <c r="LE26" s="60" t="s">
        <v>144</v>
      </c>
      <c r="LF26" s="60" t="s">
        <v>224</v>
      </c>
      <c r="LG26" s="3"/>
    </row>
    <row r="27" spans="1:319" x14ac:dyDescent="0.3">
      <c r="A27" s="104" t="s">
        <v>69</v>
      </c>
      <c r="B27" s="104">
        <v>17.2</v>
      </c>
      <c r="C27" s="85" t="s">
        <v>488</v>
      </c>
      <c r="D27" s="85">
        <v>3.98</v>
      </c>
      <c r="E27" s="5" t="s">
        <v>239</v>
      </c>
      <c r="F27" s="5" t="s">
        <v>218</v>
      </c>
      <c r="G27" s="5"/>
      <c r="H27" s="5">
        <v>1</v>
      </c>
      <c r="I27" s="6" t="s">
        <v>7</v>
      </c>
      <c r="J27" s="6" t="s">
        <v>104</v>
      </c>
      <c r="K27" s="6" t="s">
        <v>93</v>
      </c>
      <c r="L27" s="6" t="s">
        <v>113</v>
      </c>
      <c r="M27" s="6"/>
      <c r="N27" s="213" t="s">
        <v>847</v>
      </c>
      <c r="O27" s="162">
        <f>SUM((W27*Tableau1[[#This Row],[IR_inter1]]),(AN27*Tableau1[[#This Row],[IR_inter2]]),(BC27*Tableau1[[#This Row],[IR_inter3]]),(Tableau1[[#This Row],[IR_freq4]]*BR27),(CG27*Tableau1[[#This Row],[IR_inter5]]))</f>
        <v>9.25</v>
      </c>
      <c r="P27" s="162">
        <f t="shared" si="0"/>
        <v>5.5</v>
      </c>
      <c r="Q27" s="162">
        <f t="shared" si="1"/>
        <v>1</v>
      </c>
      <c r="R27" s="162">
        <f t="shared" si="2"/>
        <v>50</v>
      </c>
      <c r="S27" s="11" t="s">
        <v>259</v>
      </c>
      <c r="T27" s="12">
        <v>1</v>
      </c>
      <c r="U27" s="12">
        <v>20</v>
      </c>
      <c r="V27" s="9">
        <v>30</v>
      </c>
      <c r="W27" s="11">
        <v>1</v>
      </c>
      <c r="X27" s="11" t="s">
        <v>28</v>
      </c>
      <c r="Y27" s="8"/>
      <c r="Z27" s="8"/>
      <c r="AA27" s="8"/>
      <c r="AB27" s="8"/>
      <c r="AC27" s="11" t="s">
        <v>119</v>
      </c>
      <c r="AD27" s="8"/>
      <c r="AE27" s="8"/>
      <c r="AF27" s="8"/>
      <c r="AG27" s="11" t="s">
        <v>21</v>
      </c>
      <c r="AH27" s="8" t="s">
        <v>2</v>
      </c>
      <c r="AI27" s="8"/>
      <c r="AJ27" s="15" t="s">
        <v>114</v>
      </c>
      <c r="AK27" s="17">
        <v>1</v>
      </c>
      <c r="AL27" s="17">
        <v>50</v>
      </c>
      <c r="AM27" s="14">
        <v>50</v>
      </c>
      <c r="AN27" s="15">
        <v>1</v>
      </c>
      <c r="AO27" s="15" t="s">
        <v>134</v>
      </c>
      <c r="AP27" s="13"/>
      <c r="AQ27" s="13"/>
      <c r="AR27" s="13"/>
      <c r="AS27" s="13"/>
      <c r="AT27" s="15"/>
      <c r="AU27" s="13"/>
      <c r="AV27" s="15" t="s">
        <v>21</v>
      </c>
      <c r="AW27" s="13" t="s">
        <v>2</v>
      </c>
      <c r="AX27" s="13"/>
      <c r="AY27" s="21" t="s">
        <v>17</v>
      </c>
      <c r="AZ27" s="23">
        <v>1</v>
      </c>
      <c r="BA27" s="22">
        <v>10</v>
      </c>
      <c r="BB27" s="19">
        <v>10</v>
      </c>
      <c r="BC27" s="22">
        <v>1</v>
      </c>
      <c r="BD27" s="21" t="s">
        <v>18</v>
      </c>
      <c r="BE27" s="18" t="s">
        <v>18</v>
      </c>
      <c r="BF27" s="18"/>
      <c r="BG27" s="18"/>
      <c r="BH27" s="18"/>
      <c r="BI27" s="21" t="s">
        <v>19</v>
      </c>
      <c r="BJ27" s="18"/>
      <c r="BK27" s="18"/>
      <c r="BL27" s="21" t="s">
        <v>21</v>
      </c>
      <c r="BM27" s="18"/>
      <c r="BN27" s="101" t="s">
        <v>131</v>
      </c>
      <c r="BO27" s="103">
        <v>1</v>
      </c>
      <c r="BP27" s="101">
        <v>20</v>
      </c>
      <c r="BQ27" s="99">
        <v>20</v>
      </c>
      <c r="BR27" s="101">
        <v>2.5</v>
      </c>
      <c r="BS27" s="101" t="s">
        <v>13</v>
      </c>
      <c r="BT27" s="101" t="s">
        <v>14</v>
      </c>
      <c r="BU27" s="101" t="s">
        <v>15</v>
      </c>
      <c r="BV27" s="101" t="s">
        <v>16</v>
      </c>
      <c r="BW27" s="101"/>
      <c r="BX27" s="101" t="s">
        <v>143</v>
      </c>
      <c r="BY27" s="101" t="s">
        <v>119</v>
      </c>
      <c r="BZ27" s="99"/>
      <c r="CA27" s="101" t="s">
        <v>38</v>
      </c>
      <c r="CB27" s="101" t="s">
        <v>2</v>
      </c>
      <c r="CC27" s="27"/>
      <c r="CD27" s="28"/>
      <c r="CE27" s="27"/>
      <c r="CF27" s="25"/>
      <c r="CG27" s="27"/>
      <c r="CH27" s="27"/>
      <c r="CI27" s="27"/>
      <c r="CJ27" s="27"/>
      <c r="CK27" s="27"/>
      <c r="CL27" s="27"/>
      <c r="CM27" s="25"/>
      <c r="CN27" s="169">
        <f t="shared" si="3"/>
        <v>2</v>
      </c>
      <c r="CO27" s="167">
        <f t="shared" si="4"/>
        <v>2</v>
      </c>
      <c r="CP27" s="30" t="s">
        <v>147</v>
      </c>
      <c r="CQ27" s="30"/>
      <c r="CR27" s="30"/>
      <c r="CS27" s="30"/>
      <c r="CT27" s="30">
        <v>4</v>
      </c>
      <c r="CU27" s="30"/>
      <c r="CV27" s="30" t="s">
        <v>28</v>
      </c>
      <c r="CW27" s="31" t="s">
        <v>13</v>
      </c>
      <c r="CX27" s="31" t="s">
        <v>14</v>
      </c>
      <c r="CY27" s="31" t="s">
        <v>15</v>
      </c>
      <c r="CZ27" s="30"/>
      <c r="DA27" s="30"/>
      <c r="DB27" s="30"/>
      <c r="DC27" s="30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167">
        <f t="shared" si="5"/>
        <v>0</v>
      </c>
      <c r="DP27" s="51">
        <v>0</v>
      </c>
      <c r="DQ27" s="51"/>
      <c r="DR27" s="49"/>
      <c r="DS27" s="51"/>
      <c r="DT27" s="51"/>
      <c r="DU27" s="51"/>
      <c r="DV27" s="52"/>
      <c r="DW27" s="44"/>
      <c r="DX27" s="44"/>
      <c r="DY27" s="44"/>
      <c r="DZ27" s="44"/>
      <c r="EA27" s="44"/>
      <c r="EB27" s="44"/>
      <c r="EC27" s="44"/>
      <c r="ED27" s="45"/>
      <c r="EE27" s="43" t="s">
        <v>156</v>
      </c>
      <c r="EF27" s="43" t="s">
        <v>156</v>
      </c>
      <c r="EG27" s="58">
        <v>1</v>
      </c>
      <c r="EH27" s="41"/>
      <c r="EI27" s="41"/>
      <c r="EJ27" s="41"/>
      <c r="EK27" s="43"/>
      <c r="EL27" s="43"/>
      <c r="EM27" s="43"/>
      <c r="EN27" s="165">
        <v>0</v>
      </c>
      <c r="EO27" s="8" t="s">
        <v>26</v>
      </c>
      <c r="EP27" s="11"/>
      <c r="EQ27" s="11"/>
      <c r="ER27" s="11"/>
      <c r="ES27" s="11"/>
      <c r="ET27" s="11"/>
      <c r="EU27" s="8"/>
      <c r="EV27" s="8"/>
      <c r="EW27" s="11"/>
      <c r="EX27" s="11"/>
      <c r="EY27" s="8"/>
      <c r="EZ27" s="13"/>
      <c r="FA27" s="13"/>
      <c r="FB27" s="13"/>
      <c r="FC27" s="13"/>
      <c r="FD27" s="13"/>
      <c r="FE27" s="13"/>
      <c r="FF27" s="13"/>
      <c r="FG27" s="13"/>
      <c r="FH27" s="13"/>
      <c r="FI27" s="166">
        <v>2</v>
      </c>
      <c r="FJ27" s="151" t="s">
        <v>159</v>
      </c>
      <c r="FK27" s="126" t="s">
        <v>7</v>
      </c>
      <c r="FL27" s="126" t="s">
        <v>7</v>
      </c>
      <c r="FM27" s="126" t="s">
        <v>7</v>
      </c>
      <c r="FN27" s="126" t="s">
        <v>168</v>
      </c>
      <c r="FO27" s="126">
        <v>0.25</v>
      </c>
      <c r="FP27" s="126">
        <v>400</v>
      </c>
      <c r="FQ27" s="126" t="s">
        <v>13</v>
      </c>
      <c r="FR27" s="126" t="s">
        <v>207</v>
      </c>
      <c r="FS27" s="126"/>
      <c r="FT27" s="126"/>
      <c r="FU27" s="151" t="s">
        <v>172</v>
      </c>
      <c r="FV27" s="126" t="s">
        <v>21</v>
      </c>
      <c r="FW27" s="43" t="s">
        <v>178</v>
      </c>
      <c r="FX27" s="43" t="s">
        <v>7</v>
      </c>
      <c r="FY27" s="43" t="s">
        <v>7</v>
      </c>
      <c r="FZ27" s="43" t="s">
        <v>168</v>
      </c>
      <c r="GA27" s="43">
        <v>0.25</v>
      </c>
      <c r="GB27" s="41">
        <v>400</v>
      </c>
      <c r="GC27" s="43" t="s">
        <v>28</v>
      </c>
      <c r="GD27" s="41"/>
      <c r="GE27" s="43" t="s">
        <v>21</v>
      </c>
      <c r="GF27" s="43" t="s">
        <v>172</v>
      </c>
      <c r="GG27" s="128" t="s">
        <v>217</v>
      </c>
      <c r="GH27" s="129"/>
      <c r="GI27" s="129"/>
      <c r="GJ27" s="128" t="s">
        <v>33</v>
      </c>
      <c r="GK27" s="129" t="s">
        <v>214</v>
      </c>
      <c r="GL27" s="128" t="s">
        <v>34</v>
      </c>
      <c r="GM27" s="128"/>
      <c r="GN27" s="128" t="s">
        <v>21</v>
      </c>
      <c r="GO27" s="129"/>
      <c r="GP27" s="128" t="s">
        <v>35</v>
      </c>
      <c r="GQ27" s="128">
        <v>1</v>
      </c>
      <c r="GR27" s="56" t="s">
        <v>231</v>
      </c>
      <c r="GS27" s="56" t="s">
        <v>134</v>
      </c>
      <c r="GT27" s="56"/>
      <c r="GU27" s="56" t="s">
        <v>225</v>
      </c>
      <c r="GV27" s="56" t="s">
        <v>234</v>
      </c>
      <c r="GW27" s="56" t="s">
        <v>234</v>
      </c>
      <c r="GX27" s="56"/>
      <c r="GY27" s="56" t="s">
        <v>228</v>
      </c>
      <c r="GZ27" s="55">
        <v>1</v>
      </c>
      <c r="HA27" s="56" t="s">
        <v>135</v>
      </c>
      <c r="HB27" s="55" t="s">
        <v>229</v>
      </c>
      <c r="HC27" s="55"/>
      <c r="HD27" s="55"/>
      <c r="HE27" s="55"/>
      <c r="HF27" s="170"/>
      <c r="HG27" s="172">
        <f t="shared" si="6"/>
        <v>25</v>
      </c>
      <c r="HH27" s="84" t="s">
        <v>9</v>
      </c>
      <c r="HI27" s="79"/>
      <c r="HJ27" s="76"/>
      <c r="HK27" s="79"/>
      <c r="HL27" s="76"/>
      <c r="HM27" s="76"/>
      <c r="HN27" s="76"/>
      <c r="HO27" s="79"/>
      <c r="HP27" s="79"/>
      <c r="HQ27" s="79"/>
      <c r="HR27" s="79"/>
      <c r="HS27" s="76"/>
      <c r="HT27" s="79"/>
      <c r="HU27" s="76"/>
      <c r="HV27" s="76"/>
      <c r="HW27" s="81"/>
      <c r="HX27" s="77"/>
      <c r="HY27" s="131">
        <f t="shared" si="7"/>
        <v>0</v>
      </c>
      <c r="HZ27" s="79" t="s">
        <v>39</v>
      </c>
      <c r="IA27" s="76" t="s">
        <v>40</v>
      </c>
      <c r="IB27" s="79"/>
      <c r="IC27" s="79"/>
      <c r="ID27" s="76"/>
      <c r="IE27" s="79"/>
      <c r="IF27" s="76"/>
      <c r="IG27" s="79"/>
      <c r="IH27" s="76"/>
      <c r="II27" s="76"/>
      <c r="IJ27" s="76"/>
      <c r="IK27" s="74">
        <v>1</v>
      </c>
      <c r="IL27" s="72" t="s">
        <v>15</v>
      </c>
      <c r="IM27" s="72" t="s">
        <v>16</v>
      </c>
      <c r="IN27" s="72"/>
      <c r="IO27" s="72"/>
      <c r="IP27" s="72" t="s">
        <v>236</v>
      </c>
      <c r="IQ27" s="72" t="s">
        <v>239</v>
      </c>
      <c r="IR27" s="72" t="s">
        <v>37</v>
      </c>
      <c r="IS27" s="72" t="s">
        <v>4</v>
      </c>
      <c r="IT27" s="72"/>
      <c r="IU27" s="72" t="s">
        <v>187</v>
      </c>
      <c r="IV27" s="72"/>
      <c r="IW27" s="72"/>
      <c r="IX27" s="72">
        <v>0</v>
      </c>
      <c r="IY27" s="73">
        <v>5</v>
      </c>
      <c r="IZ27" s="138">
        <f t="shared" si="8"/>
        <v>2.5</v>
      </c>
      <c r="JA27" s="72" t="s">
        <v>39</v>
      </c>
      <c r="JB27" s="72" t="s">
        <v>40</v>
      </c>
      <c r="JC27" s="72">
        <v>10000</v>
      </c>
      <c r="JD27" s="72">
        <v>0</v>
      </c>
      <c r="JE27" s="72">
        <v>0</v>
      </c>
      <c r="JF27" s="72">
        <v>0</v>
      </c>
      <c r="JG27" s="72">
        <v>0</v>
      </c>
      <c r="JH27" s="72">
        <v>10</v>
      </c>
      <c r="JI27" s="72">
        <v>15</v>
      </c>
      <c r="JJ27" s="72">
        <v>10</v>
      </c>
      <c r="JK27" s="72">
        <v>15</v>
      </c>
      <c r="JL27" s="173">
        <v>0</v>
      </c>
      <c r="JM27" s="71" t="s">
        <v>24</v>
      </c>
      <c r="JN27" s="71" t="s">
        <v>24</v>
      </c>
      <c r="JO27" s="70"/>
      <c r="JP27" s="71"/>
      <c r="JQ27" s="71"/>
      <c r="JR27" s="71"/>
      <c r="JS27" s="70"/>
      <c r="JT27" s="71"/>
      <c r="JU27" s="70"/>
      <c r="JV27" s="70"/>
      <c r="JW27" s="71"/>
      <c r="JX27" s="71"/>
      <c r="JY27" s="71"/>
      <c r="JZ27" s="4" t="s">
        <v>9</v>
      </c>
      <c r="KA27" s="4">
        <v>50</v>
      </c>
      <c r="KB27" s="4">
        <v>60</v>
      </c>
      <c r="KC27" s="68">
        <v>4.5</v>
      </c>
      <c r="KD27" s="68">
        <v>4.5</v>
      </c>
      <c r="KE27" s="68">
        <v>40</v>
      </c>
      <c r="KF27" s="4" t="s">
        <v>255</v>
      </c>
      <c r="KG27" s="4" t="s">
        <v>33</v>
      </c>
      <c r="KH27" s="4">
        <v>100</v>
      </c>
      <c r="KI27" s="64" t="s">
        <v>258</v>
      </c>
      <c r="KJ27" s="63">
        <v>1</v>
      </c>
      <c r="KK27" s="63">
        <v>70</v>
      </c>
      <c r="KL27" s="63" t="s">
        <v>17</v>
      </c>
      <c r="KM27" s="63">
        <v>1</v>
      </c>
      <c r="KN27" s="63">
        <v>10</v>
      </c>
      <c r="KO27" s="63"/>
      <c r="KP27" s="63"/>
      <c r="KQ27" s="63"/>
      <c r="KR27" s="63"/>
      <c r="KS27" s="63"/>
      <c r="KT27" s="63"/>
      <c r="KU27" s="62" t="s">
        <v>24</v>
      </c>
      <c r="KV27" s="58">
        <v>1</v>
      </c>
      <c r="KW27" s="43" t="s">
        <v>265</v>
      </c>
      <c r="KX27" s="43" t="s">
        <v>2</v>
      </c>
      <c r="KY27" s="60" t="s">
        <v>24</v>
      </c>
      <c r="KZ27" s="60" t="s">
        <v>9</v>
      </c>
      <c r="LA27" s="60" t="s">
        <v>9</v>
      </c>
      <c r="LB27" s="60" t="s">
        <v>24</v>
      </c>
      <c r="LC27" s="60" t="s">
        <v>9</v>
      </c>
      <c r="LD27" s="60" t="s">
        <v>37</v>
      </c>
      <c r="LE27" s="60" t="s">
        <v>144</v>
      </c>
      <c r="LF27" s="60" t="s">
        <v>224</v>
      </c>
      <c r="LG27" s="3"/>
    </row>
    <row r="28" spans="1:319" x14ac:dyDescent="0.3">
      <c r="A28" s="104" t="s">
        <v>513</v>
      </c>
      <c r="B28" s="104">
        <v>18.100000000000001</v>
      </c>
      <c r="C28" s="85" t="s">
        <v>822</v>
      </c>
      <c r="D28" s="85">
        <v>16</v>
      </c>
      <c r="E28" s="5" t="s">
        <v>512</v>
      </c>
      <c r="F28" s="5" t="s">
        <v>512</v>
      </c>
      <c r="H28">
        <v>4</v>
      </c>
      <c r="I28" s="6" t="s">
        <v>823</v>
      </c>
      <c r="K28" s="6" t="s">
        <v>90</v>
      </c>
      <c r="N28" s="213" t="s">
        <v>846</v>
      </c>
      <c r="O28" s="162">
        <f>SUM((W28*Tableau1[[#This Row],[IR_inter1]]),(AN28*Tableau1[[#This Row],[IR_inter2]]),(BC28*Tableau1[[#This Row],[IR_inter3]]),(Tableau1[[#This Row],[IR_freq4]]*BR28),(CG28*Tableau1[[#This Row],[IR_inter5]]))</f>
        <v>5</v>
      </c>
      <c r="P28" s="162">
        <f t="shared" si="0"/>
        <v>5</v>
      </c>
      <c r="Q28" s="162">
        <f t="shared" si="1"/>
        <v>1</v>
      </c>
      <c r="R28" s="162">
        <f t="shared" si="2"/>
        <v>20</v>
      </c>
      <c r="S28" s="11" t="s">
        <v>17</v>
      </c>
      <c r="T28" s="2">
        <v>1</v>
      </c>
      <c r="U28" s="2">
        <v>10</v>
      </c>
      <c r="V28" s="2">
        <v>10</v>
      </c>
      <c r="W28" s="2">
        <v>2</v>
      </c>
      <c r="X28" s="11" t="s">
        <v>11</v>
      </c>
      <c r="Y28" s="8" t="s">
        <v>16</v>
      </c>
      <c r="Z28" s="8" t="s">
        <v>22</v>
      </c>
      <c r="AC28" s="11" t="s">
        <v>121</v>
      </c>
      <c r="AD28" s="8" t="s">
        <v>130</v>
      </c>
      <c r="AG28" s="11" t="s">
        <v>23</v>
      </c>
      <c r="AJ28" s="15" t="s">
        <v>131</v>
      </c>
      <c r="AK28" s="2">
        <v>1</v>
      </c>
      <c r="AL28" s="2">
        <v>15</v>
      </c>
      <c r="AM28" s="2">
        <v>20</v>
      </c>
      <c r="AN28" s="15">
        <v>3</v>
      </c>
      <c r="AO28" s="15" t="s">
        <v>14</v>
      </c>
      <c r="AP28" t="s">
        <v>15</v>
      </c>
      <c r="AQ28" t="s">
        <v>16</v>
      </c>
      <c r="CN28" s="169">
        <f t="shared" si="3"/>
        <v>1</v>
      </c>
      <c r="CO28" s="167">
        <f t="shared" si="4"/>
        <v>0</v>
      </c>
      <c r="DO28" s="167">
        <f t="shared" si="5"/>
        <v>1</v>
      </c>
      <c r="DP28" s="51">
        <v>2</v>
      </c>
      <c r="DQ28" s="2" t="s">
        <v>11</v>
      </c>
      <c r="DR28" t="s">
        <v>14</v>
      </c>
      <c r="DS28" s="51" t="s">
        <v>227</v>
      </c>
      <c r="DT28" s="51" t="s">
        <v>150</v>
      </c>
      <c r="DU28" s="51">
        <v>360</v>
      </c>
      <c r="DV28" s="52">
        <v>0.02</v>
      </c>
      <c r="DW28" s="44" t="s">
        <v>824</v>
      </c>
      <c r="DX28" s="45" t="s">
        <v>7</v>
      </c>
      <c r="DY28" s="29"/>
      <c r="DZ28" s="29"/>
      <c r="EA28" s="29"/>
      <c r="EB28" s="29"/>
      <c r="EC28" s="29"/>
      <c r="ED28" s="29"/>
      <c r="EE28" s="43" t="s">
        <v>155</v>
      </c>
      <c r="EF28" s="43" t="s">
        <v>8</v>
      </c>
      <c r="EG28" s="58">
        <v>1</v>
      </c>
      <c r="EN28" s="164">
        <v>0</v>
      </c>
      <c r="EO28" s="8" t="s">
        <v>26</v>
      </c>
      <c r="FI28" s="166">
        <v>3</v>
      </c>
      <c r="FJ28" s="126" t="s">
        <v>29</v>
      </c>
      <c r="FK28" s="126" t="s">
        <v>825</v>
      </c>
      <c r="FL28" s="150" t="s">
        <v>7</v>
      </c>
      <c r="FM28" s="126" t="s">
        <v>7</v>
      </c>
      <c r="FN28" s="126" t="s">
        <v>7</v>
      </c>
      <c r="FO28" s="126">
        <v>0.5</v>
      </c>
      <c r="FP28" s="126">
        <v>10000</v>
      </c>
      <c r="FQ28" s="126" t="s">
        <v>28</v>
      </c>
      <c r="FR28" s="126" t="s">
        <v>207</v>
      </c>
      <c r="FS28" s="126"/>
      <c r="FT28" s="126"/>
      <c r="FU28" s="151" t="s">
        <v>21</v>
      </c>
      <c r="FV28" s="126"/>
      <c r="FW28" s="43" t="s">
        <v>159</v>
      </c>
      <c r="FX28" s="43" t="s">
        <v>199</v>
      </c>
      <c r="FY28" s="43" t="s">
        <v>198</v>
      </c>
      <c r="FZ28" s="43" t="s">
        <v>7</v>
      </c>
      <c r="GA28" s="43">
        <v>0.5</v>
      </c>
      <c r="GB28" s="41">
        <v>150</v>
      </c>
      <c r="GC28" s="43" t="s">
        <v>11</v>
      </c>
      <c r="GD28" s="43"/>
      <c r="GE28" s="43"/>
      <c r="GF28" s="43"/>
      <c r="GG28" s="128" t="s">
        <v>217</v>
      </c>
      <c r="GJ28" s="128" t="s">
        <v>33</v>
      </c>
      <c r="GK28" t="s">
        <v>7</v>
      </c>
      <c r="GL28" s="2" t="s">
        <v>221</v>
      </c>
      <c r="GP28" s="128" t="s">
        <v>35</v>
      </c>
      <c r="GQ28" s="128">
        <v>1</v>
      </c>
      <c r="GR28" s="56" t="s">
        <v>11</v>
      </c>
      <c r="GU28" t="s">
        <v>827</v>
      </c>
      <c r="GV28" t="s">
        <v>234</v>
      </c>
      <c r="GW28" t="s">
        <v>13</v>
      </c>
      <c r="GX28" t="s">
        <v>14</v>
      </c>
      <c r="GY28" s="56" t="s">
        <v>24</v>
      </c>
      <c r="GZ28" s="55"/>
      <c r="HF28" s="170"/>
      <c r="HG28" s="172">
        <f t="shared" si="6"/>
        <v>0</v>
      </c>
      <c r="HH28" s="84" t="s">
        <v>24</v>
      </c>
      <c r="JL28" s="173">
        <v>1</v>
      </c>
      <c r="JM28" s="71" t="s">
        <v>9</v>
      </c>
      <c r="JN28" s="71" t="s">
        <v>24</v>
      </c>
      <c r="JR28" t="s">
        <v>221</v>
      </c>
      <c r="JS28" t="s">
        <v>36</v>
      </c>
      <c r="JT28" t="s">
        <v>4</v>
      </c>
      <c r="JU28" t="s">
        <v>244</v>
      </c>
      <c r="JW28" t="s">
        <v>38</v>
      </c>
      <c r="JX28">
        <v>8</v>
      </c>
      <c r="JY28">
        <v>10</v>
      </c>
      <c r="JZ28" s="4" t="s">
        <v>24</v>
      </c>
      <c r="KI28" s="64" t="s">
        <v>114</v>
      </c>
      <c r="KJ28" s="63">
        <v>2</v>
      </c>
      <c r="KK28" s="63">
        <v>80</v>
      </c>
      <c r="KL28" s="63" t="s">
        <v>259</v>
      </c>
      <c r="KM28" s="63">
        <v>1</v>
      </c>
      <c r="KN28" s="63">
        <v>40</v>
      </c>
      <c r="KO28" t="s">
        <v>17</v>
      </c>
      <c r="KP28" s="63">
        <v>1</v>
      </c>
      <c r="KQ28" s="63">
        <v>10</v>
      </c>
      <c r="KU28" s="62" t="s">
        <v>24</v>
      </c>
      <c r="KV28" s="2">
        <v>4</v>
      </c>
      <c r="KW28" t="s">
        <v>265</v>
      </c>
      <c r="KY28" s="60" t="s">
        <v>24</v>
      </c>
      <c r="KZ28" s="60" t="s">
        <v>9</v>
      </c>
      <c r="LA28" s="60" t="s">
        <v>9</v>
      </c>
      <c r="LB28" s="60" t="s">
        <v>9</v>
      </c>
      <c r="LC28" s="60" t="s">
        <v>24</v>
      </c>
      <c r="LD28" s="60" t="s">
        <v>273</v>
      </c>
      <c r="LE28" s="60" t="s">
        <v>272</v>
      </c>
      <c r="LG28" s="3"/>
    </row>
    <row r="29" spans="1:319" x14ac:dyDescent="0.3">
      <c r="A29" s="104" t="s">
        <v>88</v>
      </c>
      <c r="B29" s="104">
        <v>19.100000000000001</v>
      </c>
      <c r="C29" s="85" t="s">
        <v>289</v>
      </c>
      <c r="D29" s="85">
        <v>8.18</v>
      </c>
      <c r="E29" s="5" t="s">
        <v>237</v>
      </c>
      <c r="F29" s="5" t="s">
        <v>516</v>
      </c>
      <c r="G29" s="5"/>
      <c r="H29" s="5">
        <v>3</v>
      </c>
      <c r="I29" s="6" t="s">
        <v>109</v>
      </c>
      <c r="J29" s="6" t="s">
        <v>100</v>
      </c>
      <c r="K29" s="6"/>
      <c r="L29" s="6" t="s">
        <v>113</v>
      </c>
      <c r="M29" s="6" t="s">
        <v>93</v>
      </c>
      <c r="N29" s="213" t="s">
        <v>847</v>
      </c>
      <c r="O29" s="162">
        <f>SUM((W29*Tableau1[[#This Row],[IR_inter1]]),(AN29*Tableau1[[#This Row],[IR_inter2]]),(BC29*Tableau1[[#This Row],[IR_inter3]]),(Tableau1[[#This Row],[IR_freq4]]*BR29),(CG29*Tableau1[[#This Row],[IR_inter5]]))</f>
        <v>3</v>
      </c>
      <c r="P29" s="162">
        <f t="shared" si="0"/>
        <v>3</v>
      </c>
      <c r="Q29" s="162">
        <f t="shared" si="1"/>
        <v>1</v>
      </c>
      <c r="R29" s="162">
        <f t="shared" si="2"/>
        <v>30</v>
      </c>
      <c r="S29" s="11" t="s">
        <v>10</v>
      </c>
      <c r="T29" s="12">
        <v>1</v>
      </c>
      <c r="U29" s="12">
        <v>30</v>
      </c>
      <c r="V29" s="9">
        <v>30</v>
      </c>
      <c r="W29" s="11">
        <v>1</v>
      </c>
      <c r="X29" s="11" t="s">
        <v>28</v>
      </c>
      <c r="Y29" s="8" t="s">
        <v>11</v>
      </c>
      <c r="Z29" s="8" t="s">
        <v>13</v>
      </c>
      <c r="AA29" s="8" t="s">
        <v>14</v>
      </c>
      <c r="AB29" s="8" t="s">
        <v>15</v>
      </c>
      <c r="AC29" s="11" t="s">
        <v>119</v>
      </c>
      <c r="AD29" s="8" t="s">
        <v>124</v>
      </c>
      <c r="AE29" s="8" t="s">
        <v>130</v>
      </c>
      <c r="AF29" s="8"/>
      <c r="AG29" s="11" t="s">
        <v>38</v>
      </c>
      <c r="AH29" s="8"/>
      <c r="AI29" s="8"/>
      <c r="AJ29" s="15" t="s">
        <v>17</v>
      </c>
      <c r="AK29" s="17">
        <v>1</v>
      </c>
      <c r="AL29" s="17">
        <v>10</v>
      </c>
      <c r="AM29" s="14">
        <v>10</v>
      </c>
      <c r="AN29" s="15">
        <v>1</v>
      </c>
      <c r="AO29" s="15" t="s">
        <v>11</v>
      </c>
      <c r="AP29" s="13"/>
      <c r="AQ29" s="13"/>
      <c r="AR29" s="13"/>
      <c r="AS29" s="13"/>
      <c r="AT29" s="15" t="s">
        <v>19</v>
      </c>
      <c r="AU29" s="13"/>
      <c r="AV29" s="15" t="s">
        <v>21</v>
      </c>
      <c r="AW29" s="13"/>
      <c r="AX29" s="13"/>
      <c r="AY29" s="21" t="s">
        <v>131</v>
      </c>
      <c r="AZ29" s="23">
        <v>1</v>
      </c>
      <c r="BA29" s="22">
        <v>30</v>
      </c>
      <c r="BB29" s="19">
        <v>30</v>
      </c>
      <c r="BC29" s="22">
        <v>1</v>
      </c>
      <c r="BD29" s="24" t="s">
        <v>16</v>
      </c>
      <c r="BE29" s="24" t="s">
        <v>136</v>
      </c>
      <c r="BF29" s="18"/>
      <c r="BG29" s="18"/>
      <c r="BH29" s="18"/>
      <c r="BI29" s="21" t="s">
        <v>119</v>
      </c>
      <c r="BJ29" s="18"/>
      <c r="BK29" s="18"/>
      <c r="BL29" s="21" t="s">
        <v>21</v>
      </c>
      <c r="BM29" s="18"/>
      <c r="BN29" s="101"/>
      <c r="BO29" s="102"/>
      <c r="BP29" s="101"/>
      <c r="BQ29" s="99"/>
      <c r="BR29" s="101"/>
      <c r="BS29" s="101"/>
      <c r="BT29" s="101"/>
      <c r="BU29" s="101"/>
      <c r="BV29" s="101"/>
      <c r="BW29" s="101"/>
      <c r="BX29" s="101"/>
      <c r="BY29" s="99"/>
      <c r="BZ29" s="99"/>
      <c r="CA29" s="99"/>
      <c r="CB29" s="99"/>
      <c r="CC29" s="27"/>
      <c r="CD29" s="28"/>
      <c r="CE29" s="27"/>
      <c r="CF29" s="25"/>
      <c r="CG29" s="27"/>
      <c r="CH29" s="27"/>
      <c r="CI29" s="27"/>
      <c r="CJ29" s="27"/>
      <c r="CK29" s="27"/>
      <c r="CL29" s="27"/>
      <c r="CM29" s="25"/>
      <c r="CN29" s="169">
        <f t="shared" si="3"/>
        <v>3</v>
      </c>
      <c r="CO29" s="167">
        <f t="shared" si="4"/>
        <v>2</v>
      </c>
      <c r="CP29" s="31" t="s">
        <v>147</v>
      </c>
      <c r="CQ29" s="34">
        <v>1</v>
      </c>
      <c r="CR29" s="31">
        <v>5</v>
      </c>
      <c r="CS29" s="30">
        <v>5</v>
      </c>
      <c r="CT29" s="31">
        <v>1</v>
      </c>
      <c r="CU29" s="30">
        <v>1</v>
      </c>
      <c r="CV29" s="31" t="s">
        <v>11</v>
      </c>
      <c r="CW29" s="31" t="s">
        <v>13</v>
      </c>
      <c r="CX29" s="31" t="s">
        <v>14</v>
      </c>
      <c r="CY29" s="31" t="s">
        <v>15</v>
      </c>
      <c r="CZ29" s="30"/>
      <c r="DA29" s="30"/>
      <c r="DB29" s="30"/>
      <c r="DC29" s="30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167">
        <f t="shared" si="5"/>
        <v>1</v>
      </c>
      <c r="DP29" s="51">
        <v>2</v>
      </c>
      <c r="DQ29" s="51" t="s">
        <v>13</v>
      </c>
      <c r="DR29" s="49"/>
      <c r="DS29" s="51" t="s">
        <v>227</v>
      </c>
      <c r="DT29" s="51" t="s">
        <v>150</v>
      </c>
      <c r="DU29" s="51">
        <v>480</v>
      </c>
      <c r="DV29" s="52" t="s">
        <v>7</v>
      </c>
      <c r="DW29" s="45" t="s">
        <v>151</v>
      </c>
      <c r="DX29" s="45" t="s">
        <v>149</v>
      </c>
      <c r="DY29" s="45"/>
      <c r="DZ29" s="45"/>
      <c r="EA29" s="47" t="s">
        <v>7</v>
      </c>
      <c r="EB29" s="47"/>
      <c r="EC29" s="48">
        <v>0.02</v>
      </c>
      <c r="ED29" s="45"/>
      <c r="EE29" s="43" t="s">
        <v>155</v>
      </c>
      <c r="EF29" s="43" t="s">
        <v>8</v>
      </c>
      <c r="EG29" s="58">
        <v>1</v>
      </c>
      <c r="EH29" s="41"/>
      <c r="EI29" s="41"/>
      <c r="EJ29" s="41"/>
      <c r="EK29" s="41"/>
      <c r="EL29" s="41"/>
      <c r="EM29" s="41"/>
      <c r="EN29" s="164">
        <v>0</v>
      </c>
      <c r="EO29" s="8" t="s">
        <v>26</v>
      </c>
      <c r="EP29" s="11"/>
      <c r="EQ29" s="11"/>
      <c r="ER29" s="11"/>
      <c r="ES29" s="11"/>
      <c r="ET29" s="11"/>
      <c r="EU29" s="8"/>
      <c r="EV29" s="8"/>
      <c r="EW29" s="11"/>
      <c r="EX29" s="11"/>
      <c r="EY29" s="8"/>
      <c r="EZ29" s="13"/>
      <c r="FA29" s="13"/>
      <c r="FB29" s="13"/>
      <c r="FC29" s="13"/>
      <c r="FD29" s="13"/>
      <c r="FE29" s="13"/>
      <c r="FF29" s="13"/>
      <c r="FG29" s="13"/>
      <c r="FH29" s="13"/>
      <c r="FI29" s="166">
        <v>0</v>
      </c>
      <c r="FJ29" s="151" t="s">
        <v>26</v>
      </c>
      <c r="FK29" s="151"/>
      <c r="FL29" s="150"/>
      <c r="FM29" s="126"/>
      <c r="FN29" s="126"/>
      <c r="FO29" s="126"/>
      <c r="FP29" s="126"/>
      <c r="FQ29" s="151"/>
      <c r="FR29" s="151"/>
      <c r="FS29" s="151"/>
      <c r="FT29" s="151"/>
      <c r="FU29" s="151"/>
      <c r="FV29" s="151"/>
      <c r="FW29" s="43"/>
      <c r="FX29" s="43"/>
      <c r="FY29" s="41"/>
      <c r="FZ29" s="43"/>
      <c r="GA29" s="43"/>
      <c r="GB29" s="41"/>
      <c r="GC29" s="41"/>
      <c r="GD29" s="43"/>
      <c r="GE29" s="43"/>
      <c r="GF29" s="43"/>
      <c r="GG29" s="128" t="s">
        <v>217</v>
      </c>
      <c r="GH29" s="129"/>
      <c r="GI29" s="129"/>
      <c r="GJ29" s="128" t="s">
        <v>33</v>
      </c>
      <c r="GK29" s="129"/>
      <c r="GL29" s="128" t="s">
        <v>34</v>
      </c>
      <c r="GM29" s="128"/>
      <c r="GN29" s="128"/>
      <c r="GO29" s="129"/>
      <c r="GP29" s="128" t="s">
        <v>35</v>
      </c>
      <c r="GQ29" s="128">
        <v>3</v>
      </c>
      <c r="GR29" s="56" t="s">
        <v>16</v>
      </c>
      <c r="GS29" s="55" t="s">
        <v>22</v>
      </c>
      <c r="GT29" s="56"/>
      <c r="GU29" s="55"/>
      <c r="GV29" s="56"/>
      <c r="GW29" s="55"/>
      <c r="GX29" s="56"/>
      <c r="GY29" s="56" t="s">
        <v>9</v>
      </c>
      <c r="GZ29" s="55">
        <v>1</v>
      </c>
      <c r="HA29" s="55" t="s">
        <v>135</v>
      </c>
      <c r="HB29" s="55" t="s">
        <v>229</v>
      </c>
      <c r="HC29" s="55" t="s">
        <v>9</v>
      </c>
      <c r="HD29" s="55" t="s">
        <v>227</v>
      </c>
      <c r="HE29" s="57">
        <v>0.05</v>
      </c>
      <c r="HF29" s="171"/>
      <c r="HG29" s="172">
        <f t="shared" si="6"/>
        <v>175</v>
      </c>
      <c r="HH29" s="84" t="s">
        <v>9</v>
      </c>
      <c r="HI29" s="79">
        <v>1</v>
      </c>
      <c r="HJ29" s="79" t="s">
        <v>229</v>
      </c>
      <c r="HK29" s="79" t="s">
        <v>11</v>
      </c>
      <c r="HL29" s="76"/>
      <c r="HM29" s="76"/>
      <c r="HN29" s="76"/>
      <c r="HO29" s="79" t="s">
        <v>235</v>
      </c>
      <c r="HP29" s="79" t="s">
        <v>237</v>
      </c>
      <c r="HQ29" s="79" t="s">
        <v>37</v>
      </c>
      <c r="HR29" s="79" t="s">
        <v>245</v>
      </c>
      <c r="HS29" s="79" t="s">
        <v>246</v>
      </c>
      <c r="HT29" s="79" t="s">
        <v>221</v>
      </c>
      <c r="HU29" s="79" t="s">
        <v>187</v>
      </c>
      <c r="HV29" s="79" t="s">
        <v>38</v>
      </c>
      <c r="HW29" s="80">
        <v>15</v>
      </c>
      <c r="HX29" s="77">
        <v>20</v>
      </c>
      <c r="HY29" s="131">
        <f t="shared" ref="HY29:HY46" si="13">IFERROR(AVERAGE(HW29:HX29),0)</f>
        <v>17.5</v>
      </c>
      <c r="HZ29" s="79" t="s">
        <v>39</v>
      </c>
      <c r="IA29" s="79" t="s">
        <v>248</v>
      </c>
      <c r="IB29" s="79" t="s">
        <v>249</v>
      </c>
      <c r="IC29" s="79">
        <v>1</v>
      </c>
      <c r="ID29" s="76">
        <v>4</v>
      </c>
      <c r="IE29" s="79">
        <v>60</v>
      </c>
      <c r="IF29" s="76">
        <v>60</v>
      </c>
      <c r="IG29" s="79">
        <v>10</v>
      </c>
      <c r="IH29" s="76">
        <v>15</v>
      </c>
      <c r="II29" s="76">
        <f>SUM(IC29,IE29,IG29)</f>
        <v>71</v>
      </c>
      <c r="IJ29" s="76">
        <f>SUM(ID29,IF29,IH29)</f>
        <v>79</v>
      </c>
      <c r="IK29" s="74"/>
      <c r="IL29" s="72"/>
      <c r="IM29" s="72"/>
      <c r="IN29" s="72"/>
      <c r="IO29" s="72"/>
      <c r="IP29" s="72"/>
      <c r="IQ29" s="72"/>
      <c r="IR29" s="72"/>
      <c r="IS29" s="72"/>
      <c r="IT29" s="72"/>
      <c r="IU29" s="72"/>
      <c r="IV29" s="72"/>
      <c r="IW29" s="72"/>
      <c r="IX29" s="73"/>
      <c r="IY29" s="73"/>
      <c r="IZ29" s="138">
        <f t="shared" ref="IZ29:IZ46" si="14">IFERROR(AVERAGE(IX29:IY29),0)</f>
        <v>0</v>
      </c>
      <c r="JA29" s="72"/>
      <c r="JB29" s="72"/>
      <c r="JC29" s="72"/>
      <c r="JD29" s="72"/>
      <c r="JE29" s="72"/>
      <c r="JF29" s="72"/>
      <c r="JG29" s="72"/>
      <c r="JH29" s="72"/>
      <c r="JI29" s="72"/>
      <c r="JJ29" s="72"/>
      <c r="JK29" s="72"/>
      <c r="JL29" s="173">
        <v>0</v>
      </c>
      <c r="JM29" s="71" t="s">
        <v>24</v>
      </c>
      <c r="JN29" s="71" t="s">
        <v>24</v>
      </c>
      <c r="JO29" s="70"/>
      <c r="JP29" s="71"/>
      <c r="JQ29" s="71"/>
      <c r="JR29" s="71"/>
      <c r="JS29" s="70"/>
      <c r="JT29" s="71"/>
      <c r="JU29" s="70"/>
      <c r="JV29" s="70"/>
      <c r="JW29" s="71"/>
      <c r="JX29" s="71"/>
      <c r="JY29" s="71"/>
      <c r="JZ29" s="4" t="s">
        <v>24</v>
      </c>
      <c r="KA29" s="4"/>
      <c r="KB29" s="4"/>
      <c r="KC29" s="69"/>
      <c r="KD29" s="65"/>
      <c r="KE29" s="68"/>
      <c r="KF29" s="4"/>
      <c r="KG29" s="4"/>
      <c r="KH29" s="4"/>
      <c r="KI29" s="64" t="s">
        <v>264</v>
      </c>
      <c r="KJ29" s="63">
        <v>1</v>
      </c>
      <c r="KK29" s="63">
        <v>40</v>
      </c>
      <c r="KL29" s="63" t="s">
        <v>258</v>
      </c>
      <c r="KM29" s="63">
        <v>2</v>
      </c>
      <c r="KN29" s="63">
        <v>70</v>
      </c>
      <c r="KO29" s="63"/>
      <c r="KP29" s="63"/>
      <c r="KQ29" s="63"/>
      <c r="KR29" s="63"/>
      <c r="KS29" s="63"/>
      <c r="KT29" s="63"/>
      <c r="KU29" s="62" t="s">
        <v>9</v>
      </c>
      <c r="KV29" s="58">
        <v>0</v>
      </c>
      <c r="KW29" s="43"/>
      <c r="KX29" s="43"/>
      <c r="KY29" s="60" t="s">
        <v>24</v>
      </c>
      <c r="KZ29" s="60" t="s">
        <v>24</v>
      </c>
      <c r="LA29" s="60"/>
      <c r="LB29" s="59"/>
      <c r="LC29" s="60"/>
      <c r="LD29" s="60" t="s">
        <v>271</v>
      </c>
      <c r="LE29" s="59"/>
      <c r="LF29" s="59"/>
      <c r="LG29" s="3"/>
    </row>
    <row r="30" spans="1:319" x14ac:dyDescent="0.3">
      <c r="A30" s="104" t="s">
        <v>89</v>
      </c>
      <c r="B30" s="104">
        <v>19.2</v>
      </c>
      <c r="C30" s="85" t="s">
        <v>490</v>
      </c>
      <c r="D30" s="85">
        <v>1.68</v>
      </c>
      <c r="E30" s="5" t="s">
        <v>237</v>
      </c>
      <c r="F30" s="5" t="s">
        <v>516</v>
      </c>
      <c r="G30" s="5"/>
      <c r="H30" s="5">
        <v>3</v>
      </c>
      <c r="I30" s="6" t="s">
        <v>112</v>
      </c>
      <c r="J30" s="6"/>
      <c r="K30" s="6" t="s">
        <v>93</v>
      </c>
      <c r="L30" s="6" t="s">
        <v>113</v>
      </c>
      <c r="M30" s="6" t="s">
        <v>93</v>
      </c>
      <c r="N30" s="213" t="s">
        <v>846</v>
      </c>
      <c r="O30" s="162">
        <f>SUM((W30*Tableau1[[#This Row],[IR_inter1]]),(AN30*Tableau1[[#This Row],[IR_inter2]]),(BC30*Tableau1[[#This Row],[IR_inter3]]),(Tableau1[[#This Row],[IR_freq4]]*BR30),(CG30*Tableau1[[#This Row],[IR_inter5]]))</f>
        <v>3</v>
      </c>
      <c r="P30" s="162">
        <f t="shared" si="0"/>
        <v>3</v>
      </c>
      <c r="Q30" s="162">
        <f t="shared" si="1"/>
        <v>1</v>
      </c>
      <c r="R30" s="162">
        <f t="shared" si="2"/>
        <v>30</v>
      </c>
      <c r="S30" s="11" t="s">
        <v>10</v>
      </c>
      <c r="T30" s="12">
        <v>1</v>
      </c>
      <c r="U30" s="12">
        <v>30</v>
      </c>
      <c r="V30" s="9">
        <v>30</v>
      </c>
      <c r="W30" s="11">
        <v>1</v>
      </c>
      <c r="X30" s="11" t="s">
        <v>118</v>
      </c>
      <c r="Y30" s="8" t="s">
        <v>11</v>
      </c>
      <c r="Z30" s="8" t="s">
        <v>13</v>
      </c>
      <c r="AA30" s="8" t="s">
        <v>14</v>
      </c>
      <c r="AB30" s="8" t="s">
        <v>15</v>
      </c>
      <c r="AC30" s="11" t="s">
        <v>119</v>
      </c>
      <c r="AD30" s="8" t="s">
        <v>124</v>
      </c>
      <c r="AE30" s="8" t="s">
        <v>130</v>
      </c>
      <c r="AF30" s="8"/>
      <c r="AG30" s="11" t="s">
        <v>38</v>
      </c>
      <c r="AH30" s="8"/>
      <c r="AI30" s="8"/>
      <c r="AJ30" s="15" t="s">
        <v>17</v>
      </c>
      <c r="AK30" s="17">
        <v>1</v>
      </c>
      <c r="AL30" s="17">
        <v>10</v>
      </c>
      <c r="AM30" s="14">
        <v>10</v>
      </c>
      <c r="AN30" s="15">
        <v>1</v>
      </c>
      <c r="AO30" s="15" t="s">
        <v>11</v>
      </c>
      <c r="AP30" s="13"/>
      <c r="AQ30" s="13"/>
      <c r="AR30" s="13"/>
      <c r="AS30" s="13"/>
      <c r="AT30" s="15" t="s">
        <v>19</v>
      </c>
      <c r="AU30" s="13"/>
      <c r="AV30" s="15" t="s">
        <v>21</v>
      </c>
      <c r="AW30" s="13"/>
      <c r="AX30" s="13"/>
      <c r="AY30" s="21" t="s">
        <v>131</v>
      </c>
      <c r="AZ30" s="23">
        <v>1</v>
      </c>
      <c r="BA30" s="22">
        <v>30</v>
      </c>
      <c r="BB30" s="19">
        <v>30</v>
      </c>
      <c r="BC30" s="22">
        <v>1</v>
      </c>
      <c r="BD30" s="24" t="s">
        <v>16</v>
      </c>
      <c r="BE30" s="24" t="s">
        <v>136</v>
      </c>
      <c r="BF30" s="18"/>
      <c r="BG30" s="18"/>
      <c r="BH30" s="18"/>
      <c r="BI30" s="21" t="s">
        <v>119</v>
      </c>
      <c r="BJ30" s="18"/>
      <c r="BK30" s="18"/>
      <c r="BL30" s="21" t="s">
        <v>21</v>
      </c>
      <c r="BM30" s="18"/>
      <c r="BN30" s="101"/>
      <c r="BO30" s="102"/>
      <c r="BP30" s="101"/>
      <c r="BQ30" s="99"/>
      <c r="BR30" s="101"/>
      <c r="BS30" s="101"/>
      <c r="BT30" s="101"/>
      <c r="BU30" s="101"/>
      <c r="BV30" s="101"/>
      <c r="BW30" s="101"/>
      <c r="BX30" s="101"/>
      <c r="BY30" s="99"/>
      <c r="BZ30" s="99"/>
      <c r="CA30" s="99"/>
      <c r="CB30" s="99"/>
      <c r="CC30" s="27"/>
      <c r="CD30" s="28"/>
      <c r="CE30" s="27"/>
      <c r="CF30" s="25"/>
      <c r="CG30" s="27"/>
      <c r="CH30" s="27"/>
      <c r="CI30" s="27"/>
      <c r="CJ30" s="27"/>
      <c r="CK30" s="27"/>
      <c r="CL30" s="27"/>
      <c r="CM30" s="25"/>
      <c r="CN30" s="169">
        <f t="shared" si="3"/>
        <v>3</v>
      </c>
      <c r="CO30" s="167">
        <f t="shared" si="4"/>
        <v>2</v>
      </c>
      <c r="CP30" s="31" t="s">
        <v>147</v>
      </c>
      <c r="CQ30" s="34">
        <v>1</v>
      </c>
      <c r="CR30" s="31">
        <v>5</v>
      </c>
      <c r="CS30" s="30">
        <v>5</v>
      </c>
      <c r="CT30" s="31">
        <v>1</v>
      </c>
      <c r="CU30" s="30">
        <v>1</v>
      </c>
      <c r="CV30" s="31" t="s">
        <v>11</v>
      </c>
      <c r="CW30" s="31" t="s">
        <v>13</v>
      </c>
      <c r="CX30" s="31" t="s">
        <v>14</v>
      </c>
      <c r="CY30" s="31" t="s">
        <v>15</v>
      </c>
      <c r="CZ30" s="30"/>
      <c r="DA30" s="30"/>
      <c r="DB30" s="30"/>
      <c r="DC30" s="30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167">
        <f t="shared" si="5"/>
        <v>1</v>
      </c>
      <c r="DP30" s="51">
        <v>2</v>
      </c>
      <c r="DQ30" s="51" t="s">
        <v>13</v>
      </c>
      <c r="DR30" s="49"/>
      <c r="DS30" s="51" t="s">
        <v>227</v>
      </c>
      <c r="DT30" s="51" t="s">
        <v>150</v>
      </c>
      <c r="DU30" s="51">
        <v>480</v>
      </c>
      <c r="DV30" s="52" t="s">
        <v>7</v>
      </c>
      <c r="DW30" s="45" t="s">
        <v>151</v>
      </c>
      <c r="DX30" s="45" t="s">
        <v>149</v>
      </c>
      <c r="DY30" s="45"/>
      <c r="DZ30" s="45"/>
      <c r="EA30" s="47" t="s">
        <v>7</v>
      </c>
      <c r="EB30" s="47"/>
      <c r="EC30" s="48">
        <v>0.02</v>
      </c>
      <c r="ED30" s="45"/>
      <c r="EE30" s="43" t="s">
        <v>155</v>
      </c>
      <c r="EF30" s="43" t="s">
        <v>8</v>
      </c>
      <c r="EG30" s="58">
        <v>1</v>
      </c>
      <c r="EH30" s="41"/>
      <c r="EI30" s="41"/>
      <c r="EJ30" s="41"/>
      <c r="EK30" s="41"/>
      <c r="EL30" s="41"/>
      <c r="EM30" s="41"/>
      <c r="EN30" s="164">
        <v>0</v>
      </c>
      <c r="EO30" s="8" t="s">
        <v>26</v>
      </c>
      <c r="EP30" s="11"/>
      <c r="EQ30" s="11"/>
      <c r="ER30" s="11"/>
      <c r="ES30" s="11"/>
      <c r="ET30" s="11"/>
      <c r="EU30" s="8"/>
      <c r="EV30" s="8"/>
      <c r="EW30" s="11"/>
      <c r="EX30" s="11"/>
      <c r="EY30" s="8"/>
      <c r="EZ30" s="13"/>
      <c r="FA30" s="13"/>
      <c r="FB30" s="13"/>
      <c r="FC30" s="13"/>
      <c r="FD30" s="13"/>
      <c r="FE30" s="13"/>
      <c r="FF30" s="13"/>
      <c r="FG30" s="13"/>
      <c r="FH30" s="13"/>
      <c r="FI30" s="166">
        <v>0</v>
      </c>
      <c r="FJ30" s="151" t="s">
        <v>26</v>
      </c>
      <c r="FK30" s="151"/>
      <c r="FL30" s="150"/>
      <c r="FM30" s="126"/>
      <c r="FN30" s="126"/>
      <c r="FO30" s="126"/>
      <c r="FP30" s="126"/>
      <c r="FQ30" s="151"/>
      <c r="FR30" s="151"/>
      <c r="FS30" s="151"/>
      <c r="FT30" s="151"/>
      <c r="FU30" s="151"/>
      <c r="FV30" s="151"/>
      <c r="FW30" s="43"/>
      <c r="FX30" s="43"/>
      <c r="FY30" s="41"/>
      <c r="FZ30" s="43"/>
      <c r="GA30" s="43"/>
      <c r="GB30" s="41"/>
      <c r="GC30" s="41"/>
      <c r="GD30" s="43"/>
      <c r="GE30" s="43"/>
      <c r="GF30" s="43"/>
      <c r="GG30" s="128" t="s">
        <v>217</v>
      </c>
      <c r="GH30" s="129"/>
      <c r="GI30" s="129"/>
      <c r="GJ30" s="128" t="s">
        <v>33</v>
      </c>
      <c r="GK30" s="129"/>
      <c r="GL30" s="128" t="s">
        <v>34</v>
      </c>
      <c r="GM30" s="128"/>
      <c r="GN30" s="128"/>
      <c r="GO30" s="129"/>
      <c r="GP30" s="128" t="s">
        <v>35</v>
      </c>
      <c r="GQ30" s="128">
        <v>3</v>
      </c>
      <c r="GR30" s="56" t="s">
        <v>16</v>
      </c>
      <c r="GS30" s="55" t="s">
        <v>22</v>
      </c>
      <c r="GT30" s="56"/>
      <c r="GU30" s="55"/>
      <c r="GV30" s="56"/>
      <c r="GW30" s="55"/>
      <c r="GX30" s="56"/>
      <c r="GY30" s="56" t="s">
        <v>9</v>
      </c>
      <c r="GZ30" s="55">
        <v>1</v>
      </c>
      <c r="HA30" s="55" t="s">
        <v>135</v>
      </c>
      <c r="HB30" s="55" t="s">
        <v>229</v>
      </c>
      <c r="HC30" s="55" t="s">
        <v>9</v>
      </c>
      <c r="HD30" s="55" t="s">
        <v>227</v>
      </c>
      <c r="HE30" s="57">
        <v>0.05</v>
      </c>
      <c r="HF30" s="171"/>
      <c r="HG30" s="172">
        <f t="shared" si="6"/>
        <v>175</v>
      </c>
      <c r="HH30" s="84" t="s">
        <v>9</v>
      </c>
      <c r="HI30" s="79">
        <v>1</v>
      </c>
      <c r="HJ30" s="79" t="s">
        <v>229</v>
      </c>
      <c r="HK30" s="79" t="s">
        <v>11</v>
      </c>
      <c r="HL30" s="76"/>
      <c r="HM30" s="76"/>
      <c r="HN30" s="76"/>
      <c r="HO30" s="79" t="s">
        <v>235</v>
      </c>
      <c r="HP30" s="79" t="s">
        <v>237</v>
      </c>
      <c r="HQ30" s="79" t="s">
        <v>37</v>
      </c>
      <c r="HR30" s="79" t="s">
        <v>245</v>
      </c>
      <c r="HS30" s="79" t="s">
        <v>246</v>
      </c>
      <c r="HT30" s="79" t="s">
        <v>221</v>
      </c>
      <c r="HU30" s="79" t="s">
        <v>187</v>
      </c>
      <c r="HV30" s="79" t="s">
        <v>38</v>
      </c>
      <c r="HW30" s="80">
        <v>15</v>
      </c>
      <c r="HX30" s="77">
        <v>20</v>
      </c>
      <c r="HY30" s="131">
        <f t="shared" si="13"/>
        <v>17.5</v>
      </c>
      <c r="HZ30" s="79" t="s">
        <v>39</v>
      </c>
      <c r="IA30" s="79" t="s">
        <v>248</v>
      </c>
      <c r="IB30" s="79" t="s">
        <v>249</v>
      </c>
      <c r="IC30" s="79">
        <v>1</v>
      </c>
      <c r="ID30" s="76">
        <v>4</v>
      </c>
      <c r="IE30" s="79">
        <v>60</v>
      </c>
      <c r="IF30" s="76">
        <v>60</v>
      </c>
      <c r="IG30" s="79">
        <v>10</v>
      </c>
      <c r="IH30" s="76">
        <v>15</v>
      </c>
      <c r="II30" s="76">
        <f>SUM(IC30,IE30,IG30)</f>
        <v>71</v>
      </c>
      <c r="IJ30" s="76">
        <f>SUM(ID30,IF30,IH30)</f>
        <v>79</v>
      </c>
      <c r="IK30" s="74"/>
      <c r="IL30" s="72"/>
      <c r="IM30" s="72"/>
      <c r="IN30" s="72"/>
      <c r="IO30" s="72"/>
      <c r="IP30" s="72"/>
      <c r="IQ30" s="72"/>
      <c r="IR30" s="72"/>
      <c r="IS30" s="72"/>
      <c r="IT30" s="72"/>
      <c r="IU30" s="72"/>
      <c r="IV30" s="72"/>
      <c r="IW30" s="72"/>
      <c r="IX30" s="73"/>
      <c r="IY30" s="73"/>
      <c r="IZ30" s="138">
        <f t="shared" si="14"/>
        <v>0</v>
      </c>
      <c r="JA30" s="72"/>
      <c r="JB30" s="72"/>
      <c r="JC30" s="72"/>
      <c r="JD30" s="72"/>
      <c r="JE30" s="72"/>
      <c r="JF30" s="72"/>
      <c r="JG30" s="72"/>
      <c r="JH30" s="72"/>
      <c r="JI30" s="72"/>
      <c r="JJ30" s="72"/>
      <c r="JK30" s="72"/>
      <c r="JL30" s="173">
        <v>0</v>
      </c>
      <c r="JM30" s="71" t="s">
        <v>24</v>
      </c>
      <c r="JN30" s="71" t="s">
        <v>24</v>
      </c>
      <c r="JO30" s="70"/>
      <c r="JP30" s="71"/>
      <c r="JQ30" s="71"/>
      <c r="JR30" s="71"/>
      <c r="JS30" s="70"/>
      <c r="JT30" s="71"/>
      <c r="JU30" s="70"/>
      <c r="JV30" s="70"/>
      <c r="JW30" s="71"/>
      <c r="JX30" s="71"/>
      <c r="JY30" s="71"/>
      <c r="JZ30" s="4" t="s">
        <v>24</v>
      </c>
      <c r="KA30" s="4"/>
      <c r="KB30" s="4"/>
      <c r="KC30" s="69"/>
      <c r="KD30" s="65"/>
      <c r="KE30" s="68"/>
      <c r="KF30" s="4"/>
      <c r="KG30" s="4"/>
      <c r="KH30" s="4"/>
      <c r="KI30" s="64" t="s">
        <v>264</v>
      </c>
      <c r="KJ30" s="63">
        <v>1</v>
      </c>
      <c r="KK30" s="63">
        <v>40</v>
      </c>
      <c r="KL30" s="63" t="s">
        <v>258</v>
      </c>
      <c r="KM30" s="63">
        <v>2</v>
      </c>
      <c r="KN30" s="63">
        <v>70</v>
      </c>
      <c r="KO30" s="63"/>
      <c r="KP30" s="63"/>
      <c r="KQ30" s="63"/>
      <c r="KR30" s="63"/>
      <c r="KS30" s="63"/>
      <c r="KT30" s="63"/>
      <c r="KU30" s="62" t="s">
        <v>9</v>
      </c>
      <c r="KV30" s="58">
        <v>0</v>
      </c>
      <c r="KW30" s="43"/>
      <c r="KX30" s="43"/>
      <c r="KY30" s="60" t="s">
        <v>24</v>
      </c>
      <c r="KZ30" s="60" t="s">
        <v>24</v>
      </c>
      <c r="LA30" s="60"/>
      <c r="LB30" s="59"/>
      <c r="LC30" s="60"/>
      <c r="LD30" s="60" t="s">
        <v>271</v>
      </c>
      <c r="LE30" s="59"/>
      <c r="LF30" s="59"/>
      <c r="LG30" s="3"/>
    </row>
    <row r="31" spans="1:319" x14ac:dyDescent="0.3">
      <c r="A31" s="104" t="s">
        <v>87</v>
      </c>
      <c r="B31" s="104">
        <v>20.100000000000001</v>
      </c>
      <c r="C31" s="85" t="s">
        <v>498</v>
      </c>
      <c r="D31" s="85">
        <v>0.4</v>
      </c>
      <c r="E31" s="5" t="s">
        <v>510</v>
      </c>
      <c r="F31" s="5" t="s">
        <v>518</v>
      </c>
      <c r="G31" s="5"/>
      <c r="H31" s="5">
        <v>4</v>
      </c>
      <c r="I31" s="6" t="s">
        <v>91</v>
      </c>
      <c r="J31" s="6" t="s">
        <v>111</v>
      </c>
      <c r="K31" s="6" t="s">
        <v>95</v>
      </c>
      <c r="L31" s="6" t="s">
        <v>98</v>
      </c>
      <c r="M31" s="6" t="s">
        <v>90</v>
      </c>
      <c r="N31" s="213" t="s">
        <v>847</v>
      </c>
      <c r="O31" s="162">
        <f>SUM((W31*Tableau1[[#This Row],[IR_inter1]]),(AN31*Tableau1[[#This Row],[IR_inter2]]),(BC31*Tableau1[[#This Row],[IR_inter3]]),(Tableau1[[#This Row],[IR_freq4]]*BR31),(CG31*Tableau1[[#This Row],[IR_inter5]]))</f>
        <v>4</v>
      </c>
      <c r="P31" s="162">
        <f t="shared" si="0"/>
        <v>4</v>
      </c>
      <c r="Q31" s="162">
        <f t="shared" si="1"/>
        <v>1</v>
      </c>
      <c r="R31" s="162">
        <f t="shared" si="2"/>
        <v>30</v>
      </c>
      <c r="S31" s="11" t="s">
        <v>10</v>
      </c>
      <c r="T31" s="9">
        <v>1</v>
      </c>
      <c r="U31" s="9">
        <v>30</v>
      </c>
      <c r="V31" s="9">
        <v>30</v>
      </c>
      <c r="W31" s="11">
        <v>3</v>
      </c>
      <c r="X31" s="11" t="s">
        <v>11</v>
      </c>
      <c r="Y31" s="8" t="s">
        <v>13</v>
      </c>
      <c r="Z31" s="8" t="s">
        <v>14</v>
      </c>
      <c r="AA31" s="8" t="s">
        <v>15</v>
      </c>
      <c r="AB31" s="8"/>
      <c r="AC31" s="11" t="s">
        <v>119</v>
      </c>
      <c r="AD31" s="8"/>
      <c r="AE31" s="8"/>
      <c r="AF31" s="8"/>
      <c r="AG31" s="8"/>
      <c r="AH31" s="8"/>
      <c r="AI31" s="8"/>
      <c r="AJ31" s="15" t="s">
        <v>17</v>
      </c>
      <c r="AK31" s="14">
        <v>1</v>
      </c>
      <c r="AL31" s="14">
        <v>10</v>
      </c>
      <c r="AM31" s="14">
        <v>10</v>
      </c>
      <c r="AN31" s="15">
        <v>1</v>
      </c>
      <c r="AO31" s="15" t="s">
        <v>11</v>
      </c>
      <c r="AP31" s="13"/>
      <c r="AQ31" s="13"/>
      <c r="AR31" s="13"/>
      <c r="AS31" s="13"/>
      <c r="AT31" s="15" t="s">
        <v>19</v>
      </c>
      <c r="AU31" s="13"/>
      <c r="AV31" s="15" t="s">
        <v>21</v>
      </c>
      <c r="AW31" s="13"/>
      <c r="AX31" s="13"/>
      <c r="AY31" s="18"/>
      <c r="AZ31" s="19"/>
      <c r="BA31" s="19"/>
      <c r="BB31" s="19"/>
      <c r="BC31" s="19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99"/>
      <c r="BO31" s="100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25"/>
      <c r="CD31" s="26"/>
      <c r="CE31" s="25"/>
      <c r="CF31" s="25"/>
      <c r="CG31" s="25"/>
      <c r="CH31" s="25"/>
      <c r="CI31" s="25"/>
      <c r="CJ31" s="25"/>
      <c r="CK31" s="25"/>
      <c r="CL31" s="25"/>
      <c r="CM31" s="25"/>
      <c r="CN31" s="169">
        <f t="shared" si="3"/>
        <v>1</v>
      </c>
      <c r="CO31" s="167">
        <f t="shared" si="4"/>
        <v>0</v>
      </c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167">
        <f t="shared" si="5"/>
        <v>1</v>
      </c>
      <c r="DP31" s="51">
        <v>1</v>
      </c>
      <c r="DQ31" s="51" t="s">
        <v>7</v>
      </c>
      <c r="DR31" s="49"/>
      <c r="DS31" s="51" t="s">
        <v>227</v>
      </c>
      <c r="DT31" s="51" t="s">
        <v>150</v>
      </c>
      <c r="DU31" s="51">
        <v>480</v>
      </c>
      <c r="DV31" s="52" t="s">
        <v>7</v>
      </c>
      <c r="DW31" s="44"/>
      <c r="DX31" s="44"/>
      <c r="DY31" s="44"/>
      <c r="DZ31" s="44"/>
      <c r="EA31" s="44"/>
      <c r="EB31" s="44"/>
      <c r="EC31" s="44"/>
      <c r="ED31" s="44"/>
      <c r="EE31" s="43" t="s">
        <v>155</v>
      </c>
      <c r="EF31" s="43" t="s">
        <v>8</v>
      </c>
      <c r="EG31" s="160">
        <v>1</v>
      </c>
      <c r="EH31" s="41"/>
      <c r="EI31" s="41"/>
      <c r="EJ31" s="41"/>
      <c r="EK31" s="41"/>
      <c r="EL31" s="41"/>
      <c r="EM31" s="41"/>
      <c r="EN31" s="164">
        <v>0</v>
      </c>
      <c r="EO31" s="8" t="s">
        <v>26</v>
      </c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13"/>
      <c r="FA31" s="13"/>
      <c r="FB31" s="13"/>
      <c r="FC31" s="13"/>
      <c r="FD31" s="13"/>
      <c r="FE31" s="13"/>
      <c r="FF31" s="13"/>
      <c r="FG31" s="13"/>
      <c r="FH31" s="13"/>
      <c r="FI31" s="166">
        <v>1</v>
      </c>
      <c r="FJ31" s="126" t="s">
        <v>29</v>
      </c>
      <c r="FK31" s="126" t="s">
        <v>7</v>
      </c>
      <c r="FL31" s="152" t="s">
        <v>7</v>
      </c>
      <c r="FM31" s="151" t="s">
        <v>7</v>
      </c>
      <c r="FN31" s="151" t="s">
        <v>7</v>
      </c>
      <c r="FO31" s="126">
        <v>1</v>
      </c>
      <c r="FP31" s="126">
        <v>500</v>
      </c>
      <c r="FQ31" s="126" t="s">
        <v>14</v>
      </c>
      <c r="FR31" s="126" t="s">
        <v>207</v>
      </c>
      <c r="FS31" s="126"/>
      <c r="FT31" s="126"/>
      <c r="FU31" s="151" t="s">
        <v>21</v>
      </c>
      <c r="FV31" s="151"/>
      <c r="FW31" s="43"/>
      <c r="FX31" s="41"/>
      <c r="FY31" s="41"/>
      <c r="FZ31" s="41"/>
      <c r="GA31" s="41"/>
      <c r="GB31" s="41"/>
      <c r="GC31" s="41"/>
      <c r="GD31" s="41"/>
      <c r="GE31" s="41"/>
      <c r="GF31" s="41"/>
      <c r="GG31" s="128" t="s">
        <v>218</v>
      </c>
      <c r="GH31" s="129"/>
      <c r="GI31" s="129"/>
      <c r="GJ31" s="128" t="s">
        <v>220</v>
      </c>
      <c r="GK31" s="129"/>
      <c r="GL31" s="128" t="s">
        <v>34</v>
      </c>
      <c r="GM31" s="128"/>
      <c r="GN31" s="129"/>
      <c r="GO31" s="129"/>
      <c r="GP31" s="128"/>
      <c r="GQ31" s="129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170"/>
      <c r="HG31" s="172">
        <f t="shared" si="6"/>
        <v>0</v>
      </c>
      <c r="HH31" s="84" t="s">
        <v>24</v>
      </c>
      <c r="HI31" s="79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7"/>
      <c r="HX31" s="77"/>
      <c r="HY31" s="131">
        <f t="shared" si="13"/>
        <v>0</v>
      </c>
      <c r="HZ31" s="76"/>
      <c r="IA31" s="76" t="s">
        <v>892</v>
      </c>
      <c r="IB31" s="76"/>
      <c r="IC31" s="76"/>
      <c r="ID31" s="76"/>
      <c r="IE31" s="76"/>
      <c r="IF31" s="76"/>
      <c r="IG31" s="76"/>
      <c r="IH31" s="76"/>
      <c r="II31" s="76"/>
      <c r="IJ31" s="76"/>
      <c r="IK31" s="72"/>
      <c r="IL31" s="72"/>
      <c r="IM31" s="72"/>
      <c r="IN31" s="72"/>
      <c r="IO31" s="72"/>
      <c r="IP31" s="72"/>
      <c r="IQ31" s="72"/>
      <c r="IR31" s="72"/>
      <c r="IS31" s="72"/>
      <c r="IT31" s="72"/>
      <c r="IU31" s="72"/>
      <c r="IV31" s="72"/>
      <c r="IW31" s="72"/>
      <c r="IX31" s="73"/>
      <c r="IY31" s="73"/>
      <c r="IZ31" s="138">
        <f t="shared" si="14"/>
        <v>0</v>
      </c>
      <c r="JA31" s="72"/>
      <c r="JB31" s="72"/>
      <c r="JC31" s="72"/>
      <c r="JD31" s="72"/>
      <c r="JE31" s="72"/>
      <c r="JF31" s="72"/>
      <c r="JG31" s="72"/>
      <c r="JH31" s="72"/>
      <c r="JI31" s="72"/>
      <c r="JJ31" s="72"/>
      <c r="JK31" s="72"/>
      <c r="JL31" s="173">
        <v>0</v>
      </c>
      <c r="JM31" s="71" t="s">
        <v>24</v>
      </c>
      <c r="JN31" s="71" t="s">
        <v>24</v>
      </c>
      <c r="JO31" s="70"/>
      <c r="JP31" s="70"/>
      <c r="JQ31" s="70"/>
      <c r="JR31" s="70"/>
      <c r="JS31" s="70"/>
      <c r="JT31" s="70"/>
      <c r="JU31" s="70"/>
      <c r="JV31" s="70"/>
      <c r="JW31" s="70"/>
      <c r="JX31" s="70"/>
      <c r="JY31" s="70"/>
      <c r="JZ31" s="4" t="s">
        <v>24</v>
      </c>
      <c r="KA31" s="65"/>
      <c r="KB31" s="65"/>
      <c r="KC31" s="66"/>
      <c r="KD31" s="65"/>
      <c r="KE31" s="67"/>
      <c r="KF31" s="65"/>
      <c r="KG31" s="65"/>
      <c r="KH31" s="65"/>
      <c r="KI31" s="64" t="s">
        <v>259</v>
      </c>
      <c r="KJ31" s="63">
        <v>1</v>
      </c>
      <c r="KK31" s="63">
        <v>60</v>
      </c>
      <c r="KL31" s="63"/>
      <c r="KM31" s="63"/>
      <c r="KN31" s="63"/>
      <c r="KO31" s="63"/>
      <c r="KP31" s="63"/>
      <c r="KQ31" s="63"/>
      <c r="KR31" s="63"/>
      <c r="KS31" s="63"/>
      <c r="KT31" s="63"/>
      <c r="KU31" s="62" t="s">
        <v>24</v>
      </c>
      <c r="KV31" s="58">
        <v>5</v>
      </c>
      <c r="KW31" s="41" t="s">
        <v>265</v>
      </c>
      <c r="KX31" s="41" t="s">
        <v>7</v>
      </c>
      <c r="KY31" s="60" t="s">
        <v>24</v>
      </c>
      <c r="KZ31" s="60" t="s">
        <v>9</v>
      </c>
      <c r="LA31" s="60" t="s">
        <v>9</v>
      </c>
      <c r="LB31" s="60" t="s">
        <v>24</v>
      </c>
      <c r="LC31" s="60" t="s">
        <v>24</v>
      </c>
      <c r="LD31" s="60" t="s">
        <v>7</v>
      </c>
      <c r="LE31" s="59"/>
      <c r="LF31" s="60" t="s">
        <v>172</v>
      </c>
      <c r="LG31" s="3"/>
    </row>
    <row r="32" spans="1:319" x14ac:dyDescent="0.3">
      <c r="A32" s="104" t="s">
        <v>83</v>
      </c>
      <c r="B32" s="104">
        <v>21.1</v>
      </c>
      <c r="C32" s="85" t="s">
        <v>496</v>
      </c>
      <c r="D32" s="85">
        <v>6.1</v>
      </c>
      <c r="E32" s="5" t="s">
        <v>240</v>
      </c>
      <c r="F32" s="5" t="s">
        <v>517</v>
      </c>
      <c r="G32" s="5"/>
      <c r="H32" s="5">
        <v>2</v>
      </c>
      <c r="I32" s="6" t="s">
        <v>91</v>
      </c>
      <c r="J32" s="6"/>
      <c r="K32" s="6" t="s">
        <v>26</v>
      </c>
      <c r="L32" s="6" t="s">
        <v>98</v>
      </c>
      <c r="M32" s="6" t="s">
        <v>93</v>
      </c>
      <c r="N32" s="213" t="s">
        <v>846</v>
      </c>
      <c r="O32" s="162">
        <f>SUM((W32*Tableau1[[#This Row],[IR_inter1]]),(AN32*Tableau1[[#This Row],[IR_inter2]]),(BC32*Tableau1[[#This Row],[IR_inter3]]),(Tableau1[[#This Row],[IR_freq4]]*BR32),(CG32*Tableau1[[#This Row],[IR_inter5]]))</f>
        <v>6</v>
      </c>
      <c r="P32" s="162">
        <f t="shared" si="0"/>
        <v>6</v>
      </c>
      <c r="Q32" s="162">
        <f t="shared" si="1"/>
        <v>1</v>
      </c>
      <c r="R32" s="162">
        <f t="shared" si="2"/>
        <v>30</v>
      </c>
      <c r="S32" s="11" t="s">
        <v>10</v>
      </c>
      <c r="T32" s="12">
        <v>1</v>
      </c>
      <c r="U32" s="12">
        <v>30</v>
      </c>
      <c r="V32" s="9">
        <v>30</v>
      </c>
      <c r="W32" s="11">
        <v>2</v>
      </c>
      <c r="X32" s="11" t="s">
        <v>118</v>
      </c>
      <c r="Y32" s="8" t="s">
        <v>11</v>
      </c>
      <c r="Z32" s="8" t="s">
        <v>13</v>
      </c>
      <c r="AA32" s="8" t="s">
        <v>14</v>
      </c>
      <c r="AB32" s="8" t="s">
        <v>15</v>
      </c>
      <c r="AC32" s="11" t="s">
        <v>119</v>
      </c>
      <c r="AD32" s="8" t="s">
        <v>124</v>
      </c>
      <c r="AE32" s="8" t="s">
        <v>130</v>
      </c>
      <c r="AF32" s="8"/>
      <c r="AG32" s="11" t="s">
        <v>23</v>
      </c>
      <c r="AH32" s="8" t="s">
        <v>21</v>
      </c>
      <c r="AI32" s="8"/>
      <c r="AJ32" s="15" t="s">
        <v>131</v>
      </c>
      <c r="AK32" s="17">
        <v>1</v>
      </c>
      <c r="AL32" s="17">
        <v>20</v>
      </c>
      <c r="AM32" s="14">
        <v>20</v>
      </c>
      <c r="AN32" s="15">
        <v>1</v>
      </c>
      <c r="AO32" s="15" t="s">
        <v>15</v>
      </c>
      <c r="AP32" s="13" t="s">
        <v>16</v>
      </c>
      <c r="AQ32" s="13" t="s">
        <v>22</v>
      </c>
      <c r="AR32" s="13"/>
      <c r="AS32" s="13"/>
      <c r="AT32" s="15" t="s">
        <v>119</v>
      </c>
      <c r="AU32" s="15" t="s">
        <v>121</v>
      </c>
      <c r="AV32" s="15" t="s">
        <v>23</v>
      </c>
      <c r="AW32" s="13" t="s">
        <v>21</v>
      </c>
      <c r="AX32" s="13"/>
      <c r="AY32" s="21" t="s">
        <v>17</v>
      </c>
      <c r="AZ32" s="23">
        <v>1</v>
      </c>
      <c r="BA32" s="22">
        <v>10</v>
      </c>
      <c r="BB32" s="19">
        <v>15</v>
      </c>
      <c r="BC32" s="22">
        <v>3</v>
      </c>
      <c r="BD32" s="21" t="s">
        <v>11</v>
      </c>
      <c r="BE32" s="21" t="s">
        <v>13</v>
      </c>
      <c r="BF32" s="18"/>
      <c r="BG32" s="18"/>
      <c r="BH32" s="18"/>
      <c r="BI32" s="21" t="s">
        <v>19</v>
      </c>
      <c r="BJ32" s="18" t="s">
        <v>124</v>
      </c>
      <c r="BK32" s="18"/>
      <c r="BL32" s="21" t="s">
        <v>21</v>
      </c>
      <c r="BM32" s="18" t="s">
        <v>129</v>
      </c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101"/>
      <c r="CB32" s="99"/>
      <c r="CC32" s="27"/>
      <c r="CD32" s="28"/>
      <c r="CE32" s="27"/>
      <c r="CF32" s="25"/>
      <c r="CG32" s="27"/>
      <c r="CH32" s="27"/>
      <c r="CI32" s="27"/>
      <c r="CJ32" s="27"/>
      <c r="CK32" s="27"/>
      <c r="CL32" s="27"/>
      <c r="CM32" s="25"/>
      <c r="CN32" s="169">
        <f t="shared" si="3"/>
        <v>3</v>
      </c>
      <c r="CO32" s="167">
        <f t="shared" si="4"/>
        <v>2</v>
      </c>
      <c r="CP32" s="31" t="s">
        <v>147</v>
      </c>
      <c r="CQ32" s="34">
        <v>1</v>
      </c>
      <c r="CR32" s="31">
        <v>2</v>
      </c>
      <c r="CS32" s="30">
        <v>2</v>
      </c>
      <c r="CT32" s="31">
        <v>2</v>
      </c>
      <c r="CU32" s="30"/>
      <c r="CV32" s="31" t="s">
        <v>13</v>
      </c>
      <c r="CW32" s="31" t="s">
        <v>14</v>
      </c>
      <c r="CX32" s="31" t="s">
        <v>15</v>
      </c>
      <c r="CY32" s="31"/>
      <c r="CZ32" s="31"/>
      <c r="DA32" s="31" t="s">
        <v>121</v>
      </c>
      <c r="DB32" s="31"/>
      <c r="DC32" s="30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167">
        <f t="shared" si="5"/>
        <v>1</v>
      </c>
      <c r="DP32" s="51">
        <v>2</v>
      </c>
      <c r="DQ32" s="51" t="s">
        <v>7</v>
      </c>
      <c r="DR32" s="49" t="s">
        <v>14</v>
      </c>
      <c r="DS32" s="51" t="s">
        <v>227</v>
      </c>
      <c r="DT32" s="51" t="s">
        <v>150</v>
      </c>
      <c r="DU32" s="51">
        <v>480</v>
      </c>
      <c r="DV32" s="52">
        <v>0.02</v>
      </c>
      <c r="DW32" s="44" t="s">
        <v>166</v>
      </c>
      <c r="DX32" s="45" t="s">
        <v>7</v>
      </c>
      <c r="DY32" s="45" t="s">
        <v>150</v>
      </c>
      <c r="DZ32" s="45" t="s">
        <v>7</v>
      </c>
      <c r="EA32" s="44">
        <v>480</v>
      </c>
      <c r="EB32" s="44"/>
      <c r="EC32" s="46">
        <v>0.01</v>
      </c>
      <c r="ED32" s="45"/>
      <c r="EE32" s="43" t="s">
        <v>156</v>
      </c>
      <c r="EF32" s="43" t="s">
        <v>156</v>
      </c>
      <c r="EG32" s="58">
        <v>1</v>
      </c>
      <c r="EH32" s="41"/>
      <c r="EI32" s="41"/>
      <c r="EJ32" s="41"/>
      <c r="EK32" s="43"/>
      <c r="EL32" s="43"/>
      <c r="EM32" s="43"/>
      <c r="EN32" s="165">
        <v>0</v>
      </c>
      <c r="EO32" s="8" t="s">
        <v>26</v>
      </c>
      <c r="EP32" s="11"/>
      <c r="EQ32" s="11"/>
      <c r="ER32" s="11"/>
      <c r="ES32" s="11"/>
      <c r="ET32" s="11"/>
      <c r="EU32" s="8"/>
      <c r="EV32" s="8"/>
      <c r="EW32" s="11"/>
      <c r="EX32" s="11"/>
      <c r="EY32" s="8"/>
      <c r="EZ32" s="13"/>
      <c r="FA32" s="13"/>
      <c r="FB32" s="13"/>
      <c r="FC32" s="13"/>
      <c r="FD32" s="13"/>
      <c r="FE32" s="13"/>
      <c r="FF32" s="13"/>
      <c r="FG32" s="13"/>
      <c r="FH32" s="13"/>
      <c r="FI32" s="166">
        <v>2</v>
      </c>
      <c r="FJ32" s="151" t="s">
        <v>159</v>
      </c>
      <c r="FK32" s="151"/>
      <c r="FL32" s="150" t="s">
        <v>181</v>
      </c>
      <c r="FM32" s="126" t="s">
        <v>7</v>
      </c>
      <c r="FN32" s="126" t="s">
        <v>7</v>
      </c>
      <c r="FO32" s="126">
        <v>0.5</v>
      </c>
      <c r="FP32" s="126">
        <v>400</v>
      </c>
      <c r="FQ32" s="126" t="s">
        <v>14</v>
      </c>
      <c r="FR32" s="126" t="s">
        <v>207</v>
      </c>
      <c r="FS32" s="126"/>
      <c r="FT32" s="126"/>
      <c r="FU32" s="151" t="s">
        <v>21</v>
      </c>
      <c r="FV32" s="151"/>
      <c r="FW32" s="43" t="s">
        <v>178</v>
      </c>
      <c r="FX32" s="43" t="s">
        <v>7</v>
      </c>
      <c r="FY32" s="43" t="s">
        <v>7</v>
      </c>
      <c r="FZ32" s="43" t="s">
        <v>7</v>
      </c>
      <c r="GA32" s="43">
        <v>0.5</v>
      </c>
      <c r="GB32" s="41">
        <v>400</v>
      </c>
      <c r="GC32" s="43" t="s">
        <v>14</v>
      </c>
      <c r="GD32" s="43" t="s">
        <v>207</v>
      </c>
      <c r="GE32" s="43" t="s">
        <v>21</v>
      </c>
      <c r="GF32" s="41"/>
      <c r="GG32" s="128" t="s">
        <v>217</v>
      </c>
      <c r="GH32" s="129"/>
      <c r="GI32" s="129"/>
      <c r="GJ32" s="128" t="s">
        <v>33</v>
      </c>
      <c r="GK32" s="129" t="s">
        <v>215</v>
      </c>
      <c r="GL32" s="128" t="s">
        <v>221</v>
      </c>
      <c r="GM32" s="128"/>
      <c r="GN32" s="128"/>
      <c r="GO32" s="129"/>
      <c r="GP32" s="128" t="s">
        <v>35</v>
      </c>
      <c r="GQ32" s="128">
        <v>1</v>
      </c>
      <c r="GR32" s="56" t="s">
        <v>22</v>
      </c>
      <c r="GS32" s="55"/>
      <c r="GT32" s="56"/>
      <c r="GU32" s="56" t="s">
        <v>225</v>
      </c>
      <c r="GV32" s="56" t="s">
        <v>234</v>
      </c>
      <c r="GW32" s="56" t="s">
        <v>234</v>
      </c>
      <c r="GX32" s="56"/>
      <c r="GY32" s="56" t="s">
        <v>9</v>
      </c>
      <c r="GZ32" s="55">
        <v>1</v>
      </c>
      <c r="HA32" s="55" t="s">
        <v>135</v>
      </c>
      <c r="HB32" s="55" t="s">
        <v>229</v>
      </c>
      <c r="HC32" s="55"/>
      <c r="HD32" s="55"/>
      <c r="HE32" s="55"/>
      <c r="HF32" s="170"/>
      <c r="HG32" s="172">
        <f t="shared" si="6"/>
        <v>350</v>
      </c>
      <c r="HH32" s="84" t="s">
        <v>9</v>
      </c>
      <c r="HI32" s="79">
        <v>1</v>
      </c>
      <c r="HJ32" s="79" t="s">
        <v>229</v>
      </c>
      <c r="HK32" s="76"/>
      <c r="HL32" s="76"/>
      <c r="HM32" s="76"/>
      <c r="HN32" s="76"/>
      <c r="HO32" s="79" t="s">
        <v>235</v>
      </c>
      <c r="HP32" s="79" t="s">
        <v>240</v>
      </c>
      <c r="HQ32" s="79" t="s">
        <v>37</v>
      </c>
      <c r="HR32" s="76"/>
      <c r="HS32" s="76"/>
      <c r="HT32" s="79" t="s">
        <v>221</v>
      </c>
      <c r="HU32" s="76"/>
      <c r="HV32" s="76"/>
      <c r="HW32" s="80">
        <v>30</v>
      </c>
      <c r="HX32" s="77">
        <v>40</v>
      </c>
      <c r="HY32" s="131">
        <f t="shared" si="13"/>
        <v>35</v>
      </c>
      <c r="HZ32" s="79" t="s">
        <v>39</v>
      </c>
      <c r="IA32" s="76" t="s">
        <v>248</v>
      </c>
      <c r="IB32" s="79" t="s">
        <v>249</v>
      </c>
      <c r="IC32" s="79">
        <v>1</v>
      </c>
      <c r="ID32" s="76">
        <v>1</v>
      </c>
      <c r="IE32" s="79">
        <v>30</v>
      </c>
      <c r="IF32" s="76">
        <v>30</v>
      </c>
      <c r="IG32" s="79">
        <v>10</v>
      </c>
      <c r="IH32" s="76">
        <v>30</v>
      </c>
      <c r="II32" s="76">
        <f t="shared" ref="II32:IJ34" si="15">SUM(IC32,IE32,IG32)</f>
        <v>41</v>
      </c>
      <c r="IJ32" s="76">
        <f t="shared" si="15"/>
        <v>61</v>
      </c>
      <c r="IK32" s="74"/>
      <c r="IL32" s="72"/>
      <c r="IM32" s="72"/>
      <c r="IN32" s="72"/>
      <c r="IO32" s="72"/>
      <c r="IP32" s="72"/>
      <c r="IQ32" s="72"/>
      <c r="IR32" s="72"/>
      <c r="IS32" s="72"/>
      <c r="IT32" s="72"/>
      <c r="IU32" s="72"/>
      <c r="IV32" s="72"/>
      <c r="IW32" s="72"/>
      <c r="IX32" s="73"/>
      <c r="IY32" s="73"/>
      <c r="IZ32" s="138">
        <f t="shared" si="14"/>
        <v>0</v>
      </c>
      <c r="JA32" s="72"/>
      <c r="JB32" s="72"/>
      <c r="JC32" s="72"/>
      <c r="JD32" s="72"/>
      <c r="JE32" s="72"/>
      <c r="JF32" s="72"/>
      <c r="JG32" s="72"/>
      <c r="JH32" s="72"/>
      <c r="JI32" s="72"/>
      <c r="JJ32" s="72"/>
      <c r="JK32" s="72"/>
      <c r="JL32" s="173">
        <v>0</v>
      </c>
      <c r="JM32" s="71" t="s">
        <v>24</v>
      </c>
      <c r="JN32" s="71" t="s">
        <v>24</v>
      </c>
      <c r="JO32" s="70"/>
      <c r="JP32" s="71"/>
      <c r="JQ32" s="71"/>
      <c r="JR32" s="71"/>
      <c r="JS32" s="70"/>
      <c r="JT32" s="71"/>
      <c r="JU32" s="70"/>
      <c r="JV32" s="70"/>
      <c r="JW32" s="71"/>
      <c r="JX32" s="71"/>
      <c r="JY32" s="71"/>
      <c r="JZ32" s="4" t="s">
        <v>24</v>
      </c>
      <c r="KA32" s="4"/>
      <c r="KB32" s="4"/>
      <c r="KC32" s="68"/>
      <c r="KD32" s="67"/>
      <c r="KE32" s="68"/>
      <c r="KF32" s="4"/>
      <c r="KG32" s="4"/>
      <c r="KH32" s="4"/>
      <c r="KI32" s="64" t="s">
        <v>258</v>
      </c>
      <c r="KJ32" s="63">
        <v>1</v>
      </c>
      <c r="KK32" s="63">
        <v>70</v>
      </c>
      <c r="KL32" s="63"/>
      <c r="KM32" s="63"/>
      <c r="KN32" s="63"/>
      <c r="KO32" s="63"/>
      <c r="KP32" s="63"/>
      <c r="KQ32" s="63"/>
      <c r="KR32" s="63"/>
      <c r="KS32" s="63"/>
      <c r="KT32" s="63"/>
      <c r="KU32" s="62" t="s">
        <v>9</v>
      </c>
      <c r="KV32" s="58">
        <v>0</v>
      </c>
      <c r="KW32" s="43"/>
      <c r="KX32" s="43"/>
      <c r="KY32" s="60" t="s">
        <v>24</v>
      </c>
      <c r="KZ32" s="60" t="s">
        <v>9</v>
      </c>
      <c r="LA32" s="60" t="s">
        <v>24</v>
      </c>
      <c r="LB32" s="60" t="s">
        <v>9</v>
      </c>
      <c r="LC32" s="60" t="s">
        <v>249</v>
      </c>
      <c r="LD32" s="60" t="s">
        <v>273</v>
      </c>
      <c r="LE32" s="60" t="s">
        <v>272</v>
      </c>
      <c r="LF32" s="60" t="s">
        <v>172</v>
      </c>
      <c r="LG32" s="3"/>
    </row>
    <row r="33" spans="1:319" x14ac:dyDescent="0.3">
      <c r="A33" s="104" t="s">
        <v>84</v>
      </c>
      <c r="B33" s="104">
        <v>21.2</v>
      </c>
      <c r="C33" s="85" t="s">
        <v>288</v>
      </c>
      <c r="D33" s="85">
        <v>2.5</v>
      </c>
      <c r="E33" s="5" t="s">
        <v>240</v>
      </c>
      <c r="F33" s="5" t="s">
        <v>515</v>
      </c>
      <c r="G33" s="5"/>
      <c r="H33" s="5">
        <v>2</v>
      </c>
      <c r="I33" s="6" t="s">
        <v>91</v>
      </c>
      <c r="J33" s="6"/>
      <c r="K33" s="6" t="s">
        <v>26</v>
      </c>
      <c r="L33" s="6" t="s">
        <v>113</v>
      </c>
      <c r="M33" s="6" t="s">
        <v>93</v>
      </c>
      <c r="N33" s="213" t="s">
        <v>846</v>
      </c>
      <c r="O33" s="162">
        <f>SUM((W33*Tableau1[[#This Row],[IR_inter1]]),(AN33*Tableau1[[#This Row],[IR_inter2]]),(BC33*Tableau1[[#This Row],[IR_inter3]]),(Tableau1[[#This Row],[IR_freq4]]*BR33),(CG33*Tableau1[[#This Row],[IR_inter5]]))</f>
        <v>6</v>
      </c>
      <c r="P33" s="162">
        <f t="shared" si="0"/>
        <v>6</v>
      </c>
      <c r="Q33" s="162">
        <f t="shared" si="1"/>
        <v>1</v>
      </c>
      <c r="R33" s="162">
        <f t="shared" si="2"/>
        <v>30</v>
      </c>
      <c r="S33" s="11" t="s">
        <v>10</v>
      </c>
      <c r="T33" s="12">
        <v>1</v>
      </c>
      <c r="U33" s="12">
        <v>30</v>
      </c>
      <c r="V33" s="9">
        <v>30</v>
      </c>
      <c r="W33" s="11">
        <v>2</v>
      </c>
      <c r="X33" s="11" t="s">
        <v>118</v>
      </c>
      <c r="Y33" s="8" t="s">
        <v>11</v>
      </c>
      <c r="Z33" s="8" t="s">
        <v>13</v>
      </c>
      <c r="AA33" s="8" t="s">
        <v>14</v>
      </c>
      <c r="AB33" s="8" t="s">
        <v>15</v>
      </c>
      <c r="AC33" s="11" t="s">
        <v>119</v>
      </c>
      <c r="AD33" s="8" t="s">
        <v>124</v>
      </c>
      <c r="AE33" s="8" t="s">
        <v>130</v>
      </c>
      <c r="AF33" s="8"/>
      <c r="AG33" s="11" t="s">
        <v>23</v>
      </c>
      <c r="AH33" s="8" t="s">
        <v>21</v>
      </c>
      <c r="AI33" s="8"/>
      <c r="AJ33" s="15" t="s">
        <v>131</v>
      </c>
      <c r="AK33" s="17">
        <v>1</v>
      </c>
      <c r="AL33" s="17">
        <v>20</v>
      </c>
      <c r="AM33" s="14">
        <v>20</v>
      </c>
      <c r="AN33" s="15">
        <v>1</v>
      </c>
      <c r="AO33" s="15" t="s">
        <v>15</v>
      </c>
      <c r="AP33" s="13" t="s">
        <v>16</v>
      </c>
      <c r="AQ33" s="13" t="s">
        <v>22</v>
      </c>
      <c r="AR33" s="13"/>
      <c r="AS33" s="13"/>
      <c r="AT33" s="15" t="s">
        <v>119</v>
      </c>
      <c r="AU33" s="15" t="s">
        <v>121</v>
      </c>
      <c r="AV33" s="15" t="s">
        <v>23</v>
      </c>
      <c r="AW33" s="13" t="s">
        <v>21</v>
      </c>
      <c r="AX33" s="13"/>
      <c r="AY33" s="21" t="s">
        <v>17</v>
      </c>
      <c r="AZ33" s="23">
        <v>1</v>
      </c>
      <c r="BA33" s="22">
        <v>10</v>
      </c>
      <c r="BB33" s="19">
        <v>15</v>
      </c>
      <c r="BC33" s="22">
        <v>3</v>
      </c>
      <c r="BD33" s="21" t="s">
        <v>11</v>
      </c>
      <c r="BE33" s="21" t="s">
        <v>13</v>
      </c>
      <c r="BF33" s="18"/>
      <c r="BG33" s="18"/>
      <c r="BH33" s="18"/>
      <c r="BI33" s="21" t="s">
        <v>19</v>
      </c>
      <c r="BJ33" s="18" t="s">
        <v>124</v>
      </c>
      <c r="BK33" s="18"/>
      <c r="BL33" s="21" t="s">
        <v>21</v>
      </c>
      <c r="BM33" s="18" t="s">
        <v>129</v>
      </c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101"/>
      <c r="CB33" s="99"/>
      <c r="CC33" s="27"/>
      <c r="CD33" s="28"/>
      <c r="CE33" s="27"/>
      <c r="CF33" s="25"/>
      <c r="CG33" s="27"/>
      <c r="CH33" s="27"/>
      <c r="CI33" s="27"/>
      <c r="CJ33" s="27"/>
      <c r="CK33" s="27"/>
      <c r="CL33" s="27"/>
      <c r="CM33" s="25"/>
      <c r="CN33" s="169">
        <f t="shared" si="3"/>
        <v>3</v>
      </c>
      <c r="CO33" s="167">
        <f t="shared" si="4"/>
        <v>2</v>
      </c>
      <c r="CP33" s="31" t="s">
        <v>147</v>
      </c>
      <c r="CQ33" s="34">
        <v>1</v>
      </c>
      <c r="CR33" s="31">
        <v>2</v>
      </c>
      <c r="CS33" s="30">
        <v>2</v>
      </c>
      <c r="CT33" s="31">
        <v>2</v>
      </c>
      <c r="CU33" s="30"/>
      <c r="CV33" s="31" t="s">
        <v>13</v>
      </c>
      <c r="CW33" s="31" t="s">
        <v>14</v>
      </c>
      <c r="CX33" s="31" t="s">
        <v>15</v>
      </c>
      <c r="CY33" s="31"/>
      <c r="CZ33" s="31"/>
      <c r="DA33" s="31" t="s">
        <v>121</v>
      </c>
      <c r="DB33" s="31"/>
      <c r="DC33" s="30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167">
        <f t="shared" si="5"/>
        <v>1</v>
      </c>
      <c r="DP33" s="51">
        <v>2</v>
      </c>
      <c r="DQ33" s="51" t="s">
        <v>7</v>
      </c>
      <c r="DR33" s="49" t="s">
        <v>14</v>
      </c>
      <c r="DS33" s="51" t="s">
        <v>227</v>
      </c>
      <c r="DT33" s="51" t="s">
        <v>150</v>
      </c>
      <c r="DU33" s="51">
        <v>480</v>
      </c>
      <c r="DV33" s="52">
        <v>0.02</v>
      </c>
      <c r="DW33" s="44" t="s">
        <v>166</v>
      </c>
      <c r="DX33" s="45" t="s">
        <v>7</v>
      </c>
      <c r="DY33" s="45" t="s">
        <v>150</v>
      </c>
      <c r="DZ33" s="45" t="s">
        <v>7</v>
      </c>
      <c r="EA33" s="44">
        <v>480</v>
      </c>
      <c r="EB33" s="44"/>
      <c r="EC33" s="46">
        <v>0.01</v>
      </c>
      <c r="ED33" s="45"/>
      <c r="EE33" s="43" t="s">
        <v>156</v>
      </c>
      <c r="EF33" s="43" t="s">
        <v>156</v>
      </c>
      <c r="EG33" s="58">
        <v>1</v>
      </c>
      <c r="EH33" s="41"/>
      <c r="EI33" s="41"/>
      <c r="EJ33" s="41"/>
      <c r="EK33" s="43"/>
      <c r="EL33" s="43"/>
      <c r="EM33" s="43"/>
      <c r="EN33" s="165">
        <v>0</v>
      </c>
      <c r="EO33" s="8" t="s">
        <v>26</v>
      </c>
      <c r="EP33" s="11"/>
      <c r="EQ33" s="11"/>
      <c r="ER33" s="11"/>
      <c r="ES33" s="11"/>
      <c r="ET33" s="11"/>
      <c r="EU33" s="8"/>
      <c r="EV33" s="8"/>
      <c r="EW33" s="11"/>
      <c r="EX33" s="11"/>
      <c r="EY33" s="8"/>
      <c r="EZ33" s="13"/>
      <c r="FA33" s="13"/>
      <c r="FB33" s="13"/>
      <c r="FC33" s="13"/>
      <c r="FD33" s="13"/>
      <c r="FE33" s="13"/>
      <c r="FF33" s="13"/>
      <c r="FG33" s="13"/>
      <c r="FH33" s="13"/>
      <c r="FI33" s="166">
        <v>2</v>
      </c>
      <c r="FJ33" s="151" t="s">
        <v>159</v>
      </c>
      <c r="FK33" s="151"/>
      <c r="FL33" s="150" t="s">
        <v>181</v>
      </c>
      <c r="FM33" s="126" t="s">
        <v>7</v>
      </c>
      <c r="FN33" s="126" t="s">
        <v>7</v>
      </c>
      <c r="FO33" s="126">
        <v>0.5</v>
      </c>
      <c r="FP33" s="126">
        <v>400</v>
      </c>
      <c r="FQ33" s="126" t="s">
        <v>14</v>
      </c>
      <c r="FR33" s="126" t="s">
        <v>207</v>
      </c>
      <c r="FS33" s="126"/>
      <c r="FT33" s="126"/>
      <c r="FU33" s="151" t="s">
        <v>21</v>
      </c>
      <c r="FV33" s="151"/>
      <c r="FW33" s="43" t="s">
        <v>178</v>
      </c>
      <c r="FX33" s="43" t="s">
        <v>7</v>
      </c>
      <c r="FY33" s="43" t="s">
        <v>7</v>
      </c>
      <c r="FZ33" s="43" t="s">
        <v>7</v>
      </c>
      <c r="GA33" s="43">
        <v>0.5</v>
      </c>
      <c r="GB33" s="41">
        <v>400</v>
      </c>
      <c r="GC33" s="43" t="s">
        <v>14</v>
      </c>
      <c r="GD33" s="43" t="s">
        <v>207</v>
      </c>
      <c r="GE33" s="43" t="s">
        <v>21</v>
      </c>
      <c r="GF33" s="41"/>
      <c r="GG33" s="128" t="s">
        <v>217</v>
      </c>
      <c r="GH33" s="129"/>
      <c r="GI33" s="129"/>
      <c r="GJ33" s="128" t="s">
        <v>33</v>
      </c>
      <c r="GK33" s="129" t="s">
        <v>215</v>
      </c>
      <c r="GL33" s="128" t="s">
        <v>221</v>
      </c>
      <c r="GM33" s="128"/>
      <c r="GN33" s="128"/>
      <c r="GO33" s="129"/>
      <c r="GP33" s="128" t="s">
        <v>35</v>
      </c>
      <c r="GQ33" s="128">
        <v>1</v>
      </c>
      <c r="GR33" s="56" t="s">
        <v>22</v>
      </c>
      <c r="GS33" s="55"/>
      <c r="GT33" s="56"/>
      <c r="GU33" s="56" t="s">
        <v>225</v>
      </c>
      <c r="GV33" s="56" t="s">
        <v>234</v>
      </c>
      <c r="GW33" s="56" t="s">
        <v>234</v>
      </c>
      <c r="GX33" s="56"/>
      <c r="GY33" s="56" t="s">
        <v>9</v>
      </c>
      <c r="GZ33" s="55">
        <v>1</v>
      </c>
      <c r="HA33" s="55" t="s">
        <v>134</v>
      </c>
      <c r="HB33" s="55"/>
      <c r="HC33" s="55"/>
      <c r="HD33" s="55"/>
      <c r="HE33" s="55"/>
      <c r="HF33" s="170"/>
      <c r="HG33" s="172">
        <f t="shared" si="6"/>
        <v>350</v>
      </c>
      <c r="HH33" s="84" t="s">
        <v>9</v>
      </c>
      <c r="HI33" s="79">
        <v>1</v>
      </c>
      <c r="HJ33" s="79" t="s">
        <v>229</v>
      </c>
      <c r="HK33" s="76"/>
      <c r="HL33" s="76"/>
      <c r="HM33" s="76"/>
      <c r="HN33" s="76"/>
      <c r="HO33" s="79" t="s">
        <v>235</v>
      </c>
      <c r="HP33" s="79" t="s">
        <v>240</v>
      </c>
      <c r="HQ33" s="79" t="s">
        <v>37</v>
      </c>
      <c r="HR33" s="76"/>
      <c r="HS33" s="76"/>
      <c r="HT33" s="79" t="s">
        <v>221</v>
      </c>
      <c r="HU33" s="76"/>
      <c r="HV33" s="76"/>
      <c r="HW33" s="80">
        <v>30</v>
      </c>
      <c r="HX33" s="77">
        <v>40</v>
      </c>
      <c r="HY33" s="131">
        <f t="shared" si="13"/>
        <v>35</v>
      </c>
      <c r="HZ33" s="79" t="s">
        <v>39</v>
      </c>
      <c r="IA33" s="76" t="s">
        <v>248</v>
      </c>
      <c r="IB33" s="79" t="s">
        <v>249</v>
      </c>
      <c r="IC33" s="79">
        <v>1</v>
      </c>
      <c r="ID33" s="76">
        <v>1</v>
      </c>
      <c r="IE33" s="79">
        <v>30</v>
      </c>
      <c r="IF33" s="76">
        <v>30</v>
      </c>
      <c r="IG33" s="79">
        <v>10</v>
      </c>
      <c r="IH33" s="76">
        <v>30</v>
      </c>
      <c r="II33" s="76">
        <f t="shared" si="15"/>
        <v>41</v>
      </c>
      <c r="IJ33" s="76">
        <f t="shared" si="15"/>
        <v>61</v>
      </c>
      <c r="IK33" s="74"/>
      <c r="IL33" s="72"/>
      <c r="IM33" s="72"/>
      <c r="IN33" s="72"/>
      <c r="IO33" s="72"/>
      <c r="IP33" s="72"/>
      <c r="IQ33" s="72"/>
      <c r="IR33" s="72"/>
      <c r="IS33" s="72"/>
      <c r="IT33" s="72"/>
      <c r="IU33" s="72"/>
      <c r="IV33" s="72"/>
      <c r="IW33" s="72"/>
      <c r="IX33" s="73"/>
      <c r="IY33" s="73"/>
      <c r="IZ33" s="138">
        <f t="shared" si="14"/>
        <v>0</v>
      </c>
      <c r="JA33" s="72"/>
      <c r="JB33" s="72"/>
      <c r="JC33" s="72"/>
      <c r="JD33" s="72"/>
      <c r="JE33" s="72"/>
      <c r="JF33" s="72"/>
      <c r="JG33" s="72"/>
      <c r="JH33" s="72"/>
      <c r="JI33" s="72"/>
      <c r="JJ33" s="72"/>
      <c r="JK33" s="72"/>
      <c r="JL33" s="173">
        <v>0</v>
      </c>
      <c r="JM33" s="71" t="s">
        <v>24</v>
      </c>
      <c r="JN33" s="71" t="s">
        <v>24</v>
      </c>
      <c r="JO33" s="70"/>
      <c r="JP33" s="71"/>
      <c r="JQ33" s="71"/>
      <c r="JR33" s="71"/>
      <c r="JS33" s="70"/>
      <c r="JT33" s="71"/>
      <c r="JU33" s="70"/>
      <c r="JV33" s="70"/>
      <c r="JW33" s="71"/>
      <c r="JX33" s="71"/>
      <c r="JY33" s="71"/>
      <c r="JZ33" s="4" t="s">
        <v>24</v>
      </c>
      <c r="KA33" s="4"/>
      <c r="KB33" s="4"/>
      <c r="KC33" s="68"/>
      <c r="KD33" s="67"/>
      <c r="KE33" s="68"/>
      <c r="KF33" s="4"/>
      <c r="KG33" s="4"/>
      <c r="KH33" s="4"/>
      <c r="KI33" s="64" t="s">
        <v>258</v>
      </c>
      <c r="KJ33" s="63">
        <v>1</v>
      </c>
      <c r="KK33" s="63">
        <v>70</v>
      </c>
      <c r="KL33" s="63"/>
      <c r="KM33" s="63"/>
      <c r="KN33" s="63"/>
      <c r="KO33" s="63"/>
      <c r="KP33" s="63"/>
      <c r="KQ33" s="63"/>
      <c r="KR33" s="63"/>
      <c r="KS33" s="63"/>
      <c r="KT33" s="63"/>
      <c r="KU33" s="62" t="s">
        <v>9</v>
      </c>
      <c r="KV33" s="58">
        <v>0</v>
      </c>
      <c r="KW33" s="43"/>
      <c r="KX33" s="43"/>
      <c r="KY33" s="60" t="s">
        <v>24</v>
      </c>
      <c r="KZ33" s="60" t="s">
        <v>9</v>
      </c>
      <c r="LA33" s="60" t="s">
        <v>24</v>
      </c>
      <c r="LB33" s="60" t="s">
        <v>9</v>
      </c>
      <c r="LC33" s="60" t="s">
        <v>249</v>
      </c>
      <c r="LD33" s="60" t="s">
        <v>273</v>
      </c>
      <c r="LE33" s="60" t="s">
        <v>272</v>
      </c>
      <c r="LF33" s="60" t="s">
        <v>172</v>
      </c>
      <c r="LG33" s="3"/>
    </row>
    <row r="34" spans="1:319" x14ac:dyDescent="0.3">
      <c r="A34" s="104" t="s">
        <v>85</v>
      </c>
      <c r="B34" s="104">
        <v>21.3</v>
      </c>
      <c r="C34" s="85" t="s">
        <v>491</v>
      </c>
      <c r="D34" s="85">
        <v>2.5</v>
      </c>
      <c r="E34" s="5" t="s">
        <v>240</v>
      </c>
      <c r="F34" s="5" t="s">
        <v>517</v>
      </c>
      <c r="G34" s="5"/>
      <c r="H34" s="5">
        <v>2</v>
      </c>
      <c r="I34" s="6" t="s">
        <v>91</v>
      </c>
      <c r="J34" s="6" t="s">
        <v>108</v>
      </c>
      <c r="K34" s="6" t="s">
        <v>26</v>
      </c>
      <c r="L34" s="6" t="s">
        <v>113</v>
      </c>
      <c r="M34" s="6" t="s">
        <v>93</v>
      </c>
      <c r="N34" s="213" t="s">
        <v>846</v>
      </c>
      <c r="O34" s="162">
        <f>SUM((W34*Tableau1[[#This Row],[IR_inter1]]),(AN34*Tableau1[[#This Row],[IR_inter2]]),(BC34*Tableau1[[#This Row],[IR_inter3]]),(Tableau1[[#This Row],[IR_freq4]]*BR34),(CG34*Tableau1[[#This Row],[IR_inter5]]))</f>
        <v>6</v>
      </c>
      <c r="P34" s="162">
        <f t="shared" si="0"/>
        <v>6</v>
      </c>
      <c r="Q34" s="162">
        <f t="shared" si="1"/>
        <v>1</v>
      </c>
      <c r="R34" s="162">
        <f t="shared" si="2"/>
        <v>30</v>
      </c>
      <c r="S34" s="11" t="s">
        <v>10</v>
      </c>
      <c r="T34" s="12">
        <v>1</v>
      </c>
      <c r="U34" s="12">
        <v>30</v>
      </c>
      <c r="V34" s="9">
        <v>30</v>
      </c>
      <c r="W34" s="11">
        <v>2</v>
      </c>
      <c r="X34" s="11" t="s">
        <v>118</v>
      </c>
      <c r="Y34" s="8" t="s">
        <v>11</v>
      </c>
      <c r="Z34" s="8" t="s">
        <v>13</v>
      </c>
      <c r="AA34" s="8" t="s">
        <v>14</v>
      </c>
      <c r="AB34" s="8" t="s">
        <v>15</v>
      </c>
      <c r="AC34" s="11" t="s">
        <v>119</v>
      </c>
      <c r="AD34" s="8" t="s">
        <v>124</v>
      </c>
      <c r="AE34" s="8" t="s">
        <v>130</v>
      </c>
      <c r="AF34" s="8"/>
      <c r="AG34" s="11" t="s">
        <v>23</v>
      </c>
      <c r="AH34" s="8" t="s">
        <v>21</v>
      </c>
      <c r="AI34" s="8"/>
      <c r="AJ34" s="15" t="s">
        <v>131</v>
      </c>
      <c r="AK34" s="17">
        <v>1</v>
      </c>
      <c r="AL34" s="17">
        <v>20</v>
      </c>
      <c r="AM34" s="14">
        <v>20</v>
      </c>
      <c r="AN34" s="15">
        <v>1</v>
      </c>
      <c r="AO34" s="15" t="s">
        <v>15</v>
      </c>
      <c r="AP34" s="13" t="s">
        <v>16</v>
      </c>
      <c r="AQ34" s="13" t="s">
        <v>22</v>
      </c>
      <c r="AR34" s="13"/>
      <c r="AS34" s="13"/>
      <c r="AT34" s="15" t="s">
        <v>119</v>
      </c>
      <c r="AU34" s="15" t="s">
        <v>121</v>
      </c>
      <c r="AV34" s="15" t="s">
        <v>23</v>
      </c>
      <c r="AW34" s="13" t="s">
        <v>21</v>
      </c>
      <c r="AX34" s="13"/>
      <c r="AY34" s="21" t="s">
        <v>17</v>
      </c>
      <c r="AZ34" s="23">
        <v>1</v>
      </c>
      <c r="BA34" s="22">
        <v>10</v>
      </c>
      <c r="BB34" s="19">
        <v>15</v>
      </c>
      <c r="BC34" s="22">
        <v>3</v>
      </c>
      <c r="BD34" s="21" t="s">
        <v>11</v>
      </c>
      <c r="BE34" s="21" t="s">
        <v>13</v>
      </c>
      <c r="BF34" s="18"/>
      <c r="BG34" s="18"/>
      <c r="BH34" s="18"/>
      <c r="BI34" s="21" t="s">
        <v>19</v>
      </c>
      <c r="BJ34" s="18" t="s">
        <v>124</v>
      </c>
      <c r="BK34" s="18"/>
      <c r="BL34" s="21" t="s">
        <v>21</v>
      </c>
      <c r="BM34" s="18" t="s">
        <v>129</v>
      </c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101"/>
      <c r="CB34" s="99"/>
      <c r="CC34" s="27"/>
      <c r="CD34" s="28"/>
      <c r="CE34" s="27"/>
      <c r="CF34" s="25"/>
      <c r="CG34" s="27"/>
      <c r="CH34" s="27"/>
      <c r="CI34" s="27"/>
      <c r="CJ34" s="27"/>
      <c r="CK34" s="27"/>
      <c r="CL34" s="27"/>
      <c r="CM34" s="25"/>
      <c r="CN34" s="169">
        <f t="shared" si="3"/>
        <v>3</v>
      </c>
      <c r="CO34" s="167">
        <f t="shared" si="4"/>
        <v>2</v>
      </c>
      <c r="CP34" s="31" t="s">
        <v>147</v>
      </c>
      <c r="CQ34" s="34">
        <v>1</v>
      </c>
      <c r="CR34" s="31">
        <v>2</v>
      </c>
      <c r="CS34" s="30">
        <v>2</v>
      </c>
      <c r="CT34" s="31">
        <v>2</v>
      </c>
      <c r="CU34" s="30"/>
      <c r="CV34" s="31" t="s">
        <v>13</v>
      </c>
      <c r="CW34" s="31" t="s">
        <v>14</v>
      </c>
      <c r="CX34" s="31" t="s">
        <v>15</v>
      </c>
      <c r="CY34" s="31"/>
      <c r="CZ34" s="31"/>
      <c r="DA34" s="31" t="s">
        <v>121</v>
      </c>
      <c r="DB34" s="31"/>
      <c r="DC34" s="30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167">
        <f t="shared" si="5"/>
        <v>1</v>
      </c>
      <c r="DP34" s="51">
        <v>2</v>
      </c>
      <c r="DQ34" s="51" t="s">
        <v>7</v>
      </c>
      <c r="DR34" s="49" t="s">
        <v>14</v>
      </c>
      <c r="DS34" s="51" t="s">
        <v>227</v>
      </c>
      <c r="DT34" s="51" t="s">
        <v>150</v>
      </c>
      <c r="DU34" s="51">
        <v>480</v>
      </c>
      <c r="DV34" s="52">
        <v>0.02</v>
      </c>
      <c r="DW34" s="44" t="s">
        <v>166</v>
      </c>
      <c r="DX34" s="45" t="s">
        <v>7</v>
      </c>
      <c r="DY34" s="45" t="s">
        <v>150</v>
      </c>
      <c r="DZ34" s="45" t="s">
        <v>7</v>
      </c>
      <c r="EA34" s="44">
        <v>480</v>
      </c>
      <c r="EB34" s="44"/>
      <c r="EC34" s="46">
        <v>0.01</v>
      </c>
      <c r="ED34" s="45"/>
      <c r="EE34" s="43" t="s">
        <v>156</v>
      </c>
      <c r="EF34" s="43" t="s">
        <v>156</v>
      </c>
      <c r="EG34" s="58">
        <v>1</v>
      </c>
      <c r="EH34" s="41"/>
      <c r="EI34" s="41"/>
      <c r="EJ34" s="41"/>
      <c r="EK34" s="43"/>
      <c r="EL34" s="43"/>
      <c r="EM34" s="43"/>
      <c r="EN34" s="165">
        <v>0</v>
      </c>
      <c r="EO34" s="8" t="s">
        <v>26</v>
      </c>
      <c r="EP34" s="11"/>
      <c r="EQ34" s="11"/>
      <c r="ER34" s="11"/>
      <c r="ES34" s="11"/>
      <c r="ET34" s="11"/>
      <c r="EU34" s="8"/>
      <c r="EV34" s="8"/>
      <c r="EW34" s="11"/>
      <c r="EX34" s="11"/>
      <c r="EY34" s="8"/>
      <c r="EZ34" s="13"/>
      <c r="FA34" s="13"/>
      <c r="FB34" s="13"/>
      <c r="FC34" s="13"/>
      <c r="FD34" s="13"/>
      <c r="FE34" s="13"/>
      <c r="FF34" s="13"/>
      <c r="FG34" s="13"/>
      <c r="FH34" s="13"/>
      <c r="FI34" s="166">
        <v>2</v>
      </c>
      <c r="FJ34" s="151" t="s">
        <v>159</v>
      </c>
      <c r="FK34" s="151"/>
      <c r="FL34" s="150" t="s">
        <v>181</v>
      </c>
      <c r="FM34" s="126" t="s">
        <v>7</v>
      </c>
      <c r="FN34" s="126" t="s">
        <v>7</v>
      </c>
      <c r="FO34" s="126">
        <v>0.5</v>
      </c>
      <c r="FP34" s="126">
        <v>400</v>
      </c>
      <c r="FQ34" s="126" t="s">
        <v>14</v>
      </c>
      <c r="FR34" s="126" t="s">
        <v>207</v>
      </c>
      <c r="FS34" s="126"/>
      <c r="FT34" s="126"/>
      <c r="FU34" s="151" t="s">
        <v>21</v>
      </c>
      <c r="FV34" s="151"/>
      <c r="FW34" s="43" t="s">
        <v>178</v>
      </c>
      <c r="FX34" s="43" t="s">
        <v>7</v>
      </c>
      <c r="FY34" s="43" t="s">
        <v>7</v>
      </c>
      <c r="FZ34" s="43" t="s">
        <v>7</v>
      </c>
      <c r="GA34" s="43">
        <v>0.5</v>
      </c>
      <c r="GB34" s="41">
        <v>400</v>
      </c>
      <c r="GC34" s="43" t="s">
        <v>14</v>
      </c>
      <c r="GD34" s="43" t="s">
        <v>207</v>
      </c>
      <c r="GE34" s="43" t="s">
        <v>21</v>
      </c>
      <c r="GF34" s="41"/>
      <c r="GG34" s="128" t="s">
        <v>217</v>
      </c>
      <c r="GH34" s="129"/>
      <c r="GI34" s="129"/>
      <c r="GJ34" s="128" t="s">
        <v>33</v>
      </c>
      <c r="GK34" s="129" t="s">
        <v>215</v>
      </c>
      <c r="GL34" s="128" t="s">
        <v>221</v>
      </c>
      <c r="GM34" s="128"/>
      <c r="GN34" s="128"/>
      <c r="GO34" s="129"/>
      <c r="GP34" s="128" t="s">
        <v>35</v>
      </c>
      <c r="GQ34" s="128">
        <v>1</v>
      </c>
      <c r="GR34" s="56" t="s">
        <v>22</v>
      </c>
      <c r="GS34" s="55"/>
      <c r="GT34" s="56"/>
      <c r="GU34" s="56" t="s">
        <v>225</v>
      </c>
      <c r="GV34" s="56" t="s">
        <v>234</v>
      </c>
      <c r="GW34" s="56" t="s">
        <v>234</v>
      </c>
      <c r="GX34" s="56"/>
      <c r="GY34" s="56" t="s">
        <v>9</v>
      </c>
      <c r="GZ34" s="55">
        <v>1</v>
      </c>
      <c r="HA34" s="55" t="s">
        <v>206</v>
      </c>
      <c r="HB34" s="55"/>
      <c r="HC34" s="55"/>
      <c r="HD34" s="55"/>
      <c r="HE34" s="55"/>
      <c r="HF34" s="170"/>
      <c r="HG34" s="172">
        <f t="shared" si="6"/>
        <v>350</v>
      </c>
      <c r="HH34" s="84" t="s">
        <v>9</v>
      </c>
      <c r="HI34" s="79">
        <v>1</v>
      </c>
      <c r="HJ34" s="79" t="s">
        <v>229</v>
      </c>
      <c r="HK34" s="76"/>
      <c r="HL34" s="76"/>
      <c r="HM34" s="76"/>
      <c r="HN34" s="76"/>
      <c r="HO34" s="79" t="s">
        <v>235</v>
      </c>
      <c r="HP34" s="79" t="s">
        <v>240</v>
      </c>
      <c r="HQ34" s="79" t="s">
        <v>37</v>
      </c>
      <c r="HR34" s="76"/>
      <c r="HS34" s="76"/>
      <c r="HT34" s="79" t="s">
        <v>221</v>
      </c>
      <c r="HU34" s="76"/>
      <c r="HV34" s="76"/>
      <c r="HW34" s="80">
        <v>30</v>
      </c>
      <c r="HX34" s="77">
        <v>40</v>
      </c>
      <c r="HY34" s="131">
        <f t="shared" si="13"/>
        <v>35</v>
      </c>
      <c r="HZ34" s="79" t="s">
        <v>39</v>
      </c>
      <c r="IA34" s="76" t="s">
        <v>248</v>
      </c>
      <c r="IB34" s="79" t="s">
        <v>249</v>
      </c>
      <c r="IC34" s="79">
        <v>1</v>
      </c>
      <c r="ID34" s="76">
        <v>1</v>
      </c>
      <c r="IE34" s="79">
        <v>30</v>
      </c>
      <c r="IF34" s="76">
        <v>30</v>
      </c>
      <c r="IG34" s="79">
        <v>10</v>
      </c>
      <c r="IH34" s="76">
        <v>30</v>
      </c>
      <c r="II34" s="76">
        <f t="shared" si="15"/>
        <v>41</v>
      </c>
      <c r="IJ34" s="76">
        <f t="shared" si="15"/>
        <v>61</v>
      </c>
      <c r="IK34" s="74"/>
      <c r="IL34" s="72"/>
      <c r="IM34" s="72"/>
      <c r="IN34" s="72"/>
      <c r="IO34" s="72"/>
      <c r="IP34" s="72"/>
      <c r="IQ34" s="72"/>
      <c r="IR34" s="72"/>
      <c r="IS34" s="72"/>
      <c r="IT34" s="72"/>
      <c r="IU34" s="72"/>
      <c r="IV34" s="72"/>
      <c r="IW34" s="72"/>
      <c r="IX34" s="73"/>
      <c r="IY34" s="73"/>
      <c r="IZ34" s="138">
        <f t="shared" si="14"/>
        <v>0</v>
      </c>
      <c r="JA34" s="72"/>
      <c r="JB34" s="72"/>
      <c r="JC34" s="72"/>
      <c r="JD34" s="72"/>
      <c r="JE34" s="72"/>
      <c r="JF34" s="72"/>
      <c r="JG34" s="72"/>
      <c r="JH34" s="72"/>
      <c r="JI34" s="72"/>
      <c r="JJ34" s="72"/>
      <c r="JK34" s="72"/>
      <c r="JL34" s="173">
        <v>0</v>
      </c>
      <c r="JM34" s="71" t="s">
        <v>24</v>
      </c>
      <c r="JN34" s="71" t="s">
        <v>24</v>
      </c>
      <c r="JO34" s="70"/>
      <c r="JP34" s="71"/>
      <c r="JQ34" s="71"/>
      <c r="JR34" s="71"/>
      <c r="JS34" s="70"/>
      <c r="JT34" s="71"/>
      <c r="JU34" s="70"/>
      <c r="JV34" s="70"/>
      <c r="JW34" s="71"/>
      <c r="JX34" s="71"/>
      <c r="JY34" s="71"/>
      <c r="JZ34" s="4" t="s">
        <v>24</v>
      </c>
      <c r="KA34" s="4"/>
      <c r="KB34" s="4"/>
      <c r="KC34" s="68"/>
      <c r="KD34" s="67"/>
      <c r="KE34" s="68"/>
      <c r="KF34" s="4"/>
      <c r="KG34" s="4"/>
      <c r="KH34" s="4"/>
      <c r="KI34" s="64" t="s">
        <v>258</v>
      </c>
      <c r="KJ34" s="63">
        <v>1</v>
      </c>
      <c r="KK34" s="63">
        <v>70</v>
      </c>
      <c r="KL34" s="63"/>
      <c r="KM34" s="63"/>
      <c r="KN34" s="63"/>
      <c r="KO34" s="63"/>
      <c r="KP34" s="63"/>
      <c r="KQ34" s="63"/>
      <c r="KR34" s="63"/>
      <c r="KS34" s="63"/>
      <c r="KT34" s="63"/>
      <c r="KU34" s="62" t="s">
        <v>9</v>
      </c>
      <c r="KV34" s="58">
        <v>0</v>
      </c>
      <c r="KW34" s="43"/>
      <c r="KX34" s="43"/>
      <c r="KY34" s="60" t="s">
        <v>24</v>
      </c>
      <c r="KZ34" s="60" t="s">
        <v>9</v>
      </c>
      <c r="LA34" s="60" t="s">
        <v>24</v>
      </c>
      <c r="LB34" s="60" t="s">
        <v>9</v>
      </c>
      <c r="LC34" s="60" t="s">
        <v>249</v>
      </c>
      <c r="LD34" s="60" t="s">
        <v>273</v>
      </c>
      <c r="LE34" s="60" t="s">
        <v>272</v>
      </c>
      <c r="LF34" s="60" t="s">
        <v>172</v>
      </c>
      <c r="LG34" s="3"/>
    </row>
    <row r="35" spans="1:319" x14ac:dyDescent="0.3">
      <c r="A35" s="104" t="s">
        <v>76</v>
      </c>
      <c r="B35" s="104">
        <v>22.1</v>
      </c>
      <c r="C35" s="85" t="s">
        <v>493</v>
      </c>
      <c r="D35" s="85">
        <v>6.7</v>
      </c>
      <c r="E35" s="5" t="s">
        <v>511</v>
      </c>
      <c r="F35" s="5" t="s">
        <v>511</v>
      </c>
      <c r="G35" s="5"/>
      <c r="H35" s="5">
        <v>4</v>
      </c>
      <c r="I35" s="6" t="s">
        <v>101</v>
      </c>
      <c r="J35" s="6" t="s">
        <v>108</v>
      </c>
      <c r="K35" s="6" t="s">
        <v>93</v>
      </c>
      <c r="L35" s="6" t="s">
        <v>110</v>
      </c>
      <c r="M35" s="6" t="s">
        <v>90</v>
      </c>
      <c r="N35" s="213" t="s">
        <v>846</v>
      </c>
      <c r="O35" s="162">
        <f>SUM((W35*Tableau1[[#This Row],[IR_inter1]]),(AN35*Tableau1[[#This Row],[IR_inter2]]),(BC35*Tableau1[[#This Row],[IR_inter3]]),(Tableau1[[#This Row],[IR_freq4]]*BR35),(CG35*Tableau1[[#This Row],[IR_inter5]]))</f>
        <v>5</v>
      </c>
      <c r="P35" s="162">
        <f t="shared" si="0"/>
        <v>5</v>
      </c>
      <c r="Q35" s="162">
        <f t="shared" si="1"/>
        <v>1</v>
      </c>
      <c r="R35" s="162">
        <f t="shared" si="2"/>
        <v>30</v>
      </c>
      <c r="S35" s="11" t="s">
        <v>10</v>
      </c>
      <c r="T35" s="12">
        <v>1</v>
      </c>
      <c r="U35" s="12">
        <v>20</v>
      </c>
      <c r="V35" s="9">
        <v>30</v>
      </c>
      <c r="W35" s="11">
        <v>1</v>
      </c>
      <c r="X35" s="11" t="s">
        <v>28</v>
      </c>
      <c r="Y35" s="8"/>
      <c r="Z35" s="8"/>
      <c r="AA35" s="8"/>
      <c r="AB35" s="8"/>
      <c r="AC35" s="11" t="s">
        <v>119</v>
      </c>
      <c r="AD35" s="8"/>
      <c r="AE35" s="8"/>
      <c r="AF35" s="8"/>
      <c r="AG35" s="11"/>
      <c r="AH35" s="8"/>
      <c r="AI35" s="8"/>
      <c r="AJ35" s="15"/>
      <c r="AK35" s="17"/>
      <c r="AL35" s="17"/>
      <c r="AM35" s="14"/>
      <c r="AN35" s="15"/>
      <c r="AO35" s="15"/>
      <c r="AP35" s="13"/>
      <c r="AQ35" s="13"/>
      <c r="AR35" s="13"/>
      <c r="AS35" s="13"/>
      <c r="AT35" s="15"/>
      <c r="AU35" s="13"/>
      <c r="AV35" s="15"/>
      <c r="AW35" s="13"/>
      <c r="AX35" s="13"/>
      <c r="AY35" s="21" t="s">
        <v>10</v>
      </c>
      <c r="AZ35" s="23">
        <v>1</v>
      </c>
      <c r="BA35" s="22">
        <v>20</v>
      </c>
      <c r="BB35" s="19">
        <v>30</v>
      </c>
      <c r="BC35" s="22">
        <v>3</v>
      </c>
      <c r="BD35" s="21" t="s">
        <v>13</v>
      </c>
      <c r="BE35" s="21" t="s">
        <v>14</v>
      </c>
      <c r="BF35" s="21" t="s">
        <v>15</v>
      </c>
      <c r="BG35" s="18"/>
      <c r="BH35" s="18"/>
      <c r="BI35" s="21" t="s">
        <v>119</v>
      </c>
      <c r="BJ35" s="21" t="s">
        <v>130</v>
      </c>
      <c r="BK35" s="21" t="s">
        <v>121</v>
      </c>
      <c r="BL35" s="21" t="s">
        <v>7</v>
      </c>
      <c r="BM35" s="18"/>
      <c r="BN35" s="101" t="s">
        <v>115</v>
      </c>
      <c r="BO35" s="103">
        <v>1</v>
      </c>
      <c r="BP35" s="101">
        <v>15</v>
      </c>
      <c r="BQ35" s="99">
        <v>15</v>
      </c>
      <c r="BR35" s="101">
        <v>1</v>
      </c>
      <c r="BS35" s="101" t="s">
        <v>16</v>
      </c>
      <c r="BT35" s="101" t="s">
        <v>22</v>
      </c>
      <c r="BU35" s="101"/>
      <c r="BV35" s="99"/>
      <c r="BW35" s="99"/>
      <c r="BX35" s="101" t="s">
        <v>121</v>
      </c>
      <c r="BY35" s="101" t="s">
        <v>124</v>
      </c>
      <c r="BZ35" s="99"/>
      <c r="CA35" s="99" t="s">
        <v>7</v>
      </c>
      <c r="CB35" s="99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169">
        <f t="shared" si="3"/>
        <v>3</v>
      </c>
      <c r="CO35" s="167">
        <f t="shared" si="4"/>
        <v>2</v>
      </c>
      <c r="CP35" s="31" t="s">
        <v>147</v>
      </c>
      <c r="CQ35" s="34">
        <v>1</v>
      </c>
      <c r="CR35" s="31">
        <v>10</v>
      </c>
      <c r="CS35" s="30">
        <v>10</v>
      </c>
      <c r="CT35" s="31">
        <v>2</v>
      </c>
      <c r="CU35" s="30"/>
      <c r="CV35" s="31" t="s">
        <v>13</v>
      </c>
      <c r="CW35" s="31" t="s">
        <v>14</v>
      </c>
      <c r="CX35" s="31" t="s">
        <v>15</v>
      </c>
      <c r="CY35" s="31"/>
      <c r="CZ35" s="31"/>
      <c r="DA35" s="31" t="s">
        <v>121</v>
      </c>
      <c r="DB35" s="31" t="s">
        <v>124</v>
      </c>
      <c r="DC35" s="31"/>
      <c r="DD35" s="37" t="s">
        <v>132</v>
      </c>
      <c r="DE35" s="39">
        <v>1</v>
      </c>
      <c r="DF35" s="39">
        <v>20</v>
      </c>
      <c r="DG35" s="40">
        <v>20</v>
      </c>
      <c r="DH35" s="37">
        <v>1</v>
      </c>
      <c r="DI35" s="37" t="s">
        <v>135</v>
      </c>
      <c r="DJ35" s="36" t="s">
        <v>18</v>
      </c>
      <c r="DK35" s="36"/>
      <c r="DL35" s="36"/>
      <c r="DM35" s="36" t="s">
        <v>124</v>
      </c>
      <c r="DN35" s="36" t="s">
        <v>21</v>
      </c>
      <c r="DO35" s="167">
        <f t="shared" si="5"/>
        <v>1</v>
      </c>
      <c r="DP35" s="51">
        <v>2</v>
      </c>
      <c r="DQ35" s="51" t="s">
        <v>13</v>
      </c>
      <c r="DR35" s="49" t="s">
        <v>14</v>
      </c>
      <c r="DS35" s="51" t="s">
        <v>227</v>
      </c>
      <c r="DT35" s="51" t="s">
        <v>150</v>
      </c>
      <c r="DU35" s="51">
        <v>480</v>
      </c>
      <c r="DV35" s="52">
        <v>0.02</v>
      </c>
      <c r="DW35" s="44" t="s">
        <v>166</v>
      </c>
      <c r="DX35" s="44" t="s">
        <v>152</v>
      </c>
      <c r="DY35" s="45" t="s">
        <v>150</v>
      </c>
      <c r="DZ35" s="45" t="s">
        <v>7</v>
      </c>
      <c r="EA35" s="44">
        <v>480</v>
      </c>
      <c r="EB35" s="44"/>
      <c r="EC35" s="44"/>
      <c r="ED35" s="45"/>
      <c r="EE35" s="43" t="s">
        <v>155</v>
      </c>
      <c r="EF35" s="43" t="s">
        <v>8</v>
      </c>
      <c r="EG35" s="58">
        <v>1</v>
      </c>
      <c r="EH35" s="41"/>
      <c r="EI35" s="41"/>
      <c r="EJ35" s="41"/>
      <c r="EK35" s="43"/>
      <c r="EL35" s="43"/>
      <c r="EM35" s="43"/>
      <c r="EN35" s="165">
        <v>3</v>
      </c>
      <c r="EO35" s="8" t="s">
        <v>29</v>
      </c>
      <c r="EP35" s="11" t="s">
        <v>262</v>
      </c>
      <c r="EQ35" s="11" t="s">
        <v>7</v>
      </c>
      <c r="ER35" s="11" t="s">
        <v>7</v>
      </c>
      <c r="ES35" s="11">
        <v>1</v>
      </c>
      <c r="ET35" s="11">
        <v>100000</v>
      </c>
      <c r="EU35" s="8" t="s">
        <v>175</v>
      </c>
      <c r="EV35" s="8"/>
      <c r="EW35" s="11" t="s">
        <v>2</v>
      </c>
      <c r="EX35" s="11"/>
      <c r="EY35" s="8"/>
      <c r="EZ35" s="13"/>
      <c r="FA35" s="13"/>
      <c r="FB35" s="13"/>
      <c r="FC35" s="13"/>
      <c r="FD35" s="13"/>
      <c r="FE35" s="13"/>
      <c r="FF35" s="13"/>
      <c r="FG35" s="13"/>
      <c r="FH35" s="13"/>
      <c r="FI35" s="166">
        <v>2</v>
      </c>
      <c r="FJ35" s="151" t="s">
        <v>159</v>
      </c>
      <c r="FK35" s="126" t="s">
        <v>202</v>
      </c>
      <c r="FL35" s="150" t="s">
        <v>199</v>
      </c>
      <c r="FM35" s="126" t="s">
        <v>198</v>
      </c>
      <c r="FN35" s="126" t="s">
        <v>7</v>
      </c>
      <c r="FO35" s="126">
        <v>7</v>
      </c>
      <c r="FP35" s="126">
        <v>17.399999999999999</v>
      </c>
      <c r="FQ35" s="126" t="s">
        <v>13</v>
      </c>
      <c r="FR35" s="126" t="s">
        <v>207</v>
      </c>
      <c r="FS35" s="126"/>
      <c r="FT35" s="126"/>
      <c r="FU35" s="151" t="s">
        <v>21</v>
      </c>
      <c r="FV35" s="126" t="s">
        <v>213</v>
      </c>
      <c r="FW35" s="43"/>
      <c r="FX35" s="43"/>
      <c r="FY35" s="41"/>
      <c r="FZ35" s="43"/>
      <c r="GA35" s="43"/>
      <c r="GB35" s="41"/>
      <c r="GC35" s="41"/>
      <c r="GD35" s="43"/>
      <c r="GE35" s="43"/>
      <c r="GF35" s="43"/>
      <c r="GG35" s="128" t="s">
        <v>217</v>
      </c>
      <c r="GH35" s="129"/>
      <c r="GI35" s="129"/>
      <c r="GJ35" s="128" t="s">
        <v>33</v>
      </c>
      <c r="GK35" s="129"/>
      <c r="GL35" s="128" t="s">
        <v>34</v>
      </c>
      <c r="GM35" s="128"/>
      <c r="GN35" s="128" t="s">
        <v>21</v>
      </c>
      <c r="GO35" s="128" t="s">
        <v>223</v>
      </c>
      <c r="GP35" s="128" t="s">
        <v>35</v>
      </c>
      <c r="GQ35" s="128">
        <v>1</v>
      </c>
      <c r="GR35" s="56" t="s">
        <v>135</v>
      </c>
      <c r="GS35" s="56" t="s">
        <v>229</v>
      </c>
      <c r="GT35" s="56"/>
      <c r="GU35" s="56" t="s">
        <v>225</v>
      </c>
      <c r="GV35" s="56" t="s">
        <v>234</v>
      </c>
      <c r="GW35" s="55"/>
      <c r="GX35" s="56"/>
      <c r="GY35" s="56" t="s">
        <v>24</v>
      </c>
      <c r="GZ35" s="55"/>
      <c r="HA35" s="55"/>
      <c r="HB35" s="55"/>
      <c r="HC35" s="55"/>
      <c r="HD35" s="55"/>
      <c r="HE35" s="55"/>
      <c r="HF35" s="170"/>
      <c r="HG35" s="172">
        <f t="shared" si="6"/>
        <v>0</v>
      </c>
      <c r="HH35" s="84" t="s">
        <v>24</v>
      </c>
      <c r="HI35" s="79"/>
      <c r="HJ35" s="76"/>
      <c r="HK35" s="76"/>
      <c r="HL35" s="76"/>
      <c r="HM35" s="76"/>
      <c r="HN35" s="76"/>
      <c r="HO35" s="79"/>
      <c r="HP35" s="79"/>
      <c r="HQ35" s="79"/>
      <c r="HR35" s="76"/>
      <c r="HS35" s="76"/>
      <c r="HT35" s="79"/>
      <c r="HU35" s="76"/>
      <c r="HV35" s="76"/>
      <c r="HW35" s="80"/>
      <c r="HX35" s="77"/>
      <c r="HY35" s="131">
        <f t="shared" si="13"/>
        <v>0</v>
      </c>
      <c r="HZ35" s="79"/>
      <c r="IA35" s="76" t="s">
        <v>892</v>
      </c>
      <c r="IB35" s="79"/>
      <c r="IC35" s="79"/>
      <c r="ID35" s="76"/>
      <c r="IE35" s="79"/>
      <c r="IF35" s="76"/>
      <c r="IG35" s="79"/>
      <c r="IH35" s="76"/>
      <c r="II35" s="76"/>
      <c r="IJ35" s="76"/>
      <c r="IK35" s="74"/>
      <c r="IL35" s="72"/>
      <c r="IM35" s="72"/>
      <c r="IN35" s="72"/>
      <c r="IO35" s="72"/>
      <c r="IP35" s="72"/>
      <c r="IQ35" s="72"/>
      <c r="IR35" s="72"/>
      <c r="IS35" s="72"/>
      <c r="IT35" s="72"/>
      <c r="IU35" s="72"/>
      <c r="IV35" s="72"/>
      <c r="IW35" s="72"/>
      <c r="IX35" s="73"/>
      <c r="IY35" s="73"/>
      <c r="IZ35" s="138">
        <f t="shared" si="14"/>
        <v>0</v>
      </c>
      <c r="JA35" s="72"/>
      <c r="JB35" s="72"/>
      <c r="JC35" s="72"/>
      <c r="JD35" s="72"/>
      <c r="JE35" s="72"/>
      <c r="JF35" s="72"/>
      <c r="JG35" s="72"/>
      <c r="JH35" s="72"/>
      <c r="JI35" s="72"/>
      <c r="JJ35" s="72"/>
      <c r="JK35" s="72"/>
      <c r="JL35" s="173">
        <v>0</v>
      </c>
      <c r="JM35" s="71" t="s">
        <v>24</v>
      </c>
      <c r="JN35" s="71" t="s">
        <v>24</v>
      </c>
      <c r="JO35" s="70"/>
      <c r="JP35" s="71"/>
      <c r="JQ35" s="71"/>
      <c r="JR35" s="71"/>
      <c r="JS35" s="70"/>
      <c r="JT35" s="71"/>
      <c r="JU35" s="70"/>
      <c r="JV35" s="70"/>
      <c r="JW35" s="71"/>
      <c r="JX35" s="71"/>
      <c r="JY35" s="71"/>
      <c r="JZ35" s="4" t="s">
        <v>24</v>
      </c>
      <c r="KA35" s="4"/>
      <c r="KB35" s="4"/>
      <c r="KC35" s="68"/>
      <c r="KD35" s="67"/>
      <c r="KE35" s="68"/>
      <c r="KF35" s="4"/>
      <c r="KG35" s="4"/>
      <c r="KH35" s="4"/>
      <c r="KI35" s="64" t="s">
        <v>258</v>
      </c>
      <c r="KJ35" s="63">
        <v>2</v>
      </c>
      <c r="KK35" s="63">
        <v>70</v>
      </c>
      <c r="KL35" s="63" t="s">
        <v>114</v>
      </c>
      <c r="KM35" s="63">
        <v>1</v>
      </c>
      <c r="KN35" s="63">
        <v>40</v>
      </c>
      <c r="KO35" s="63"/>
      <c r="KP35" s="63"/>
      <c r="KQ35" s="63"/>
      <c r="KR35" s="63"/>
      <c r="KS35" s="63"/>
      <c r="KT35" s="63"/>
      <c r="KU35" s="62" t="s">
        <v>9</v>
      </c>
      <c r="KV35" s="58">
        <v>7</v>
      </c>
      <c r="KW35" s="43" t="s">
        <v>265</v>
      </c>
      <c r="KX35" s="43" t="s">
        <v>7</v>
      </c>
      <c r="KY35" s="60" t="s">
        <v>9</v>
      </c>
      <c r="KZ35" s="60" t="s">
        <v>9</v>
      </c>
      <c r="LA35" s="60" t="s">
        <v>9</v>
      </c>
      <c r="LB35" s="60" t="s">
        <v>9</v>
      </c>
      <c r="LC35" s="60" t="s">
        <v>9</v>
      </c>
      <c r="LD35" s="60" t="s">
        <v>272</v>
      </c>
      <c r="LE35" s="59"/>
      <c r="LF35" s="60" t="s">
        <v>273</v>
      </c>
      <c r="LG35" s="3"/>
    </row>
    <row r="36" spans="1:319" x14ac:dyDescent="0.3">
      <c r="A36" s="104" t="s">
        <v>86</v>
      </c>
      <c r="B36" s="104">
        <v>23.1</v>
      </c>
      <c r="C36" s="85" t="s">
        <v>497</v>
      </c>
      <c r="D36" s="85">
        <v>1.2</v>
      </c>
      <c r="E36" s="5" t="s">
        <v>512</v>
      </c>
      <c r="F36" s="5" t="s">
        <v>512</v>
      </c>
      <c r="G36" s="5"/>
      <c r="H36" s="5">
        <v>5</v>
      </c>
      <c r="I36" s="6" t="s">
        <v>106</v>
      </c>
      <c r="J36" s="6"/>
      <c r="K36" s="6"/>
      <c r="L36" s="6" t="s">
        <v>113</v>
      </c>
      <c r="M36" s="6" t="s">
        <v>93</v>
      </c>
      <c r="N36" s="213" t="s">
        <v>847</v>
      </c>
      <c r="O36" s="162">
        <f>SUM((W36*Tableau1[[#This Row],[IR_inter1]]),(AN36*Tableau1[[#This Row],[IR_inter2]]),(BC36*Tableau1[[#This Row],[IR_inter3]]),(Tableau1[[#This Row],[IR_freq4]]*BR36),(CG36*Tableau1[[#This Row],[IR_inter5]]))</f>
        <v>2.4975000000000001</v>
      </c>
      <c r="P36" s="162">
        <f t="shared" si="0"/>
        <v>3.33</v>
      </c>
      <c r="Q36" s="162">
        <f t="shared" si="1"/>
        <v>0.75</v>
      </c>
      <c r="R36" s="162">
        <f t="shared" si="2"/>
        <v>45</v>
      </c>
      <c r="S36" s="11" t="s">
        <v>10</v>
      </c>
      <c r="T36" s="12">
        <v>0.75</v>
      </c>
      <c r="U36" s="12">
        <v>20</v>
      </c>
      <c r="V36" s="9">
        <v>25</v>
      </c>
      <c r="W36" s="11">
        <v>2</v>
      </c>
      <c r="X36" s="11" t="s">
        <v>118</v>
      </c>
      <c r="Y36" s="8" t="s">
        <v>18</v>
      </c>
      <c r="Z36" s="8" t="s">
        <v>11</v>
      </c>
      <c r="AA36" s="8"/>
      <c r="AB36" s="8"/>
      <c r="AC36" s="11" t="s">
        <v>119</v>
      </c>
      <c r="AD36" s="8"/>
      <c r="AE36" s="8"/>
      <c r="AF36" s="8"/>
      <c r="AG36" s="11"/>
      <c r="AH36" s="8"/>
      <c r="AI36" s="8"/>
      <c r="AJ36" s="15" t="s">
        <v>17</v>
      </c>
      <c r="AK36" s="17">
        <v>0.75</v>
      </c>
      <c r="AL36" s="17">
        <v>10</v>
      </c>
      <c r="AM36" s="14">
        <v>10</v>
      </c>
      <c r="AN36" s="15">
        <v>1</v>
      </c>
      <c r="AO36" s="15" t="s">
        <v>13</v>
      </c>
      <c r="AP36" s="13"/>
      <c r="AQ36" s="13"/>
      <c r="AR36" s="13"/>
      <c r="AS36" s="13"/>
      <c r="AT36" s="15" t="s">
        <v>19</v>
      </c>
      <c r="AU36" s="15" t="s">
        <v>124</v>
      </c>
      <c r="AV36" s="15" t="s">
        <v>21</v>
      </c>
      <c r="AW36" s="13"/>
      <c r="AX36" s="13"/>
      <c r="AY36" s="21" t="s">
        <v>114</v>
      </c>
      <c r="AZ36" s="23">
        <v>0.75</v>
      </c>
      <c r="BA36" s="22">
        <v>45</v>
      </c>
      <c r="BB36" s="19">
        <v>45</v>
      </c>
      <c r="BC36" s="22">
        <v>0.33</v>
      </c>
      <c r="BD36" s="24" t="s">
        <v>11</v>
      </c>
      <c r="BE36" s="21" t="s">
        <v>13</v>
      </c>
      <c r="BF36" s="18" t="s">
        <v>15</v>
      </c>
      <c r="BG36" s="18" t="s">
        <v>16</v>
      </c>
      <c r="BH36" s="18" t="s">
        <v>28</v>
      </c>
      <c r="BI36" s="24" t="s">
        <v>119</v>
      </c>
      <c r="BJ36" s="18"/>
      <c r="BK36" s="18"/>
      <c r="BL36" s="21" t="s">
        <v>21</v>
      </c>
      <c r="BM36" s="18"/>
      <c r="BN36" s="101"/>
      <c r="BO36" s="102"/>
      <c r="BP36" s="101"/>
      <c r="BQ36" s="99"/>
      <c r="BR36" s="101"/>
      <c r="BS36" s="101"/>
      <c r="BT36" s="101"/>
      <c r="BU36" s="101"/>
      <c r="BV36" s="101"/>
      <c r="BW36" s="101"/>
      <c r="BX36" s="101"/>
      <c r="BY36" s="99"/>
      <c r="BZ36" s="99"/>
      <c r="CA36" s="99"/>
      <c r="CB36" s="99"/>
      <c r="CC36" s="27"/>
      <c r="CD36" s="28"/>
      <c r="CE36" s="27"/>
      <c r="CF36" s="25"/>
      <c r="CG36" s="27"/>
      <c r="CH36" s="27"/>
      <c r="CI36" s="27"/>
      <c r="CJ36" s="27"/>
      <c r="CK36" s="27"/>
      <c r="CL36" s="27"/>
      <c r="CM36" s="25"/>
      <c r="CN36" s="169">
        <f t="shared" si="3"/>
        <v>1</v>
      </c>
      <c r="CO36" s="167">
        <f t="shared" si="4"/>
        <v>0</v>
      </c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167">
        <f t="shared" si="5"/>
        <v>1</v>
      </c>
      <c r="DP36" s="51">
        <v>1</v>
      </c>
      <c r="DQ36" s="51" t="s">
        <v>11</v>
      </c>
      <c r="DR36" s="49"/>
      <c r="DS36" s="51" t="s">
        <v>227</v>
      </c>
      <c r="DT36" s="51" t="s">
        <v>150</v>
      </c>
      <c r="DU36" s="51">
        <v>480</v>
      </c>
      <c r="DV36" s="52">
        <v>0.02</v>
      </c>
      <c r="DW36" s="44"/>
      <c r="DX36" s="44"/>
      <c r="DY36" s="44"/>
      <c r="DZ36" s="44"/>
      <c r="EA36" s="44"/>
      <c r="EB36" s="44"/>
      <c r="EC36" s="44"/>
      <c r="ED36" s="45"/>
      <c r="EE36" s="43" t="s">
        <v>25</v>
      </c>
      <c r="EF36" s="43" t="s">
        <v>165</v>
      </c>
      <c r="EG36" s="58">
        <v>0.25</v>
      </c>
      <c r="EH36" s="43" t="s">
        <v>155</v>
      </c>
      <c r="EI36" s="43" t="s">
        <v>8</v>
      </c>
      <c r="EJ36" s="43">
        <v>0.75</v>
      </c>
      <c r="EK36" s="43" t="s">
        <v>157</v>
      </c>
      <c r="EL36" s="43"/>
      <c r="EM36" s="43"/>
      <c r="EN36" s="165">
        <v>0</v>
      </c>
      <c r="EO36" s="8" t="s">
        <v>26</v>
      </c>
      <c r="EP36" s="11"/>
      <c r="EQ36" s="11"/>
      <c r="ER36" s="11"/>
      <c r="ES36" s="11"/>
      <c r="ET36" s="11"/>
      <c r="EU36" s="8"/>
      <c r="EV36" s="8"/>
      <c r="EW36" s="11"/>
      <c r="EX36" s="11"/>
      <c r="EY36" s="8"/>
      <c r="EZ36" s="13"/>
      <c r="FA36" s="13"/>
      <c r="FB36" s="13"/>
      <c r="FC36" s="13"/>
      <c r="FD36" s="13"/>
      <c r="FE36" s="13"/>
      <c r="FF36" s="13"/>
      <c r="FG36" s="13"/>
      <c r="FH36" s="13"/>
      <c r="FI36" s="166">
        <v>1</v>
      </c>
      <c r="FJ36" s="126" t="s">
        <v>29</v>
      </c>
      <c r="FK36" s="126" t="s">
        <v>7</v>
      </c>
      <c r="FL36" s="150" t="s">
        <v>7</v>
      </c>
      <c r="FM36" s="126" t="s">
        <v>201</v>
      </c>
      <c r="FN36" s="126" t="s">
        <v>200</v>
      </c>
      <c r="FO36" s="126">
        <v>1</v>
      </c>
      <c r="FP36" s="126">
        <v>500</v>
      </c>
      <c r="FQ36" s="126" t="s">
        <v>11</v>
      </c>
      <c r="FR36" s="126" t="s">
        <v>207</v>
      </c>
      <c r="FS36" s="126" t="s">
        <v>2</v>
      </c>
      <c r="FT36" s="126"/>
      <c r="FU36" s="151"/>
      <c r="FV36" s="151"/>
      <c r="FW36" s="43"/>
      <c r="FX36" s="43"/>
      <c r="FY36" s="41"/>
      <c r="FZ36" s="43"/>
      <c r="GA36" s="43"/>
      <c r="GB36" s="41"/>
      <c r="GC36" s="41"/>
      <c r="GD36" s="43"/>
      <c r="GE36" s="43"/>
      <c r="GF36" s="43"/>
      <c r="GG36" s="128" t="s">
        <v>217</v>
      </c>
      <c r="GH36" s="129"/>
      <c r="GI36" s="129"/>
      <c r="GJ36" s="128" t="s">
        <v>33</v>
      </c>
      <c r="GK36" s="129" t="s">
        <v>7</v>
      </c>
      <c r="GL36" s="128" t="s">
        <v>34</v>
      </c>
      <c r="GM36" s="128"/>
      <c r="GN36" s="128" t="s">
        <v>21</v>
      </c>
      <c r="GO36" s="129"/>
      <c r="GP36" s="128" t="s">
        <v>35</v>
      </c>
      <c r="GQ36" s="128">
        <v>1</v>
      </c>
      <c r="GR36" s="56" t="s">
        <v>22</v>
      </c>
      <c r="GS36" s="55"/>
      <c r="GT36" s="56"/>
      <c r="GU36" s="56" t="s">
        <v>225</v>
      </c>
      <c r="GV36" s="56">
        <v>1</v>
      </c>
      <c r="GW36" s="56" t="s">
        <v>28</v>
      </c>
      <c r="GX36" s="56"/>
      <c r="GY36" s="56" t="s">
        <v>9</v>
      </c>
      <c r="GZ36" s="55">
        <v>1</v>
      </c>
      <c r="HA36" s="55" t="s">
        <v>135</v>
      </c>
      <c r="HB36" s="55" t="s">
        <v>229</v>
      </c>
      <c r="HC36" s="55"/>
      <c r="HD36" s="55"/>
      <c r="HE36" s="55"/>
      <c r="HF36" s="170"/>
      <c r="HG36" s="172">
        <f t="shared" si="6"/>
        <v>25</v>
      </c>
      <c r="HH36" s="84" t="s">
        <v>9</v>
      </c>
      <c r="HI36" s="79"/>
      <c r="HJ36" s="79"/>
      <c r="HK36" s="76"/>
      <c r="HL36" s="76"/>
      <c r="HM36" s="76"/>
      <c r="HN36" s="76"/>
      <c r="HO36" s="79"/>
      <c r="HP36" s="79"/>
      <c r="HQ36" s="79"/>
      <c r="HR36" s="76"/>
      <c r="HS36" s="76"/>
      <c r="HT36" s="79"/>
      <c r="HU36" s="76"/>
      <c r="HV36" s="76"/>
      <c r="HW36" s="80"/>
      <c r="HX36" s="77"/>
      <c r="HY36" s="131">
        <f t="shared" si="13"/>
        <v>0</v>
      </c>
      <c r="HZ36" s="79" t="s">
        <v>39</v>
      </c>
      <c r="IA36" s="76" t="s">
        <v>40</v>
      </c>
      <c r="IB36" s="79"/>
      <c r="IC36" s="79"/>
      <c r="ID36" s="79"/>
      <c r="IE36" s="79"/>
      <c r="IF36" s="79"/>
      <c r="IG36" s="79"/>
      <c r="IH36" s="79"/>
      <c r="II36" s="76"/>
      <c r="IJ36" s="76"/>
      <c r="IK36" s="74">
        <v>1</v>
      </c>
      <c r="IL36" s="72" t="s">
        <v>16</v>
      </c>
      <c r="IM36" s="72"/>
      <c r="IN36" s="72"/>
      <c r="IO36" s="72"/>
      <c r="IP36" s="72" t="s">
        <v>7</v>
      </c>
      <c r="IQ36" s="72" t="s">
        <v>7</v>
      </c>
      <c r="IR36" s="72" t="s">
        <v>244</v>
      </c>
      <c r="IS36" s="72"/>
      <c r="IT36" s="72"/>
      <c r="IU36" s="72"/>
      <c r="IV36" s="72"/>
      <c r="IW36" s="72"/>
      <c r="IX36" s="73">
        <v>0</v>
      </c>
      <c r="IY36" s="73">
        <v>5</v>
      </c>
      <c r="IZ36" s="138">
        <f t="shared" si="14"/>
        <v>2.5</v>
      </c>
      <c r="JA36" s="72" t="s">
        <v>39</v>
      </c>
      <c r="JB36" s="72" t="s">
        <v>40</v>
      </c>
      <c r="JC36" s="72" t="s">
        <v>249</v>
      </c>
      <c r="JD36" s="72" t="s">
        <v>7</v>
      </c>
      <c r="JE36" s="72" t="s">
        <v>7</v>
      </c>
      <c r="JF36" s="72" t="s">
        <v>7</v>
      </c>
      <c r="JG36" s="72" t="s">
        <v>7</v>
      </c>
      <c r="JH36" s="72" t="s">
        <v>7</v>
      </c>
      <c r="JI36" s="72" t="s">
        <v>7</v>
      </c>
      <c r="JJ36" s="72"/>
      <c r="JK36" s="72"/>
      <c r="JL36" s="173">
        <v>0</v>
      </c>
      <c r="JM36" s="71" t="s">
        <v>24</v>
      </c>
      <c r="JN36" s="71" t="s">
        <v>24</v>
      </c>
      <c r="JO36" s="70"/>
      <c r="JP36" s="71"/>
      <c r="JQ36" s="71"/>
      <c r="JR36" s="71"/>
      <c r="JS36" s="70"/>
      <c r="JT36" s="71"/>
      <c r="JU36" s="70"/>
      <c r="JV36" s="70"/>
      <c r="JW36" s="71"/>
      <c r="JX36" s="71"/>
      <c r="JY36" s="71"/>
      <c r="JZ36" s="4" t="s">
        <v>9</v>
      </c>
      <c r="KA36" s="4">
        <v>55</v>
      </c>
      <c r="KB36" s="4">
        <v>55</v>
      </c>
      <c r="KC36" s="68">
        <v>3</v>
      </c>
      <c r="KD36" s="67">
        <v>6</v>
      </c>
      <c r="KE36" s="68">
        <v>50</v>
      </c>
      <c r="KF36" s="4" t="s">
        <v>257</v>
      </c>
      <c r="KG36" s="4" t="s">
        <v>33</v>
      </c>
      <c r="KH36" s="4">
        <v>70</v>
      </c>
      <c r="KI36" s="64" t="s">
        <v>259</v>
      </c>
      <c r="KJ36" s="63">
        <v>1</v>
      </c>
      <c r="KK36" s="63">
        <v>60</v>
      </c>
      <c r="KL36" s="63" t="s">
        <v>17</v>
      </c>
      <c r="KM36" s="63">
        <v>1</v>
      </c>
      <c r="KN36" s="63">
        <v>10</v>
      </c>
      <c r="KO36" s="63"/>
      <c r="KP36" s="63"/>
      <c r="KQ36" s="63"/>
      <c r="KR36" s="63"/>
      <c r="KS36" s="63"/>
      <c r="KT36" s="63"/>
      <c r="KU36" s="62" t="s">
        <v>9</v>
      </c>
      <c r="KV36" s="58">
        <v>1</v>
      </c>
      <c r="KW36" s="43" t="s">
        <v>268</v>
      </c>
      <c r="KX36" s="43" t="s">
        <v>269</v>
      </c>
      <c r="KY36" s="60" t="s">
        <v>24</v>
      </c>
      <c r="KZ36" s="60" t="s">
        <v>9</v>
      </c>
      <c r="LA36" s="60" t="s">
        <v>24</v>
      </c>
      <c r="LB36" s="60" t="s">
        <v>9</v>
      </c>
      <c r="LC36" s="60" t="s">
        <v>9</v>
      </c>
      <c r="LD36" s="60" t="s">
        <v>272</v>
      </c>
      <c r="LE36" s="59"/>
      <c r="LF36" s="59"/>
      <c r="LG36" s="3"/>
    </row>
    <row r="37" spans="1:319" x14ac:dyDescent="0.3">
      <c r="A37" s="104" t="s">
        <v>72</v>
      </c>
      <c r="B37" s="104">
        <v>24.1</v>
      </c>
      <c r="C37" s="85" t="s">
        <v>282</v>
      </c>
      <c r="D37" s="85">
        <v>1.4</v>
      </c>
      <c r="E37" s="5" t="s">
        <v>242</v>
      </c>
      <c r="F37" s="5" t="s">
        <v>515</v>
      </c>
      <c r="G37" s="5"/>
      <c r="H37" s="5">
        <v>3</v>
      </c>
      <c r="I37" s="6" t="s">
        <v>106</v>
      </c>
      <c r="J37" s="6"/>
      <c r="K37" s="6"/>
      <c r="L37" s="6"/>
      <c r="M37" s="6" t="s">
        <v>93</v>
      </c>
      <c r="N37" s="213" t="s">
        <v>847</v>
      </c>
      <c r="O37" s="162">
        <f>SUM((W37*Tableau1[[#This Row],[IR_inter1]]),(AN37*Tableau1[[#This Row],[IR_inter2]]),(BC37*Tableau1[[#This Row],[IR_inter3]]),(Tableau1[[#This Row],[IR_freq4]]*BR37),(CG37*Tableau1[[#This Row],[IR_inter5]]))</f>
        <v>4</v>
      </c>
      <c r="P37" s="162">
        <f t="shared" si="0"/>
        <v>4</v>
      </c>
      <c r="Q37" s="162">
        <f t="shared" si="1"/>
        <v>1</v>
      </c>
      <c r="R37" s="162">
        <f t="shared" si="2"/>
        <v>25</v>
      </c>
      <c r="S37" s="11" t="s">
        <v>259</v>
      </c>
      <c r="T37" s="12">
        <v>1</v>
      </c>
      <c r="U37" s="12">
        <v>20</v>
      </c>
      <c r="V37" s="9">
        <v>25</v>
      </c>
      <c r="W37" s="11">
        <v>1</v>
      </c>
      <c r="X37" s="11" t="s">
        <v>28</v>
      </c>
      <c r="Y37" s="8"/>
      <c r="Z37" s="8"/>
      <c r="AA37" s="8"/>
      <c r="AB37" s="8"/>
      <c r="AC37" s="11" t="s">
        <v>119</v>
      </c>
      <c r="AD37" s="8"/>
      <c r="AE37" s="8"/>
      <c r="AF37" s="8"/>
      <c r="AG37" s="11" t="s">
        <v>21</v>
      </c>
      <c r="AH37" s="8" t="s">
        <v>38</v>
      </c>
      <c r="AI37" s="8"/>
      <c r="AJ37" s="15" t="s">
        <v>17</v>
      </c>
      <c r="AK37" s="17">
        <v>1</v>
      </c>
      <c r="AL37" s="17">
        <v>15</v>
      </c>
      <c r="AM37" s="14">
        <v>15</v>
      </c>
      <c r="AN37" s="15">
        <v>3</v>
      </c>
      <c r="AO37" s="15" t="s">
        <v>18</v>
      </c>
      <c r="AP37" s="13" t="s">
        <v>11</v>
      </c>
      <c r="AQ37" s="13" t="s">
        <v>13</v>
      </c>
      <c r="AR37" s="13" t="s">
        <v>14</v>
      </c>
      <c r="AS37" s="13" t="s">
        <v>15</v>
      </c>
      <c r="AT37" s="16" t="s">
        <v>20</v>
      </c>
      <c r="AU37" s="16" t="s">
        <v>19</v>
      </c>
      <c r="AV37" s="15" t="s">
        <v>21</v>
      </c>
      <c r="AW37" s="13" t="s">
        <v>38</v>
      </c>
      <c r="AX37" s="13"/>
      <c r="AY37" s="21"/>
      <c r="AZ37" s="22"/>
      <c r="BA37" s="22"/>
      <c r="BB37" s="19"/>
      <c r="BC37" s="22"/>
      <c r="BD37" s="21"/>
      <c r="BE37" s="18"/>
      <c r="BF37" s="18"/>
      <c r="BG37" s="18"/>
      <c r="BH37" s="18"/>
      <c r="BI37" s="21"/>
      <c r="BJ37" s="18"/>
      <c r="BK37" s="18"/>
      <c r="BL37" s="21"/>
      <c r="BM37" s="18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27"/>
      <c r="CD37" s="28"/>
      <c r="CE37" s="27"/>
      <c r="CF37" s="25"/>
      <c r="CG37" s="27"/>
      <c r="CH37" s="27"/>
      <c r="CI37" s="27"/>
      <c r="CJ37" s="27"/>
      <c r="CK37" s="27"/>
      <c r="CL37" s="27"/>
      <c r="CM37" s="25"/>
      <c r="CN37" s="169">
        <f t="shared" si="3"/>
        <v>1</v>
      </c>
      <c r="CO37" s="167">
        <f t="shared" si="4"/>
        <v>0</v>
      </c>
      <c r="CP37" s="31"/>
      <c r="CQ37" s="35"/>
      <c r="CR37" s="31"/>
      <c r="CS37" s="30"/>
      <c r="CT37" s="31"/>
      <c r="CU37" s="30"/>
      <c r="CV37" s="31"/>
      <c r="CW37" s="31"/>
      <c r="CX37" s="31"/>
      <c r="CY37" s="31"/>
      <c r="CZ37" s="31"/>
      <c r="DA37" s="31"/>
      <c r="DB37" s="31"/>
      <c r="DC37" s="30"/>
      <c r="DD37" s="36"/>
      <c r="DE37" s="37"/>
      <c r="DF37" s="37"/>
      <c r="DG37" s="37"/>
      <c r="DH37" s="36"/>
      <c r="DI37" s="36"/>
      <c r="DJ37" s="36"/>
      <c r="DK37" s="36"/>
      <c r="DL37" s="36"/>
      <c r="DM37" s="36"/>
      <c r="DN37" s="36"/>
      <c r="DO37" s="167">
        <f t="shared" si="5"/>
        <v>1</v>
      </c>
      <c r="DP37" s="51">
        <v>2</v>
      </c>
      <c r="DQ37" s="51" t="s">
        <v>7</v>
      </c>
      <c r="DR37" s="49" t="s">
        <v>7</v>
      </c>
      <c r="DS37" s="51" t="s">
        <v>227</v>
      </c>
      <c r="DT37" s="51" t="s">
        <v>150</v>
      </c>
      <c r="DU37" s="51">
        <v>480</v>
      </c>
      <c r="DV37" s="52">
        <v>0.02</v>
      </c>
      <c r="DW37" s="44" t="s">
        <v>166</v>
      </c>
      <c r="DX37" s="45" t="s">
        <v>7</v>
      </c>
      <c r="DY37" s="45" t="s">
        <v>150</v>
      </c>
      <c r="DZ37" s="45" t="s">
        <v>7</v>
      </c>
      <c r="EA37" s="44">
        <v>480</v>
      </c>
      <c r="EB37" s="44"/>
      <c r="EC37" s="46">
        <v>0.01</v>
      </c>
      <c r="ED37" s="45"/>
      <c r="EE37" s="43" t="s">
        <v>155</v>
      </c>
      <c r="EF37" s="43" t="s">
        <v>8</v>
      </c>
      <c r="EG37" s="58">
        <v>1</v>
      </c>
      <c r="EH37" s="41"/>
      <c r="EI37" s="41"/>
      <c r="EJ37" s="41"/>
      <c r="EK37" s="43"/>
      <c r="EL37" s="43"/>
      <c r="EM37" s="43"/>
      <c r="EN37" s="165">
        <v>0</v>
      </c>
      <c r="EO37" s="8" t="s">
        <v>26</v>
      </c>
      <c r="EP37" s="11"/>
      <c r="EQ37" s="11"/>
      <c r="ER37" s="11"/>
      <c r="ES37" s="11"/>
      <c r="ET37" s="11"/>
      <c r="EU37" s="8"/>
      <c r="EV37" s="8"/>
      <c r="EW37" s="11"/>
      <c r="EX37" s="11"/>
      <c r="EY37" s="8"/>
      <c r="EZ37" s="13"/>
      <c r="FA37" s="13"/>
      <c r="FB37" s="13"/>
      <c r="FC37" s="13"/>
      <c r="FD37" s="13"/>
      <c r="FE37" s="13"/>
      <c r="FF37" s="13"/>
      <c r="FG37" s="13"/>
      <c r="FH37" s="13"/>
      <c r="FI37" s="166">
        <v>3</v>
      </c>
      <c r="FJ37" s="126" t="s">
        <v>29</v>
      </c>
      <c r="FK37" s="126" t="s">
        <v>187</v>
      </c>
      <c r="FL37" s="150" t="s">
        <v>195</v>
      </c>
      <c r="FM37" s="126" t="s">
        <v>194</v>
      </c>
      <c r="FN37" s="126" t="s">
        <v>193</v>
      </c>
      <c r="FO37" s="126">
        <v>1</v>
      </c>
      <c r="FP37" s="126">
        <v>500</v>
      </c>
      <c r="FQ37" s="126" t="s">
        <v>28</v>
      </c>
      <c r="FR37" s="126" t="s">
        <v>207</v>
      </c>
      <c r="FS37" s="126"/>
      <c r="FT37" s="126"/>
      <c r="FU37" s="151" t="s">
        <v>21</v>
      </c>
      <c r="FV37" s="126" t="s">
        <v>129</v>
      </c>
      <c r="FW37" s="43" t="s">
        <v>159</v>
      </c>
      <c r="FX37" s="43" t="s">
        <v>199</v>
      </c>
      <c r="FY37" s="43" t="s">
        <v>198</v>
      </c>
      <c r="FZ37" s="43" t="s">
        <v>7</v>
      </c>
      <c r="GA37" s="43">
        <v>0.2</v>
      </c>
      <c r="GB37" s="41">
        <v>150</v>
      </c>
      <c r="GC37" s="43" t="s">
        <v>11</v>
      </c>
      <c r="GD37" s="43"/>
      <c r="GE37" s="43"/>
      <c r="GF37" s="43"/>
      <c r="GG37" s="128" t="s">
        <v>217</v>
      </c>
      <c r="GH37" s="129"/>
      <c r="GI37" s="129"/>
      <c r="GJ37" s="128" t="s">
        <v>98</v>
      </c>
      <c r="GK37" s="129" t="s">
        <v>214</v>
      </c>
      <c r="GL37" s="128" t="s">
        <v>222</v>
      </c>
      <c r="GM37" s="128"/>
      <c r="GN37" s="128"/>
      <c r="GO37" s="129"/>
      <c r="GP37" s="128" t="s">
        <v>35</v>
      </c>
      <c r="GQ37" s="128">
        <v>0.2</v>
      </c>
      <c r="GR37" s="56" t="s">
        <v>232</v>
      </c>
      <c r="GS37" s="55"/>
      <c r="GT37" s="56"/>
      <c r="GU37" s="56" t="s">
        <v>225</v>
      </c>
      <c r="GV37" s="56" t="s">
        <v>7</v>
      </c>
      <c r="GW37" s="56" t="s">
        <v>7</v>
      </c>
      <c r="GX37" s="56"/>
      <c r="GY37" s="56" t="s">
        <v>9</v>
      </c>
      <c r="GZ37" s="55">
        <v>1</v>
      </c>
      <c r="HA37" s="55" t="s">
        <v>28</v>
      </c>
      <c r="HB37" s="55" t="s">
        <v>134</v>
      </c>
      <c r="HC37" s="55"/>
      <c r="HD37" s="55"/>
      <c r="HE37" s="55"/>
      <c r="HF37" s="170"/>
      <c r="HG37" s="172">
        <f t="shared" si="6"/>
        <v>150</v>
      </c>
      <c r="HH37" s="84" t="s">
        <v>9</v>
      </c>
      <c r="HI37" s="79">
        <v>1</v>
      </c>
      <c r="HJ37" s="76" t="s">
        <v>229</v>
      </c>
      <c r="HK37" s="76"/>
      <c r="HL37" s="76"/>
      <c r="HM37" s="76"/>
      <c r="HN37" s="76"/>
      <c r="HO37" s="79" t="s">
        <v>235</v>
      </c>
      <c r="HP37" s="79" t="s">
        <v>242</v>
      </c>
      <c r="HQ37" s="79" t="s">
        <v>37</v>
      </c>
      <c r="HR37" s="79" t="s">
        <v>245</v>
      </c>
      <c r="HS37" s="79" t="s">
        <v>244</v>
      </c>
      <c r="HT37" s="79" t="s">
        <v>245</v>
      </c>
      <c r="HU37" s="76"/>
      <c r="HV37" s="76"/>
      <c r="HW37" s="81">
        <v>10</v>
      </c>
      <c r="HX37" s="77">
        <v>20</v>
      </c>
      <c r="HY37" s="131">
        <f t="shared" si="13"/>
        <v>15</v>
      </c>
      <c r="HZ37" s="79" t="s">
        <v>247</v>
      </c>
      <c r="IA37" s="76" t="s">
        <v>248</v>
      </c>
      <c r="IB37" s="79" t="s">
        <v>249</v>
      </c>
      <c r="IC37" s="79">
        <v>10</v>
      </c>
      <c r="ID37" s="76">
        <v>10</v>
      </c>
      <c r="IE37" s="79">
        <v>10</v>
      </c>
      <c r="IF37" s="76">
        <v>15</v>
      </c>
      <c r="IG37" s="79">
        <v>20</v>
      </c>
      <c r="IH37" s="76">
        <v>20</v>
      </c>
      <c r="II37" s="76">
        <f>SUM(IC37,IE37,IG37)</f>
        <v>40</v>
      </c>
      <c r="IJ37" s="76">
        <f>SUM(ID37,IF37,IH37)</f>
        <v>45</v>
      </c>
      <c r="IK37" s="74"/>
      <c r="IL37" s="72"/>
      <c r="IM37" s="72"/>
      <c r="IN37" s="72"/>
      <c r="IO37" s="72"/>
      <c r="IP37" s="72"/>
      <c r="IQ37" s="72"/>
      <c r="IR37" s="72"/>
      <c r="IS37" s="72"/>
      <c r="IT37" s="72"/>
      <c r="IU37" s="72"/>
      <c r="IV37" s="72"/>
      <c r="IW37" s="72"/>
      <c r="IX37" s="73"/>
      <c r="IY37" s="73"/>
      <c r="IZ37" s="138">
        <f t="shared" si="14"/>
        <v>0</v>
      </c>
      <c r="JA37" s="72"/>
      <c r="JB37" s="72"/>
      <c r="JC37" s="72"/>
      <c r="JD37" s="72"/>
      <c r="JE37" s="72"/>
      <c r="JF37" s="72"/>
      <c r="JG37" s="72"/>
      <c r="JH37" s="72"/>
      <c r="JI37" s="72"/>
      <c r="JJ37" s="72"/>
      <c r="JK37" s="72"/>
      <c r="JL37" s="173">
        <v>0</v>
      </c>
      <c r="JM37" s="71" t="s">
        <v>24</v>
      </c>
      <c r="JN37" s="71" t="s">
        <v>24</v>
      </c>
      <c r="JO37" s="70"/>
      <c r="JP37" s="71"/>
      <c r="JQ37" s="71"/>
      <c r="JR37" s="71"/>
      <c r="JS37" s="70"/>
      <c r="JT37" s="71"/>
      <c r="JU37" s="70"/>
      <c r="JV37" s="70"/>
      <c r="JW37" s="71"/>
      <c r="JX37" s="71"/>
      <c r="JY37" s="71"/>
      <c r="JZ37" s="4" t="s">
        <v>24</v>
      </c>
      <c r="KA37" s="4"/>
      <c r="KB37" s="4"/>
      <c r="KC37" s="68"/>
      <c r="KD37" s="67"/>
      <c r="KE37" s="68"/>
      <c r="KF37" s="4"/>
      <c r="KG37" s="4"/>
      <c r="KH37" s="4"/>
      <c r="KI37" s="64" t="s">
        <v>259</v>
      </c>
      <c r="KJ37" s="63">
        <v>1</v>
      </c>
      <c r="KK37" s="63">
        <v>60</v>
      </c>
      <c r="KL37" s="63" t="s">
        <v>258</v>
      </c>
      <c r="KM37" s="63">
        <v>1</v>
      </c>
      <c r="KN37" s="63">
        <v>60</v>
      </c>
      <c r="KO37" s="63"/>
      <c r="KP37" s="63"/>
      <c r="KQ37" s="63"/>
      <c r="KR37" s="63"/>
      <c r="KS37" s="63"/>
      <c r="KT37" s="63"/>
      <c r="KU37" s="62" t="s">
        <v>24</v>
      </c>
      <c r="KV37" s="58">
        <v>0</v>
      </c>
      <c r="KW37" s="43"/>
      <c r="KX37" s="43"/>
      <c r="KY37" s="60" t="s">
        <v>24</v>
      </c>
      <c r="KZ37" s="60" t="s">
        <v>9</v>
      </c>
      <c r="LA37" s="60" t="s">
        <v>24</v>
      </c>
      <c r="LB37" s="60" t="s">
        <v>9</v>
      </c>
      <c r="LC37" s="60" t="s">
        <v>24</v>
      </c>
      <c r="LD37" s="60" t="s">
        <v>272</v>
      </c>
      <c r="LE37" s="59"/>
      <c r="LF37" s="60" t="s">
        <v>7</v>
      </c>
    </row>
    <row r="38" spans="1:319" x14ac:dyDescent="0.3">
      <c r="A38" s="104" t="s">
        <v>73</v>
      </c>
      <c r="B38" s="104">
        <v>24.2</v>
      </c>
      <c r="C38" s="85" t="s">
        <v>283</v>
      </c>
      <c r="D38" s="85">
        <v>2.84</v>
      </c>
      <c r="E38" s="5" t="s">
        <v>242</v>
      </c>
      <c r="F38" s="5" t="s">
        <v>517</v>
      </c>
      <c r="G38" s="5"/>
      <c r="H38" s="5">
        <v>3</v>
      </c>
      <c r="I38" s="6" t="s">
        <v>106</v>
      </c>
      <c r="J38" s="6"/>
      <c r="K38" s="6"/>
      <c r="L38" s="5"/>
      <c r="M38" s="6" t="s">
        <v>93</v>
      </c>
      <c r="N38" s="213" t="s">
        <v>846</v>
      </c>
      <c r="O38" s="162">
        <f>SUM((W38*Tableau1[[#This Row],[IR_inter1]]),(AN38*Tableau1[[#This Row],[IR_inter2]]),(BC38*Tableau1[[#This Row],[IR_inter3]]),(Tableau1[[#This Row],[IR_freq4]]*BR38),(CG38*Tableau1[[#This Row],[IR_inter5]]))</f>
        <v>4</v>
      </c>
      <c r="P38" s="162">
        <f t="shared" si="0"/>
        <v>4</v>
      </c>
      <c r="Q38" s="162">
        <f t="shared" si="1"/>
        <v>1</v>
      </c>
      <c r="R38" s="162">
        <f t="shared" si="2"/>
        <v>25</v>
      </c>
      <c r="S38" s="11" t="s">
        <v>259</v>
      </c>
      <c r="T38" s="12">
        <v>1</v>
      </c>
      <c r="U38" s="12">
        <v>20</v>
      </c>
      <c r="V38" s="9">
        <v>25</v>
      </c>
      <c r="W38" s="11">
        <v>1</v>
      </c>
      <c r="X38" s="11" t="s">
        <v>28</v>
      </c>
      <c r="Y38" s="8"/>
      <c r="Z38" s="8"/>
      <c r="AA38" s="8"/>
      <c r="AB38" s="8"/>
      <c r="AC38" s="11" t="s">
        <v>119</v>
      </c>
      <c r="AD38" s="8"/>
      <c r="AE38" s="8"/>
      <c r="AF38" s="8"/>
      <c r="AG38" s="11" t="s">
        <v>21</v>
      </c>
      <c r="AH38" s="8" t="s">
        <v>129</v>
      </c>
      <c r="AI38" s="8"/>
      <c r="AJ38" s="15" t="s">
        <v>17</v>
      </c>
      <c r="AK38" s="17">
        <v>1</v>
      </c>
      <c r="AL38" s="17">
        <v>15</v>
      </c>
      <c r="AM38" s="14">
        <v>15</v>
      </c>
      <c r="AN38" s="15">
        <v>3</v>
      </c>
      <c r="AO38" s="15" t="s">
        <v>18</v>
      </c>
      <c r="AP38" s="13" t="s">
        <v>11</v>
      </c>
      <c r="AQ38" s="13" t="s">
        <v>13</v>
      </c>
      <c r="AR38" s="13" t="s">
        <v>14</v>
      </c>
      <c r="AS38" s="13" t="s">
        <v>15</v>
      </c>
      <c r="AT38" s="16" t="s">
        <v>20</v>
      </c>
      <c r="AU38" s="16" t="s">
        <v>19</v>
      </c>
      <c r="AV38" s="15" t="s">
        <v>21</v>
      </c>
      <c r="AW38" s="13" t="s">
        <v>38</v>
      </c>
      <c r="AX38" s="13"/>
      <c r="AY38" s="21"/>
      <c r="AZ38" s="22"/>
      <c r="BA38" s="22"/>
      <c r="BB38" s="19"/>
      <c r="BC38" s="22"/>
      <c r="BD38" s="21"/>
      <c r="BE38" s="18"/>
      <c r="BF38" s="18"/>
      <c r="BG38" s="18"/>
      <c r="BH38" s="18"/>
      <c r="BI38" s="21"/>
      <c r="BJ38" s="18"/>
      <c r="BK38" s="18"/>
      <c r="BL38" s="21"/>
      <c r="BM38" s="18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27"/>
      <c r="CD38" s="28"/>
      <c r="CE38" s="27"/>
      <c r="CF38" s="25"/>
      <c r="CG38" s="27"/>
      <c r="CH38" s="27"/>
      <c r="CI38" s="27"/>
      <c r="CJ38" s="27"/>
      <c r="CK38" s="27"/>
      <c r="CL38" s="27"/>
      <c r="CM38" s="25"/>
      <c r="CN38" s="169">
        <f t="shared" si="3"/>
        <v>1</v>
      </c>
      <c r="CO38" s="167">
        <f t="shared" si="4"/>
        <v>0</v>
      </c>
      <c r="CP38" s="31"/>
      <c r="CQ38" s="35"/>
      <c r="CR38" s="31"/>
      <c r="CS38" s="30"/>
      <c r="CT38" s="31"/>
      <c r="CU38" s="30"/>
      <c r="CV38" s="31"/>
      <c r="CW38" s="31"/>
      <c r="CX38" s="31"/>
      <c r="CY38" s="31"/>
      <c r="CZ38" s="31"/>
      <c r="DA38" s="31"/>
      <c r="DB38" s="31"/>
      <c r="DC38" s="30"/>
      <c r="DD38" s="36"/>
      <c r="DE38" s="37"/>
      <c r="DF38" s="37"/>
      <c r="DG38" s="37"/>
      <c r="DH38" s="36"/>
      <c r="DI38" s="36"/>
      <c r="DJ38" s="36"/>
      <c r="DK38" s="36"/>
      <c r="DL38" s="36"/>
      <c r="DM38" s="36"/>
      <c r="DN38" s="36"/>
      <c r="DO38" s="167">
        <f t="shared" si="5"/>
        <v>1</v>
      </c>
      <c r="DP38" s="51">
        <v>2</v>
      </c>
      <c r="DQ38" s="51" t="s">
        <v>7</v>
      </c>
      <c r="DR38" s="49" t="s">
        <v>7</v>
      </c>
      <c r="DS38" s="51" t="s">
        <v>227</v>
      </c>
      <c r="DT38" s="51" t="s">
        <v>150</v>
      </c>
      <c r="DU38" s="51">
        <v>480</v>
      </c>
      <c r="DV38" s="52">
        <v>0.02</v>
      </c>
      <c r="DW38" s="44" t="s">
        <v>166</v>
      </c>
      <c r="DX38" s="44" t="s">
        <v>153</v>
      </c>
      <c r="DY38" s="45" t="s">
        <v>150</v>
      </c>
      <c r="DZ38" s="45" t="s">
        <v>7</v>
      </c>
      <c r="EA38" s="44">
        <v>480</v>
      </c>
      <c r="EB38" s="44"/>
      <c r="EC38" s="46">
        <v>0.01</v>
      </c>
      <c r="ED38" s="45"/>
      <c r="EE38" s="43" t="s">
        <v>155</v>
      </c>
      <c r="EF38" s="43" t="s">
        <v>8</v>
      </c>
      <c r="EG38" s="58">
        <v>1</v>
      </c>
      <c r="EH38" s="41"/>
      <c r="EI38" s="41"/>
      <c r="EJ38" s="41"/>
      <c r="EK38" s="43"/>
      <c r="EL38" s="43"/>
      <c r="EM38" s="43"/>
      <c r="EN38" s="165">
        <v>0</v>
      </c>
      <c r="EO38" s="8" t="s">
        <v>26</v>
      </c>
      <c r="EP38" s="11"/>
      <c r="EQ38" s="11"/>
      <c r="ER38" s="11"/>
      <c r="ES38" s="11"/>
      <c r="ET38" s="11"/>
      <c r="EU38" s="8"/>
      <c r="EV38" s="8"/>
      <c r="EW38" s="11"/>
      <c r="EX38" s="11"/>
      <c r="EY38" s="8"/>
      <c r="EZ38" s="13"/>
      <c r="FA38" s="13"/>
      <c r="FB38" s="13"/>
      <c r="FC38" s="13"/>
      <c r="FD38" s="13"/>
      <c r="FE38" s="13"/>
      <c r="FF38" s="13"/>
      <c r="FG38" s="13"/>
      <c r="FH38" s="13"/>
      <c r="FI38" s="166">
        <v>3</v>
      </c>
      <c r="FJ38" s="126" t="s">
        <v>29</v>
      </c>
      <c r="FK38" s="126" t="s">
        <v>187</v>
      </c>
      <c r="FL38" s="150" t="s">
        <v>196</v>
      </c>
      <c r="FM38" s="126" t="s">
        <v>194</v>
      </c>
      <c r="FN38" s="126" t="s">
        <v>193</v>
      </c>
      <c r="FO38" s="126">
        <v>1</v>
      </c>
      <c r="FP38" s="126">
        <v>500</v>
      </c>
      <c r="FQ38" s="126" t="s">
        <v>28</v>
      </c>
      <c r="FR38" s="126" t="s">
        <v>207</v>
      </c>
      <c r="FS38" s="126"/>
      <c r="FT38" s="126"/>
      <c r="FU38" s="151" t="s">
        <v>21</v>
      </c>
      <c r="FV38" s="126" t="s">
        <v>129</v>
      </c>
      <c r="FW38" s="43" t="s">
        <v>159</v>
      </c>
      <c r="FX38" s="43" t="s">
        <v>199</v>
      </c>
      <c r="FY38" s="43" t="s">
        <v>198</v>
      </c>
      <c r="FZ38" s="43" t="s">
        <v>7</v>
      </c>
      <c r="GA38" s="43">
        <v>0.2</v>
      </c>
      <c r="GB38" s="41">
        <v>150</v>
      </c>
      <c r="GC38" s="43" t="s">
        <v>11</v>
      </c>
      <c r="GD38" s="43"/>
      <c r="GE38" s="43"/>
      <c r="GF38" s="43"/>
      <c r="GG38" s="128" t="s">
        <v>217</v>
      </c>
      <c r="GH38" s="129"/>
      <c r="GI38" s="129"/>
      <c r="GJ38" s="128" t="s">
        <v>98</v>
      </c>
      <c r="GK38" s="129" t="s">
        <v>216</v>
      </c>
      <c r="GL38" s="128" t="s">
        <v>222</v>
      </c>
      <c r="GM38" s="128"/>
      <c r="GN38" s="128"/>
      <c r="GO38" s="129"/>
      <c r="GP38" s="128" t="s">
        <v>35</v>
      </c>
      <c r="GQ38" s="128">
        <v>0.2</v>
      </c>
      <c r="GR38" s="56" t="s">
        <v>233</v>
      </c>
      <c r="GS38" s="55"/>
      <c r="GT38" s="56"/>
      <c r="GU38" s="56" t="s">
        <v>225</v>
      </c>
      <c r="GV38" s="56" t="s">
        <v>7</v>
      </c>
      <c r="GW38" s="56" t="s">
        <v>7</v>
      </c>
      <c r="GX38" s="56"/>
      <c r="GY38" s="56" t="s">
        <v>9</v>
      </c>
      <c r="GZ38" s="55">
        <v>1</v>
      </c>
      <c r="HA38" s="55" t="s">
        <v>118</v>
      </c>
      <c r="HB38" s="55" t="s">
        <v>134</v>
      </c>
      <c r="HC38" s="55"/>
      <c r="HD38" s="55"/>
      <c r="HE38" s="55"/>
      <c r="HF38" s="170"/>
      <c r="HG38" s="172">
        <f t="shared" si="6"/>
        <v>150</v>
      </c>
      <c r="HH38" s="84" t="s">
        <v>9</v>
      </c>
      <c r="HI38" s="79">
        <v>1</v>
      </c>
      <c r="HJ38" s="76" t="s">
        <v>135</v>
      </c>
      <c r="HK38" s="76"/>
      <c r="HL38" s="76"/>
      <c r="HM38" s="76"/>
      <c r="HN38" s="76"/>
      <c r="HO38" s="79" t="s">
        <v>235</v>
      </c>
      <c r="HP38" s="79" t="s">
        <v>242</v>
      </c>
      <c r="HQ38" s="79" t="s">
        <v>37</v>
      </c>
      <c r="HR38" s="79" t="s">
        <v>245</v>
      </c>
      <c r="HS38" s="79" t="s">
        <v>244</v>
      </c>
      <c r="HT38" s="79" t="s">
        <v>245</v>
      </c>
      <c r="HU38" s="76"/>
      <c r="HV38" s="76"/>
      <c r="HW38" s="81">
        <v>10</v>
      </c>
      <c r="HX38" s="77">
        <v>20</v>
      </c>
      <c r="HY38" s="131">
        <f t="shared" si="13"/>
        <v>15</v>
      </c>
      <c r="HZ38" s="79" t="s">
        <v>247</v>
      </c>
      <c r="IA38" s="76" t="s">
        <v>248</v>
      </c>
      <c r="IB38" s="79" t="s">
        <v>249</v>
      </c>
      <c r="IC38" s="79">
        <v>10</v>
      </c>
      <c r="ID38" s="76">
        <v>10</v>
      </c>
      <c r="IE38" s="79">
        <v>10</v>
      </c>
      <c r="IF38" s="76">
        <v>15</v>
      </c>
      <c r="IG38" s="79">
        <v>20</v>
      </c>
      <c r="IH38" s="76">
        <v>20</v>
      </c>
      <c r="II38" s="76">
        <f>SUM(IC38,IE38,IG38)</f>
        <v>40</v>
      </c>
      <c r="IJ38" s="76">
        <f>SUM(ID38,IF38,IH38)</f>
        <v>45</v>
      </c>
      <c r="IK38" s="74"/>
      <c r="IL38" s="72"/>
      <c r="IM38" s="72"/>
      <c r="IN38" s="72"/>
      <c r="IO38" s="72"/>
      <c r="IP38" s="72"/>
      <c r="IQ38" s="72"/>
      <c r="IR38" s="72"/>
      <c r="IS38" s="72"/>
      <c r="IT38" s="72"/>
      <c r="IU38" s="72"/>
      <c r="IV38" s="72"/>
      <c r="IW38" s="72"/>
      <c r="IX38" s="73"/>
      <c r="IY38" s="73"/>
      <c r="IZ38" s="138">
        <f t="shared" si="14"/>
        <v>0</v>
      </c>
      <c r="JA38" s="72"/>
      <c r="JB38" s="72"/>
      <c r="JC38" s="72"/>
      <c r="JD38" s="72"/>
      <c r="JE38" s="72"/>
      <c r="JF38" s="72"/>
      <c r="JG38" s="72"/>
      <c r="JH38" s="72"/>
      <c r="JI38" s="72"/>
      <c r="JJ38" s="72"/>
      <c r="JK38" s="72"/>
      <c r="JL38" s="173">
        <v>0</v>
      </c>
      <c r="JM38" s="71" t="s">
        <v>24</v>
      </c>
      <c r="JN38" s="71" t="s">
        <v>24</v>
      </c>
      <c r="JO38" s="70"/>
      <c r="JP38" s="71"/>
      <c r="JQ38" s="71"/>
      <c r="JR38" s="71"/>
      <c r="JS38" s="70"/>
      <c r="JT38" s="71"/>
      <c r="JU38" s="70"/>
      <c r="JV38" s="70"/>
      <c r="JW38" s="71"/>
      <c r="JX38" s="71"/>
      <c r="JY38" s="71"/>
      <c r="JZ38" s="4" t="s">
        <v>24</v>
      </c>
      <c r="KA38" s="4"/>
      <c r="KB38" s="4"/>
      <c r="KC38" s="68"/>
      <c r="KD38" s="67"/>
      <c r="KE38" s="68"/>
      <c r="KF38" s="4"/>
      <c r="KG38" s="4"/>
      <c r="KH38" s="4"/>
      <c r="KI38" s="64" t="s">
        <v>259</v>
      </c>
      <c r="KJ38" s="63">
        <v>1</v>
      </c>
      <c r="KK38" s="63">
        <v>60</v>
      </c>
      <c r="KL38" s="63" t="s">
        <v>258</v>
      </c>
      <c r="KM38" s="63">
        <v>1</v>
      </c>
      <c r="KN38" s="63">
        <v>60</v>
      </c>
      <c r="KO38" s="63"/>
      <c r="KP38" s="63"/>
      <c r="KQ38" s="63"/>
      <c r="KR38" s="63"/>
      <c r="KS38" s="63"/>
      <c r="KT38" s="63"/>
      <c r="KU38" s="62" t="s">
        <v>24</v>
      </c>
      <c r="KV38" s="58">
        <v>0</v>
      </c>
      <c r="KW38" s="43"/>
      <c r="KX38" s="43"/>
      <c r="KY38" s="60" t="s">
        <v>24</v>
      </c>
      <c r="KZ38" s="60" t="s">
        <v>9</v>
      </c>
      <c r="LA38" s="60" t="s">
        <v>24</v>
      </c>
      <c r="LB38" s="60" t="s">
        <v>9</v>
      </c>
      <c r="LC38" s="60" t="s">
        <v>24</v>
      </c>
      <c r="LD38" s="60" t="s">
        <v>272</v>
      </c>
      <c r="LE38" s="59"/>
      <c r="LF38" s="60" t="s">
        <v>7</v>
      </c>
      <c r="LG38" s="3"/>
    </row>
    <row r="39" spans="1:319" x14ac:dyDescent="0.3">
      <c r="A39" s="104" t="s">
        <v>74</v>
      </c>
      <c r="B39" s="104">
        <v>25.1</v>
      </c>
      <c r="C39" s="85" t="s">
        <v>491</v>
      </c>
      <c r="D39" s="85">
        <v>0.5</v>
      </c>
      <c r="E39" s="5" t="s">
        <v>510</v>
      </c>
      <c r="F39" s="5" t="s">
        <v>518</v>
      </c>
      <c r="G39" s="5"/>
      <c r="H39" s="5">
        <v>4</v>
      </c>
      <c r="I39" s="6" t="s">
        <v>7</v>
      </c>
      <c r="J39" s="6" t="s">
        <v>105</v>
      </c>
      <c r="K39" s="6" t="s">
        <v>93</v>
      </c>
      <c r="L39" s="6" t="s">
        <v>110</v>
      </c>
      <c r="M39" s="6" t="s">
        <v>93</v>
      </c>
      <c r="N39" s="213" t="s">
        <v>845</v>
      </c>
      <c r="O39" s="162">
        <f>SUM((W39*Tableau1[[#This Row],[IR_inter1]]),(AN39*Tableau1[[#This Row],[IR_inter2]]),(BC39*Tableau1[[#This Row],[IR_inter3]]),(Tableau1[[#This Row],[IR_freq4]]*BR39),(CG39*Tableau1[[#This Row],[IR_inter5]]))</f>
        <v>4</v>
      </c>
      <c r="P39" s="162">
        <f t="shared" si="0"/>
        <v>4</v>
      </c>
      <c r="Q39" s="162">
        <f t="shared" si="1"/>
        <v>1</v>
      </c>
      <c r="R39" s="162">
        <f t="shared" si="2"/>
        <v>30</v>
      </c>
      <c r="S39" s="11" t="s">
        <v>10</v>
      </c>
      <c r="T39" s="12">
        <v>1</v>
      </c>
      <c r="U39" s="12">
        <v>30</v>
      </c>
      <c r="V39" s="9">
        <v>30</v>
      </c>
      <c r="W39" s="11">
        <v>2</v>
      </c>
      <c r="X39" s="11" t="s">
        <v>28</v>
      </c>
      <c r="Y39" s="8" t="s">
        <v>13</v>
      </c>
      <c r="Z39" s="8"/>
      <c r="AA39" s="8"/>
      <c r="AB39" s="8"/>
      <c r="AC39" s="11" t="s">
        <v>119</v>
      </c>
      <c r="AD39" s="8" t="s">
        <v>19</v>
      </c>
      <c r="AE39" s="8"/>
      <c r="AF39" s="8"/>
      <c r="AG39" s="11" t="s">
        <v>38</v>
      </c>
      <c r="AH39" s="8" t="s">
        <v>129</v>
      </c>
      <c r="AI39" s="8"/>
      <c r="AJ39" s="15" t="s">
        <v>131</v>
      </c>
      <c r="AK39" s="17">
        <v>1</v>
      </c>
      <c r="AL39" s="17">
        <v>10</v>
      </c>
      <c r="AM39" s="14">
        <v>10</v>
      </c>
      <c r="AN39" s="15">
        <v>2</v>
      </c>
      <c r="AO39" s="13" t="s">
        <v>11</v>
      </c>
      <c r="AP39" s="13" t="s">
        <v>13</v>
      </c>
      <c r="AQ39" s="13" t="s">
        <v>14</v>
      </c>
      <c r="AR39" s="13" t="s">
        <v>15</v>
      </c>
      <c r="AS39" s="13"/>
      <c r="AT39" s="15" t="s">
        <v>121</v>
      </c>
      <c r="AU39" s="13"/>
      <c r="AV39" s="15" t="s">
        <v>38</v>
      </c>
      <c r="AW39" s="13" t="s">
        <v>129</v>
      </c>
      <c r="AX39" s="13"/>
      <c r="AY39" s="21"/>
      <c r="AZ39" s="22"/>
      <c r="BA39" s="22"/>
      <c r="BB39" s="19"/>
      <c r="BC39" s="22"/>
      <c r="BD39" s="21"/>
      <c r="BE39" s="18"/>
      <c r="BF39" s="18"/>
      <c r="BG39" s="18"/>
      <c r="BH39" s="18"/>
      <c r="BI39" s="21"/>
      <c r="BJ39" s="18"/>
      <c r="BK39" s="18"/>
      <c r="BL39" s="21"/>
      <c r="BM39" s="18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27"/>
      <c r="CD39" s="28"/>
      <c r="CE39" s="27"/>
      <c r="CF39" s="25"/>
      <c r="CG39" s="27"/>
      <c r="CH39" s="27"/>
      <c r="CI39" s="27"/>
      <c r="CJ39" s="27"/>
      <c r="CK39" s="27"/>
      <c r="CL39" s="27"/>
      <c r="CM39" s="25"/>
      <c r="CN39" s="169">
        <f t="shared" si="3"/>
        <v>1</v>
      </c>
      <c r="CO39" s="167">
        <f t="shared" si="4"/>
        <v>0</v>
      </c>
      <c r="CP39" s="31"/>
      <c r="CQ39" s="35"/>
      <c r="CR39" s="31"/>
      <c r="CS39" s="30"/>
      <c r="CT39" s="31"/>
      <c r="CU39" s="30"/>
      <c r="CV39" s="31"/>
      <c r="CW39" s="31"/>
      <c r="CX39" s="31"/>
      <c r="CY39" s="31"/>
      <c r="CZ39" s="31"/>
      <c r="DA39" s="31"/>
      <c r="DB39" s="31"/>
      <c r="DC39" s="30"/>
      <c r="DD39" s="36"/>
      <c r="DE39" s="37"/>
      <c r="DF39" s="37"/>
      <c r="DG39" s="37"/>
      <c r="DH39" s="36"/>
      <c r="DI39" s="36"/>
      <c r="DJ39" s="36"/>
      <c r="DK39" s="36"/>
      <c r="DL39" s="36"/>
      <c r="DM39" s="36"/>
      <c r="DN39" s="36"/>
      <c r="DO39" s="167">
        <f t="shared" si="5"/>
        <v>1</v>
      </c>
      <c r="DP39" s="51">
        <v>2</v>
      </c>
      <c r="DQ39" s="51" t="s">
        <v>11</v>
      </c>
      <c r="DR39" s="49" t="s">
        <v>14</v>
      </c>
      <c r="DS39" s="51" t="s">
        <v>227</v>
      </c>
      <c r="DT39" s="51" t="s">
        <v>150</v>
      </c>
      <c r="DU39" s="51">
        <v>480</v>
      </c>
      <c r="DV39" s="52">
        <v>0.02</v>
      </c>
      <c r="DW39" s="44" t="s">
        <v>166</v>
      </c>
      <c r="DX39" s="44" t="s">
        <v>153</v>
      </c>
      <c r="DY39" s="45" t="s">
        <v>150</v>
      </c>
      <c r="DZ39" s="45" t="s">
        <v>7</v>
      </c>
      <c r="EA39" s="44">
        <v>480</v>
      </c>
      <c r="EB39" s="44"/>
      <c r="EC39" s="46">
        <v>0.01</v>
      </c>
      <c r="ED39" s="45" t="s">
        <v>21</v>
      </c>
      <c r="EE39" s="43" t="s">
        <v>155</v>
      </c>
      <c r="EF39" s="43" t="s">
        <v>8</v>
      </c>
      <c r="EG39" s="58">
        <v>1</v>
      </c>
      <c r="EH39" s="41"/>
      <c r="EI39" s="41"/>
      <c r="EJ39" s="41"/>
      <c r="EK39" s="43"/>
      <c r="EL39" s="43"/>
      <c r="EM39" s="43"/>
      <c r="EN39" s="165">
        <v>0</v>
      </c>
      <c r="EO39" s="8" t="s">
        <v>26</v>
      </c>
      <c r="EP39" s="11"/>
      <c r="EQ39" s="11"/>
      <c r="ER39" s="11"/>
      <c r="ES39" s="11"/>
      <c r="ET39" s="11"/>
      <c r="EU39" s="8"/>
      <c r="EV39" s="8"/>
      <c r="EW39" s="11"/>
      <c r="EX39" s="11"/>
      <c r="EY39" s="8"/>
      <c r="EZ39" s="13"/>
      <c r="FA39" s="13"/>
      <c r="FB39" s="13"/>
      <c r="FC39" s="13"/>
      <c r="FD39" s="13"/>
      <c r="FE39" s="13"/>
      <c r="FF39" s="13"/>
      <c r="FG39" s="13"/>
      <c r="FH39" s="13"/>
      <c r="FI39" s="166">
        <v>1</v>
      </c>
      <c r="FJ39" s="126" t="s">
        <v>29</v>
      </c>
      <c r="FK39" s="126" t="s">
        <v>7</v>
      </c>
      <c r="FL39" s="150" t="s">
        <v>7</v>
      </c>
      <c r="FM39" s="126" t="s">
        <v>7</v>
      </c>
      <c r="FN39" s="126" t="s">
        <v>197</v>
      </c>
      <c r="FO39" s="126">
        <v>1</v>
      </c>
      <c r="FP39" s="126">
        <v>800</v>
      </c>
      <c r="FQ39" s="126" t="s">
        <v>11</v>
      </c>
      <c r="FR39" s="126" t="s">
        <v>207</v>
      </c>
      <c r="FS39" s="126"/>
      <c r="FT39" s="126"/>
      <c r="FU39" s="151" t="s">
        <v>21</v>
      </c>
      <c r="FV39" s="126" t="s">
        <v>172</v>
      </c>
      <c r="FW39" s="43"/>
      <c r="FX39" s="43"/>
      <c r="FY39" s="41"/>
      <c r="FZ39" s="43"/>
      <c r="GA39" s="43"/>
      <c r="GB39" s="41"/>
      <c r="GC39" s="41"/>
      <c r="GD39" s="43"/>
      <c r="GE39" s="43"/>
      <c r="GF39" s="43"/>
      <c r="GG39" s="128" t="s">
        <v>218</v>
      </c>
      <c r="GH39" s="129"/>
      <c r="GI39" s="129"/>
      <c r="GJ39" s="128" t="s">
        <v>33</v>
      </c>
      <c r="GK39" s="129"/>
      <c r="GL39" s="128" t="s">
        <v>34</v>
      </c>
      <c r="GM39" s="128"/>
      <c r="GN39" s="128" t="s">
        <v>32</v>
      </c>
      <c r="GO39" s="129"/>
      <c r="GP39" s="128" t="s">
        <v>226</v>
      </c>
      <c r="GQ39" s="128">
        <v>2</v>
      </c>
      <c r="GR39" s="56" t="s">
        <v>232</v>
      </c>
      <c r="GS39" s="55"/>
      <c r="GT39" s="56"/>
      <c r="GU39" s="56" t="s">
        <v>225</v>
      </c>
      <c r="GV39" s="56" t="s">
        <v>7</v>
      </c>
      <c r="GW39" s="56" t="s">
        <v>7</v>
      </c>
      <c r="GX39" s="56"/>
      <c r="GY39" s="56" t="s">
        <v>24</v>
      </c>
      <c r="GZ39" s="55"/>
      <c r="HA39" s="55"/>
      <c r="HB39" s="55"/>
      <c r="HC39" s="55"/>
      <c r="HD39" s="55"/>
      <c r="HE39" s="55"/>
      <c r="HF39" s="170"/>
      <c r="HG39" s="172">
        <f t="shared" si="6"/>
        <v>0</v>
      </c>
      <c r="HH39" s="84" t="s">
        <v>24</v>
      </c>
      <c r="HI39" s="79"/>
      <c r="HJ39" s="76"/>
      <c r="HK39" s="76"/>
      <c r="HL39" s="76"/>
      <c r="HM39" s="76"/>
      <c r="HN39" s="76"/>
      <c r="HO39" s="79"/>
      <c r="HP39" s="79"/>
      <c r="HQ39" s="79"/>
      <c r="HR39" s="76"/>
      <c r="HS39" s="76"/>
      <c r="HT39" s="79"/>
      <c r="HU39" s="76"/>
      <c r="HV39" s="76"/>
      <c r="HW39" s="80"/>
      <c r="HX39" s="77"/>
      <c r="HY39" s="131">
        <f t="shared" si="13"/>
        <v>0</v>
      </c>
      <c r="HZ39" s="79"/>
      <c r="IA39" s="76" t="s">
        <v>892</v>
      </c>
      <c r="IB39" s="79"/>
      <c r="IC39" s="79"/>
      <c r="ID39" s="76"/>
      <c r="IE39" s="79"/>
      <c r="IF39" s="76"/>
      <c r="IG39" s="79"/>
      <c r="IH39" s="76"/>
      <c r="II39" s="76"/>
      <c r="IJ39" s="76"/>
      <c r="IK39" s="74"/>
      <c r="IL39" s="72"/>
      <c r="IM39" s="72"/>
      <c r="IN39" s="72"/>
      <c r="IO39" s="72"/>
      <c r="IP39" s="72"/>
      <c r="IQ39" s="72"/>
      <c r="IR39" s="72"/>
      <c r="IS39" s="72"/>
      <c r="IT39" s="72"/>
      <c r="IU39" s="72"/>
      <c r="IV39" s="72"/>
      <c r="IW39" s="72"/>
      <c r="IX39" s="73"/>
      <c r="IY39" s="73"/>
      <c r="IZ39" s="138">
        <f t="shared" si="14"/>
        <v>0</v>
      </c>
      <c r="JA39" s="72"/>
      <c r="JB39" s="72"/>
      <c r="JC39" s="72"/>
      <c r="JD39" s="72"/>
      <c r="JE39" s="72"/>
      <c r="JF39" s="72"/>
      <c r="JG39" s="72"/>
      <c r="JH39" s="72"/>
      <c r="JI39" s="72"/>
      <c r="JJ39" s="72"/>
      <c r="JK39" s="72"/>
      <c r="JL39" s="173">
        <v>1</v>
      </c>
      <c r="JM39" s="71" t="s">
        <v>9</v>
      </c>
      <c r="JN39" s="71" t="s">
        <v>24</v>
      </c>
      <c r="JO39" s="70" t="s">
        <v>16</v>
      </c>
      <c r="JP39" s="71" t="s">
        <v>22</v>
      </c>
      <c r="JQ39" s="71"/>
      <c r="JR39" s="71" t="s">
        <v>253</v>
      </c>
      <c r="JS39" s="70"/>
      <c r="JT39" s="71" t="s">
        <v>244</v>
      </c>
      <c r="JU39" s="70" t="s">
        <v>250</v>
      </c>
      <c r="JV39" s="70"/>
      <c r="JW39" s="71"/>
      <c r="JX39" s="71" t="s">
        <v>7</v>
      </c>
      <c r="JY39" s="71">
        <v>20</v>
      </c>
      <c r="JZ39" s="4" t="s">
        <v>24</v>
      </c>
      <c r="KA39" s="4"/>
      <c r="KB39" s="4"/>
      <c r="KC39" s="68"/>
      <c r="KD39" s="67"/>
      <c r="KE39" s="68"/>
      <c r="KF39" s="4"/>
      <c r="KG39" s="4"/>
      <c r="KH39" s="4"/>
      <c r="KI39" s="64" t="s">
        <v>259</v>
      </c>
      <c r="KJ39" s="63">
        <v>1</v>
      </c>
      <c r="KK39" s="63">
        <v>60</v>
      </c>
      <c r="KL39" s="63" t="s">
        <v>261</v>
      </c>
      <c r="KM39" s="63">
        <v>1</v>
      </c>
      <c r="KN39" s="63">
        <v>20</v>
      </c>
      <c r="KO39" s="63"/>
      <c r="KP39" s="63"/>
      <c r="KQ39" s="63"/>
      <c r="KR39" s="63"/>
      <c r="KS39" s="63"/>
      <c r="KT39" s="63"/>
      <c r="KU39" s="62" t="s">
        <v>24</v>
      </c>
      <c r="KV39" s="58">
        <v>7</v>
      </c>
      <c r="KW39" s="43" t="s">
        <v>265</v>
      </c>
      <c r="KX39" s="43" t="s">
        <v>269</v>
      </c>
      <c r="KY39" s="60" t="s">
        <v>9</v>
      </c>
      <c r="KZ39" s="60" t="s">
        <v>24</v>
      </c>
      <c r="LA39" s="60"/>
      <c r="LB39" s="59"/>
      <c r="LC39" s="60"/>
      <c r="LD39" s="60"/>
      <c r="LE39" s="59"/>
      <c r="LF39" s="59"/>
      <c r="LG39" s="3"/>
    </row>
    <row r="40" spans="1:319" x14ac:dyDescent="0.3">
      <c r="A40" s="104" t="s">
        <v>75</v>
      </c>
      <c r="B40" s="104">
        <v>25.2</v>
      </c>
      <c r="C40" s="85" t="s">
        <v>492</v>
      </c>
      <c r="D40" s="85">
        <v>2.15</v>
      </c>
      <c r="E40" s="5" t="s">
        <v>510</v>
      </c>
      <c r="F40" s="5" t="s">
        <v>518</v>
      </c>
      <c r="G40" s="5"/>
      <c r="H40" s="5">
        <v>4</v>
      </c>
      <c r="I40" s="6" t="s">
        <v>7</v>
      </c>
      <c r="J40" s="5"/>
      <c r="K40" s="6" t="s">
        <v>90</v>
      </c>
      <c r="L40" s="6" t="s">
        <v>110</v>
      </c>
      <c r="M40" s="6" t="s">
        <v>90</v>
      </c>
      <c r="N40" s="213" t="s">
        <v>845</v>
      </c>
      <c r="O40" s="162">
        <f>SUM((W40*Tableau1[[#This Row],[IR_inter1]]),(AN40*Tableau1[[#This Row],[IR_inter2]]),(BC40*Tableau1[[#This Row],[IR_inter3]]),(Tableau1[[#This Row],[IR_freq4]]*BR40),(CG40*Tableau1[[#This Row],[IR_inter5]]))</f>
        <v>4</v>
      </c>
      <c r="P40" s="162">
        <f t="shared" si="0"/>
        <v>4</v>
      </c>
      <c r="Q40" s="162">
        <f t="shared" si="1"/>
        <v>1</v>
      </c>
      <c r="R40" s="162">
        <f t="shared" si="2"/>
        <v>30</v>
      </c>
      <c r="S40" s="11" t="s">
        <v>10</v>
      </c>
      <c r="T40" s="12">
        <v>1</v>
      </c>
      <c r="U40" s="12">
        <v>30</v>
      </c>
      <c r="V40" s="9">
        <v>30</v>
      </c>
      <c r="W40" s="11">
        <v>2</v>
      </c>
      <c r="X40" s="11" t="s">
        <v>28</v>
      </c>
      <c r="Y40" s="8" t="s">
        <v>13</v>
      </c>
      <c r="Z40" s="8"/>
      <c r="AA40" s="8"/>
      <c r="AB40" s="8"/>
      <c r="AC40" s="11" t="s">
        <v>119</v>
      </c>
      <c r="AD40" s="8" t="s">
        <v>19</v>
      </c>
      <c r="AE40" s="8"/>
      <c r="AF40" s="8"/>
      <c r="AG40" s="11" t="s">
        <v>38</v>
      </c>
      <c r="AH40" s="8" t="s">
        <v>129</v>
      </c>
      <c r="AI40" s="8"/>
      <c r="AJ40" s="15" t="s">
        <v>131</v>
      </c>
      <c r="AK40" s="17">
        <v>1</v>
      </c>
      <c r="AL40" s="17">
        <v>10</v>
      </c>
      <c r="AM40" s="14">
        <v>10</v>
      </c>
      <c r="AN40" s="15">
        <v>2</v>
      </c>
      <c r="AO40" s="13" t="s">
        <v>11</v>
      </c>
      <c r="AP40" s="13" t="s">
        <v>13</v>
      </c>
      <c r="AQ40" s="13" t="s">
        <v>14</v>
      </c>
      <c r="AR40" s="13" t="s">
        <v>15</v>
      </c>
      <c r="AS40" s="13"/>
      <c r="AT40" s="15" t="s">
        <v>121</v>
      </c>
      <c r="AU40" s="13"/>
      <c r="AV40" s="15" t="s">
        <v>38</v>
      </c>
      <c r="AW40" s="13" t="s">
        <v>129</v>
      </c>
      <c r="AX40" s="13"/>
      <c r="AY40" s="21"/>
      <c r="AZ40" s="22"/>
      <c r="BA40" s="22"/>
      <c r="BB40" s="19"/>
      <c r="BC40" s="22"/>
      <c r="BD40" s="21"/>
      <c r="BE40" s="18"/>
      <c r="BF40" s="18"/>
      <c r="BG40" s="18"/>
      <c r="BH40" s="18"/>
      <c r="BI40" s="21"/>
      <c r="BJ40" s="18"/>
      <c r="BK40" s="18"/>
      <c r="BL40" s="21"/>
      <c r="BM40" s="18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27"/>
      <c r="CD40" s="28"/>
      <c r="CE40" s="27"/>
      <c r="CF40" s="25"/>
      <c r="CG40" s="27"/>
      <c r="CH40" s="27"/>
      <c r="CI40" s="27"/>
      <c r="CJ40" s="27"/>
      <c r="CK40" s="27"/>
      <c r="CL40" s="27"/>
      <c r="CM40" s="25"/>
      <c r="CN40" s="169">
        <f t="shared" si="3"/>
        <v>1</v>
      </c>
      <c r="CO40" s="167">
        <f t="shared" si="4"/>
        <v>0</v>
      </c>
      <c r="CP40" s="31"/>
      <c r="CQ40" s="35"/>
      <c r="CR40" s="31"/>
      <c r="CS40" s="30"/>
      <c r="CT40" s="31"/>
      <c r="CU40" s="30"/>
      <c r="CV40" s="31"/>
      <c r="CW40" s="31"/>
      <c r="CX40" s="31"/>
      <c r="CY40" s="31"/>
      <c r="CZ40" s="31"/>
      <c r="DA40" s="31"/>
      <c r="DB40" s="31"/>
      <c r="DC40" s="30"/>
      <c r="DD40" s="36"/>
      <c r="DE40" s="37"/>
      <c r="DF40" s="37"/>
      <c r="DG40" s="37"/>
      <c r="DH40" s="36"/>
      <c r="DI40" s="36"/>
      <c r="DJ40" s="36"/>
      <c r="DK40" s="36"/>
      <c r="DL40" s="36"/>
      <c r="DM40" s="36"/>
      <c r="DN40" s="36"/>
      <c r="DO40" s="167">
        <f t="shared" si="5"/>
        <v>1</v>
      </c>
      <c r="DP40" s="51">
        <v>2</v>
      </c>
      <c r="DQ40" s="51" t="s">
        <v>11</v>
      </c>
      <c r="DR40" s="49" t="s">
        <v>14</v>
      </c>
      <c r="DS40" s="51" t="s">
        <v>227</v>
      </c>
      <c r="DT40" s="51" t="s">
        <v>150</v>
      </c>
      <c r="DU40" s="51">
        <v>480</v>
      </c>
      <c r="DV40" s="52">
        <v>0.02</v>
      </c>
      <c r="DW40" s="44" t="s">
        <v>166</v>
      </c>
      <c r="DX40" s="45" t="s">
        <v>7</v>
      </c>
      <c r="DY40" s="45" t="s">
        <v>150</v>
      </c>
      <c r="DZ40" s="45" t="s">
        <v>7</v>
      </c>
      <c r="EA40" s="44">
        <v>480</v>
      </c>
      <c r="EB40" s="44"/>
      <c r="EC40" s="44" t="s">
        <v>7</v>
      </c>
      <c r="ED40" s="45" t="s">
        <v>21</v>
      </c>
      <c r="EE40" s="43" t="s">
        <v>155</v>
      </c>
      <c r="EF40" s="43" t="s">
        <v>8</v>
      </c>
      <c r="EG40" s="58">
        <v>1</v>
      </c>
      <c r="EH40" s="41"/>
      <c r="EI40" s="41"/>
      <c r="EJ40" s="41"/>
      <c r="EK40" s="43"/>
      <c r="EL40" s="43"/>
      <c r="EM40" s="43"/>
      <c r="EN40" s="165">
        <v>0</v>
      </c>
      <c r="EO40" s="8" t="s">
        <v>26</v>
      </c>
      <c r="EP40" s="11"/>
      <c r="EQ40" s="11"/>
      <c r="ER40" s="11"/>
      <c r="ES40" s="11"/>
      <c r="ET40" s="11"/>
      <c r="EU40" s="8"/>
      <c r="EV40" s="8"/>
      <c r="EW40" s="11"/>
      <c r="EX40" s="11"/>
      <c r="EY40" s="8"/>
      <c r="EZ40" s="13"/>
      <c r="FA40" s="13"/>
      <c r="FB40" s="13"/>
      <c r="FC40" s="13"/>
      <c r="FD40" s="13"/>
      <c r="FE40" s="13"/>
      <c r="FF40" s="13"/>
      <c r="FG40" s="13"/>
      <c r="FH40" s="13"/>
      <c r="FI40" s="166">
        <v>1</v>
      </c>
      <c r="FJ40" s="126" t="s">
        <v>29</v>
      </c>
      <c r="FK40" s="126" t="s">
        <v>7</v>
      </c>
      <c r="FL40" s="150" t="s">
        <v>7</v>
      </c>
      <c r="FM40" s="126" t="s">
        <v>7</v>
      </c>
      <c r="FN40" s="126" t="s">
        <v>197</v>
      </c>
      <c r="FO40" s="126">
        <v>1</v>
      </c>
      <c r="FP40" s="126">
        <v>800</v>
      </c>
      <c r="FQ40" s="126" t="s">
        <v>11</v>
      </c>
      <c r="FR40" s="126" t="s">
        <v>207</v>
      </c>
      <c r="FS40" s="126"/>
      <c r="FT40" s="126"/>
      <c r="FU40" s="151" t="s">
        <v>21</v>
      </c>
      <c r="FV40" s="126" t="s">
        <v>172</v>
      </c>
      <c r="FW40" s="43"/>
      <c r="FX40" s="43"/>
      <c r="FY40" s="41"/>
      <c r="FZ40" s="43"/>
      <c r="GA40" s="43"/>
      <c r="GB40" s="41"/>
      <c r="GC40" s="41"/>
      <c r="GD40" s="43"/>
      <c r="GE40" s="43"/>
      <c r="GF40" s="43"/>
      <c r="GG40" s="128" t="s">
        <v>218</v>
      </c>
      <c r="GH40" s="129"/>
      <c r="GI40" s="129"/>
      <c r="GJ40" s="128" t="s">
        <v>33</v>
      </c>
      <c r="GK40" s="129"/>
      <c r="GL40" s="128" t="s">
        <v>34</v>
      </c>
      <c r="GM40" s="128"/>
      <c r="GN40" s="128" t="s">
        <v>32</v>
      </c>
      <c r="GO40" s="129"/>
      <c r="GP40" s="128" t="s">
        <v>226</v>
      </c>
      <c r="GQ40" s="128">
        <v>2</v>
      </c>
      <c r="GR40" s="56" t="s">
        <v>232</v>
      </c>
      <c r="GS40" s="55"/>
      <c r="GT40" s="56"/>
      <c r="GU40" s="56" t="s">
        <v>225</v>
      </c>
      <c r="GV40" s="56" t="s">
        <v>7</v>
      </c>
      <c r="GW40" s="56" t="s">
        <v>7</v>
      </c>
      <c r="GX40" s="56"/>
      <c r="GY40" s="56" t="s">
        <v>24</v>
      </c>
      <c r="GZ40" s="55"/>
      <c r="HA40" s="55"/>
      <c r="HB40" s="55"/>
      <c r="HC40" s="55"/>
      <c r="HD40" s="55"/>
      <c r="HE40" s="55"/>
      <c r="HF40" s="170"/>
      <c r="HG40" s="172">
        <f t="shared" si="6"/>
        <v>0</v>
      </c>
      <c r="HH40" s="84" t="s">
        <v>24</v>
      </c>
      <c r="HI40" s="79"/>
      <c r="HJ40" s="76"/>
      <c r="HK40" s="76"/>
      <c r="HL40" s="76"/>
      <c r="HM40" s="76"/>
      <c r="HN40" s="76"/>
      <c r="HO40" s="79"/>
      <c r="HP40" s="79"/>
      <c r="HQ40" s="79"/>
      <c r="HR40" s="76"/>
      <c r="HS40" s="76"/>
      <c r="HT40" s="79"/>
      <c r="HU40" s="76"/>
      <c r="HV40" s="76"/>
      <c r="HW40" s="80"/>
      <c r="HX40" s="77"/>
      <c r="HY40" s="131">
        <f t="shared" si="13"/>
        <v>0</v>
      </c>
      <c r="HZ40" s="79"/>
      <c r="IA40" s="76" t="s">
        <v>892</v>
      </c>
      <c r="IB40" s="79"/>
      <c r="IC40" s="79"/>
      <c r="ID40" s="76"/>
      <c r="IE40" s="79"/>
      <c r="IF40" s="76"/>
      <c r="IG40" s="79"/>
      <c r="IH40" s="76"/>
      <c r="II40" s="76"/>
      <c r="IJ40" s="76"/>
      <c r="IK40" s="74"/>
      <c r="IL40" s="72"/>
      <c r="IM40" s="72"/>
      <c r="IN40" s="72"/>
      <c r="IO40" s="72"/>
      <c r="IP40" s="72"/>
      <c r="IQ40" s="72"/>
      <c r="IR40" s="72"/>
      <c r="IS40" s="72"/>
      <c r="IT40" s="72"/>
      <c r="IU40" s="72"/>
      <c r="IV40" s="72"/>
      <c r="IW40" s="72"/>
      <c r="IX40" s="73"/>
      <c r="IY40" s="73"/>
      <c r="IZ40" s="138">
        <f t="shared" si="14"/>
        <v>0</v>
      </c>
      <c r="JA40" s="72"/>
      <c r="JB40" s="72"/>
      <c r="JC40" s="72"/>
      <c r="JD40" s="72"/>
      <c r="JE40" s="72"/>
      <c r="JF40" s="72"/>
      <c r="JG40" s="72"/>
      <c r="JH40" s="72"/>
      <c r="JI40" s="72"/>
      <c r="JJ40" s="72"/>
      <c r="JK40" s="72"/>
      <c r="JL40" s="173">
        <v>1</v>
      </c>
      <c r="JM40" s="71" t="s">
        <v>9</v>
      </c>
      <c r="JN40" s="71" t="s">
        <v>24</v>
      </c>
      <c r="JO40" s="70" t="s">
        <v>16</v>
      </c>
      <c r="JP40" s="71" t="s">
        <v>22</v>
      </c>
      <c r="JQ40" s="71"/>
      <c r="JR40" s="71" t="s">
        <v>253</v>
      </c>
      <c r="JS40" s="70"/>
      <c r="JT40" s="71" t="s">
        <v>244</v>
      </c>
      <c r="JU40" s="70" t="s">
        <v>250</v>
      </c>
      <c r="JV40" s="70"/>
      <c r="JW40" s="71"/>
      <c r="JX40" s="71" t="s">
        <v>7</v>
      </c>
      <c r="JY40" s="71">
        <v>20</v>
      </c>
      <c r="JZ40" s="4" t="s">
        <v>24</v>
      </c>
      <c r="KA40" s="4"/>
      <c r="KB40" s="4"/>
      <c r="KC40" s="68"/>
      <c r="KD40" s="67"/>
      <c r="KE40" s="68"/>
      <c r="KF40" s="4"/>
      <c r="KG40" s="4"/>
      <c r="KH40" s="4"/>
      <c r="KI40" s="64" t="s">
        <v>259</v>
      </c>
      <c r="KJ40" s="63">
        <v>1</v>
      </c>
      <c r="KK40" s="63">
        <v>60</v>
      </c>
      <c r="KL40" s="63" t="s">
        <v>258</v>
      </c>
      <c r="KM40" s="63">
        <v>1</v>
      </c>
      <c r="KN40" s="63">
        <v>60</v>
      </c>
      <c r="KO40" s="63" t="s">
        <v>261</v>
      </c>
      <c r="KP40" s="63">
        <v>1</v>
      </c>
      <c r="KQ40" s="63">
        <v>20</v>
      </c>
      <c r="KR40" s="63"/>
      <c r="KS40" s="63"/>
      <c r="KT40" s="63"/>
      <c r="KU40" s="62" t="s">
        <v>24</v>
      </c>
      <c r="KV40" s="58">
        <v>7</v>
      </c>
      <c r="KW40" s="43" t="s">
        <v>265</v>
      </c>
      <c r="KX40" s="43" t="s">
        <v>269</v>
      </c>
      <c r="KY40" s="60" t="s">
        <v>9</v>
      </c>
      <c r="KZ40" s="60" t="s">
        <v>24</v>
      </c>
      <c r="LA40" s="60"/>
      <c r="LB40" s="59"/>
      <c r="LC40" s="60"/>
      <c r="LD40" s="60"/>
      <c r="LE40" s="59"/>
      <c r="LF40" s="60"/>
      <c r="LG40" s="3"/>
    </row>
    <row r="41" spans="1:319" x14ac:dyDescent="0.3">
      <c r="A41" s="104" t="s">
        <v>82</v>
      </c>
      <c r="B41" s="104">
        <v>26.1</v>
      </c>
      <c r="C41" s="85" t="s">
        <v>287</v>
      </c>
      <c r="D41" s="85">
        <v>1.3</v>
      </c>
      <c r="E41" s="5" t="s">
        <v>510</v>
      </c>
      <c r="F41" s="5" t="s">
        <v>518</v>
      </c>
      <c r="G41" s="5"/>
      <c r="H41" s="5">
        <v>4</v>
      </c>
      <c r="I41" s="6" t="s">
        <v>109</v>
      </c>
      <c r="J41" s="6"/>
      <c r="K41" s="6" t="s">
        <v>110</v>
      </c>
      <c r="L41" s="6" t="s">
        <v>110</v>
      </c>
      <c r="M41" s="6" t="s">
        <v>90</v>
      </c>
      <c r="N41" s="213" t="s">
        <v>846</v>
      </c>
      <c r="O41" s="162">
        <f>SUM((W41*Tableau1[[#This Row],[IR_inter1]]),(AN41*Tableau1[[#This Row],[IR_inter2]]),(BC41*Tableau1[[#This Row],[IR_inter3]]),(Tableau1[[#This Row],[IR_freq4]]*BR41),(CG41*Tableau1[[#This Row],[IR_inter5]]))</f>
        <v>4</v>
      </c>
      <c r="P41" s="162">
        <f t="shared" si="0"/>
        <v>4</v>
      </c>
      <c r="Q41" s="162">
        <f t="shared" si="1"/>
        <v>1</v>
      </c>
      <c r="R41" s="162">
        <f t="shared" si="2"/>
        <v>30</v>
      </c>
      <c r="S41" s="11" t="s">
        <v>10</v>
      </c>
      <c r="T41" s="12">
        <v>1</v>
      </c>
      <c r="U41" s="12">
        <v>30</v>
      </c>
      <c r="V41" s="9">
        <v>30</v>
      </c>
      <c r="W41" s="11">
        <v>2</v>
      </c>
      <c r="X41" s="11" t="s">
        <v>118</v>
      </c>
      <c r="Y41" s="8" t="s">
        <v>13</v>
      </c>
      <c r="Z41" s="8"/>
      <c r="AA41" s="8"/>
      <c r="AB41" s="8"/>
      <c r="AC41" s="11" t="s">
        <v>119</v>
      </c>
      <c r="AD41" s="8" t="s">
        <v>19</v>
      </c>
      <c r="AE41" s="8"/>
      <c r="AF41" s="8"/>
      <c r="AG41" s="11" t="s">
        <v>38</v>
      </c>
      <c r="AH41" s="8" t="s">
        <v>129</v>
      </c>
      <c r="AI41" s="8"/>
      <c r="AJ41" s="15" t="s">
        <v>131</v>
      </c>
      <c r="AK41" s="17">
        <v>1</v>
      </c>
      <c r="AL41" s="17">
        <v>10</v>
      </c>
      <c r="AM41" s="14">
        <v>10</v>
      </c>
      <c r="AN41" s="15">
        <v>2</v>
      </c>
      <c r="AO41" s="15" t="s">
        <v>11</v>
      </c>
      <c r="AP41" s="15" t="s">
        <v>13</v>
      </c>
      <c r="AQ41" s="13" t="s">
        <v>14</v>
      </c>
      <c r="AR41" s="13" t="s">
        <v>15</v>
      </c>
      <c r="AS41" s="13"/>
      <c r="AT41" s="15" t="s">
        <v>121</v>
      </c>
      <c r="AU41" s="13"/>
      <c r="AV41" s="15" t="s">
        <v>38</v>
      </c>
      <c r="AW41" s="13" t="s">
        <v>129</v>
      </c>
      <c r="AX41" s="13"/>
      <c r="AY41" s="21"/>
      <c r="AZ41" s="22"/>
      <c r="BA41" s="22"/>
      <c r="BB41" s="19"/>
      <c r="BC41" s="22"/>
      <c r="BD41" s="21"/>
      <c r="BE41" s="18"/>
      <c r="BF41" s="18"/>
      <c r="BG41" s="18"/>
      <c r="BH41" s="18"/>
      <c r="BI41" s="21"/>
      <c r="BJ41" s="18"/>
      <c r="BK41" s="18"/>
      <c r="BL41" s="21"/>
      <c r="BM41" s="18"/>
      <c r="BN41" s="101"/>
      <c r="BO41" s="102"/>
      <c r="BP41" s="101"/>
      <c r="BQ41" s="99"/>
      <c r="BR41" s="101"/>
      <c r="BS41" s="101"/>
      <c r="BT41" s="101"/>
      <c r="BU41" s="101"/>
      <c r="BV41" s="101"/>
      <c r="BW41" s="101"/>
      <c r="BX41" s="101"/>
      <c r="BY41" s="99"/>
      <c r="BZ41" s="99"/>
      <c r="CA41" s="101"/>
      <c r="CB41" s="99"/>
      <c r="CC41" s="27"/>
      <c r="CD41" s="28"/>
      <c r="CE41" s="27"/>
      <c r="CF41" s="25"/>
      <c r="CG41" s="27"/>
      <c r="CH41" s="27"/>
      <c r="CI41" s="27"/>
      <c r="CJ41" s="27"/>
      <c r="CK41" s="27"/>
      <c r="CL41" s="27"/>
      <c r="CM41" s="25"/>
      <c r="CN41" s="169">
        <f t="shared" si="3"/>
        <v>1</v>
      </c>
      <c r="CO41" s="167">
        <f t="shared" si="4"/>
        <v>0</v>
      </c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167">
        <f t="shared" si="5"/>
        <v>1</v>
      </c>
      <c r="DP41" s="51">
        <v>2</v>
      </c>
      <c r="DQ41" s="51" t="s">
        <v>11</v>
      </c>
      <c r="DR41" s="49" t="s">
        <v>14</v>
      </c>
      <c r="DS41" s="51" t="s">
        <v>227</v>
      </c>
      <c r="DT41" s="51" t="s">
        <v>150</v>
      </c>
      <c r="DU41" s="51">
        <v>480</v>
      </c>
      <c r="DV41" s="52">
        <v>0.02</v>
      </c>
      <c r="DW41" s="44" t="s">
        <v>166</v>
      </c>
      <c r="DX41" s="44" t="s">
        <v>153</v>
      </c>
      <c r="DY41" s="45" t="s">
        <v>150</v>
      </c>
      <c r="DZ41" s="44" t="s">
        <v>7</v>
      </c>
      <c r="EA41" s="44">
        <v>480</v>
      </c>
      <c r="EB41" s="44"/>
      <c r="EC41" s="44">
        <v>0.01</v>
      </c>
      <c r="ED41" s="45" t="s">
        <v>21</v>
      </c>
      <c r="EE41" s="43" t="s">
        <v>155</v>
      </c>
      <c r="EF41" s="43" t="s">
        <v>8</v>
      </c>
      <c r="EG41" s="58">
        <v>1</v>
      </c>
      <c r="EH41" s="41"/>
      <c r="EI41" s="41"/>
      <c r="EJ41" s="41"/>
      <c r="EK41" s="43"/>
      <c r="EL41" s="43"/>
      <c r="EM41" s="43"/>
      <c r="EN41" s="165">
        <v>0</v>
      </c>
      <c r="EO41" s="8" t="s">
        <v>26</v>
      </c>
      <c r="EP41" s="11"/>
      <c r="EQ41" s="11"/>
      <c r="ER41" s="11"/>
      <c r="ES41" s="11"/>
      <c r="ET41" s="11"/>
      <c r="EU41" s="8"/>
      <c r="EV41" s="8"/>
      <c r="EW41" s="11"/>
      <c r="EX41" s="11"/>
      <c r="EY41" s="8"/>
      <c r="EZ41" s="13"/>
      <c r="FA41" s="13"/>
      <c r="FB41" s="13"/>
      <c r="FC41" s="13"/>
      <c r="FD41" s="13"/>
      <c r="FE41" s="13"/>
      <c r="FF41" s="13"/>
      <c r="FG41" s="13"/>
      <c r="FH41" s="13"/>
      <c r="FI41" s="166">
        <v>1</v>
      </c>
      <c r="FJ41" s="126" t="s">
        <v>29</v>
      </c>
      <c r="FK41" s="126" t="s">
        <v>7</v>
      </c>
      <c r="FL41" s="126" t="s">
        <v>7</v>
      </c>
      <c r="FM41" s="126" t="s">
        <v>7</v>
      </c>
      <c r="FN41" s="126" t="s">
        <v>7</v>
      </c>
      <c r="FO41" s="126">
        <v>1</v>
      </c>
      <c r="FP41" s="126">
        <v>500</v>
      </c>
      <c r="FQ41" s="126" t="s">
        <v>11</v>
      </c>
      <c r="FR41" s="126" t="s">
        <v>207</v>
      </c>
      <c r="FS41" s="126"/>
      <c r="FT41" s="126"/>
      <c r="FU41" s="151" t="s">
        <v>21</v>
      </c>
      <c r="FV41" s="151"/>
      <c r="FW41" s="43"/>
      <c r="FX41" s="43"/>
      <c r="FY41" s="41"/>
      <c r="FZ41" s="43"/>
      <c r="GA41" s="43"/>
      <c r="GB41" s="41"/>
      <c r="GC41" s="41"/>
      <c r="GD41" s="43"/>
      <c r="GE41" s="43"/>
      <c r="GF41" s="43"/>
      <c r="GG41" s="128" t="s">
        <v>26</v>
      </c>
      <c r="GH41" s="129"/>
      <c r="GI41" s="129"/>
      <c r="GJ41" s="128" t="s">
        <v>26</v>
      </c>
      <c r="GK41" s="129"/>
      <c r="GL41" s="128"/>
      <c r="GM41" s="128"/>
      <c r="GN41" s="128"/>
      <c r="GO41" s="129"/>
      <c r="GP41" s="128"/>
      <c r="GQ41" s="128"/>
      <c r="GR41" s="56"/>
      <c r="GS41" s="55"/>
      <c r="GT41" s="56"/>
      <c r="GU41" s="55"/>
      <c r="GV41" s="56"/>
      <c r="GW41" s="55"/>
      <c r="GX41" s="56"/>
      <c r="GY41" s="56"/>
      <c r="GZ41" s="55"/>
      <c r="HA41" s="55"/>
      <c r="HB41" s="55"/>
      <c r="HC41" s="55"/>
      <c r="HD41" s="55"/>
      <c r="HE41" s="55"/>
      <c r="HF41" s="170"/>
      <c r="HG41" s="172">
        <f t="shared" si="6"/>
        <v>0</v>
      </c>
      <c r="HH41" s="84" t="s">
        <v>24</v>
      </c>
      <c r="HI41" s="79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7"/>
      <c r="HX41" s="77"/>
      <c r="HY41" s="131">
        <f t="shared" si="13"/>
        <v>0</v>
      </c>
      <c r="HZ41" s="76"/>
      <c r="IA41" s="76" t="s">
        <v>892</v>
      </c>
      <c r="IB41" s="76"/>
      <c r="IC41" s="76"/>
      <c r="ID41" s="76"/>
      <c r="IE41" s="76"/>
      <c r="IF41" s="76"/>
      <c r="IG41" s="76"/>
      <c r="IH41" s="76"/>
      <c r="II41" s="76"/>
      <c r="IJ41" s="76"/>
      <c r="IK41" s="72"/>
      <c r="IL41" s="72"/>
      <c r="IM41" s="72"/>
      <c r="IN41" s="72"/>
      <c r="IO41" s="72"/>
      <c r="IP41" s="72"/>
      <c r="IQ41" s="72"/>
      <c r="IR41" s="72"/>
      <c r="IS41" s="72"/>
      <c r="IT41" s="72"/>
      <c r="IU41" s="72"/>
      <c r="IV41" s="72"/>
      <c r="IW41" s="72"/>
      <c r="IX41" s="73"/>
      <c r="IY41" s="73"/>
      <c r="IZ41" s="138">
        <f t="shared" si="14"/>
        <v>0</v>
      </c>
      <c r="JA41" s="72"/>
      <c r="JB41" s="72"/>
      <c r="JC41" s="72"/>
      <c r="JD41" s="72"/>
      <c r="JE41" s="72"/>
      <c r="JF41" s="72"/>
      <c r="JG41" s="72"/>
      <c r="JH41" s="72"/>
      <c r="JI41" s="72"/>
      <c r="JJ41" s="72"/>
      <c r="JK41" s="72"/>
      <c r="JL41" s="173">
        <v>0</v>
      </c>
      <c r="JM41" s="71" t="s">
        <v>24</v>
      </c>
      <c r="JN41" s="71" t="s">
        <v>24</v>
      </c>
      <c r="JO41" s="70"/>
      <c r="JP41" s="70"/>
      <c r="JQ41" s="70"/>
      <c r="JR41" s="70"/>
      <c r="JS41" s="70"/>
      <c r="JT41" s="70"/>
      <c r="JU41" s="70"/>
      <c r="JV41" s="70"/>
      <c r="JW41" s="70"/>
      <c r="JX41" s="70"/>
      <c r="JY41" s="70"/>
      <c r="JZ41" s="4" t="s">
        <v>24</v>
      </c>
      <c r="KA41" s="65"/>
      <c r="KB41" s="65"/>
      <c r="KC41" s="67"/>
      <c r="KD41" s="67"/>
      <c r="KE41" s="67"/>
      <c r="KF41" s="65"/>
      <c r="KG41" s="65"/>
      <c r="KH41" s="65"/>
      <c r="KI41" s="64" t="s">
        <v>7</v>
      </c>
      <c r="KJ41" s="63"/>
      <c r="KK41" s="63"/>
      <c r="KL41" s="63"/>
      <c r="KM41" s="63"/>
      <c r="KN41" s="63"/>
      <c r="KO41" s="63"/>
      <c r="KP41" s="63"/>
      <c r="KQ41" s="63"/>
      <c r="KR41" s="63"/>
      <c r="KS41" s="63"/>
      <c r="KT41" s="63"/>
      <c r="KU41" s="62" t="s">
        <v>24</v>
      </c>
      <c r="KV41" s="58">
        <v>0</v>
      </c>
      <c r="KW41" s="41"/>
      <c r="KX41" s="41"/>
      <c r="KY41" s="60" t="s">
        <v>24</v>
      </c>
      <c r="KZ41" s="60" t="s">
        <v>24</v>
      </c>
      <c r="LA41" s="59"/>
      <c r="LB41" s="59"/>
      <c r="LC41" s="59"/>
      <c r="LD41" s="59"/>
      <c r="LE41" s="59"/>
      <c r="LF41" s="59"/>
      <c r="LG41" s="3"/>
    </row>
    <row r="42" spans="1:319" x14ac:dyDescent="0.3">
      <c r="A42" s="104" t="s">
        <v>79</v>
      </c>
      <c r="B42" s="104">
        <v>27.1</v>
      </c>
      <c r="C42" s="85" t="s">
        <v>285</v>
      </c>
      <c r="D42" s="85">
        <v>3</v>
      </c>
      <c r="E42" s="5" t="s">
        <v>36</v>
      </c>
      <c r="F42" s="5" t="s">
        <v>514</v>
      </c>
      <c r="G42" s="5"/>
      <c r="H42" s="5">
        <v>1</v>
      </c>
      <c r="I42" s="6" t="s">
        <v>106</v>
      </c>
      <c r="J42" s="6"/>
      <c r="K42" s="6"/>
      <c r="L42" s="6" t="s">
        <v>113</v>
      </c>
      <c r="M42" s="6" t="s">
        <v>93</v>
      </c>
      <c r="N42" s="213" t="s">
        <v>847</v>
      </c>
      <c r="O42" s="162">
        <f>SUM((W42*Tableau1[[#This Row],[IR_inter1]]),(AN42*Tableau1[[#This Row],[IR_inter2]]),(BC42*Tableau1[[#This Row],[IR_inter3]]),(Tableau1[[#This Row],[IR_freq4]]*BR42),(CG42*Tableau1[[#This Row],[IR_inter5]]))</f>
        <v>6</v>
      </c>
      <c r="P42" s="162">
        <f t="shared" si="0"/>
        <v>6</v>
      </c>
      <c r="Q42" s="162">
        <f t="shared" si="1"/>
        <v>1</v>
      </c>
      <c r="R42" s="162">
        <f t="shared" si="2"/>
        <v>40</v>
      </c>
      <c r="S42" s="11" t="s">
        <v>115</v>
      </c>
      <c r="T42" s="12">
        <v>1</v>
      </c>
      <c r="U42" s="12">
        <v>5</v>
      </c>
      <c r="V42" s="9">
        <v>10</v>
      </c>
      <c r="W42" s="11">
        <v>1</v>
      </c>
      <c r="X42" s="11" t="s">
        <v>117</v>
      </c>
      <c r="Y42" s="8" t="s">
        <v>11</v>
      </c>
      <c r="Z42" s="8"/>
      <c r="AA42" s="8"/>
      <c r="AB42" s="8"/>
      <c r="AC42" s="11" t="s">
        <v>125</v>
      </c>
      <c r="AD42" s="8" t="s">
        <v>126</v>
      </c>
      <c r="AE42" s="8"/>
      <c r="AF42" s="8"/>
      <c r="AG42" s="11" t="s">
        <v>38</v>
      </c>
      <c r="AH42" s="8" t="s">
        <v>23</v>
      </c>
      <c r="AI42" s="8" t="s">
        <v>129</v>
      </c>
      <c r="AJ42" s="15" t="s">
        <v>131</v>
      </c>
      <c r="AK42" s="17">
        <v>1</v>
      </c>
      <c r="AL42" s="17">
        <v>10</v>
      </c>
      <c r="AM42" s="14">
        <v>15</v>
      </c>
      <c r="AN42" s="15">
        <v>4</v>
      </c>
      <c r="AO42" s="15" t="s">
        <v>13</v>
      </c>
      <c r="AP42" s="13" t="s">
        <v>14</v>
      </c>
      <c r="AQ42" s="13" t="s">
        <v>15</v>
      </c>
      <c r="AR42" s="13" t="s">
        <v>16</v>
      </c>
      <c r="AS42" s="13" t="s">
        <v>22</v>
      </c>
      <c r="AT42" s="15" t="s">
        <v>124</v>
      </c>
      <c r="AU42" s="13"/>
      <c r="AV42" s="15" t="s">
        <v>38</v>
      </c>
      <c r="AW42" s="13" t="s">
        <v>23</v>
      </c>
      <c r="AX42" s="13" t="s">
        <v>129</v>
      </c>
      <c r="AY42" s="21" t="s">
        <v>10</v>
      </c>
      <c r="AZ42" s="23">
        <v>1</v>
      </c>
      <c r="BA42" s="22">
        <v>30</v>
      </c>
      <c r="BB42" s="19">
        <v>40</v>
      </c>
      <c r="BC42" s="22">
        <v>1</v>
      </c>
      <c r="BD42" s="21" t="s">
        <v>139</v>
      </c>
      <c r="BE42" s="21" t="s">
        <v>28</v>
      </c>
      <c r="BF42" s="18"/>
      <c r="BG42" s="18"/>
      <c r="BH42" s="18"/>
      <c r="BI42" s="21" t="s">
        <v>119</v>
      </c>
      <c r="BJ42" s="18"/>
      <c r="BK42" s="18"/>
      <c r="BL42" s="21" t="s">
        <v>7</v>
      </c>
      <c r="BM42" s="18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27"/>
      <c r="CD42" s="28"/>
      <c r="CE42" s="27"/>
      <c r="CF42" s="25"/>
      <c r="CG42" s="27"/>
      <c r="CH42" s="27"/>
      <c r="CI42" s="27"/>
      <c r="CJ42" s="27"/>
      <c r="CK42" s="27"/>
      <c r="CL42" s="27"/>
      <c r="CM42" s="25"/>
      <c r="CN42" s="169">
        <f t="shared" si="3"/>
        <v>3</v>
      </c>
      <c r="CO42" s="167">
        <f t="shared" si="4"/>
        <v>2</v>
      </c>
      <c r="CP42" s="31" t="s">
        <v>145</v>
      </c>
      <c r="CQ42" s="34">
        <v>1</v>
      </c>
      <c r="CR42" s="31">
        <v>5</v>
      </c>
      <c r="CS42" s="30">
        <v>10</v>
      </c>
      <c r="CT42" s="31">
        <v>2</v>
      </c>
      <c r="CU42" s="30"/>
      <c r="CV42" s="31" t="s">
        <v>14</v>
      </c>
      <c r="CW42" s="31"/>
      <c r="CX42" s="31"/>
      <c r="CY42" s="31"/>
      <c r="CZ42" s="31"/>
      <c r="DA42" s="31" t="s">
        <v>121</v>
      </c>
      <c r="DB42" s="31"/>
      <c r="DC42" s="31" t="s">
        <v>38</v>
      </c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167">
        <f t="shared" si="5"/>
        <v>1</v>
      </c>
      <c r="DP42" s="51">
        <v>1</v>
      </c>
      <c r="DQ42" s="51" t="s">
        <v>11</v>
      </c>
      <c r="DR42" s="49"/>
      <c r="DS42" s="51" t="s">
        <v>227</v>
      </c>
      <c r="DT42" s="51" t="s">
        <v>150</v>
      </c>
      <c r="DU42" s="51">
        <v>480</v>
      </c>
      <c r="DV42" s="52">
        <v>5.0000000000000001E-3</v>
      </c>
      <c r="DW42" s="44"/>
      <c r="DX42" s="44"/>
      <c r="DY42" s="44"/>
      <c r="DZ42" s="44"/>
      <c r="EA42" s="44"/>
      <c r="EB42" s="44"/>
      <c r="EC42" s="44"/>
      <c r="ED42" s="45" t="s">
        <v>21</v>
      </c>
      <c r="EE42" s="43" t="s">
        <v>155</v>
      </c>
      <c r="EF42" s="43" t="s">
        <v>8</v>
      </c>
      <c r="EG42" s="58">
        <v>1</v>
      </c>
      <c r="EH42" s="41"/>
      <c r="EI42" s="41"/>
      <c r="EJ42" s="41"/>
      <c r="EK42" s="43"/>
      <c r="EL42" s="43"/>
      <c r="EM42" s="43"/>
      <c r="EN42" s="165">
        <v>0</v>
      </c>
      <c r="EO42" s="8" t="s">
        <v>26</v>
      </c>
      <c r="EP42" s="11"/>
      <c r="EQ42" s="11"/>
      <c r="ER42" s="11"/>
      <c r="ES42" s="11"/>
      <c r="ET42" s="11"/>
      <c r="EU42" s="8"/>
      <c r="EV42" s="8"/>
      <c r="EW42" s="11"/>
      <c r="EX42" s="11"/>
      <c r="EY42" s="8"/>
      <c r="EZ42" s="13"/>
      <c r="FA42" s="13"/>
      <c r="FB42" s="13"/>
      <c r="FC42" s="13"/>
      <c r="FD42" s="13"/>
      <c r="FE42" s="13"/>
      <c r="FF42" s="13"/>
      <c r="FG42" s="13"/>
      <c r="FH42" s="13"/>
      <c r="FI42" s="166">
        <v>2</v>
      </c>
      <c r="FJ42" s="151" t="s">
        <v>178</v>
      </c>
      <c r="FK42" s="126" t="s">
        <v>7</v>
      </c>
      <c r="FL42" s="150" t="s">
        <v>180</v>
      </c>
      <c r="FM42" s="126" t="s">
        <v>7</v>
      </c>
      <c r="FN42" s="126" t="s">
        <v>168</v>
      </c>
      <c r="FO42" s="126">
        <v>1</v>
      </c>
      <c r="FP42" s="126">
        <v>500</v>
      </c>
      <c r="FQ42" s="126" t="s">
        <v>13</v>
      </c>
      <c r="FR42" s="126" t="s">
        <v>207</v>
      </c>
      <c r="FS42" s="126"/>
      <c r="FT42" s="126"/>
      <c r="FU42" s="151" t="s">
        <v>21</v>
      </c>
      <c r="FV42" s="151"/>
      <c r="FW42" s="43"/>
      <c r="FX42" s="43"/>
      <c r="FY42" s="41"/>
      <c r="FZ42" s="43"/>
      <c r="GA42" s="43"/>
      <c r="GB42" s="41"/>
      <c r="GC42" s="41"/>
      <c r="GD42" s="43"/>
      <c r="GE42" s="43"/>
      <c r="GF42" s="43"/>
      <c r="GG42" s="128" t="s">
        <v>217</v>
      </c>
      <c r="GH42" s="129"/>
      <c r="GI42" s="129"/>
      <c r="GJ42" s="128" t="s">
        <v>33</v>
      </c>
      <c r="GK42" s="129"/>
      <c r="GL42" s="128" t="s">
        <v>34</v>
      </c>
      <c r="GM42" s="128"/>
      <c r="GN42" s="128" t="s">
        <v>224</v>
      </c>
      <c r="GO42" s="129"/>
      <c r="GP42" s="128" t="s">
        <v>35</v>
      </c>
      <c r="GQ42" s="128">
        <v>2</v>
      </c>
      <c r="GR42" s="56" t="s">
        <v>28</v>
      </c>
      <c r="GS42" s="55"/>
      <c r="GT42" s="56"/>
      <c r="GU42" s="56" t="s">
        <v>225</v>
      </c>
      <c r="GV42" s="56">
        <v>0.2</v>
      </c>
      <c r="GW42" s="56" t="s">
        <v>234</v>
      </c>
      <c r="GX42" s="56"/>
      <c r="GY42" s="56" t="s">
        <v>9</v>
      </c>
      <c r="GZ42" s="55">
        <v>1</v>
      </c>
      <c r="HA42" s="55" t="s">
        <v>135</v>
      </c>
      <c r="HB42" s="55" t="s">
        <v>229</v>
      </c>
      <c r="HC42" s="55"/>
      <c r="HD42" s="55"/>
      <c r="HE42" s="55"/>
      <c r="HF42" s="170"/>
      <c r="HG42" s="172">
        <f t="shared" si="6"/>
        <v>337.5</v>
      </c>
      <c r="HH42" s="84" t="s">
        <v>9</v>
      </c>
      <c r="HI42" s="79">
        <v>1</v>
      </c>
      <c r="HJ42" s="79" t="s">
        <v>134</v>
      </c>
      <c r="HK42" s="79" t="s">
        <v>206</v>
      </c>
      <c r="HL42" s="79" t="s">
        <v>135</v>
      </c>
      <c r="HM42" s="79" t="s">
        <v>229</v>
      </c>
      <c r="HN42" s="79" t="s">
        <v>11</v>
      </c>
      <c r="HO42" s="79" t="s">
        <v>236</v>
      </c>
      <c r="HP42" s="79" t="s">
        <v>36</v>
      </c>
      <c r="HQ42" s="79" t="s">
        <v>37</v>
      </c>
      <c r="HR42" s="79" t="s">
        <v>246</v>
      </c>
      <c r="HS42" s="76"/>
      <c r="HT42" s="79" t="s">
        <v>221</v>
      </c>
      <c r="HU42" s="76"/>
      <c r="HV42" s="76"/>
      <c r="HW42" s="80">
        <v>20</v>
      </c>
      <c r="HX42" s="77">
        <v>40</v>
      </c>
      <c r="HY42" s="131">
        <f t="shared" si="13"/>
        <v>30</v>
      </c>
      <c r="HZ42" s="79" t="s">
        <v>39</v>
      </c>
      <c r="IA42" s="76" t="s">
        <v>40</v>
      </c>
      <c r="IB42" s="79" t="s">
        <v>249</v>
      </c>
      <c r="IC42" s="79">
        <v>2</v>
      </c>
      <c r="ID42" s="76">
        <v>2</v>
      </c>
      <c r="IE42" s="79">
        <v>30</v>
      </c>
      <c r="IF42" s="76">
        <v>30</v>
      </c>
      <c r="IG42" s="79">
        <v>10</v>
      </c>
      <c r="IH42" s="76">
        <v>10</v>
      </c>
      <c r="II42" s="76">
        <f t="shared" ref="II42:IJ46" si="16">SUM(IC42,IE42,IG42)</f>
        <v>42</v>
      </c>
      <c r="IJ42" s="76">
        <f t="shared" si="16"/>
        <v>42</v>
      </c>
      <c r="IK42" s="74">
        <v>1.5</v>
      </c>
      <c r="IL42" s="72" t="s">
        <v>13</v>
      </c>
      <c r="IM42" s="72" t="s">
        <v>14</v>
      </c>
      <c r="IN42" s="72" t="s">
        <v>15</v>
      </c>
      <c r="IO42" s="72" t="s">
        <v>16</v>
      </c>
      <c r="IP42" s="74" t="s">
        <v>236</v>
      </c>
      <c r="IQ42" s="74" t="s">
        <v>36</v>
      </c>
      <c r="IR42" s="74" t="s">
        <v>37</v>
      </c>
      <c r="IS42" s="74" t="s">
        <v>4</v>
      </c>
      <c r="IT42" s="72"/>
      <c r="IU42" s="74" t="s">
        <v>221</v>
      </c>
      <c r="IV42" s="72"/>
      <c r="IW42" s="72"/>
      <c r="IX42" s="75">
        <v>0</v>
      </c>
      <c r="IY42" s="73">
        <v>5</v>
      </c>
      <c r="IZ42" s="138">
        <f t="shared" si="14"/>
        <v>2.5</v>
      </c>
      <c r="JA42" s="74" t="s">
        <v>39</v>
      </c>
      <c r="JB42" s="72" t="s">
        <v>40</v>
      </c>
      <c r="JC42" s="74" t="s">
        <v>249</v>
      </c>
      <c r="JD42" s="74">
        <v>1</v>
      </c>
      <c r="JE42" s="72">
        <v>1</v>
      </c>
      <c r="JF42" s="74">
        <v>10</v>
      </c>
      <c r="JG42" s="72">
        <v>10</v>
      </c>
      <c r="JH42" s="74">
        <v>10</v>
      </c>
      <c r="JI42" s="72">
        <v>10</v>
      </c>
      <c r="JJ42" s="72">
        <f t="shared" ref="JJ42:JK46" si="17">SUM(JD42,JF42,JH42)</f>
        <v>21</v>
      </c>
      <c r="JK42" s="72">
        <f t="shared" si="17"/>
        <v>21</v>
      </c>
      <c r="JL42" s="173">
        <v>0</v>
      </c>
      <c r="JM42" s="71" t="s">
        <v>24</v>
      </c>
      <c r="JN42" s="71" t="s">
        <v>24</v>
      </c>
      <c r="JO42" s="70"/>
      <c r="JP42" s="71"/>
      <c r="JQ42" s="71"/>
      <c r="JR42" s="71"/>
      <c r="JS42" s="70"/>
      <c r="JT42" s="71"/>
      <c r="JU42" s="70"/>
      <c r="JV42" s="70"/>
      <c r="JW42" s="71"/>
      <c r="JX42" s="71"/>
      <c r="JY42" s="71"/>
      <c r="JZ42" s="4" t="s">
        <v>9</v>
      </c>
      <c r="KA42" s="4">
        <v>80</v>
      </c>
      <c r="KB42" s="4">
        <v>80</v>
      </c>
      <c r="KC42" s="68">
        <v>4</v>
      </c>
      <c r="KD42" s="67">
        <v>5</v>
      </c>
      <c r="KE42" s="68">
        <v>50</v>
      </c>
      <c r="KF42" s="4" t="s">
        <v>255</v>
      </c>
      <c r="KG42" s="4" t="s">
        <v>33</v>
      </c>
      <c r="KH42" s="4" t="s">
        <v>232</v>
      </c>
      <c r="KI42" s="64" t="s">
        <v>263</v>
      </c>
      <c r="KJ42" s="63">
        <v>1</v>
      </c>
      <c r="KK42" s="63">
        <v>70</v>
      </c>
      <c r="KL42" s="64" t="s">
        <v>17</v>
      </c>
      <c r="KM42" s="63">
        <v>1</v>
      </c>
      <c r="KN42" s="63">
        <v>10</v>
      </c>
      <c r="KO42" s="63"/>
      <c r="KP42" s="63"/>
      <c r="KQ42" s="63"/>
      <c r="KR42" s="63"/>
      <c r="KS42" s="63"/>
      <c r="KT42" s="63"/>
      <c r="KU42" s="62" t="s">
        <v>9</v>
      </c>
      <c r="KV42" s="58">
        <v>0</v>
      </c>
      <c r="KW42" s="43"/>
      <c r="KX42" s="43"/>
      <c r="KY42" s="60" t="s">
        <v>24</v>
      </c>
      <c r="KZ42" s="60" t="s">
        <v>9</v>
      </c>
      <c r="LA42" s="60" t="s">
        <v>9</v>
      </c>
      <c r="LB42" s="60" t="s">
        <v>24</v>
      </c>
      <c r="LC42" s="60" t="s">
        <v>9</v>
      </c>
      <c r="LD42" s="60" t="s">
        <v>272</v>
      </c>
      <c r="LE42" s="60" t="s">
        <v>37</v>
      </c>
      <c r="LF42" s="60" t="s">
        <v>224</v>
      </c>
      <c r="LG42" s="3"/>
    </row>
    <row r="43" spans="1:319" x14ac:dyDescent="0.3">
      <c r="A43" s="104" t="s">
        <v>80</v>
      </c>
      <c r="B43" s="104">
        <v>27.2</v>
      </c>
      <c r="C43" s="85" t="s">
        <v>284</v>
      </c>
      <c r="D43" s="85">
        <v>13</v>
      </c>
      <c r="E43" s="5" t="s">
        <v>36</v>
      </c>
      <c r="F43" s="5" t="s">
        <v>514</v>
      </c>
      <c r="G43" s="5"/>
      <c r="H43" s="5">
        <v>1</v>
      </c>
      <c r="I43" s="6" t="s">
        <v>106</v>
      </c>
      <c r="J43" s="6"/>
      <c r="K43" s="6"/>
      <c r="L43" s="6" t="s">
        <v>113</v>
      </c>
      <c r="M43" s="6" t="s">
        <v>93</v>
      </c>
      <c r="N43" s="213" t="s">
        <v>846</v>
      </c>
      <c r="O43" s="162">
        <f>SUM((W43*Tableau1[[#This Row],[IR_inter1]]),(AN43*Tableau1[[#This Row],[IR_inter2]]),(BC43*Tableau1[[#This Row],[IR_inter3]]),(Tableau1[[#This Row],[IR_freq4]]*BR43),(CG43*Tableau1[[#This Row],[IR_inter5]]))</f>
        <v>6</v>
      </c>
      <c r="P43" s="162">
        <f t="shared" si="0"/>
        <v>6</v>
      </c>
      <c r="Q43" s="162">
        <f t="shared" si="1"/>
        <v>1</v>
      </c>
      <c r="R43" s="162">
        <f t="shared" si="2"/>
        <v>40</v>
      </c>
      <c r="S43" s="11" t="s">
        <v>115</v>
      </c>
      <c r="T43" s="12">
        <v>1</v>
      </c>
      <c r="U43" s="12">
        <v>5</v>
      </c>
      <c r="V43" s="9">
        <v>10</v>
      </c>
      <c r="W43" s="11">
        <v>1</v>
      </c>
      <c r="X43" s="11" t="s">
        <v>18</v>
      </c>
      <c r="Y43" s="8" t="s">
        <v>11</v>
      </c>
      <c r="Z43" s="8"/>
      <c r="AA43" s="8"/>
      <c r="AB43" s="8"/>
      <c r="AC43" s="11" t="s">
        <v>125</v>
      </c>
      <c r="AD43" s="8" t="s">
        <v>126</v>
      </c>
      <c r="AE43" s="8"/>
      <c r="AF43" s="8"/>
      <c r="AG43" s="11" t="s">
        <v>38</v>
      </c>
      <c r="AH43" s="8" t="s">
        <v>23</v>
      </c>
      <c r="AI43" s="8" t="s">
        <v>129</v>
      </c>
      <c r="AJ43" s="15" t="s">
        <v>131</v>
      </c>
      <c r="AK43" s="17">
        <v>1</v>
      </c>
      <c r="AL43" s="17">
        <v>10</v>
      </c>
      <c r="AM43" s="14">
        <v>15</v>
      </c>
      <c r="AN43" s="15">
        <v>4</v>
      </c>
      <c r="AO43" s="15" t="s">
        <v>13</v>
      </c>
      <c r="AP43" s="13" t="s">
        <v>14</v>
      </c>
      <c r="AQ43" s="13" t="s">
        <v>15</v>
      </c>
      <c r="AR43" s="13" t="s">
        <v>16</v>
      </c>
      <c r="AS43" s="13" t="s">
        <v>22</v>
      </c>
      <c r="AT43" s="15" t="s">
        <v>124</v>
      </c>
      <c r="AU43" s="13"/>
      <c r="AV43" s="15" t="s">
        <v>38</v>
      </c>
      <c r="AW43" s="13" t="s">
        <v>23</v>
      </c>
      <c r="AX43" s="13" t="s">
        <v>129</v>
      </c>
      <c r="AY43" s="21" t="s">
        <v>10</v>
      </c>
      <c r="AZ43" s="23">
        <v>1</v>
      </c>
      <c r="BA43" s="22">
        <v>30</v>
      </c>
      <c r="BB43" s="19">
        <v>40</v>
      </c>
      <c r="BC43" s="22">
        <v>1</v>
      </c>
      <c r="BD43" s="21" t="s">
        <v>139</v>
      </c>
      <c r="BE43" s="21" t="s">
        <v>28</v>
      </c>
      <c r="BF43" s="18"/>
      <c r="BG43" s="18"/>
      <c r="BH43" s="18"/>
      <c r="BI43" s="21" t="s">
        <v>119</v>
      </c>
      <c r="BJ43" s="18"/>
      <c r="BK43" s="18"/>
      <c r="BL43" s="21" t="s">
        <v>7</v>
      </c>
      <c r="BM43" s="18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27"/>
      <c r="CD43" s="28"/>
      <c r="CE43" s="27"/>
      <c r="CF43" s="25"/>
      <c r="CG43" s="27"/>
      <c r="CH43" s="27"/>
      <c r="CI43" s="27"/>
      <c r="CJ43" s="27"/>
      <c r="CK43" s="27"/>
      <c r="CL43" s="27"/>
      <c r="CM43" s="25"/>
      <c r="CN43" s="169">
        <f t="shared" si="3"/>
        <v>3</v>
      </c>
      <c r="CO43" s="167">
        <f t="shared" si="4"/>
        <v>2</v>
      </c>
      <c r="CP43" s="31" t="s">
        <v>147</v>
      </c>
      <c r="CQ43" s="34">
        <v>1</v>
      </c>
      <c r="CR43" s="31">
        <v>5</v>
      </c>
      <c r="CS43" s="30">
        <v>10</v>
      </c>
      <c r="CT43" s="31">
        <v>2</v>
      </c>
      <c r="CU43" s="30"/>
      <c r="CV43" s="31" t="s">
        <v>15</v>
      </c>
      <c r="CW43" s="31"/>
      <c r="CX43" s="31"/>
      <c r="CY43" s="31"/>
      <c r="CZ43" s="31"/>
      <c r="DA43" s="31" t="s">
        <v>121</v>
      </c>
      <c r="DB43" s="31"/>
      <c r="DC43" s="31" t="s">
        <v>38</v>
      </c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167">
        <f t="shared" si="5"/>
        <v>1</v>
      </c>
      <c r="DP43" s="51">
        <v>1</v>
      </c>
      <c r="DQ43" s="51" t="s">
        <v>11</v>
      </c>
      <c r="DR43" s="49"/>
      <c r="DS43" s="51" t="s">
        <v>227</v>
      </c>
      <c r="DT43" s="51" t="s">
        <v>150</v>
      </c>
      <c r="DU43" s="51">
        <v>480</v>
      </c>
      <c r="DV43" s="52">
        <v>5.0000000000000001E-3</v>
      </c>
      <c r="DW43" s="44"/>
      <c r="DX43" s="44"/>
      <c r="DY43" s="44"/>
      <c r="DZ43" s="44"/>
      <c r="EA43" s="44"/>
      <c r="EB43" s="44"/>
      <c r="EC43" s="44"/>
      <c r="ED43" s="45" t="s">
        <v>21</v>
      </c>
      <c r="EE43" s="43" t="s">
        <v>155</v>
      </c>
      <c r="EF43" s="43" t="s">
        <v>8</v>
      </c>
      <c r="EG43" s="58">
        <v>1</v>
      </c>
      <c r="EH43" s="41"/>
      <c r="EI43" s="41"/>
      <c r="EJ43" s="41"/>
      <c r="EK43" s="43"/>
      <c r="EL43" s="43"/>
      <c r="EM43" s="43"/>
      <c r="EN43" s="165">
        <v>1</v>
      </c>
      <c r="EO43" s="8" t="s">
        <v>159</v>
      </c>
      <c r="EP43" s="11" t="s">
        <v>160</v>
      </c>
      <c r="EQ43" s="11"/>
      <c r="ER43" s="11" t="s">
        <v>168</v>
      </c>
      <c r="ES43" s="11">
        <v>1</v>
      </c>
      <c r="ET43" s="11" t="s">
        <v>7</v>
      </c>
      <c r="EU43" s="11" t="s">
        <v>176</v>
      </c>
      <c r="EV43" s="8">
        <v>2</v>
      </c>
      <c r="EW43" s="11" t="s">
        <v>37</v>
      </c>
      <c r="EX43" s="11"/>
      <c r="EY43" s="8"/>
      <c r="EZ43" s="13"/>
      <c r="FA43" s="13"/>
      <c r="FB43" s="13"/>
      <c r="FC43" s="13"/>
      <c r="FD43" s="13"/>
      <c r="FE43" s="13"/>
      <c r="FF43" s="13"/>
      <c r="FG43" s="13"/>
      <c r="FH43" s="13"/>
      <c r="FI43" s="166">
        <v>2</v>
      </c>
      <c r="FJ43" s="151" t="s">
        <v>178</v>
      </c>
      <c r="FK43" s="126" t="s">
        <v>7</v>
      </c>
      <c r="FL43" s="150" t="s">
        <v>180</v>
      </c>
      <c r="FM43" s="126" t="s">
        <v>7</v>
      </c>
      <c r="FN43" s="126" t="s">
        <v>168</v>
      </c>
      <c r="FO43" s="126">
        <v>1</v>
      </c>
      <c r="FP43" s="126">
        <v>500</v>
      </c>
      <c r="FQ43" s="126" t="s">
        <v>13</v>
      </c>
      <c r="FR43" s="126" t="s">
        <v>207</v>
      </c>
      <c r="FS43" s="126"/>
      <c r="FT43" s="126"/>
      <c r="FU43" s="151" t="s">
        <v>21</v>
      </c>
      <c r="FV43" s="151"/>
      <c r="FW43" s="43"/>
      <c r="FX43" s="43"/>
      <c r="FY43" s="41"/>
      <c r="FZ43" s="43"/>
      <c r="GA43" s="43"/>
      <c r="GB43" s="41"/>
      <c r="GC43" s="41"/>
      <c r="GD43" s="43"/>
      <c r="GE43" s="43"/>
      <c r="GF43" s="43"/>
      <c r="GG43" s="128" t="s">
        <v>217</v>
      </c>
      <c r="GH43" s="129"/>
      <c r="GI43" s="129"/>
      <c r="GJ43" s="128" t="s">
        <v>33</v>
      </c>
      <c r="GK43" s="129"/>
      <c r="GL43" s="128" t="s">
        <v>34</v>
      </c>
      <c r="GM43" s="128"/>
      <c r="GN43" s="128" t="s">
        <v>224</v>
      </c>
      <c r="GO43" s="129"/>
      <c r="GP43" s="128" t="s">
        <v>35</v>
      </c>
      <c r="GQ43" s="128">
        <v>2</v>
      </c>
      <c r="GR43" s="56" t="s">
        <v>28</v>
      </c>
      <c r="GS43" s="55"/>
      <c r="GT43" s="56"/>
      <c r="GU43" s="56" t="s">
        <v>225</v>
      </c>
      <c r="GV43" s="56">
        <v>0.2</v>
      </c>
      <c r="GW43" s="56" t="s">
        <v>234</v>
      </c>
      <c r="GX43" s="56"/>
      <c r="GY43" s="56" t="s">
        <v>9</v>
      </c>
      <c r="GZ43" s="55">
        <v>1</v>
      </c>
      <c r="HA43" s="55" t="s">
        <v>135</v>
      </c>
      <c r="HB43" s="55" t="s">
        <v>229</v>
      </c>
      <c r="HC43" s="55"/>
      <c r="HD43" s="55"/>
      <c r="HE43" s="55"/>
      <c r="HF43" s="170"/>
      <c r="HG43" s="172">
        <f t="shared" si="6"/>
        <v>337.5</v>
      </c>
      <c r="HH43" s="84" t="s">
        <v>9</v>
      </c>
      <c r="HI43" s="79">
        <v>1</v>
      </c>
      <c r="HJ43" s="79" t="s">
        <v>134</v>
      </c>
      <c r="HK43" s="79" t="s">
        <v>206</v>
      </c>
      <c r="HL43" s="79" t="s">
        <v>135</v>
      </c>
      <c r="HM43" s="79" t="s">
        <v>229</v>
      </c>
      <c r="HN43" s="79" t="s">
        <v>11</v>
      </c>
      <c r="HO43" s="79" t="s">
        <v>236</v>
      </c>
      <c r="HP43" s="79" t="s">
        <v>36</v>
      </c>
      <c r="HQ43" s="79" t="s">
        <v>37</v>
      </c>
      <c r="HR43" s="79" t="s">
        <v>246</v>
      </c>
      <c r="HS43" s="76"/>
      <c r="HT43" s="79" t="s">
        <v>221</v>
      </c>
      <c r="HU43" s="76"/>
      <c r="HV43" s="76"/>
      <c r="HW43" s="80">
        <v>20</v>
      </c>
      <c r="HX43" s="77">
        <v>40</v>
      </c>
      <c r="HY43" s="131">
        <f t="shared" si="13"/>
        <v>30</v>
      </c>
      <c r="HZ43" s="79" t="s">
        <v>39</v>
      </c>
      <c r="IA43" s="76" t="s">
        <v>40</v>
      </c>
      <c r="IB43" s="79" t="s">
        <v>249</v>
      </c>
      <c r="IC43" s="79">
        <v>2</v>
      </c>
      <c r="ID43" s="76">
        <v>2</v>
      </c>
      <c r="IE43" s="79">
        <v>30</v>
      </c>
      <c r="IF43" s="76">
        <v>30</v>
      </c>
      <c r="IG43" s="79">
        <v>10</v>
      </c>
      <c r="IH43" s="76">
        <v>10</v>
      </c>
      <c r="II43" s="76">
        <f t="shared" si="16"/>
        <v>42</v>
      </c>
      <c r="IJ43" s="76">
        <f t="shared" si="16"/>
        <v>42</v>
      </c>
      <c r="IK43" s="74">
        <v>1.5</v>
      </c>
      <c r="IL43" s="72" t="s">
        <v>13</v>
      </c>
      <c r="IM43" s="72" t="s">
        <v>14</v>
      </c>
      <c r="IN43" s="72" t="s">
        <v>15</v>
      </c>
      <c r="IO43" s="72" t="s">
        <v>16</v>
      </c>
      <c r="IP43" s="74" t="s">
        <v>236</v>
      </c>
      <c r="IQ43" s="74" t="s">
        <v>36</v>
      </c>
      <c r="IR43" s="74" t="s">
        <v>37</v>
      </c>
      <c r="IS43" s="74" t="s">
        <v>4</v>
      </c>
      <c r="IT43" s="72"/>
      <c r="IU43" s="74" t="s">
        <v>221</v>
      </c>
      <c r="IV43" s="72"/>
      <c r="IW43" s="72"/>
      <c r="IX43" s="75">
        <v>0</v>
      </c>
      <c r="IY43" s="73">
        <v>5</v>
      </c>
      <c r="IZ43" s="138">
        <f t="shared" si="14"/>
        <v>2.5</v>
      </c>
      <c r="JA43" s="74" t="s">
        <v>39</v>
      </c>
      <c r="JB43" s="72" t="s">
        <v>40</v>
      </c>
      <c r="JC43" s="74" t="s">
        <v>249</v>
      </c>
      <c r="JD43" s="74">
        <v>1</v>
      </c>
      <c r="JE43" s="72">
        <v>1</v>
      </c>
      <c r="JF43" s="74">
        <v>10</v>
      </c>
      <c r="JG43" s="72">
        <v>10</v>
      </c>
      <c r="JH43" s="74">
        <v>10</v>
      </c>
      <c r="JI43" s="72">
        <v>10</v>
      </c>
      <c r="JJ43" s="72">
        <f t="shared" si="17"/>
        <v>21</v>
      </c>
      <c r="JK43" s="72">
        <f t="shared" si="17"/>
        <v>21</v>
      </c>
      <c r="JL43" s="173">
        <v>0</v>
      </c>
      <c r="JM43" s="71" t="s">
        <v>24</v>
      </c>
      <c r="JN43" s="71" t="s">
        <v>24</v>
      </c>
      <c r="JO43" s="70"/>
      <c r="JP43" s="71"/>
      <c r="JQ43" s="71"/>
      <c r="JR43" s="71"/>
      <c r="JS43" s="70"/>
      <c r="JT43" s="71"/>
      <c r="JU43" s="70"/>
      <c r="JV43" s="70"/>
      <c r="JW43" s="71"/>
      <c r="JX43" s="71"/>
      <c r="JY43" s="71"/>
      <c r="JZ43" s="4" t="s">
        <v>9</v>
      </c>
      <c r="KA43" s="4">
        <v>80</v>
      </c>
      <c r="KB43" s="4">
        <v>80</v>
      </c>
      <c r="KC43" s="68">
        <v>4</v>
      </c>
      <c r="KD43" s="67">
        <v>5</v>
      </c>
      <c r="KE43" s="68">
        <v>50</v>
      </c>
      <c r="KF43" s="4" t="s">
        <v>255</v>
      </c>
      <c r="KG43" s="4" t="s">
        <v>33</v>
      </c>
      <c r="KH43" s="4" t="s">
        <v>232</v>
      </c>
      <c r="KI43" s="64" t="s">
        <v>263</v>
      </c>
      <c r="KJ43" s="63">
        <v>1</v>
      </c>
      <c r="KK43" s="63">
        <v>70</v>
      </c>
      <c r="KL43" s="64" t="s">
        <v>17</v>
      </c>
      <c r="KM43" s="63">
        <v>1</v>
      </c>
      <c r="KN43" s="63">
        <v>10</v>
      </c>
      <c r="KO43" s="63"/>
      <c r="KP43" s="63"/>
      <c r="KQ43" s="63"/>
      <c r="KR43" s="63"/>
      <c r="KS43" s="63"/>
      <c r="KT43" s="63"/>
      <c r="KU43" s="62" t="s">
        <v>9</v>
      </c>
      <c r="KV43" s="58">
        <v>0</v>
      </c>
      <c r="KW43" s="43"/>
      <c r="KX43" s="43"/>
      <c r="KY43" s="60" t="s">
        <v>24</v>
      </c>
      <c r="KZ43" s="60" t="s">
        <v>9</v>
      </c>
      <c r="LA43" s="60" t="s">
        <v>9</v>
      </c>
      <c r="LB43" s="60" t="s">
        <v>24</v>
      </c>
      <c r="LC43" s="60" t="s">
        <v>9</v>
      </c>
      <c r="LD43" s="60" t="s">
        <v>272</v>
      </c>
      <c r="LE43" s="60" t="s">
        <v>37</v>
      </c>
      <c r="LF43" s="60" t="s">
        <v>224</v>
      </c>
      <c r="LG43" s="3"/>
    </row>
    <row r="44" spans="1:319" x14ac:dyDescent="0.3">
      <c r="A44" s="104" t="s">
        <v>81</v>
      </c>
      <c r="B44" s="104">
        <v>27.3</v>
      </c>
      <c r="C44" s="85" t="s">
        <v>286</v>
      </c>
      <c r="D44" s="85">
        <v>5</v>
      </c>
      <c r="E44" s="5" t="s">
        <v>36</v>
      </c>
      <c r="F44" s="5" t="s">
        <v>514</v>
      </c>
      <c r="G44" s="5"/>
      <c r="H44" s="5">
        <v>1</v>
      </c>
      <c r="I44" s="6" t="s">
        <v>92</v>
      </c>
      <c r="J44" s="6"/>
      <c r="K44" s="6"/>
      <c r="L44" s="5"/>
      <c r="M44" s="6" t="s">
        <v>90</v>
      </c>
      <c r="N44" s="213" t="s">
        <v>845</v>
      </c>
      <c r="O44" s="162">
        <f>SUM((W44*Tableau1[[#This Row],[IR_inter1]]),(AN44*Tableau1[[#This Row],[IR_inter2]]),(BC44*Tableau1[[#This Row],[IR_inter3]]),(Tableau1[[#This Row],[IR_freq4]]*BR44),(CG44*Tableau1[[#This Row],[IR_inter5]]))</f>
        <v>6</v>
      </c>
      <c r="P44" s="162">
        <f t="shared" si="0"/>
        <v>6</v>
      </c>
      <c r="Q44" s="162">
        <f t="shared" si="1"/>
        <v>1</v>
      </c>
      <c r="R44" s="162">
        <f t="shared" si="2"/>
        <v>40</v>
      </c>
      <c r="S44" s="11" t="s">
        <v>115</v>
      </c>
      <c r="T44" s="12">
        <v>1</v>
      </c>
      <c r="U44" s="12">
        <v>5</v>
      </c>
      <c r="V44" s="9">
        <v>10</v>
      </c>
      <c r="W44" s="11">
        <v>1</v>
      </c>
      <c r="X44" s="11" t="s">
        <v>18</v>
      </c>
      <c r="Y44" s="8" t="s">
        <v>11</v>
      </c>
      <c r="Z44" s="8"/>
      <c r="AA44" s="8"/>
      <c r="AB44" s="8"/>
      <c r="AC44" s="11" t="s">
        <v>125</v>
      </c>
      <c r="AD44" s="8" t="s">
        <v>126</v>
      </c>
      <c r="AE44" s="8"/>
      <c r="AF44" s="8"/>
      <c r="AG44" s="11" t="s">
        <v>38</v>
      </c>
      <c r="AH44" s="8" t="s">
        <v>23</v>
      </c>
      <c r="AI44" s="8" t="s">
        <v>129</v>
      </c>
      <c r="AJ44" s="15" t="s">
        <v>131</v>
      </c>
      <c r="AK44" s="17">
        <v>1</v>
      </c>
      <c r="AL44" s="17">
        <v>10</v>
      </c>
      <c r="AM44" s="14">
        <v>15</v>
      </c>
      <c r="AN44" s="15">
        <v>4</v>
      </c>
      <c r="AO44" s="15" t="s">
        <v>13</v>
      </c>
      <c r="AP44" s="13" t="s">
        <v>14</v>
      </c>
      <c r="AQ44" s="13" t="s">
        <v>15</v>
      </c>
      <c r="AR44" s="13" t="s">
        <v>16</v>
      </c>
      <c r="AS44" s="13" t="s">
        <v>136</v>
      </c>
      <c r="AT44" s="15" t="s">
        <v>124</v>
      </c>
      <c r="AU44" s="13"/>
      <c r="AV44" s="15" t="s">
        <v>38</v>
      </c>
      <c r="AW44" s="13" t="s">
        <v>23</v>
      </c>
      <c r="AX44" s="13" t="s">
        <v>129</v>
      </c>
      <c r="AY44" s="21" t="s">
        <v>10</v>
      </c>
      <c r="AZ44" s="23">
        <v>1</v>
      </c>
      <c r="BA44" s="22">
        <v>30</v>
      </c>
      <c r="BB44" s="19">
        <v>40</v>
      </c>
      <c r="BC44" s="22">
        <v>1</v>
      </c>
      <c r="BD44" s="21" t="s">
        <v>139</v>
      </c>
      <c r="BE44" s="21" t="s">
        <v>28</v>
      </c>
      <c r="BF44" s="18"/>
      <c r="BG44" s="18"/>
      <c r="BH44" s="18"/>
      <c r="BI44" s="21" t="s">
        <v>119</v>
      </c>
      <c r="BJ44" s="18"/>
      <c r="BK44" s="18"/>
      <c r="BL44" s="21" t="s">
        <v>7</v>
      </c>
      <c r="BM44" s="18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27"/>
      <c r="CD44" s="28"/>
      <c r="CE44" s="27"/>
      <c r="CF44" s="25"/>
      <c r="CG44" s="27"/>
      <c r="CH44" s="27"/>
      <c r="CI44" s="27"/>
      <c r="CJ44" s="27"/>
      <c r="CK44" s="27"/>
      <c r="CL44" s="27"/>
      <c r="CM44" s="25"/>
      <c r="CN44" s="169">
        <f t="shared" si="3"/>
        <v>3</v>
      </c>
      <c r="CO44" s="167">
        <f t="shared" si="4"/>
        <v>2</v>
      </c>
      <c r="CP44" s="31" t="s">
        <v>147</v>
      </c>
      <c r="CQ44" s="34">
        <v>1</v>
      </c>
      <c r="CR44" s="31">
        <v>5</v>
      </c>
      <c r="CS44" s="30">
        <v>10</v>
      </c>
      <c r="CT44" s="31">
        <v>2</v>
      </c>
      <c r="CU44" s="30"/>
      <c r="CV44" s="31" t="s">
        <v>16</v>
      </c>
      <c r="CW44" s="31"/>
      <c r="CX44" s="31"/>
      <c r="CY44" s="31"/>
      <c r="CZ44" s="31"/>
      <c r="DA44" s="31" t="s">
        <v>121</v>
      </c>
      <c r="DB44" s="31"/>
      <c r="DC44" s="31" t="s">
        <v>38</v>
      </c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167">
        <f t="shared" si="5"/>
        <v>1</v>
      </c>
      <c r="DP44" s="51">
        <v>1</v>
      </c>
      <c r="DQ44" s="51" t="s">
        <v>11</v>
      </c>
      <c r="DR44" s="49"/>
      <c r="DS44" s="51" t="s">
        <v>227</v>
      </c>
      <c r="DT44" s="51" t="s">
        <v>150</v>
      </c>
      <c r="DU44" s="51">
        <v>480</v>
      </c>
      <c r="DV44" s="52">
        <v>5.0000000000000001E-3</v>
      </c>
      <c r="DW44" s="44"/>
      <c r="DX44" s="44"/>
      <c r="DY44" s="44"/>
      <c r="DZ44" s="44"/>
      <c r="EA44" s="44"/>
      <c r="EB44" s="44"/>
      <c r="EC44" s="44"/>
      <c r="ED44" s="45" t="s">
        <v>21</v>
      </c>
      <c r="EE44" s="43" t="s">
        <v>155</v>
      </c>
      <c r="EF44" s="43" t="s">
        <v>8</v>
      </c>
      <c r="EG44" s="58">
        <v>1</v>
      </c>
      <c r="EH44" s="41"/>
      <c r="EI44" s="41"/>
      <c r="EJ44" s="41"/>
      <c r="EK44" s="43"/>
      <c r="EL44" s="43"/>
      <c r="EM44" s="43"/>
      <c r="EN44" s="165">
        <v>0</v>
      </c>
      <c r="EO44" s="8" t="s">
        <v>26</v>
      </c>
      <c r="EP44" s="11"/>
      <c r="EQ44" s="11"/>
      <c r="ER44" s="11"/>
      <c r="ES44" s="11"/>
      <c r="ET44" s="11"/>
      <c r="EU44" s="8"/>
      <c r="EV44" s="8"/>
      <c r="EW44" s="11"/>
      <c r="EX44" s="11"/>
      <c r="EY44" s="8"/>
      <c r="EZ44" s="13"/>
      <c r="FA44" s="13"/>
      <c r="FB44" s="13"/>
      <c r="FC44" s="13"/>
      <c r="FD44" s="13"/>
      <c r="FE44" s="13"/>
      <c r="FF44" s="13"/>
      <c r="FG44" s="13"/>
      <c r="FH44" s="13"/>
      <c r="FI44" s="166">
        <v>2</v>
      </c>
      <c r="FJ44" s="151" t="s">
        <v>178</v>
      </c>
      <c r="FK44" s="126" t="s">
        <v>7</v>
      </c>
      <c r="FL44" s="150" t="s">
        <v>180</v>
      </c>
      <c r="FM44" s="126" t="s">
        <v>7</v>
      </c>
      <c r="FN44" s="126" t="s">
        <v>168</v>
      </c>
      <c r="FO44" s="126">
        <v>1</v>
      </c>
      <c r="FP44" s="126">
        <v>500</v>
      </c>
      <c r="FQ44" s="126" t="s">
        <v>13</v>
      </c>
      <c r="FR44" s="126" t="s">
        <v>207</v>
      </c>
      <c r="FS44" s="126"/>
      <c r="FT44" s="126"/>
      <c r="FU44" s="151" t="s">
        <v>21</v>
      </c>
      <c r="FV44" s="151"/>
      <c r="FW44" s="43"/>
      <c r="FX44" s="43"/>
      <c r="FY44" s="41"/>
      <c r="FZ44" s="43"/>
      <c r="GA44" s="43"/>
      <c r="GB44" s="41"/>
      <c r="GC44" s="41"/>
      <c r="GD44" s="43"/>
      <c r="GE44" s="43"/>
      <c r="GF44" s="43"/>
      <c r="GG44" s="128" t="s">
        <v>217</v>
      </c>
      <c r="GH44" s="129"/>
      <c r="GI44" s="129"/>
      <c r="GJ44" s="128" t="s">
        <v>33</v>
      </c>
      <c r="GK44" s="129"/>
      <c r="GL44" s="128" t="s">
        <v>34</v>
      </c>
      <c r="GM44" s="128"/>
      <c r="GN44" s="128" t="s">
        <v>224</v>
      </c>
      <c r="GO44" s="129"/>
      <c r="GP44" s="128" t="s">
        <v>35</v>
      </c>
      <c r="GQ44" s="128">
        <v>2</v>
      </c>
      <c r="GR44" s="56" t="s">
        <v>28</v>
      </c>
      <c r="GS44" s="55"/>
      <c r="GT44" s="56"/>
      <c r="GU44" s="56" t="s">
        <v>225</v>
      </c>
      <c r="GV44" s="56">
        <v>0.2</v>
      </c>
      <c r="GW44" s="56" t="s">
        <v>234</v>
      </c>
      <c r="GX44" s="56"/>
      <c r="GY44" s="56" t="s">
        <v>9</v>
      </c>
      <c r="GZ44" s="55">
        <v>1</v>
      </c>
      <c r="HA44" s="55" t="s">
        <v>135</v>
      </c>
      <c r="HB44" s="55" t="s">
        <v>229</v>
      </c>
      <c r="HC44" s="55"/>
      <c r="HD44" s="55"/>
      <c r="HE44" s="55"/>
      <c r="HF44" s="170"/>
      <c r="HG44" s="172">
        <f t="shared" si="6"/>
        <v>337.5</v>
      </c>
      <c r="HH44" s="84" t="s">
        <v>9</v>
      </c>
      <c r="HI44" s="79">
        <v>1</v>
      </c>
      <c r="HJ44" s="79" t="s">
        <v>134</v>
      </c>
      <c r="HK44" s="79" t="s">
        <v>206</v>
      </c>
      <c r="HL44" s="79" t="s">
        <v>135</v>
      </c>
      <c r="HM44" s="79" t="s">
        <v>229</v>
      </c>
      <c r="HN44" s="79" t="s">
        <v>11</v>
      </c>
      <c r="HO44" s="79" t="s">
        <v>236</v>
      </c>
      <c r="HP44" s="79" t="s">
        <v>36</v>
      </c>
      <c r="HQ44" s="79" t="s">
        <v>37</v>
      </c>
      <c r="HR44" s="79" t="s">
        <v>246</v>
      </c>
      <c r="HS44" s="76"/>
      <c r="HT44" s="79" t="s">
        <v>221</v>
      </c>
      <c r="HU44" s="76"/>
      <c r="HV44" s="76"/>
      <c r="HW44" s="80">
        <v>20</v>
      </c>
      <c r="HX44" s="77">
        <v>40</v>
      </c>
      <c r="HY44" s="131">
        <f t="shared" si="13"/>
        <v>30</v>
      </c>
      <c r="HZ44" s="79" t="s">
        <v>39</v>
      </c>
      <c r="IA44" s="76" t="s">
        <v>40</v>
      </c>
      <c r="IB44" s="79" t="s">
        <v>249</v>
      </c>
      <c r="IC44" s="79">
        <v>2</v>
      </c>
      <c r="ID44" s="76">
        <v>2</v>
      </c>
      <c r="IE44" s="79">
        <v>30</v>
      </c>
      <c r="IF44" s="76">
        <v>30</v>
      </c>
      <c r="IG44" s="79">
        <v>10</v>
      </c>
      <c r="IH44" s="76">
        <v>10</v>
      </c>
      <c r="II44" s="76">
        <f t="shared" si="16"/>
        <v>42</v>
      </c>
      <c r="IJ44" s="76">
        <f t="shared" si="16"/>
        <v>42</v>
      </c>
      <c r="IK44" s="74">
        <v>1.5</v>
      </c>
      <c r="IL44" s="72" t="s">
        <v>13</v>
      </c>
      <c r="IM44" s="72" t="s">
        <v>14</v>
      </c>
      <c r="IN44" s="72" t="s">
        <v>15</v>
      </c>
      <c r="IO44" s="72" t="s">
        <v>16</v>
      </c>
      <c r="IP44" s="74" t="s">
        <v>236</v>
      </c>
      <c r="IQ44" s="74" t="s">
        <v>36</v>
      </c>
      <c r="IR44" s="74" t="s">
        <v>37</v>
      </c>
      <c r="IS44" s="74" t="s">
        <v>4</v>
      </c>
      <c r="IT44" s="72"/>
      <c r="IU44" s="74" t="s">
        <v>221</v>
      </c>
      <c r="IV44" s="72"/>
      <c r="IW44" s="72"/>
      <c r="IX44" s="75">
        <v>0</v>
      </c>
      <c r="IY44" s="73">
        <v>5</v>
      </c>
      <c r="IZ44" s="138">
        <f t="shared" si="14"/>
        <v>2.5</v>
      </c>
      <c r="JA44" s="74" t="s">
        <v>39</v>
      </c>
      <c r="JB44" s="72" t="s">
        <v>40</v>
      </c>
      <c r="JC44" s="74" t="s">
        <v>249</v>
      </c>
      <c r="JD44" s="74">
        <v>1</v>
      </c>
      <c r="JE44" s="72">
        <v>1</v>
      </c>
      <c r="JF44" s="74">
        <v>10</v>
      </c>
      <c r="JG44" s="72">
        <v>10</v>
      </c>
      <c r="JH44" s="74">
        <v>10</v>
      </c>
      <c r="JI44" s="72">
        <v>10</v>
      </c>
      <c r="JJ44" s="72">
        <f t="shared" si="17"/>
        <v>21</v>
      </c>
      <c r="JK44" s="72">
        <f t="shared" si="17"/>
        <v>21</v>
      </c>
      <c r="JL44" s="173">
        <v>0</v>
      </c>
      <c r="JM44" s="71" t="s">
        <v>24</v>
      </c>
      <c r="JN44" s="71" t="s">
        <v>24</v>
      </c>
      <c r="JO44" s="70"/>
      <c r="JP44" s="71"/>
      <c r="JQ44" s="71"/>
      <c r="JR44" s="71"/>
      <c r="JS44" s="70"/>
      <c r="JT44" s="71"/>
      <c r="JU44" s="70"/>
      <c r="JV44" s="70"/>
      <c r="JW44" s="71"/>
      <c r="JX44" s="71"/>
      <c r="JY44" s="71"/>
      <c r="JZ44" s="4" t="s">
        <v>9</v>
      </c>
      <c r="KA44" s="4">
        <v>80</v>
      </c>
      <c r="KB44" s="4">
        <v>80</v>
      </c>
      <c r="KC44" s="68">
        <v>4</v>
      </c>
      <c r="KD44" s="67">
        <v>5</v>
      </c>
      <c r="KE44" s="68">
        <v>50</v>
      </c>
      <c r="KF44" s="4" t="s">
        <v>255</v>
      </c>
      <c r="KG44" s="4" t="s">
        <v>33</v>
      </c>
      <c r="KH44" s="4" t="s">
        <v>232</v>
      </c>
      <c r="KI44" s="64" t="s">
        <v>263</v>
      </c>
      <c r="KJ44" s="63">
        <v>1</v>
      </c>
      <c r="KK44" s="63">
        <v>70</v>
      </c>
      <c r="KL44" s="64" t="s">
        <v>17</v>
      </c>
      <c r="KM44" s="63">
        <v>1</v>
      </c>
      <c r="KN44" s="63">
        <v>10</v>
      </c>
      <c r="KO44" s="63"/>
      <c r="KP44" s="63"/>
      <c r="KQ44" s="63"/>
      <c r="KR44" s="63"/>
      <c r="KS44" s="63"/>
      <c r="KT44" s="63"/>
      <c r="KU44" s="62" t="s">
        <v>9</v>
      </c>
      <c r="KV44" s="58">
        <v>0</v>
      </c>
      <c r="KW44" s="43"/>
      <c r="KX44" s="43"/>
      <c r="KY44" s="60" t="s">
        <v>24</v>
      </c>
      <c r="KZ44" s="60" t="s">
        <v>9</v>
      </c>
      <c r="LA44" s="60" t="s">
        <v>9</v>
      </c>
      <c r="LB44" s="60" t="s">
        <v>24</v>
      </c>
      <c r="LC44" s="60" t="s">
        <v>9</v>
      </c>
      <c r="LD44" s="60" t="s">
        <v>272</v>
      </c>
      <c r="LE44" s="60" t="s">
        <v>37</v>
      </c>
      <c r="LF44" s="60" t="s">
        <v>224</v>
      </c>
      <c r="LG44" s="3"/>
    </row>
    <row r="45" spans="1:319" x14ac:dyDescent="0.3">
      <c r="A45" s="104" t="s">
        <v>77</v>
      </c>
      <c r="B45" s="104">
        <v>28.1</v>
      </c>
      <c r="C45" s="85" t="s">
        <v>284</v>
      </c>
      <c r="D45" s="85">
        <v>10</v>
      </c>
      <c r="E45" s="5" t="s">
        <v>36</v>
      </c>
      <c r="F45" s="5" t="s">
        <v>514</v>
      </c>
      <c r="G45" s="5"/>
      <c r="H45" s="5">
        <v>1</v>
      </c>
      <c r="I45" s="6" t="s">
        <v>106</v>
      </c>
      <c r="J45" s="6"/>
      <c r="K45" s="6"/>
      <c r="L45" s="6"/>
      <c r="M45" s="6" t="s">
        <v>93</v>
      </c>
      <c r="N45" s="213" t="s">
        <v>847</v>
      </c>
      <c r="O45" s="162">
        <f>SUM((W45*Tableau1[[#This Row],[IR_inter1]]),(AN45*Tableau1[[#This Row],[IR_inter2]]),(BC45*Tableau1[[#This Row],[IR_inter3]]),(Tableau1[[#This Row],[IR_freq4]]*BR45),(CG45*Tableau1[[#This Row],[IR_inter5]]))</f>
        <v>4</v>
      </c>
      <c r="P45" s="162">
        <f t="shared" si="0"/>
        <v>5</v>
      </c>
      <c r="Q45" s="162">
        <f t="shared" si="1"/>
        <v>0.8</v>
      </c>
      <c r="R45" s="162">
        <f t="shared" si="2"/>
        <v>50</v>
      </c>
      <c r="S45" s="11" t="s">
        <v>10</v>
      </c>
      <c r="T45" s="12">
        <v>0.5</v>
      </c>
      <c r="U45" s="12">
        <v>30</v>
      </c>
      <c r="V45" s="9">
        <v>30</v>
      </c>
      <c r="W45" s="11">
        <v>1</v>
      </c>
      <c r="X45" s="11" t="s">
        <v>28</v>
      </c>
      <c r="Y45" s="8"/>
      <c r="Z45" s="8"/>
      <c r="AA45" s="8"/>
      <c r="AB45" s="8"/>
      <c r="AC45" s="11" t="s">
        <v>119</v>
      </c>
      <c r="AD45" s="8"/>
      <c r="AE45" s="8"/>
      <c r="AF45" s="8"/>
      <c r="AG45" s="11" t="s">
        <v>21</v>
      </c>
      <c r="AH45" s="8" t="s">
        <v>40</v>
      </c>
      <c r="AI45" s="8" t="s">
        <v>129</v>
      </c>
      <c r="AJ45" s="15" t="s">
        <v>133</v>
      </c>
      <c r="AK45" s="17">
        <v>0.5</v>
      </c>
      <c r="AL45" s="17">
        <v>50</v>
      </c>
      <c r="AM45" s="14">
        <v>50</v>
      </c>
      <c r="AN45" s="15">
        <v>1</v>
      </c>
      <c r="AO45" s="15" t="s">
        <v>18</v>
      </c>
      <c r="AP45" s="13" t="s">
        <v>11</v>
      </c>
      <c r="AQ45" s="13"/>
      <c r="AR45" s="13"/>
      <c r="AS45" s="13"/>
      <c r="AT45" s="15" t="s">
        <v>123</v>
      </c>
      <c r="AU45" s="13"/>
      <c r="AV45" s="15" t="s">
        <v>21</v>
      </c>
      <c r="AW45" s="13" t="s">
        <v>40</v>
      </c>
      <c r="AX45" s="13" t="s">
        <v>129</v>
      </c>
      <c r="AY45" s="21" t="s">
        <v>10</v>
      </c>
      <c r="AZ45" s="23">
        <v>1</v>
      </c>
      <c r="BA45" s="22">
        <v>20</v>
      </c>
      <c r="BB45" s="19">
        <v>30</v>
      </c>
      <c r="BC45" s="22">
        <v>3</v>
      </c>
      <c r="BD45" s="21" t="s">
        <v>13</v>
      </c>
      <c r="BE45" s="21" t="s">
        <v>14</v>
      </c>
      <c r="BF45" s="21" t="s">
        <v>15</v>
      </c>
      <c r="BG45" s="18"/>
      <c r="BH45" s="18"/>
      <c r="BI45" s="21" t="s">
        <v>119</v>
      </c>
      <c r="BJ45" s="18"/>
      <c r="BK45" s="18"/>
      <c r="BL45" s="21" t="s">
        <v>7</v>
      </c>
      <c r="BM45" s="18"/>
      <c r="BN45" s="101"/>
      <c r="BO45" s="102"/>
      <c r="BP45" s="101"/>
      <c r="BQ45" s="99"/>
      <c r="BR45" s="101"/>
      <c r="BS45" s="101"/>
      <c r="BT45" s="101"/>
      <c r="BU45" s="101"/>
      <c r="BV45" s="101"/>
      <c r="BW45" s="101"/>
      <c r="BX45" s="99"/>
      <c r="BY45" s="99"/>
      <c r="BZ45" s="99"/>
      <c r="CA45" s="99"/>
      <c r="CB45" s="99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169">
        <f t="shared" si="3"/>
        <v>3</v>
      </c>
      <c r="CO45" s="167">
        <f t="shared" si="4"/>
        <v>2</v>
      </c>
      <c r="CP45" s="31" t="s">
        <v>147</v>
      </c>
      <c r="CQ45" s="34">
        <v>1</v>
      </c>
      <c r="CR45" s="31">
        <v>5</v>
      </c>
      <c r="CS45" s="30">
        <v>10</v>
      </c>
      <c r="CT45" s="31">
        <v>1</v>
      </c>
      <c r="CU45" s="30"/>
      <c r="CV45" s="31" t="s">
        <v>15</v>
      </c>
      <c r="CW45" s="31" t="s">
        <v>16</v>
      </c>
      <c r="CX45" s="31"/>
      <c r="CY45" s="31"/>
      <c r="CZ45" s="31"/>
      <c r="DA45" s="31"/>
      <c r="DB45" s="31"/>
      <c r="DC45" s="30"/>
      <c r="DD45" s="36"/>
      <c r="DE45" s="37"/>
      <c r="DF45" s="37"/>
      <c r="DG45" s="37"/>
      <c r="DH45" s="36"/>
      <c r="DI45" s="36"/>
      <c r="DJ45" s="36"/>
      <c r="DK45" s="36"/>
      <c r="DL45" s="36"/>
      <c r="DM45" s="36"/>
      <c r="DN45" s="36"/>
      <c r="DO45" s="167">
        <f t="shared" si="5"/>
        <v>1</v>
      </c>
      <c r="DP45" s="51">
        <v>1</v>
      </c>
      <c r="DQ45" s="51" t="s">
        <v>11</v>
      </c>
      <c r="DR45" s="49"/>
      <c r="DS45" s="51" t="s">
        <v>227</v>
      </c>
      <c r="DT45" s="51" t="s">
        <v>150</v>
      </c>
      <c r="DU45" s="51">
        <v>480</v>
      </c>
      <c r="DV45" s="52">
        <v>1.4999999999999999E-2</v>
      </c>
      <c r="DW45" s="44"/>
      <c r="DX45" s="44"/>
      <c r="DY45" s="44"/>
      <c r="DZ45" s="44"/>
      <c r="EA45" s="44"/>
      <c r="EB45" s="44"/>
      <c r="EC45" s="44"/>
      <c r="ED45" s="45"/>
      <c r="EE45" s="43" t="s">
        <v>155</v>
      </c>
      <c r="EF45" s="43" t="s">
        <v>8</v>
      </c>
      <c r="EG45" s="58">
        <v>1</v>
      </c>
      <c r="EH45" s="41"/>
      <c r="EI45" s="41"/>
      <c r="EJ45" s="41"/>
      <c r="EK45" s="43"/>
      <c r="EL45" s="43"/>
      <c r="EM45" s="43"/>
      <c r="EN45" s="165">
        <v>3</v>
      </c>
      <c r="EO45" s="8" t="s">
        <v>29</v>
      </c>
      <c r="EP45" s="11" t="s">
        <v>27</v>
      </c>
      <c r="EQ45" s="11"/>
      <c r="ER45" s="11"/>
      <c r="ES45" s="11"/>
      <c r="ET45" s="11"/>
      <c r="EU45" s="8"/>
      <c r="EV45" s="8"/>
      <c r="EW45" s="11"/>
      <c r="EX45" s="11"/>
      <c r="EY45" s="8"/>
      <c r="EZ45" s="13"/>
      <c r="FA45" s="13"/>
      <c r="FB45" s="13"/>
      <c r="FC45" s="13"/>
      <c r="FD45" s="13"/>
      <c r="FE45" s="13"/>
      <c r="FF45" s="13"/>
      <c r="FG45" s="13"/>
      <c r="FH45" s="13"/>
      <c r="FI45" s="166">
        <v>1</v>
      </c>
      <c r="FJ45" s="151" t="s">
        <v>29</v>
      </c>
      <c r="FK45" s="126" t="s">
        <v>27</v>
      </c>
      <c r="FL45" s="150" t="s">
        <v>7</v>
      </c>
      <c r="FM45" s="126" t="s">
        <v>7</v>
      </c>
      <c r="FN45" s="126" t="s">
        <v>7</v>
      </c>
      <c r="FO45" s="126">
        <v>1</v>
      </c>
      <c r="FP45" s="126">
        <v>200</v>
      </c>
      <c r="FQ45" s="126" t="s">
        <v>28</v>
      </c>
      <c r="FR45" s="126" t="s">
        <v>2</v>
      </c>
      <c r="FS45" s="126" t="s">
        <v>207</v>
      </c>
      <c r="FT45" s="126"/>
      <c r="FU45" s="151"/>
      <c r="FV45" s="151"/>
      <c r="FW45" s="43"/>
      <c r="FX45" s="43"/>
      <c r="FY45" s="41"/>
      <c r="FZ45" s="43"/>
      <c r="GA45" s="43"/>
      <c r="GB45" s="41"/>
      <c r="GC45" s="41"/>
      <c r="GD45" s="43"/>
      <c r="GE45" s="43"/>
      <c r="GF45" s="43"/>
      <c r="GG45" s="128" t="s">
        <v>217</v>
      </c>
      <c r="GH45" s="129"/>
      <c r="GI45" s="129"/>
      <c r="GJ45" s="128" t="s">
        <v>33</v>
      </c>
      <c r="GK45" s="129" t="s">
        <v>214</v>
      </c>
      <c r="GL45" s="128" t="s">
        <v>34</v>
      </c>
      <c r="GM45" s="128"/>
      <c r="GN45" s="128" t="s">
        <v>32</v>
      </c>
      <c r="GO45" s="129"/>
      <c r="GP45" s="128" t="s">
        <v>35</v>
      </c>
      <c r="GQ45" s="128">
        <v>1</v>
      </c>
      <c r="GR45" s="56" t="s">
        <v>28</v>
      </c>
      <c r="GS45" s="55"/>
      <c r="GT45" s="56"/>
      <c r="GU45" s="56" t="s">
        <v>225</v>
      </c>
      <c r="GV45" s="56" t="s">
        <v>234</v>
      </c>
      <c r="GW45" s="56" t="s">
        <v>234</v>
      </c>
      <c r="GX45" s="56"/>
      <c r="GY45" s="56" t="s">
        <v>9</v>
      </c>
      <c r="GZ45" s="55">
        <v>1</v>
      </c>
      <c r="HA45" s="55" t="s">
        <v>135</v>
      </c>
      <c r="HB45" s="55" t="s">
        <v>229</v>
      </c>
      <c r="HC45" s="55"/>
      <c r="HD45" s="55"/>
      <c r="HE45" s="55"/>
      <c r="HF45" s="170"/>
      <c r="HG45" s="172">
        <f t="shared" si="6"/>
        <v>650</v>
      </c>
      <c r="HH45" s="84" t="s">
        <v>9</v>
      </c>
      <c r="HI45" s="79">
        <v>1</v>
      </c>
      <c r="HJ45" s="76" t="s">
        <v>230</v>
      </c>
      <c r="HK45" s="76"/>
      <c r="HL45" s="76"/>
      <c r="HM45" s="76"/>
      <c r="HN45" s="76"/>
      <c r="HO45" s="79" t="s">
        <v>235</v>
      </c>
      <c r="HP45" s="79" t="s">
        <v>36</v>
      </c>
      <c r="HQ45" s="79" t="s">
        <v>37</v>
      </c>
      <c r="HR45" s="79" t="s">
        <v>246</v>
      </c>
      <c r="HS45" s="79" t="s">
        <v>245</v>
      </c>
      <c r="HT45" s="79" t="s">
        <v>221</v>
      </c>
      <c r="HU45" s="76"/>
      <c r="HV45" s="76"/>
      <c r="HW45" s="80">
        <v>50</v>
      </c>
      <c r="HX45" s="77">
        <v>50</v>
      </c>
      <c r="HY45" s="131">
        <f t="shared" si="13"/>
        <v>50</v>
      </c>
      <c r="HZ45" s="79" t="s">
        <v>39</v>
      </c>
      <c r="IA45" s="76" t="s">
        <v>40</v>
      </c>
      <c r="IB45" s="79" t="s">
        <v>249</v>
      </c>
      <c r="IC45" s="79">
        <v>2</v>
      </c>
      <c r="ID45" s="76">
        <v>2</v>
      </c>
      <c r="IE45" s="79">
        <v>1</v>
      </c>
      <c r="IF45" s="76">
        <v>2</v>
      </c>
      <c r="IG45" s="79">
        <v>7</v>
      </c>
      <c r="IH45" s="76">
        <v>7</v>
      </c>
      <c r="II45" s="76">
        <f t="shared" si="16"/>
        <v>10</v>
      </c>
      <c r="IJ45" s="76">
        <f t="shared" si="16"/>
        <v>11</v>
      </c>
      <c r="IK45" s="74">
        <v>2</v>
      </c>
      <c r="IL45" s="72" t="s">
        <v>15</v>
      </c>
      <c r="IM45" s="72" t="s">
        <v>16</v>
      </c>
      <c r="IN45" s="72" t="s">
        <v>22</v>
      </c>
      <c r="IO45" s="72"/>
      <c r="IP45" s="74" t="s">
        <v>235</v>
      </c>
      <c r="IQ45" s="74" t="s">
        <v>36</v>
      </c>
      <c r="IR45" s="74" t="s">
        <v>4</v>
      </c>
      <c r="IS45" s="72"/>
      <c r="IT45" s="74"/>
      <c r="IU45" s="74" t="s">
        <v>221</v>
      </c>
      <c r="IV45" s="72"/>
      <c r="IW45" s="72"/>
      <c r="IX45" s="75">
        <v>5</v>
      </c>
      <c r="IY45" s="73">
        <v>10</v>
      </c>
      <c r="IZ45" s="138">
        <f t="shared" si="14"/>
        <v>7.5</v>
      </c>
      <c r="JA45" s="74" t="s">
        <v>247</v>
      </c>
      <c r="JB45" s="72" t="s">
        <v>248</v>
      </c>
      <c r="JC45" s="74" t="s">
        <v>249</v>
      </c>
      <c r="JD45" s="74">
        <v>2</v>
      </c>
      <c r="JE45" s="72">
        <v>2</v>
      </c>
      <c r="JF45" s="74">
        <v>1</v>
      </c>
      <c r="JG45" s="72">
        <v>2</v>
      </c>
      <c r="JH45" s="74">
        <v>7</v>
      </c>
      <c r="JI45" s="72">
        <v>7</v>
      </c>
      <c r="JJ45" s="72">
        <f t="shared" si="17"/>
        <v>10</v>
      </c>
      <c r="JK45" s="72">
        <f t="shared" si="17"/>
        <v>11</v>
      </c>
      <c r="JL45" s="173">
        <v>0</v>
      </c>
      <c r="JM45" s="71" t="s">
        <v>24</v>
      </c>
      <c r="JN45" s="71" t="s">
        <v>24</v>
      </c>
      <c r="JO45" s="70"/>
      <c r="JP45" s="71"/>
      <c r="JQ45" s="71"/>
      <c r="JR45" s="71"/>
      <c r="JS45" s="70"/>
      <c r="JT45" s="71"/>
      <c r="JU45" s="70"/>
      <c r="JV45" s="70"/>
      <c r="JW45" s="71"/>
      <c r="JX45" s="71"/>
      <c r="JY45" s="71"/>
      <c r="JZ45" s="4" t="s">
        <v>9</v>
      </c>
      <c r="KA45" s="4">
        <v>60</v>
      </c>
      <c r="KB45" s="4">
        <v>60</v>
      </c>
      <c r="KC45" s="68">
        <v>5</v>
      </c>
      <c r="KD45" s="68">
        <v>5</v>
      </c>
      <c r="KE45" s="68">
        <v>40</v>
      </c>
      <c r="KF45" s="4" t="s">
        <v>255</v>
      </c>
      <c r="KG45" s="4" t="s">
        <v>33</v>
      </c>
      <c r="KH45" s="4" t="s">
        <v>232</v>
      </c>
      <c r="KI45" s="64" t="s">
        <v>258</v>
      </c>
      <c r="KJ45" s="63">
        <v>2</v>
      </c>
      <c r="KK45" s="63">
        <v>80</v>
      </c>
      <c r="KL45" s="63"/>
      <c r="KM45" s="63"/>
      <c r="KN45" s="63"/>
      <c r="KO45" s="63"/>
      <c r="KP45" s="63"/>
      <c r="KQ45" s="63"/>
      <c r="KR45" s="63"/>
      <c r="KS45" s="63"/>
      <c r="KT45" s="63"/>
      <c r="KU45" s="62" t="s">
        <v>9</v>
      </c>
      <c r="KV45" s="58">
        <v>1</v>
      </c>
      <c r="KW45" s="43" t="s">
        <v>266</v>
      </c>
      <c r="KX45" s="43" t="s">
        <v>7</v>
      </c>
      <c r="KY45" s="60" t="s">
        <v>24</v>
      </c>
      <c r="KZ45" s="60" t="s">
        <v>9</v>
      </c>
      <c r="LA45" s="60" t="s">
        <v>9</v>
      </c>
      <c r="LB45" s="60" t="s">
        <v>24</v>
      </c>
      <c r="LC45" s="60" t="s">
        <v>9</v>
      </c>
      <c r="LD45" s="60" t="s">
        <v>273</v>
      </c>
      <c r="LE45" s="60" t="s">
        <v>37</v>
      </c>
      <c r="LF45" s="60" t="s">
        <v>224</v>
      </c>
      <c r="LG45" s="3"/>
    </row>
    <row r="46" spans="1:319" x14ac:dyDescent="0.3">
      <c r="A46" s="104" t="s">
        <v>78</v>
      </c>
      <c r="B46" s="104">
        <v>28.2</v>
      </c>
      <c r="C46" s="85" t="s">
        <v>494</v>
      </c>
      <c r="D46" s="85">
        <v>10</v>
      </c>
      <c r="E46" s="5" t="s">
        <v>36</v>
      </c>
      <c r="F46" s="5" t="s">
        <v>514</v>
      </c>
      <c r="G46" s="5"/>
      <c r="H46" s="5">
        <v>1</v>
      </c>
      <c r="I46" s="6" t="s">
        <v>7</v>
      </c>
      <c r="J46" s="5"/>
      <c r="K46" s="6"/>
      <c r="L46" s="5"/>
      <c r="M46" s="6" t="s">
        <v>98</v>
      </c>
      <c r="N46" s="213" t="s">
        <v>847</v>
      </c>
      <c r="O46" s="162">
        <f>SUM((W46*Tableau1[[#This Row],[IR_inter1]]),(AN46*Tableau1[[#This Row],[IR_inter2]]),(BC46*Tableau1[[#This Row],[IR_inter3]]),(Tableau1[[#This Row],[IR_freq4]]*BR46),(CG46*Tableau1[[#This Row],[IR_inter5]]))</f>
        <v>4</v>
      </c>
      <c r="P46" s="162">
        <f t="shared" si="0"/>
        <v>5</v>
      </c>
      <c r="Q46" s="162">
        <f t="shared" si="1"/>
        <v>0.8</v>
      </c>
      <c r="R46" s="162">
        <f t="shared" si="2"/>
        <v>50</v>
      </c>
      <c r="S46" s="11" t="s">
        <v>10</v>
      </c>
      <c r="T46" s="12">
        <v>0.5</v>
      </c>
      <c r="U46" s="12">
        <v>30</v>
      </c>
      <c r="V46" s="9">
        <v>30</v>
      </c>
      <c r="W46" s="11">
        <v>1</v>
      </c>
      <c r="X46" s="11" t="s">
        <v>28</v>
      </c>
      <c r="Y46" s="8"/>
      <c r="Z46" s="8"/>
      <c r="AA46" s="8"/>
      <c r="AB46" s="8"/>
      <c r="AC46" s="11" t="s">
        <v>119</v>
      </c>
      <c r="AD46" s="8"/>
      <c r="AE46" s="8"/>
      <c r="AF46" s="8"/>
      <c r="AG46" s="11" t="s">
        <v>21</v>
      </c>
      <c r="AH46" s="8" t="s">
        <v>40</v>
      </c>
      <c r="AI46" s="8" t="s">
        <v>129</v>
      </c>
      <c r="AJ46" s="15" t="s">
        <v>133</v>
      </c>
      <c r="AK46" s="17">
        <v>0.5</v>
      </c>
      <c r="AL46" s="17">
        <v>50</v>
      </c>
      <c r="AM46" s="14">
        <v>50</v>
      </c>
      <c r="AN46" s="15">
        <v>1</v>
      </c>
      <c r="AO46" s="15" t="s">
        <v>18</v>
      </c>
      <c r="AP46" s="13" t="s">
        <v>11</v>
      </c>
      <c r="AQ46" s="13"/>
      <c r="AR46" s="13"/>
      <c r="AS46" s="13"/>
      <c r="AT46" s="15" t="s">
        <v>123</v>
      </c>
      <c r="AU46" s="13"/>
      <c r="AV46" s="15" t="s">
        <v>21</v>
      </c>
      <c r="AW46" s="13" t="s">
        <v>40</v>
      </c>
      <c r="AX46" s="13" t="s">
        <v>129</v>
      </c>
      <c r="AY46" s="21" t="s">
        <v>10</v>
      </c>
      <c r="AZ46" s="23">
        <v>1</v>
      </c>
      <c r="BA46" s="22">
        <v>20</v>
      </c>
      <c r="BB46" s="19">
        <v>30</v>
      </c>
      <c r="BC46" s="22">
        <v>3</v>
      </c>
      <c r="BD46" s="21" t="s">
        <v>13</v>
      </c>
      <c r="BE46" s="21" t="s">
        <v>14</v>
      </c>
      <c r="BF46" s="21" t="s">
        <v>15</v>
      </c>
      <c r="BG46" s="18"/>
      <c r="BH46" s="18"/>
      <c r="BI46" s="21" t="s">
        <v>119</v>
      </c>
      <c r="BJ46" s="18"/>
      <c r="BK46" s="18"/>
      <c r="BL46" s="21" t="s">
        <v>7</v>
      </c>
      <c r="BM46" s="18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27"/>
      <c r="CD46" s="28"/>
      <c r="CE46" s="27"/>
      <c r="CF46" s="25"/>
      <c r="CG46" s="27"/>
      <c r="CH46" s="27"/>
      <c r="CI46" s="27"/>
      <c r="CJ46" s="27"/>
      <c r="CK46" s="27"/>
      <c r="CL46" s="27"/>
      <c r="CM46" s="25"/>
      <c r="CN46" s="169">
        <f t="shared" si="3"/>
        <v>3</v>
      </c>
      <c r="CO46" s="167">
        <f t="shared" si="4"/>
        <v>2</v>
      </c>
      <c r="CP46" s="31" t="s">
        <v>147</v>
      </c>
      <c r="CQ46" s="34">
        <v>1</v>
      </c>
      <c r="CR46" s="31">
        <v>5</v>
      </c>
      <c r="CS46" s="30">
        <v>10</v>
      </c>
      <c r="CT46" s="31">
        <v>1</v>
      </c>
      <c r="CU46" s="30"/>
      <c r="CV46" s="31" t="s">
        <v>15</v>
      </c>
      <c r="CW46" s="31" t="s">
        <v>16</v>
      </c>
      <c r="CX46" s="31"/>
      <c r="CY46" s="31"/>
      <c r="CZ46" s="31"/>
      <c r="DA46" s="31"/>
      <c r="DB46" s="31"/>
      <c r="DC46" s="30"/>
      <c r="DD46" s="36"/>
      <c r="DE46" s="37"/>
      <c r="DF46" s="37"/>
      <c r="DG46" s="37"/>
      <c r="DH46" s="36"/>
      <c r="DI46" s="36"/>
      <c r="DJ46" s="36"/>
      <c r="DK46" s="36"/>
      <c r="DL46" s="36"/>
      <c r="DM46" s="36"/>
      <c r="DN46" s="36"/>
      <c r="DO46" s="167">
        <f t="shared" si="5"/>
        <v>1</v>
      </c>
      <c r="DP46" s="51">
        <v>1</v>
      </c>
      <c r="DQ46" s="51" t="s">
        <v>11</v>
      </c>
      <c r="DR46" s="49"/>
      <c r="DS46" s="51" t="s">
        <v>227</v>
      </c>
      <c r="DT46" s="51" t="s">
        <v>150</v>
      </c>
      <c r="DU46" s="51">
        <v>480</v>
      </c>
      <c r="DV46" s="52">
        <v>1.4999999999999999E-2</v>
      </c>
      <c r="DW46" s="44"/>
      <c r="DX46" s="44"/>
      <c r="DY46" s="44"/>
      <c r="DZ46" s="44"/>
      <c r="EA46" s="44"/>
      <c r="EB46" s="44"/>
      <c r="EC46" s="44"/>
      <c r="ED46" s="45"/>
      <c r="EE46" s="43" t="s">
        <v>155</v>
      </c>
      <c r="EF46" s="43" t="s">
        <v>8</v>
      </c>
      <c r="EG46" s="58">
        <v>1</v>
      </c>
      <c r="EH46" s="41"/>
      <c r="EI46" s="41"/>
      <c r="EJ46" s="41"/>
      <c r="EK46" s="43"/>
      <c r="EL46" s="43"/>
      <c r="EM46" s="43"/>
      <c r="EN46" s="165">
        <v>3</v>
      </c>
      <c r="EO46" s="8" t="s">
        <v>29</v>
      </c>
      <c r="EP46" s="11" t="s">
        <v>27</v>
      </c>
      <c r="EQ46" s="11"/>
      <c r="ER46" s="11"/>
      <c r="ES46" s="11"/>
      <c r="ET46" s="11"/>
      <c r="EU46" s="8"/>
      <c r="EV46" s="8"/>
      <c r="EW46" s="11"/>
      <c r="EX46" s="11"/>
      <c r="EY46" s="8"/>
      <c r="EZ46" s="13"/>
      <c r="FA46" s="13"/>
      <c r="FB46" s="13"/>
      <c r="FC46" s="13"/>
      <c r="FD46" s="13"/>
      <c r="FE46" s="13"/>
      <c r="FF46" s="13"/>
      <c r="FG46" s="13"/>
      <c r="FH46" s="13"/>
      <c r="FI46" s="166">
        <v>1</v>
      </c>
      <c r="FJ46" s="151" t="s">
        <v>29</v>
      </c>
      <c r="FK46" s="126" t="s">
        <v>27</v>
      </c>
      <c r="FL46" s="150" t="s">
        <v>7</v>
      </c>
      <c r="FM46" s="126" t="s">
        <v>7</v>
      </c>
      <c r="FN46" s="126" t="s">
        <v>7</v>
      </c>
      <c r="FO46" s="126">
        <v>1</v>
      </c>
      <c r="FP46" s="126">
        <v>200</v>
      </c>
      <c r="FQ46" s="126" t="s">
        <v>28</v>
      </c>
      <c r="FR46" s="126" t="s">
        <v>2</v>
      </c>
      <c r="FS46" s="126" t="s">
        <v>207</v>
      </c>
      <c r="FT46" s="126"/>
      <c r="FU46" s="151"/>
      <c r="FV46" s="151"/>
      <c r="FW46" s="43"/>
      <c r="FX46" s="43"/>
      <c r="FY46" s="41"/>
      <c r="FZ46" s="43"/>
      <c r="GA46" s="43"/>
      <c r="GB46" s="41"/>
      <c r="GC46" s="41"/>
      <c r="GD46" s="43"/>
      <c r="GE46" s="43"/>
      <c r="GF46" s="43"/>
      <c r="GG46" s="128" t="s">
        <v>217</v>
      </c>
      <c r="GH46" s="129"/>
      <c r="GI46" s="129"/>
      <c r="GJ46" s="128" t="s">
        <v>33</v>
      </c>
      <c r="GK46" s="129" t="s">
        <v>214</v>
      </c>
      <c r="GL46" s="128" t="s">
        <v>34</v>
      </c>
      <c r="GM46" s="128"/>
      <c r="GN46" s="128" t="s">
        <v>32</v>
      </c>
      <c r="GO46" s="129"/>
      <c r="GP46" s="128" t="s">
        <v>35</v>
      </c>
      <c r="GQ46" s="128">
        <v>1</v>
      </c>
      <c r="GR46" s="56" t="s">
        <v>28</v>
      </c>
      <c r="GS46" s="55"/>
      <c r="GT46" s="56"/>
      <c r="GU46" s="56" t="s">
        <v>225</v>
      </c>
      <c r="GV46" s="56" t="s">
        <v>234</v>
      </c>
      <c r="GW46" s="56" t="s">
        <v>234</v>
      </c>
      <c r="GX46" s="56"/>
      <c r="GY46" s="56" t="s">
        <v>9</v>
      </c>
      <c r="GZ46" s="55">
        <v>1</v>
      </c>
      <c r="HA46" s="55" t="s">
        <v>135</v>
      </c>
      <c r="HB46" s="55" t="s">
        <v>229</v>
      </c>
      <c r="HC46" s="55"/>
      <c r="HD46" s="55"/>
      <c r="HE46" s="55"/>
      <c r="HF46" s="170"/>
      <c r="HG46" s="172">
        <f t="shared" si="6"/>
        <v>650</v>
      </c>
      <c r="HH46" s="84" t="s">
        <v>9</v>
      </c>
      <c r="HI46" s="79">
        <v>1</v>
      </c>
      <c r="HJ46" s="76" t="s">
        <v>230</v>
      </c>
      <c r="HK46" s="76"/>
      <c r="HL46" s="76"/>
      <c r="HM46" s="76"/>
      <c r="HN46" s="76"/>
      <c r="HO46" s="79" t="s">
        <v>235</v>
      </c>
      <c r="HP46" s="79" t="s">
        <v>36</v>
      </c>
      <c r="HQ46" s="79" t="s">
        <v>37</v>
      </c>
      <c r="HR46" s="79" t="s">
        <v>246</v>
      </c>
      <c r="HS46" s="79" t="s">
        <v>245</v>
      </c>
      <c r="HT46" s="79" t="s">
        <v>221</v>
      </c>
      <c r="HU46" s="76"/>
      <c r="HV46" s="76"/>
      <c r="HW46" s="80">
        <v>50</v>
      </c>
      <c r="HX46" s="77">
        <v>50</v>
      </c>
      <c r="HY46" s="131">
        <f t="shared" si="13"/>
        <v>50</v>
      </c>
      <c r="HZ46" s="79" t="s">
        <v>39</v>
      </c>
      <c r="IA46" s="76" t="s">
        <v>40</v>
      </c>
      <c r="IB46" s="79" t="s">
        <v>249</v>
      </c>
      <c r="IC46" s="79">
        <v>2</v>
      </c>
      <c r="ID46" s="76">
        <v>2</v>
      </c>
      <c r="IE46" s="79">
        <v>1</v>
      </c>
      <c r="IF46" s="76">
        <v>2</v>
      </c>
      <c r="IG46" s="79">
        <v>7</v>
      </c>
      <c r="IH46" s="76">
        <v>7</v>
      </c>
      <c r="II46" s="76">
        <f t="shared" si="16"/>
        <v>10</v>
      </c>
      <c r="IJ46" s="76">
        <f t="shared" si="16"/>
        <v>11</v>
      </c>
      <c r="IK46" s="74">
        <v>2</v>
      </c>
      <c r="IL46" s="72" t="s">
        <v>15</v>
      </c>
      <c r="IM46" s="72" t="s">
        <v>16</v>
      </c>
      <c r="IN46" s="72" t="s">
        <v>22</v>
      </c>
      <c r="IO46" s="72"/>
      <c r="IP46" s="74" t="s">
        <v>235</v>
      </c>
      <c r="IQ46" s="74" t="s">
        <v>36</v>
      </c>
      <c r="IR46" s="74" t="s">
        <v>4</v>
      </c>
      <c r="IS46" s="72"/>
      <c r="IT46" s="74"/>
      <c r="IU46" s="74" t="s">
        <v>221</v>
      </c>
      <c r="IV46" s="72"/>
      <c r="IW46" s="72"/>
      <c r="IX46" s="75">
        <v>5</v>
      </c>
      <c r="IY46" s="73">
        <v>10</v>
      </c>
      <c r="IZ46" s="138">
        <f t="shared" si="14"/>
        <v>7.5</v>
      </c>
      <c r="JA46" s="74" t="s">
        <v>247</v>
      </c>
      <c r="JB46" s="72" t="s">
        <v>248</v>
      </c>
      <c r="JC46" s="74" t="s">
        <v>249</v>
      </c>
      <c r="JD46" s="74">
        <v>2</v>
      </c>
      <c r="JE46" s="72">
        <v>2</v>
      </c>
      <c r="JF46" s="74">
        <v>1</v>
      </c>
      <c r="JG46" s="72">
        <v>2</v>
      </c>
      <c r="JH46" s="74">
        <v>7</v>
      </c>
      <c r="JI46" s="72">
        <v>7</v>
      </c>
      <c r="JJ46" s="72">
        <f t="shared" si="17"/>
        <v>10</v>
      </c>
      <c r="JK46" s="72">
        <f t="shared" si="17"/>
        <v>11</v>
      </c>
      <c r="JL46" s="173">
        <v>0</v>
      </c>
      <c r="JM46" s="71" t="s">
        <v>24</v>
      </c>
      <c r="JN46" s="71" t="s">
        <v>24</v>
      </c>
      <c r="JO46" s="70"/>
      <c r="JP46" s="71"/>
      <c r="JQ46" s="71"/>
      <c r="JR46" s="71"/>
      <c r="JS46" s="70"/>
      <c r="JT46" s="71"/>
      <c r="JU46" s="70"/>
      <c r="JV46" s="70"/>
      <c r="JW46" s="71"/>
      <c r="JX46" s="71"/>
      <c r="JY46" s="71"/>
      <c r="JZ46" s="4" t="s">
        <v>9</v>
      </c>
      <c r="KA46" s="4">
        <v>60</v>
      </c>
      <c r="KB46" s="4">
        <v>60</v>
      </c>
      <c r="KC46" s="68">
        <v>5</v>
      </c>
      <c r="KD46" s="68">
        <v>5</v>
      </c>
      <c r="KE46" s="68">
        <v>40</v>
      </c>
      <c r="KF46" s="4" t="s">
        <v>255</v>
      </c>
      <c r="KG46" s="4" t="s">
        <v>33</v>
      </c>
      <c r="KH46" s="4" t="s">
        <v>232</v>
      </c>
      <c r="KI46" s="64" t="s">
        <v>258</v>
      </c>
      <c r="KJ46" s="63">
        <v>2</v>
      </c>
      <c r="KK46" s="63">
        <v>80</v>
      </c>
      <c r="KL46" s="63"/>
      <c r="KM46" s="63"/>
      <c r="KN46" s="63"/>
      <c r="KO46" s="63"/>
      <c r="KP46" s="63"/>
      <c r="KQ46" s="63"/>
      <c r="KR46" s="63"/>
      <c r="KS46" s="63"/>
      <c r="KT46" s="63"/>
      <c r="KU46" s="62" t="s">
        <v>9</v>
      </c>
      <c r="KV46" s="58">
        <v>1</v>
      </c>
      <c r="KW46" s="43" t="s">
        <v>266</v>
      </c>
      <c r="KX46" s="43" t="s">
        <v>7</v>
      </c>
      <c r="KY46" s="60" t="s">
        <v>24</v>
      </c>
      <c r="KZ46" s="60" t="s">
        <v>9</v>
      </c>
      <c r="LA46" s="60" t="s">
        <v>9</v>
      </c>
      <c r="LB46" s="60" t="s">
        <v>24</v>
      </c>
      <c r="LC46" s="60" t="s">
        <v>9</v>
      </c>
      <c r="LD46" s="60" t="s">
        <v>273</v>
      </c>
      <c r="LE46" s="60" t="s">
        <v>37</v>
      </c>
      <c r="LF46" s="60" t="s">
        <v>224</v>
      </c>
      <c r="LG46" s="3"/>
    </row>
    <row r="47" spans="1:319" x14ac:dyDescent="0.3">
      <c r="O47" s="163" t="s">
        <v>1072</v>
      </c>
      <c r="EK47" s="3"/>
      <c r="EL47" s="3"/>
      <c r="EM47" s="3"/>
      <c r="EN47" s="3"/>
      <c r="LG47" s="3"/>
    </row>
    <row r="48" spans="1:319" s="89" customFormat="1" x14ac:dyDescent="0.3">
      <c r="O48" s="205">
        <f>MIN(Tableau1[freq_tot_IR])</f>
        <v>1</v>
      </c>
      <c r="P48" s="205"/>
      <c r="Q48" s="205"/>
      <c r="R48" s="205"/>
      <c r="T48" s="205"/>
      <c r="U48" s="205"/>
      <c r="V48" s="205"/>
      <c r="W48" s="205"/>
      <c r="AK48" s="205"/>
      <c r="AL48" s="205"/>
      <c r="AM48" s="205"/>
      <c r="AZ48" s="205"/>
      <c r="BA48" s="205"/>
      <c r="BB48" s="205"/>
      <c r="BC48" s="205"/>
      <c r="CN48" s="206"/>
      <c r="CO48" s="206"/>
      <c r="DQ48" s="205"/>
      <c r="EG48" s="205"/>
      <c r="EK48" s="87"/>
      <c r="EL48" s="87"/>
      <c r="EM48" s="87"/>
      <c r="EN48" s="87"/>
      <c r="FX48" s="207"/>
      <c r="GL48" s="205"/>
      <c r="GM48" s="205"/>
      <c r="HU48" s="205"/>
      <c r="HX48" s="205"/>
      <c r="IA48" s="91"/>
      <c r="IX48" s="205"/>
      <c r="IY48" s="205"/>
      <c r="IZ48" s="205"/>
      <c r="KV48" s="205"/>
      <c r="LG48" s="87"/>
    </row>
    <row r="49" spans="15:319" s="89" customFormat="1" x14ac:dyDescent="0.3">
      <c r="O49" s="205">
        <f>MAX(Tableau1[freq_tot_IR])</f>
        <v>9.25</v>
      </c>
      <c r="P49" s="205"/>
      <c r="Q49" s="205"/>
      <c r="R49" s="205"/>
      <c r="T49" s="205"/>
      <c r="U49" s="205"/>
      <c r="V49" s="205"/>
      <c r="W49" s="205"/>
      <c r="AK49" s="205"/>
      <c r="AL49" s="205"/>
      <c r="AM49" s="205"/>
      <c r="AZ49" s="205"/>
      <c r="BA49" s="205"/>
      <c r="BB49" s="205"/>
      <c r="BC49" s="205"/>
      <c r="CN49" s="206"/>
      <c r="CO49" s="206"/>
      <c r="DQ49" s="205"/>
      <c r="EG49" s="205"/>
      <c r="FX49" s="207"/>
      <c r="GL49" s="205"/>
      <c r="GM49" s="205"/>
      <c r="HU49" s="205"/>
      <c r="HX49" s="205"/>
      <c r="IA49" s="91"/>
      <c r="IX49" s="205"/>
      <c r="IY49" s="205"/>
      <c r="IZ49" s="205"/>
      <c r="KV49" s="205"/>
      <c r="LG49" s="87"/>
    </row>
    <row r="50" spans="15:319" s="89" customFormat="1" x14ac:dyDescent="0.3">
      <c r="O50" s="205"/>
      <c r="P50" s="205"/>
      <c r="Q50" s="205"/>
      <c r="R50" s="205"/>
      <c r="T50" s="205"/>
      <c r="U50" s="205"/>
      <c r="V50" s="205"/>
      <c r="W50" s="205"/>
      <c r="AK50" s="205"/>
      <c r="AL50" s="205"/>
      <c r="AM50" s="205"/>
      <c r="AZ50" s="205"/>
      <c r="BA50" s="205"/>
      <c r="BB50" s="205"/>
      <c r="BC50" s="205"/>
      <c r="CN50" s="206"/>
      <c r="CO50" s="206"/>
      <c r="DQ50" s="205"/>
      <c r="EG50" s="205"/>
      <c r="FX50" s="207"/>
      <c r="GL50" s="205"/>
      <c r="GM50" s="205"/>
      <c r="HU50" s="205"/>
      <c r="HX50" s="205"/>
      <c r="IA50" s="91"/>
      <c r="IX50" s="205"/>
      <c r="IY50" s="205"/>
      <c r="IZ50" s="205"/>
      <c r="KV50" s="205"/>
    </row>
    <row r="51" spans="15:319" x14ac:dyDescent="0.3">
      <c r="LG51" s="3"/>
    </row>
    <row r="52" spans="15:319" x14ac:dyDescent="0.3">
      <c r="LG52" s="3"/>
    </row>
    <row r="53" spans="15:319" x14ac:dyDescent="0.3">
      <c r="LG53" s="3"/>
    </row>
    <row r="54" spans="15:319" x14ac:dyDescent="0.3">
      <c r="LG54" s="3"/>
    </row>
    <row r="55" spans="15:319" x14ac:dyDescent="0.3">
      <c r="LG55" s="3"/>
    </row>
    <row r="56" spans="15:319" x14ac:dyDescent="0.3">
      <c r="LG56" s="3"/>
    </row>
    <row r="57" spans="15:319" x14ac:dyDescent="0.3">
      <c r="LG57" s="3"/>
    </row>
    <row r="58" spans="15:319" x14ac:dyDescent="0.3">
      <c r="LG58" s="3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D165-1AFE-426E-A6E4-3F2FEE0B9BDF}">
  <dimension ref="A1:AJ168"/>
  <sheetViews>
    <sheetView zoomScale="80" zoomScaleNormal="80" workbookViewId="0">
      <selection activeCell="R14" sqref="R14"/>
    </sheetView>
  </sheetViews>
  <sheetFormatPr baseColWidth="10" defaultRowHeight="14.4" x14ac:dyDescent="0.3"/>
  <cols>
    <col min="1" max="1" width="11.5546875" style="211" customWidth="1"/>
    <col min="2" max="3" width="11.5546875" style="2"/>
    <col min="6" max="6" width="11.5546875" style="159"/>
    <col min="7" max="7" width="21.6640625" customWidth="1"/>
    <col min="15" max="15" width="13.6640625" customWidth="1"/>
    <col min="16" max="16" width="12.33203125" customWidth="1"/>
    <col min="22" max="22" width="13.44140625" customWidth="1"/>
    <col min="23" max="24" width="11.88671875" customWidth="1"/>
    <col min="29" max="29" width="12.33203125" style="1" customWidth="1"/>
    <col min="31" max="31" width="11.5546875" style="89"/>
    <col min="36" max="36" width="11.5546875" style="2"/>
  </cols>
  <sheetData>
    <row r="1" spans="1:36" x14ac:dyDescent="0.3">
      <c r="A1" s="212" t="s">
        <v>1067</v>
      </c>
      <c r="B1" s="154" t="s">
        <v>1066</v>
      </c>
      <c r="C1" s="154" t="s">
        <v>1063</v>
      </c>
      <c r="D1" t="s">
        <v>218</v>
      </c>
      <c r="E1" s="92" t="s">
        <v>437</v>
      </c>
      <c r="F1" s="156" t="s">
        <v>3</v>
      </c>
      <c r="G1" s="92" t="s">
        <v>41</v>
      </c>
      <c r="H1" s="92" t="s">
        <v>506</v>
      </c>
      <c r="I1" s="92" t="s">
        <v>507</v>
      </c>
      <c r="J1" s="92" t="s">
        <v>508</v>
      </c>
      <c r="K1" s="92" t="s">
        <v>144</v>
      </c>
      <c r="L1" s="92" t="s">
        <v>473</v>
      </c>
      <c r="M1" s="92" t="s">
        <v>474</v>
      </c>
      <c r="N1" s="92" t="s">
        <v>1</v>
      </c>
      <c r="O1" s="92" t="s">
        <v>42</v>
      </c>
      <c r="P1" s="92" t="s">
        <v>472</v>
      </c>
      <c r="Q1" s="92" t="s">
        <v>471</v>
      </c>
      <c r="R1" s="92" t="s">
        <v>470</v>
      </c>
      <c r="S1" s="92" t="s">
        <v>457</v>
      </c>
      <c r="T1" s="92" t="s">
        <v>458</v>
      </c>
      <c r="U1" s="92" t="s">
        <v>43</v>
      </c>
      <c r="V1" s="92" t="s">
        <v>44</v>
      </c>
      <c r="W1" s="92" t="s">
        <v>504</v>
      </c>
      <c r="X1" s="92" t="s">
        <v>505</v>
      </c>
      <c r="Y1" s="92" t="s">
        <v>45</v>
      </c>
      <c r="Z1" s="92" t="s">
        <v>46</v>
      </c>
      <c r="AA1" s="92" t="s">
        <v>469</v>
      </c>
      <c r="AB1" s="92" t="s">
        <v>47</v>
      </c>
      <c r="AC1" s="93" t="s">
        <v>468</v>
      </c>
      <c r="AD1" s="92" t="s">
        <v>467</v>
      </c>
      <c r="AE1" s="155" t="s">
        <v>466</v>
      </c>
      <c r="AF1" s="92" t="s">
        <v>502</v>
      </c>
      <c r="AG1" s="92" t="s">
        <v>465</v>
      </c>
      <c r="AH1" s="92" t="s">
        <v>501</v>
      </c>
      <c r="AI1" s="92" t="s">
        <v>503</v>
      </c>
      <c r="AJ1" s="154" t="s">
        <v>500</v>
      </c>
    </row>
    <row r="2" spans="1:36" x14ac:dyDescent="0.3">
      <c r="A2" s="211">
        <v>1</v>
      </c>
      <c r="B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2" s="2" t="str">
        <f t="shared" ref="C2:C33" si="0">LEFT(E2,LEN(E2)-2)</f>
        <v>E1I1</v>
      </c>
      <c r="D2" t="str">
        <f t="shared" ref="D2:D33" si="1">LEFT(E2,LEN(E2)-4)</f>
        <v>E1</v>
      </c>
      <c r="E2" s="87" t="s">
        <v>1040</v>
      </c>
      <c r="F2" s="157">
        <v>3</v>
      </c>
      <c r="G2" s="87" t="s">
        <v>308</v>
      </c>
      <c r="H2" s="87"/>
      <c r="I2" s="87"/>
      <c r="J2" s="87"/>
      <c r="K2" s="87" t="s">
        <v>292</v>
      </c>
      <c r="L2" s="87" t="s">
        <v>7</v>
      </c>
      <c r="M2" s="87"/>
      <c r="N2" s="87">
        <v>12</v>
      </c>
      <c r="O2" s="87" t="s">
        <v>7</v>
      </c>
      <c r="P2" s="87">
        <v>90</v>
      </c>
      <c r="Q2" s="87">
        <v>90</v>
      </c>
      <c r="R2" s="94">
        <f t="shared" ref="R2:R33" si="2">(100-(P2*100/Q2))/100</f>
        <v>0</v>
      </c>
      <c r="S2" s="89"/>
      <c r="T2" s="89"/>
      <c r="U2" s="87" t="s">
        <v>24</v>
      </c>
      <c r="V2" s="87" t="s">
        <v>460</v>
      </c>
      <c r="W2" s="87"/>
      <c r="X2" s="87"/>
      <c r="Y2" s="87">
        <v>2</v>
      </c>
      <c r="Z2" s="87">
        <v>1</v>
      </c>
      <c r="AA2" s="88">
        <f t="shared" ref="AA2:AA33" si="3">(F2*10000)/(Y2*Z2)/F2</f>
        <v>5000</v>
      </c>
      <c r="AB2" s="87" t="s">
        <v>7</v>
      </c>
      <c r="AC2" s="87" t="s">
        <v>7</v>
      </c>
      <c r="AD2" s="87" t="s">
        <v>7</v>
      </c>
      <c r="AE2" s="87" t="s">
        <v>7</v>
      </c>
      <c r="AF2" s="87" t="str">
        <f t="shared" ref="AF2:AF33" si="4">IF(AE2="NA","NA",AE2-AD2)</f>
        <v>NA</v>
      </c>
      <c r="AG2" s="87">
        <f t="shared" ref="AG2:AG33" si="5">IF(OR(V2="CDR",V2="GS"),0.3*(Y2/2),IF(V2="TRP",0.3*(Y2/2),IF(V2="GOB",0.45,IF(V2="non",0.55,"NA"))))</f>
        <v>0.3</v>
      </c>
      <c r="AH2" s="87">
        <f t="shared" ref="AH2:AH33" si="6">IF(AG2&gt;0.4,AG2-(0.1*AG2*(AG2-0.4)/0.05),AG2)</f>
        <v>0.3</v>
      </c>
      <c r="AI2" s="153">
        <f t="shared" ref="AI2:AI33" si="7">R2/5</f>
        <v>0</v>
      </c>
      <c r="AJ2" s="2" t="str">
        <f t="shared" ref="AJ2:AJ33" si="8">IF(AF2="NA","NA",(2*AF2+AH2)*(1-AI2)/Y2)</f>
        <v>NA</v>
      </c>
    </row>
    <row r="3" spans="1:36" x14ac:dyDescent="0.3">
      <c r="A3" s="211">
        <v>1</v>
      </c>
      <c r="B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3" s="2" t="str">
        <f t="shared" si="0"/>
        <v>E1I1</v>
      </c>
      <c r="D3" t="str">
        <f t="shared" si="1"/>
        <v>E1</v>
      </c>
      <c r="E3" s="87" t="s">
        <v>1041</v>
      </c>
      <c r="F3" s="157">
        <v>3</v>
      </c>
      <c r="G3" s="87" t="s">
        <v>306</v>
      </c>
      <c r="H3" s="87"/>
      <c r="I3" s="87"/>
      <c r="J3" s="87"/>
      <c r="K3" s="87" t="s">
        <v>292</v>
      </c>
      <c r="L3" s="87" t="s">
        <v>7</v>
      </c>
      <c r="M3" s="87"/>
      <c r="N3" s="87">
        <v>12</v>
      </c>
      <c r="O3" s="87" t="s">
        <v>7</v>
      </c>
      <c r="P3" s="87">
        <v>90</v>
      </c>
      <c r="Q3" s="87">
        <v>90</v>
      </c>
      <c r="R3" s="94">
        <f t="shared" si="2"/>
        <v>0</v>
      </c>
      <c r="S3" s="89"/>
      <c r="T3" s="89"/>
      <c r="U3" s="87" t="s">
        <v>24</v>
      </c>
      <c r="V3" s="87" t="s">
        <v>460</v>
      </c>
      <c r="W3" s="87"/>
      <c r="X3" s="87"/>
      <c r="Y3" s="87">
        <v>2</v>
      </c>
      <c r="Z3" s="87">
        <v>1</v>
      </c>
      <c r="AA3" s="88">
        <f t="shared" si="3"/>
        <v>5000</v>
      </c>
      <c r="AB3" s="87" t="s">
        <v>7</v>
      </c>
      <c r="AC3" s="87" t="s">
        <v>7</v>
      </c>
      <c r="AD3" s="87" t="s">
        <v>7</v>
      </c>
      <c r="AE3" s="87" t="s">
        <v>7</v>
      </c>
      <c r="AF3" s="87" t="str">
        <f t="shared" si="4"/>
        <v>NA</v>
      </c>
      <c r="AG3" s="87">
        <f t="shared" si="5"/>
        <v>0.3</v>
      </c>
      <c r="AH3" s="87">
        <f t="shared" si="6"/>
        <v>0.3</v>
      </c>
      <c r="AI3" s="153">
        <f t="shared" si="7"/>
        <v>0</v>
      </c>
      <c r="AJ3" s="2" t="str">
        <f t="shared" si="8"/>
        <v>NA</v>
      </c>
    </row>
    <row r="4" spans="1:36" x14ac:dyDescent="0.3">
      <c r="A4" s="211">
        <v>1</v>
      </c>
      <c r="B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4" s="2" t="str">
        <f t="shared" si="0"/>
        <v>E1I1</v>
      </c>
      <c r="D4" t="str">
        <f t="shared" si="1"/>
        <v>E1</v>
      </c>
      <c r="E4" s="87" t="s">
        <v>1042</v>
      </c>
      <c r="F4" s="157">
        <v>3</v>
      </c>
      <c r="G4" s="87" t="s">
        <v>442</v>
      </c>
      <c r="H4" s="87"/>
      <c r="I4" s="87"/>
      <c r="J4" s="87"/>
      <c r="K4" s="87" t="s">
        <v>292</v>
      </c>
      <c r="L4" s="87" t="s">
        <v>7</v>
      </c>
      <c r="M4" s="87"/>
      <c r="N4" s="87">
        <v>12</v>
      </c>
      <c r="O4" s="87" t="s">
        <v>7</v>
      </c>
      <c r="P4" s="87">
        <v>90</v>
      </c>
      <c r="Q4" s="87">
        <v>90</v>
      </c>
      <c r="R4" s="94">
        <f t="shared" si="2"/>
        <v>0</v>
      </c>
      <c r="S4" s="89"/>
      <c r="T4" s="89"/>
      <c r="U4" s="87" t="s">
        <v>24</v>
      </c>
      <c r="V4" s="87" t="s">
        <v>460</v>
      </c>
      <c r="W4" s="87"/>
      <c r="X4" s="87"/>
      <c r="Y4" s="87">
        <v>2</v>
      </c>
      <c r="Z4" s="87">
        <v>1</v>
      </c>
      <c r="AA4" s="88">
        <f t="shared" si="3"/>
        <v>5000</v>
      </c>
      <c r="AB4" s="87" t="s">
        <v>7</v>
      </c>
      <c r="AC4" s="87" t="s">
        <v>7</v>
      </c>
      <c r="AD4" s="87" t="s">
        <v>7</v>
      </c>
      <c r="AE4" s="87" t="s">
        <v>7</v>
      </c>
      <c r="AF4" s="87" t="str">
        <f t="shared" si="4"/>
        <v>NA</v>
      </c>
      <c r="AG4" s="87">
        <f t="shared" si="5"/>
        <v>0.3</v>
      </c>
      <c r="AH4" s="87">
        <f t="shared" si="6"/>
        <v>0.3</v>
      </c>
      <c r="AI4" s="153">
        <f t="shared" si="7"/>
        <v>0</v>
      </c>
      <c r="AJ4" s="2" t="str">
        <f t="shared" si="8"/>
        <v>NA</v>
      </c>
    </row>
    <row r="5" spans="1:36" x14ac:dyDescent="0.3">
      <c r="A5" s="211">
        <v>1</v>
      </c>
      <c r="B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5" s="2" t="str">
        <f t="shared" si="0"/>
        <v>E1I1</v>
      </c>
      <c r="D5" t="str">
        <f t="shared" si="1"/>
        <v>E1</v>
      </c>
      <c r="E5" s="87" t="s">
        <v>1043</v>
      </c>
      <c r="F5" s="157">
        <v>3</v>
      </c>
      <c r="G5" s="87" t="s">
        <v>438</v>
      </c>
      <c r="H5" s="87"/>
      <c r="I5" s="87"/>
      <c r="J5" s="87"/>
      <c r="K5" s="87" t="s">
        <v>292</v>
      </c>
      <c r="L5" s="87" t="s">
        <v>7</v>
      </c>
      <c r="M5" s="87"/>
      <c r="N5" s="87">
        <v>12</v>
      </c>
      <c r="O5" s="87" t="s">
        <v>7</v>
      </c>
      <c r="P5" s="87">
        <v>90</v>
      </c>
      <c r="Q5" s="87">
        <v>90</v>
      </c>
      <c r="R5" s="94">
        <f t="shared" si="2"/>
        <v>0</v>
      </c>
      <c r="S5" s="89"/>
      <c r="T5" s="89"/>
      <c r="U5" s="87" t="s">
        <v>24</v>
      </c>
      <c r="V5" s="87" t="s">
        <v>460</v>
      </c>
      <c r="W5" s="87"/>
      <c r="X5" s="87"/>
      <c r="Y5" s="87">
        <v>2</v>
      </c>
      <c r="Z5" s="87">
        <v>1</v>
      </c>
      <c r="AA5" s="88">
        <f t="shared" si="3"/>
        <v>5000</v>
      </c>
      <c r="AB5" s="87" t="s">
        <v>7</v>
      </c>
      <c r="AC5" s="87" t="s">
        <v>7</v>
      </c>
      <c r="AD5" s="87" t="s">
        <v>7</v>
      </c>
      <c r="AE5" s="87" t="s">
        <v>7</v>
      </c>
      <c r="AF5" s="87" t="str">
        <f t="shared" si="4"/>
        <v>NA</v>
      </c>
      <c r="AG5" s="87">
        <f t="shared" si="5"/>
        <v>0.3</v>
      </c>
      <c r="AH5" s="87">
        <f t="shared" si="6"/>
        <v>0.3</v>
      </c>
      <c r="AI5" s="153">
        <f t="shared" si="7"/>
        <v>0</v>
      </c>
      <c r="AJ5" s="2" t="str">
        <f t="shared" si="8"/>
        <v>NA</v>
      </c>
    </row>
    <row r="6" spans="1:36" x14ac:dyDescent="0.3">
      <c r="A6" s="211">
        <v>1</v>
      </c>
      <c r="B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6" s="2" t="str">
        <f t="shared" si="0"/>
        <v>E1I1</v>
      </c>
      <c r="D6" t="str">
        <f t="shared" si="1"/>
        <v>E1</v>
      </c>
      <c r="E6" s="87" t="s">
        <v>1044</v>
      </c>
      <c r="F6" s="157">
        <v>1.33</v>
      </c>
      <c r="G6" s="87" t="s">
        <v>1049</v>
      </c>
      <c r="H6" s="87"/>
      <c r="I6" s="87"/>
      <c r="J6" s="87"/>
      <c r="K6" s="87" t="s">
        <v>319</v>
      </c>
      <c r="L6" s="87" t="s">
        <v>7</v>
      </c>
      <c r="M6" s="87"/>
      <c r="N6" s="87">
        <v>7</v>
      </c>
      <c r="O6" s="87" t="s">
        <v>7</v>
      </c>
      <c r="P6" s="87">
        <v>50</v>
      </c>
      <c r="Q6" s="87">
        <v>90</v>
      </c>
      <c r="R6" s="94">
        <f t="shared" si="2"/>
        <v>0.44444444444444442</v>
      </c>
      <c r="S6" s="89"/>
      <c r="T6" s="89"/>
      <c r="U6" s="87" t="s">
        <v>24</v>
      </c>
      <c r="V6" s="87" t="s">
        <v>461</v>
      </c>
      <c r="W6" s="87"/>
      <c r="X6" s="87"/>
      <c r="Y6" s="87">
        <v>2</v>
      </c>
      <c r="Z6" s="87">
        <v>1</v>
      </c>
      <c r="AA6" s="88">
        <f t="shared" si="3"/>
        <v>5000</v>
      </c>
      <c r="AB6" s="87" t="s">
        <v>7</v>
      </c>
      <c r="AC6" s="87" t="s">
        <v>7</v>
      </c>
      <c r="AD6" s="87" t="s">
        <v>7</v>
      </c>
      <c r="AE6" s="87" t="s">
        <v>7</v>
      </c>
      <c r="AF6" s="87" t="str">
        <f t="shared" si="4"/>
        <v>NA</v>
      </c>
      <c r="AG6" s="87">
        <f t="shared" si="5"/>
        <v>0.45</v>
      </c>
      <c r="AH6" s="87">
        <f t="shared" si="6"/>
        <v>0.40500000000000003</v>
      </c>
      <c r="AI6" s="153">
        <f t="shared" si="7"/>
        <v>8.8888888888888878E-2</v>
      </c>
      <c r="AJ6" s="2" t="str">
        <f t="shared" si="8"/>
        <v>NA</v>
      </c>
    </row>
    <row r="7" spans="1:36" x14ac:dyDescent="0.3">
      <c r="A7" s="211">
        <v>1</v>
      </c>
      <c r="B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7" s="2" t="str">
        <f t="shared" si="0"/>
        <v>E1I1</v>
      </c>
      <c r="D7" t="str">
        <f t="shared" si="1"/>
        <v>E1</v>
      </c>
      <c r="E7" s="87" t="s">
        <v>1045</v>
      </c>
      <c r="F7" s="157">
        <v>1.33</v>
      </c>
      <c r="G7" s="87" t="s">
        <v>344</v>
      </c>
      <c r="H7" s="87"/>
      <c r="I7" s="87"/>
      <c r="J7" s="87"/>
      <c r="K7" s="87" t="s">
        <v>319</v>
      </c>
      <c r="L7" s="87" t="s">
        <v>7</v>
      </c>
      <c r="M7" s="87"/>
      <c r="N7" s="87">
        <v>7</v>
      </c>
      <c r="O7" s="87" t="s">
        <v>7</v>
      </c>
      <c r="P7" s="87">
        <v>50</v>
      </c>
      <c r="Q7" s="87">
        <v>90</v>
      </c>
      <c r="R7" s="94">
        <f t="shared" si="2"/>
        <v>0.44444444444444442</v>
      </c>
      <c r="S7" s="89"/>
      <c r="T7" s="89"/>
      <c r="U7" s="87" t="s">
        <v>24</v>
      </c>
      <c r="V7" s="87" t="s">
        <v>461</v>
      </c>
      <c r="W7" s="87"/>
      <c r="X7" s="87"/>
      <c r="Y7" s="87">
        <v>2</v>
      </c>
      <c r="Z7" s="87">
        <v>1</v>
      </c>
      <c r="AA7" s="88">
        <f t="shared" si="3"/>
        <v>5000</v>
      </c>
      <c r="AB7" s="87" t="s">
        <v>7</v>
      </c>
      <c r="AC7" s="87" t="s">
        <v>7</v>
      </c>
      <c r="AD7" s="87" t="s">
        <v>7</v>
      </c>
      <c r="AE7" s="87" t="s">
        <v>7</v>
      </c>
      <c r="AF7" s="87" t="str">
        <f t="shared" si="4"/>
        <v>NA</v>
      </c>
      <c r="AG7" s="87">
        <f t="shared" si="5"/>
        <v>0.45</v>
      </c>
      <c r="AH7" s="87">
        <f t="shared" si="6"/>
        <v>0.40500000000000003</v>
      </c>
      <c r="AI7" s="153">
        <f t="shared" si="7"/>
        <v>8.8888888888888878E-2</v>
      </c>
      <c r="AJ7" s="2" t="str">
        <f t="shared" si="8"/>
        <v>NA</v>
      </c>
    </row>
    <row r="8" spans="1:36" x14ac:dyDescent="0.3">
      <c r="A8" s="211">
        <v>1</v>
      </c>
      <c r="B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8" s="2" t="str">
        <f t="shared" si="0"/>
        <v>E1I1</v>
      </c>
      <c r="D8" t="str">
        <f t="shared" si="1"/>
        <v>E1</v>
      </c>
      <c r="E8" s="87" t="s">
        <v>1046</v>
      </c>
      <c r="F8" s="157">
        <v>1.33</v>
      </c>
      <c r="G8" s="87" t="s">
        <v>443</v>
      </c>
      <c r="H8" s="87"/>
      <c r="I8" s="87"/>
      <c r="J8" s="87"/>
      <c r="K8" s="87" t="s">
        <v>319</v>
      </c>
      <c r="L8" s="87" t="s">
        <v>7</v>
      </c>
      <c r="M8" s="87"/>
      <c r="N8" s="87">
        <v>7</v>
      </c>
      <c r="O8" s="87" t="s">
        <v>7</v>
      </c>
      <c r="P8" s="87">
        <v>50</v>
      </c>
      <c r="Q8" s="87">
        <v>90</v>
      </c>
      <c r="R8" s="94">
        <f t="shared" si="2"/>
        <v>0.44444444444444442</v>
      </c>
      <c r="S8" s="89"/>
      <c r="T8" s="89"/>
      <c r="U8" s="87" t="s">
        <v>24</v>
      </c>
      <c r="V8" s="87" t="s">
        <v>461</v>
      </c>
      <c r="W8" s="87"/>
      <c r="X8" s="87"/>
      <c r="Y8" s="87">
        <v>2</v>
      </c>
      <c r="Z8" s="87">
        <v>1</v>
      </c>
      <c r="AA8" s="88">
        <f t="shared" si="3"/>
        <v>5000</v>
      </c>
      <c r="AB8" s="87" t="s">
        <v>7</v>
      </c>
      <c r="AC8" s="87" t="s">
        <v>7</v>
      </c>
      <c r="AD8" s="87" t="s">
        <v>7</v>
      </c>
      <c r="AE8" s="87" t="s">
        <v>7</v>
      </c>
      <c r="AF8" s="87" t="str">
        <f t="shared" si="4"/>
        <v>NA</v>
      </c>
      <c r="AG8" s="87">
        <f t="shared" si="5"/>
        <v>0.45</v>
      </c>
      <c r="AH8" s="87">
        <f t="shared" si="6"/>
        <v>0.40500000000000003</v>
      </c>
      <c r="AI8" s="153">
        <f t="shared" si="7"/>
        <v>8.8888888888888878E-2</v>
      </c>
      <c r="AJ8" s="2" t="str">
        <f t="shared" si="8"/>
        <v>NA</v>
      </c>
    </row>
    <row r="9" spans="1:36" x14ac:dyDescent="0.3">
      <c r="A9" s="211">
        <v>1</v>
      </c>
      <c r="B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9" s="2" t="str">
        <f t="shared" si="0"/>
        <v>E1I1</v>
      </c>
      <c r="D9" t="str">
        <f t="shared" si="1"/>
        <v>E1</v>
      </c>
      <c r="E9" s="87" t="s">
        <v>1047</v>
      </c>
      <c r="F9" s="157">
        <v>1.33</v>
      </c>
      <c r="G9" s="87" t="s">
        <v>414</v>
      </c>
      <c r="H9" s="87"/>
      <c r="I9" s="87"/>
      <c r="J9" s="87"/>
      <c r="K9" s="87" t="s">
        <v>319</v>
      </c>
      <c r="L9" s="87" t="s">
        <v>7</v>
      </c>
      <c r="M9" s="87"/>
      <c r="N9" s="87">
        <v>7</v>
      </c>
      <c r="O9" s="87" t="s">
        <v>7</v>
      </c>
      <c r="P9" s="87">
        <v>50</v>
      </c>
      <c r="Q9" s="87">
        <v>90</v>
      </c>
      <c r="R9" s="94">
        <f t="shared" si="2"/>
        <v>0.44444444444444442</v>
      </c>
      <c r="S9" s="89"/>
      <c r="T9" s="89"/>
      <c r="U9" s="87" t="s">
        <v>24</v>
      </c>
      <c r="V9" s="87" t="s">
        <v>461</v>
      </c>
      <c r="W9" s="87"/>
      <c r="X9" s="87"/>
      <c r="Y9" s="87">
        <v>2</v>
      </c>
      <c r="Z9" s="87">
        <v>1</v>
      </c>
      <c r="AA9" s="88">
        <f t="shared" si="3"/>
        <v>5000</v>
      </c>
      <c r="AB9" s="87" t="s">
        <v>7</v>
      </c>
      <c r="AC9" s="87" t="s">
        <v>7</v>
      </c>
      <c r="AD9" s="87" t="s">
        <v>7</v>
      </c>
      <c r="AE9" s="87" t="s">
        <v>7</v>
      </c>
      <c r="AF9" s="87" t="str">
        <f t="shared" si="4"/>
        <v>NA</v>
      </c>
      <c r="AG9" s="87">
        <f t="shared" si="5"/>
        <v>0.45</v>
      </c>
      <c r="AH9" s="87">
        <f t="shared" si="6"/>
        <v>0.40500000000000003</v>
      </c>
      <c r="AI9" s="153">
        <f t="shared" si="7"/>
        <v>8.8888888888888878E-2</v>
      </c>
      <c r="AJ9" s="2" t="str">
        <f t="shared" si="8"/>
        <v>NA</v>
      </c>
    </row>
    <row r="10" spans="1:36" x14ac:dyDescent="0.3">
      <c r="A10" s="211">
        <v>1</v>
      </c>
      <c r="B1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0" s="2" t="str">
        <f t="shared" si="0"/>
        <v>E1I1</v>
      </c>
      <c r="D10" t="str">
        <f t="shared" si="1"/>
        <v>E1</v>
      </c>
      <c r="E10" s="87" t="s">
        <v>1048</v>
      </c>
      <c r="F10" s="157">
        <v>1.33</v>
      </c>
      <c r="G10" s="87" t="s">
        <v>297</v>
      </c>
      <c r="H10" s="87"/>
      <c r="I10" s="87"/>
      <c r="J10" s="87"/>
      <c r="K10" s="87" t="s">
        <v>319</v>
      </c>
      <c r="L10" s="87" t="s">
        <v>7</v>
      </c>
      <c r="M10" s="87"/>
      <c r="N10" s="87">
        <v>7</v>
      </c>
      <c r="O10" s="87" t="s">
        <v>7</v>
      </c>
      <c r="P10" s="87">
        <v>50</v>
      </c>
      <c r="Q10" s="87">
        <v>90</v>
      </c>
      <c r="R10" s="94">
        <f t="shared" si="2"/>
        <v>0.44444444444444442</v>
      </c>
      <c r="S10" s="89"/>
      <c r="T10" s="89"/>
      <c r="U10" s="87" t="s">
        <v>24</v>
      </c>
      <c r="V10" s="87" t="s">
        <v>461</v>
      </c>
      <c r="W10" s="87"/>
      <c r="X10" s="87"/>
      <c r="Y10" s="87">
        <v>2</v>
      </c>
      <c r="Z10" s="87">
        <v>1</v>
      </c>
      <c r="AA10" s="88">
        <f t="shared" si="3"/>
        <v>5000</v>
      </c>
      <c r="AB10" s="87" t="s">
        <v>7</v>
      </c>
      <c r="AC10" s="87" t="s">
        <v>7</v>
      </c>
      <c r="AD10" s="87" t="s">
        <v>7</v>
      </c>
      <c r="AE10" s="87" t="s">
        <v>7</v>
      </c>
      <c r="AF10" s="87" t="str">
        <f t="shared" si="4"/>
        <v>NA</v>
      </c>
      <c r="AG10" s="87">
        <f t="shared" si="5"/>
        <v>0.45</v>
      </c>
      <c r="AH10" s="87">
        <f t="shared" si="6"/>
        <v>0.40500000000000003</v>
      </c>
      <c r="AI10" s="153">
        <f t="shared" si="7"/>
        <v>8.8888888888888878E-2</v>
      </c>
      <c r="AJ10" s="2" t="str">
        <f t="shared" si="8"/>
        <v>NA</v>
      </c>
    </row>
    <row r="11" spans="1:36" x14ac:dyDescent="0.3">
      <c r="A11" s="211">
        <v>1</v>
      </c>
      <c r="B1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1" s="2" t="str">
        <f t="shared" si="0"/>
        <v>E1I1</v>
      </c>
      <c r="D11" t="str">
        <f t="shared" si="1"/>
        <v>E1</v>
      </c>
      <c r="E11" s="87" t="s">
        <v>1065</v>
      </c>
      <c r="F11" s="157">
        <v>1.33</v>
      </c>
      <c r="G11" s="87" t="s">
        <v>357</v>
      </c>
      <c r="H11" s="87"/>
      <c r="I11" s="87"/>
      <c r="J11" s="87"/>
      <c r="K11" s="87" t="s">
        <v>319</v>
      </c>
      <c r="L11" s="87" t="s">
        <v>7</v>
      </c>
      <c r="M11" s="87"/>
      <c r="N11" s="87">
        <v>7</v>
      </c>
      <c r="O11" s="87" t="s">
        <v>7</v>
      </c>
      <c r="P11" s="87">
        <v>50</v>
      </c>
      <c r="Q11" s="87">
        <v>90</v>
      </c>
      <c r="R11" s="94">
        <f t="shared" si="2"/>
        <v>0.44444444444444442</v>
      </c>
      <c r="S11" s="89"/>
      <c r="T11" s="89"/>
      <c r="U11" s="87" t="s">
        <v>24</v>
      </c>
      <c r="V11" s="87" t="s">
        <v>461</v>
      </c>
      <c r="W11" s="87"/>
      <c r="X11" s="87"/>
      <c r="Y11" s="87">
        <v>2</v>
      </c>
      <c r="Z11" s="87">
        <v>1</v>
      </c>
      <c r="AA11" s="88">
        <f t="shared" si="3"/>
        <v>5000</v>
      </c>
      <c r="AB11" s="87" t="s">
        <v>7</v>
      </c>
      <c r="AC11" s="87" t="s">
        <v>7</v>
      </c>
      <c r="AD11" s="87" t="s">
        <v>7</v>
      </c>
      <c r="AE11" s="87" t="s">
        <v>7</v>
      </c>
      <c r="AF11" s="87" t="str">
        <f t="shared" si="4"/>
        <v>NA</v>
      </c>
      <c r="AG11" s="87">
        <f t="shared" si="5"/>
        <v>0.45</v>
      </c>
      <c r="AH11" s="87">
        <f t="shared" si="6"/>
        <v>0.40500000000000003</v>
      </c>
      <c r="AI11" s="153">
        <f t="shared" si="7"/>
        <v>8.8888888888888878E-2</v>
      </c>
      <c r="AJ11" s="2" t="str">
        <f t="shared" si="8"/>
        <v>NA</v>
      </c>
    </row>
    <row r="12" spans="1:36" x14ac:dyDescent="0.3">
      <c r="A12" s="211">
        <v>2</v>
      </c>
      <c r="B1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2" s="2" t="str">
        <f t="shared" si="0"/>
        <v>E2I1</v>
      </c>
      <c r="D12" t="str">
        <f t="shared" si="1"/>
        <v>E2</v>
      </c>
      <c r="E12" s="87" t="s">
        <v>1050</v>
      </c>
      <c r="F12" s="157">
        <v>1.85</v>
      </c>
      <c r="G12" s="87" t="s">
        <v>308</v>
      </c>
      <c r="H12" s="87"/>
      <c r="I12" s="87"/>
      <c r="J12" s="87"/>
      <c r="K12" s="87" t="s">
        <v>292</v>
      </c>
      <c r="L12" s="87" t="s">
        <v>7</v>
      </c>
      <c r="M12" s="87"/>
      <c r="N12" s="87">
        <v>10</v>
      </c>
      <c r="O12" s="87" t="s">
        <v>7</v>
      </c>
      <c r="P12" s="87">
        <v>105</v>
      </c>
      <c r="Q12" s="87">
        <v>105</v>
      </c>
      <c r="R12" s="94">
        <f t="shared" si="2"/>
        <v>0</v>
      </c>
      <c r="S12" s="89"/>
      <c r="T12" s="89"/>
      <c r="U12" s="87" t="s">
        <v>24</v>
      </c>
      <c r="V12" s="87" t="s">
        <v>460</v>
      </c>
      <c r="W12" s="87"/>
      <c r="X12" s="87"/>
      <c r="Y12" s="87">
        <v>2</v>
      </c>
      <c r="Z12" s="87">
        <v>1</v>
      </c>
      <c r="AA12" s="88">
        <f t="shared" si="3"/>
        <v>5000</v>
      </c>
      <c r="AB12" s="87" t="s">
        <v>7</v>
      </c>
      <c r="AC12" s="87" t="s">
        <v>7</v>
      </c>
      <c r="AD12" s="87" t="s">
        <v>7</v>
      </c>
      <c r="AE12" s="87" t="s">
        <v>7</v>
      </c>
      <c r="AF12" s="87" t="str">
        <f t="shared" si="4"/>
        <v>NA</v>
      </c>
      <c r="AG12" s="87">
        <f t="shared" si="5"/>
        <v>0.3</v>
      </c>
      <c r="AH12" s="87">
        <f t="shared" si="6"/>
        <v>0.3</v>
      </c>
      <c r="AI12" s="153">
        <f t="shared" si="7"/>
        <v>0</v>
      </c>
      <c r="AJ12" s="2" t="str">
        <f t="shared" si="8"/>
        <v>NA</v>
      </c>
    </row>
    <row r="13" spans="1:36" x14ac:dyDescent="0.3">
      <c r="A13" s="211">
        <v>2</v>
      </c>
      <c r="B1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3" s="2" t="str">
        <f t="shared" si="0"/>
        <v>E2I1</v>
      </c>
      <c r="D13" t="str">
        <f t="shared" si="1"/>
        <v>E2</v>
      </c>
      <c r="E13" s="87" t="s">
        <v>1051</v>
      </c>
      <c r="F13" s="157">
        <v>1.85</v>
      </c>
      <c r="G13" s="87" t="s">
        <v>291</v>
      </c>
      <c r="H13" s="87"/>
      <c r="I13" s="87"/>
      <c r="J13" s="87"/>
      <c r="K13" s="87" t="s">
        <v>292</v>
      </c>
      <c r="L13" s="87" t="s">
        <v>7</v>
      </c>
      <c r="M13" s="87"/>
      <c r="N13" s="87">
        <v>10</v>
      </c>
      <c r="O13" s="87" t="s">
        <v>7</v>
      </c>
      <c r="P13" s="87">
        <v>105</v>
      </c>
      <c r="Q13" s="87">
        <v>105</v>
      </c>
      <c r="R13" s="94">
        <f t="shared" si="2"/>
        <v>0</v>
      </c>
      <c r="S13" s="89"/>
      <c r="T13" s="89"/>
      <c r="U13" s="87" t="s">
        <v>24</v>
      </c>
      <c r="V13" s="87" t="s">
        <v>460</v>
      </c>
      <c r="W13" s="87"/>
      <c r="X13" s="87"/>
      <c r="Y13" s="87">
        <v>2</v>
      </c>
      <c r="Z13" s="87">
        <v>1</v>
      </c>
      <c r="AA13" s="88">
        <f t="shared" si="3"/>
        <v>5000</v>
      </c>
      <c r="AB13" s="87" t="s">
        <v>7</v>
      </c>
      <c r="AC13" s="87" t="s">
        <v>7</v>
      </c>
      <c r="AD13" s="87" t="s">
        <v>7</v>
      </c>
      <c r="AE13" s="87" t="s">
        <v>7</v>
      </c>
      <c r="AF13" s="87" t="str">
        <f t="shared" si="4"/>
        <v>NA</v>
      </c>
      <c r="AG13" s="87">
        <f t="shared" si="5"/>
        <v>0.3</v>
      </c>
      <c r="AH13" s="87">
        <f t="shared" si="6"/>
        <v>0.3</v>
      </c>
      <c r="AI13" s="153">
        <f t="shared" si="7"/>
        <v>0</v>
      </c>
      <c r="AJ13" s="2" t="str">
        <f t="shared" si="8"/>
        <v>NA</v>
      </c>
    </row>
    <row r="14" spans="1:36" x14ac:dyDescent="0.3">
      <c r="A14" s="211">
        <v>2</v>
      </c>
      <c r="B1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4" s="2" t="str">
        <f t="shared" si="0"/>
        <v>E2I1</v>
      </c>
      <c r="D14" t="str">
        <f t="shared" si="1"/>
        <v>E2</v>
      </c>
      <c r="E14" s="87" t="s">
        <v>1052</v>
      </c>
      <c r="F14" s="157">
        <v>1.85</v>
      </c>
      <c r="G14" s="87" t="s">
        <v>440</v>
      </c>
      <c r="H14" s="87"/>
      <c r="I14" s="87"/>
      <c r="J14" s="87"/>
      <c r="K14" s="87" t="s">
        <v>292</v>
      </c>
      <c r="L14" s="87" t="s">
        <v>7</v>
      </c>
      <c r="M14" s="87"/>
      <c r="N14" s="87">
        <v>10</v>
      </c>
      <c r="O14" s="87" t="s">
        <v>7</v>
      </c>
      <c r="P14" s="87">
        <v>105</v>
      </c>
      <c r="Q14" s="87">
        <v>105</v>
      </c>
      <c r="R14" s="94">
        <f t="shared" si="2"/>
        <v>0</v>
      </c>
      <c r="S14" s="89"/>
      <c r="T14" s="89"/>
      <c r="U14" s="87" t="s">
        <v>24</v>
      </c>
      <c r="V14" s="87" t="s">
        <v>460</v>
      </c>
      <c r="W14" s="87"/>
      <c r="X14" s="87"/>
      <c r="Y14" s="87">
        <v>2</v>
      </c>
      <c r="Z14" s="87">
        <v>1</v>
      </c>
      <c r="AA14" s="88">
        <f t="shared" si="3"/>
        <v>5000</v>
      </c>
      <c r="AB14" s="87" t="s">
        <v>7</v>
      </c>
      <c r="AC14" s="87" t="s">
        <v>7</v>
      </c>
      <c r="AD14" s="87" t="s">
        <v>7</v>
      </c>
      <c r="AE14" s="87" t="s">
        <v>7</v>
      </c>
      <c r="AF14" s="87" t="str">
        <f t="shared" si="4"/>
        <v>NA</v>
      </c>
      <c r="AG14" s="87">
        <f t="shared" si="5"/>
        <v>0.3</v>
      </c>
      <c r="AH14" s="87">
        <f t="shared" si="6"/>
        <v>0.3</v>
      </c>
      <c r="AI14" s="153">
        <f t="shared" si="7"/>
        <v>0</v>
      </c>
      <c r="AJ14" s="2" t="str">
        <f t="shared" si="8"/>
        <v>NA</v>
      </c>
    </row>
    <row r="15" spans="1:36" x14ac:dyDescent="0.3">
      <c r="A15" s="211">
        <v>2</v>
      </c>
      <c r="B1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5" s="2" t="str">
        <f t="shared" si="0"/>
        <v>E2I1</v>
      </c>
      <c r="D15" t="str">
        <f t="shared" si="1"/>
        <v>E2</v>
      </c>
      <c r="E15" s="87" t="s">
        <v>1053</v>
      </c>
      <c r="F15" s="157">
        <v>1.85</v>
      </c>
      <c r="G15" s="87" t="s">
        <v>439</v>
      </c>
      <c r="H15" s="87"/>
      <c r="I15" s="87"/>
      <c r="J15" s="87"/>
      <c r="K15" s="87" t="s">
        <v>292</v>
      </c>
      <c r="L15" s="87" t="s">
        <v>7</v>
      </c>
      <c r="M15" s="87"/>
      <c r="N15" s="87">
        <v>10</v>
      </c>
      <c r="O15" s="87" t="s">
        <v>7</v>
      </c>
      <c r="P15" s="87">
        <v>105</v>
      </c>
      <c r="Q15" s="87">
        <v>105</v>
      </c>
      <c r="R15" s="94">
        <f t="shared" si="2"/>
        <v>0</v>
      </c>
      <c r="S15" s="89"/>
      <c r="T15" s="89"/>
      <c r="U15" s="87" t="s">
        <v>24</v>
      </c>
      <c r="V15" s="87" t="s">
        <v>460</v>
      </c>
      <c r="W15" s="87"/>
      <c r="X15" s="87"/>
      <c r="Y15" s="87">
        <v>2</v>
      </c>
      <c r="Z15" s="87">
        <v>1</v>
      </c>
      <c r="AA15" s="88">
        <f t="shared" si="3"/>
        <v>5000</v>
      </c>
      <c r="AB15" s="87" t="s">
        <v>7</v>
      </c>
      <c r="AC15" s="87" t="s">
        <v>7</v>
      </c>
      <c r="AD15" s="87" t="s">
        <v>7</v>
      </c>
      <c r="AE15" s="87" t="s">
        <v>7</v>
      </c>
      <c r="AF15" s="87" t="str">
        <f t="shared" si="4"/>
        <v>NA</v>
      </c>
      <c r="AG15" s="87">
        <f t="shared" si="5"/>
        <v>0.3</v>
      </c>
      <c r="AH15" s="87">
        <f t="shared" si="6"/>
        <v>0.3</v>
      </c>
      <c r="AI15" s="153">
        <f t="shared" si="7"/>
        <v>0</v>
      </c>
      <c r="AJ15" s="2" t="str">
        <f t="shared" si="8"/>
        <v>NA</v>
      </c>
    </row>
    <row r="16" spans="1:36" x14ac:dyDescent="0.3">
      <c r="A16" s="211">
        <v>2</v>
      </c>
      <c r="B1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6" s="2" t="str">
        <f t="shared" si="0"/>
        <v>E2I1</v>
      </c>
      <c r="D16" t="str">
        <f t="shared" si="1"/>
        <v>E2</v>
      </c>
      <c r="E16" s="87" t="s">
        <v>1054</v>
      </c>
      <c r="F16" s="157">
        <v>1.85</v>
      </c>
      <c r="G16" s="87" t="s">
        <v>306</v>
      </c>
      <c r="H16" s="87"/>
      <c r="I16" s="87"/>
      <c r="J16" s="87"/>
      <c r="K16" s="87" t="s">
        <v>292</v>
      </c>
      <c r="L16" s="87" t="s">
        <v>7</v>
      </c>
      <c r="M16" s="87"/>
      <c r="N16" s="87">
        <v>10</v>
      </c>
      <c r="O16" s="87" t="s">
        <v>7</v>
      </c>
      <c r="P16" s="87">
        <v>105</v>
      </c>
      <c r="Q16" s="87">
        <v>105</v>
      </c>
      <c r="R16" s="94">
        <f t="shared" si="2"/>
        <v>0</v>
      </c>
      <c r="S16" s="89"/>
      <c r="T16" s="89"/>
      <c r="U16" s="87" t="s">
        <v>24</v>
      </c>
      <c r="V16" s="87" t="s">
        <v>460</v>
      </c>
      <c r="W16" s="87"/>
      <c r="X16" s="87"/>
      <c r="Y16" s="87">
        <v>2</v>
      </c>
      <c r="Z16" s="87">
        <v>1</v>
      </c>
      <c r="AA16" s="88">
        <f t="shared" si="3"/>
        <v>5000</v>
      </c>
      <c r="AB16" s="87" t="s">
        <v>7</v>
      </c>
      <c r="AC16" s="87" t="s">
        <v>7</v>
      </c>
      <c r="AD16" s="87" t="s">
        <v>7</v>
      </c>
      <c r="AE16" s="87" t="s">
        <v>7</v>
      </c>
      <c r="AF16" s="87" t="str">
        <f t="shared" si="4"/>
        <v>NA</v>
      </c>
      <c r="AG16" s="87">
        <f t="shared" si="5"/>
        <v>0.3</v>
      </c>
      <c r="AH16" s="87">
        <f t="shared" si="6"/>
        <v>0.3</v>
      </c>
      <c r="AI16" s="153">
        <f t="shared" si="7"/>
        <v>0</v>
      </c>
      <c r="AJ16" s="2" t="str">
        <f t="shared" si="8"/>
        <v>NA</v>
      </c>
    </row>
    <row r="17" spans="1:36" x14ac:dyDescent="0.3">
      <c r="A17" s="211">
        <v>2</v>
      </c>
      <c r="B1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7" s="2" t="str">
        <f t="shared" si="0"/>
        <v>E2I1</v>
      </c>
      <c r="D17" t="str">
        <f t="shared" si="1"/>
        <v>E2</v>
      </c>
      <c r="E17" s="87" t="s">
        <v>1055</v>
      </c>
      <c r="F17" s="157">
        <v>1.85</v>
      </c>
      <c r="G17" s="87" t="s">
        <v>438</v>
      </c>
      <c r="H17" s="87"/>
      <c r="I17" s="87"/>
      <c r="J17" s="87"/>
      <c r="K17" s="87" t="s">
        <v>292</v>
      </c>
      <c r="L17" s="87" t="s">
        <v>7</v>
      </c>
      <c r="M17" s="87"/>
      <c r="N17" s="87">
        <v>5</v>
      </c>
      <c r="O17" s="87" t="s">
        <v>7</v>
      </c>
      <c r="P17" s="87">
        <v>105</v>
      </c>
      <c r="Q17" s="87">
        <v>105</v>
      </c>
      <c r="R17" s="94">
        <f t="shared" si="2"/>
        <v>0</v>
      </c>
      <c r="S17" s="89"/>
      <c r="T17" s="89"/>
      <c r="U17" s="87" t="s">
        <v>24</v>
      </c>
      <c r="V17" s="87" t="s">
        <v>460</v>
      </c>
      <c r="W17" s="87"/>
      <c r="X17" s="87"/>
      <c r="Y17" s="87">
        <v>2</v>
      </c>
      <c r="Z17" s="87">
        <v>1</v>
      </c>
      <c r="AA17" s="88">
        <f t="shared" si="3"/>
        <v>5000</v>
      </c>
      <c r="AB17" s="87" t="s">
        <v>7</v>
      </c>
      <c r="AC17" s="87" t="s">
        <v>7</v>
      </c>
      <c r="AD17" s="87" t="s">
        <v>7</v>
      </c>
      <c r="AE17" s="87" t="s">
        <v>7</v>
      </c>
      <c r="AF17" s="87" t="str">
        <f t="shared" si="4"/>
        <v>NA</v>
      </c>
      <c r="AG17" s="87">
        <f t="shared" si="5"/>
        <v>0.3</v>
      </c>
      <c r="AH17" s="87">
        <f t="shared" si="6"/>
        <v>0.3</v>
      </c>
      <c r="AI17" s="153">
        <f t="shared" si="7"/>
        <v>0</v>
      </c>
      <c r="AJ17" s="2" t="str">
        <f t="shared" si="8"/>
        <v>NA</v>
      </c>
    </row>
    <row r="18" spans="1:36" x14ac:dyDescent="0.3">
      <c r="A18" s="211">
        <v>2</v>
      </c>
      <c r="B1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8" s="2" t="str">
        <f t="shared" si="0"/>
        <v>E2I1</v>
      </c>
      <c r="D18" t="str">
        <f t="shared" si="1"/>
        <v>E2</v>
      </c>
      <c r="E18" s="87" t="s">
        <v>1056</v>
      </c>
      <c r="F18" s="157">
        <v>1.85</v>
      </c>
      <c r="G18" s="87" t="s">
        <v>414</v>
      </c>
      <c r="H18" s="87"/>
      <c r="I18" s="87"/>
      <c r="J18" s="87"/>
      <c r="K18" s="87" t="s">
        <v>292</v>
      </c>
      <c r="L18" s="87" t="s">
        <v>7</v>
      </c>
      <c r="M18" s="87"/>
      <c r="N18" s="87">
        <v>1</v>
      </c>
      <c r="O18" s="87" t="s">
        <v>7</v>
      </c>
      <c r="P18" s="87">
        <v>105</v>
      </c>
      <c r="Q18" s="87">
        <v>105</v>
      </c>
      <c r="R18" s="94">
        <f t="shared" si="2"/>
        <v>0</v>
      </c>
      <c r="S18" s="89"/>
      <c r="T18" s="89"/>
      <c r="U18" s="87" t="s">
        <v>24</v>
      </c>
      <c r="V18" s="87" t="s">
        <v>460</v>
      </c>
      <c r="W18" s="87"/>
      <c r="X18" s="87"/>
      <c r="Y18" s="87">
        <v>2</v>
      </c>
      <c r="Z18" s="87">
        <v>1</v>
      </c>
      <c r="AA18" s="88">
        <f t="shared" si="3"/>
        <v>5000</v>
      </c>
      <c r="AB18" s="87" t="s">
        <v>7</v>
      </c>
      <c r="AC18" s="87" t="s">
        <v>7</v>
      </c>
      <c r="AD18" s="87" t="s">
        <v>7</v>
      </c>
      <c r="AE18" s="87" t="s">
        <v>7</v>
      </c>
      <c r="AF18" s="87" t="str">
        <f t="shared" si="4"/>
        <v>NA</v>
      </c>
      <c r="AG18" s="87">
        <f t="shared" si="5"/>
        <v>0.3</v>
      </c>
      <c r="AH18" s="87">
        <f t="shared" si="6"/>
        <v>0.3</v>
      </c>
      <c r="AI18" s="153">
        <f t="shared" si="7"/>
        <v>0</v>
      </c>
      <c r="AJ18" s="2" t="str">
        <f t="shared" si="8"/>
        <v>NA</v>
      </c>
    </row>
    <row r="19" spans="1:36" x14ac:dyDescent="0.3">
      <c r="A19" s="211">
        <v>3</v>
      </c>
      <c r="B1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19" s="2" t="str">
        <f t="shared" si="0"/>
        <v>E3I1</v>
      </c>
      <c r="D19" t="str">
        <f t="shared" si="1"/>
        <v>E3</v>
      </c>
      <c r="E19" s="87" t="s">
        <v>290</v>
      </c>
      <c r="F19" s="157">
        <v>7.5</v>
      </c>
      <c r="G19" s="87" t="s">
        <v>291</v>
      </c>
      <c r="H19" s="87" t="s">
        <v>172</v>
      </c>
      <c r="I19" s="87"/>
      <c r="J19" s="87"/>
      <c r="K19" s="87" t="s">
        <v>292</v>
      </c>
      <c r="L19" s="87" t="s">
        <v>37</v>
      </c>
      <c r="M19" s="87"/>
      <c r="N19" s="87">
        <v>23</v>
      </c>
      <c r="O19" s="87" t="s">
        <v>7</v>
      </c>
      <c r="P19" s="87">
        <v>90</v>
      </c>
      <c r="Q19" s="87">
        <v>100</v>
      </c>
      <c r="R19" s="94">
        <f t="shared" si="2"/>
        <v>0.1</v>
      </c>
      <c r="S19" s="87"/>
      <c r="T19" s="87"/>
      <c r="U19" s="87" t="s">
        <v>7</v>
      </c>
      <c r="V19" s="87" t="s">
        <v>293</v>
      </c>
      <c r="W19" s="87" t="s">
        <v>7</v>
      </c>
      <c r="X19" s="87"/>
      <c r="Y19" s="87">
        <v>2.5</v>
      </c>
      <c r="Z19" s="87">
        <v>1</v>
      </c>
      <c r="AA19" s="88">
        <f t="shared" si="3"/>
        <v>4000</v>
      </c>
      <c r="AB19" s="87" t="s">
        <v>7</v>
      </c>
      <c r="AC19" s="90" t="s">
        <v>7</v>
      </c>
      <c r="AD19" s="87" t="s">
        <v>7</v>
      </c>
      <c r="AE19" s="87" t="s">
        <v>7</v>
      </c>
      <c r="AF19" s="87" t="str">
        <f t="shared" si="4"/>
        <v>NA</v>
      </c>
      <c r="AG19" s="87">
        <f t="shared" si="5"/>
        <v>0.375</v>
      </c>
      <c r="AH19" s="87">
        <f t="shared" si="6"/>
        <v>0.375</v>
      </c>
      <c r="AI19" s="153">
        <f t="shared" si="7"/>
        <v>0.02</v>
      </c>
      <c r="AJ19" s="2" t="str">
        <f t="shared" si="8"/>
        <v>NA</v>
      </c>
    </row>
    <row r="20" spans="1:36" x14ac:dyDescent="0.3">
      <c r="A20" s="211">
        <v>3</v>
      </c>
      <c r="B2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20" s="2" t="str">
        <f t="shared" si="0"/>
        <v>E3I1</v>
      </c>
      <c r="D20" t="str">
        <f t="shared" si="1"/>
        <v>E3</v>
      </c>
      <c r="E20" s="87" t="s">
        <v>294</v>
      </c>
      <c r="F20" s="157">
        <v>5</v>
      </c>
      <c r="G20" s="87" t="s">
        <v>438</v>
      </c>
      <c r="H20" s="87" t="s">
        <v>172</v>
      </c>
      <c r="I20" s="87"/>
      <c r="J20" s="87"/>
      <c r="K20" s="87" t="s">
        <v>292</v>
      </c>
      <c r="L20" s="87" t="s">
        <v>37</v>
      </c>
      <c r="M20" s="87"/>
      <c r="N20" s="87">
        <v>7</v>
      </c>
      <c r="O20" s="87" t="s">
        <v>7</v>
      </c>
      <c r="P20" s="87">
        <v>90</v>
      </c>
      <c r="Q20" s="87">
        <v>100</v>
      </c>
      <c r="R20" s="94">
        <f t="shared" si="2"/>
        <v>0.1</v>
      </c>
      <c r="S20" s="87"/>
      <c r="T20" s="87"/>
      <c r="U20" s="87" t="s">
        <v>7</v>
      </c>
      <c r="V20" s="87" t="s">
        <v>293</v>
      </c>
      <c r="W20" s="87" t="s">
        <v>7</v>
      </c>
      <c r="X20" s="87"/>
      <c r="Y20" s="87">
        <v>2.5</v>
      </c>
      <c r="Z20" s="87">
        <v>1</v>
      </c>
      <c r="AA20" s="88">
        <f t="shared" si="3"/>
        <v>4000</v>
      </c>
      <c r="AB20" s="87" t="s">
        <v>7</v>
      </c>
      <c r="AC20" s="90" t="s">
        <v>7</v>
      </c>
      <c r="AD20" s="87" t="s">
        <v>7</v>
      </c>
      <c r="AE20" s="87" t="s">
        <v>7</v>
      </c>
      <c r="AF20" s="87" t="str">
        <f t="shared" si="4"/>
        <v>NA</v>
      </c>
      <c r="AG20" s="87">
        <f t="shared" si="5"/>
        <v>0.375</v>
      </c>
      <c r="AH20" s="87">
        <f t="shared" si="6"/>
        <v>0.375</v>
      </c>
      <c r="AI20" s="153">
        <f t="shared" si="7"/>
        <v>0.02</v>
      </c>
      <c r="AJ20" s="2" t="str">
        <f t="shared" si="8"/>
        <v>NA</v>
      </c>
    </row>
    <row r="21" spans="1:36" x14ac:dyDescent="0.3">
      <c r="A21" s="211">
        <v>3</v>
      </c>
      <c r="B2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21" s="2" t="str">
        <f t="shared" si="0"/>
        <v>E3I1</v>
      </c>
      <c r="D21" t="str">
        <f t="shared" si="1"/>
        <v>E3</v>
      </c>
      <c r="E21" s="87" t="s">
        <v>295</v>
      </c>
      <c r="F21" s="157">
        <v>3</v>
      </c>
      <c r="G21" s="87" t="s">
        <v>439</v>
      </c>
      <c r="H21" s="87" t="s">
        <v>172</v>
      </c>
      <c r="I21" s="87"/>
      <c r="J21" s="87"/>
      <c r="K21" s="87" t="s">
        <v>292</v>
      </c>
      <c r="L21" s="87" t="s">
        <v>37</v>
      </c>
      <c r="M21" s="87"/>
      <c r="N21" s="87">
        <v>7</v>
      </c>
      <c r="O21" s="87" t="s">
        <v>7</v>
      </c>
      <c r="P21" s="87">
        <v>90</v>
      </c>
      <c r="Q21" s="87">
        <v>100</v>
      </c>
      <c r="R21" s="94">
        <f t="shared" si="2"/>
        <v>0.1</v>
      </c>
      <c r="S21" s="87"/>
      <c r="T21" s="87"/>
      <c r="U21" s="87" t="s">
        <v>7</v>
      </c>
      <c r="V21" s="87" t="s">
        <v>293</v>
      </c>
      <c r="W21" s="87" t="s">
        <v>7</v>
      </c>
      <c r="X21" s="87"/>
      <c r="Y21" s="87">
        <v>2.5</v>
      </c>
      <c r="Z21" s="87">
        <v>1</v>
      </c>
      <c r="AA21" s="88">
        <f t="shared" si="3"/>
        <v>4000</v>
      </c>
      <c r="AB21" s="87" t="s">
        <v>7</v>
      </c>
      <c r="AC21" s="90" t="s">
        <v>7</v>
      </c>
      <c r="AD21" s="87" t="s">
        <v>7</v>
      </c>
      <c r="AE21" s="87" t="s">
        <v>7</v>
      </c>
      <c r="AF21" s="87" t="str">
        <f t="shared" si="4"/>
        <v>NA</v>
      </c>
      <c r="AG21" s="87">
        <f t="shared" si="5"/>
        <v>0.375</v>
      </c>
      <c r="AH21" s="87">
        <f t="shared" si="6"/>
        <v>0.375</v>
      </c>
      <c r="AI21" s="153">
        <f t="shared" si="7"/>
        <v>0.02</v>
      </c>
      <c r="AJ21" s="2" t="str">
        <f t="shared" si="8"/>
        <v>NA</v>
      </c>
    </row>
    <row r="22" spans="1:36" x14ac:dyDescent="0.3">
      <c r="A22" s="211">
        <v>3</v>
      </c>
      <c r="B2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22" s="2" t="str">
        <f t="shared" si="0"/>
        <v>E3I1</v>
      </c>
      <c r="D22" t="str">
        <f t="shared" si="1"/>
        <v>E3</v>
      </c>
      <c r="E22" s="87" t="s">
        <v>296</v>
      </c>
      <c r="F22" s="157">
        <v>5</v>
      </c>
      <c r="G22" s="87" t="s">
        <v>297</v>
      </c>
      <c r="H22" s="87" t="s">
        <v>172</v>
      </c>
      <c r="I22" s="87"/>
      <c r="J22" s="87"/>
      <c r="K22" s="87" t="s">
        <v>292</v>
      </c>
      <c r="L22" s="87" t="s">
        <v>37</v>
      </c>
      <c r="M22" s="87"/>
      <c r="N22" s="87">
        <v>7</v>
      </c>
      <c r="O22" s="87" t="s">
        <v>7</v>
      </c>
      <c r="P22" s="87">
        <v>90</v>
      </c>
      <c r="Q22" s="87">
        <v>100</v>
      </c>
      <c r="R22" s="94">
        <f t="shared" si="2"/>
        <v>0.1</v>
      </c>
      <c r="S22" s="87"/>
      <c r="T22" s="87"/>
      <c r="U22" s="87" t="s">
        <v>7</v>
      </c>
      <c r="V22" s="87" t="s">
        <v>293</v>
      </c>
      <c r="W22" s="87" t="s">
        <v>7</v>
      </c>
      <c r="X22" s="87"/>
      <c r="Y22" s="87">
        <v>2.5</v>
      </c>
      <c r="Z22" s="87">
        <v>1</v>
      </c>
      <c r="AA22" s="88">
        <f t="shared" si="3"/>
        <v>4000</v>
      </c>
      <c r="AB22" s="87" t="s">
        <v>7</v>
      </c>
      <c r="AC22" s="90" t="s">
        <v>7</v>
      </c>
      <c r="AD22" s="87" t="s">
        <v>7</v>
      </c>
      <c r="AE22" s="87" t="s">
        <v>7</v>
      </c>
      <c r="AF22" s="87" t="str">
        <f t="shared" si="4"/>
        <v>NA</v>
      </c>
      <c r="AG22" s="87">
        <f t="shared" si="5"/>
        <v>0.375</v>
      </c>
      <c r="AH22" s="87">
        <f t="shared" si="6"/>
        <v>0.375</v>
      </c>
      <c r="AI22" s="153">
        <f t="shared" si="7"/>
        <v>0.02</v>
      </c>
      <c r="AJ22" s="2" t="str">
        <f t="shared" si="8"/>
        <v>NA</v>
      </c>
    </row>
    <row r="23" spans="1:36" x14ac:dyDescent="0.3">
      <c r="A23" s="211">
        <v>3</v>
      </c>
      <c r="B2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23" s="2" t="str">
        <f t="shared" si="0"/>
        <v>E3I1</v>
      </c>
      <c r="D23" t="str">
        <f t="shared" si="1"/>
        <v>E3</v>
      </c>
      <c r="E23" s="87" t="s">
        <v>298</v>
      </c>
      <c r="F23" s="157">
        <v>8.5</v>
      </c>
      <c r="G23" s="87" t="s">
        <v>442</v>
      </c>
      <c r="H23" s="87" t="s">
        <v>172</v>
      </c>
      <c r="I23" s="87"/>
      <c r="J23" s="87"/>
      <c r="K23" s="87" t="s">
        <v>292</v>
      </c>
      <c r="L23" s="87" t="s">
        <v>37</v>
      </c>
      <c r="M23" s="87"/>
      <c r="N23" s="87">
        <v>2</v>
      </c>
      <c r="O23" s="87" t="s">
        <v>7</v>
      </c>
      <c r="P23" s="87">
        <v>90</v>
      </c>
      <c r="Q23" s="87">
        <v>100</v>
      </c>
      <c r="R23" s="94">
        <f t="shared" si="2"/>
        <v>0.1</v>
      </c>
      <c r="S23" s="87"/>
      <c r="T23" s="87"/>
      <c r="U23" s="87" t="s">
        <v>7</v>
      </c>
      <c r="V23" s="87" t="s">
        <v>24</v>
      </c>
      <c r="W23" s="87" t="s">
        <v>7</v>
      </c>
      <c r="X23" s="87"/>
      <c r="Y23" s="87">
        <v>2.5</v>
      </c>
      <c r="Z23" s="87">
        <v>1</v>
      </c>
      <c r="AA23" s="88">
        <f t="shared" si="3"/>
        <v>4000</v>
      </c>
      <c r="AB23" s="87" t="s">
        <v>7</v>
      </c>
      <c r="AC23" s="90" t="s">
        <v>7</v>
      </c>
      <c r="AD23" s="87" t="s">
        <v>7</v>
      </c>
      <c r="AE23" s="87" t="s">
        <v>7</v>
      </c>
      <c r="AF23" s="87" t="str">
        <f t="shared" si="4"/>
        <v>NA</v>
      </c>
      <c r="AG23" s="87">
        <f t="shared" si="5"/>
        <v>0.55000000000000004</v>
      </c>
      <c r="AH23" s="87">
        <f t="shared" si="6"/>
        <v>0.38500000000000001</v>
      </c>
      <c r="AI23" s="153">
        <f t="shared" si="7"/>
        <v>0.02</v>
      </c>
      <c r="AJ23" s="2" t="str">
        <f t="shared" si="8"/>
        <v>NA</v>
      </c>
    </row>
    <row r="24" spans="1:36" x14ac:dyDescent="0.3">
      <c r="A24" s="211">
        <v>4</v>
      </c>
      <c r="B2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24" s="2" t="str">
        <f t="shared" si="0"/>
        <v>E4I1</v>
      </c>
      <c r="D24" t="str">
        <f t="shared" si="1"/>
        <v>E4</v>
      </c>
      <c r="E24" s="87" t="s">
        <v>1032</v>
      </c>
      <c r="F24" s="157">
        <v>4</v>
      </c>
      <c r="G24" s="87" t="s">
        <v>291</v>
      </c>
      <c r="H24" s="87"/>
      <c r="I24" s="87"/>
      <c r="J24" s="87"/>
      <c r="K24" s="87" t="s">
        <v>292</v>
      </c>
      <c r="L24" s="87" t="s">
        <v>7</v>
      </c>
      <c r="M24" s="87"/>
      <c r="N24" s="87" t="s">
        <v>7</v>
      </c>
      <c r="O24" s="87" t="s">
        <v>7</v>
      </c>
      <c r="P24" s="87">
        <v>85</v>
      </c>
      <c r="Q24" s="87">
        <v>90</v>
      </c>
      <c r="R24" s="94">
        <f t="shared" si="2"/>
        <v>5.5555555555555573E-2</v>
      </c>
      <c r="S24" s="89"/>
      <c r="T24" s="89"/>
      <c r="U24" s="87" t="s">
        <v>9</v>
      </c>
      <c r="V24" s="87" t="s">
        <v>293</v>
      </c>
      <c r="W24" s="87" t="s">
        <v>211</v>
      </c>
      <c r="X24" s="87"/>
      <c r="Y24" s="87">
        <v>2.5</v>
      </c>
      <c r="Z24" s="87">
        <v>1.2</v>
      </c>
      <c r="AA24" s="88">
        <f t="shared" si="3"/>
        <v>3333.3333333333335</v>
      </c>
      <c r="AB24" s="87" t="s">
        <v>7</v>
      </c>
      <c r="AC24" s="87" t="s">
        <v>7</v>
      </c>
      <c r="AD24" s="87" t="s">
        <v>7</v>
      </c>
      <c r="AE24" s="87" t="s">
        <v>7</v>
      </c>
      <c r="AF24" s="87" t="str">
        <f t="shared" si="4"/>
        <v>NA</v>
      </c>
      <c r="AG24" s="87">
        <f t="shared" si="5"/>
        <v>0.375</v>
      </c>
      <c r="AH24" s="87">
        <f t="shared" si="6"/>
        <v>0.375</v>
      </c>
      <c r="AI24" s="153">
        <f t="shared" si="7"/>
        <v>1.1111111111111115E-2</v>
      </c>
      <c r="AJ24" s="2" t="str">
        <f t="shared" si="8"/>
        <v>NA</v>
      </c>
    </row>
    <row r="25" spans="1:36" x14ac:dyDescent="0.3">
      <c r="A25" s="211">
        <v>4</v>
      </c>
      <c r="B2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25" s="2" t="str">
        <f t="shared" si="0"/>
        <v>E4I1</v>
      </c>
      <c r="D25" t="str">
        <f t="shared" si="1"/>
        <v>E4</v>
      </c>
      <c r="E25" s="87" t="s">
        <v>1033</v>
      </c>
      <c r="F25" s="157">
        <v>4</v>
      </c>
      <c r="G25" s="87" t="s">
        <v>308</v>
      </c>
      <c r="H25" s="87"/>
      <c r="I25" s="87"/>
      <c r="J25" s="87"/>
      <c r="K25" s="87" t="s">
        <v>292</v>
      </c>
      <c r="L25" s="87" t="s">
        <v>7</v>
      </c>
      <c r="M25" s="87"/>
      <c r="N25" s="87" t="s">
        <v>7</v>
      </c>
      <c r="O25" s="87" t="s">
        <v>7</v>
      </c>
      <c r="P25" s="87">
        <v>85</v>
      </c>
      <c r="Q25" s="87">
        <v>90</v>
      </c>
      <c r="R25" s="94">
        <f t="shared" si="2"/>
        <v>5.5555555555555573E-2</v>
      </c>
      <c r="S25" s="89"/>
      <c r="T25" s="89"/>
      <c r="U25" s="87" t="s">
        <v>9</v>
      </c>
      <c r="V25" s="87" t="s">
        <v>293</v>
      </c>
      <c r="W25" s="87" t="s">
        <v>211</v>
      </c>
      <c r="X25" s="87"/>
      <c r="Y25" s="87">
        <v>2.5</v>
      </c>
      <c r="Z25" s="87">
        <v>1.2</v>
      </c>
      <c r="AA25" s="88">
        <f t="shared" si="3"/>
        <v>3333.3333333333335</v>
      </c>
      <c r="AB25" s="87" t="s">
        <v>7</v>
      </c>
      <c r="AC25" s="87" t="s">
        <v>7</v>
      </c>
      <c r="AD25" s="87" t="s">
        <v>7</v>
      </c>
      <c r="AE25" s="87" t="s">
        <v>7</v>
      </c>
      <c r="AF25" s="87" t="str">
        <f t="shared" si="4"/>
        <v>NA</v>
      </c>
      <c r="AG25" s="87">
        <f t="shared" si="5"/>
        <v>0.375</v>
      </c>
      <c r="AH25" s="87">
        <f t="shared" si="6"/>
        <v>0.375</v>
      </c>
      <c r="AI25" s="153">
        <f t="shared" si="7"/>
        <v>1.1111111111111115E-2</v>
      </c>
      <c r="AJ25" s="2" t="str">
        <f t="shared" si="8"/>
        <v>NA</v>
      </c>
    </row>
    <row r="26" spans="1:36" x14ac:dyDescent="0.3">
      <c r="A26" s="211">
        <v>4</v>
      </c>
      <c r="B2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26" s="2" t="str">
        <f t="shared" si="0"/>
        <v>E4I1</v>
      </c>
      <c r="D26" t="str">
        <f t="shared" si="1"/>
        <v>E4</v>
      </c>
      <c r="E26" s="87" t="s">
        <v>1034</v>
      </c>
      <c r="F26" s="157">
        <v>4</v>
      </c>
      <c r="G26" s="87" t="s">
        <v>308</v>
      </c>
      <c r="H26" s="87"/>
      <c r="I26" s="87"/>
      <c r="J26" s="87"/>
      <c r="K26" s="87" t="s">
        <v>292</v>
      </c>
      <c r="L26" s="87" t="s">
        <v>7</v>
      </c>
      <c r="M26" s="87"/>
      <c r="N26" s="87" t="s">
        <v>7</v>
      </c>
      <c r="O26" s="87" t="s">
        <v>7</v>
      </c>
      <c r="P26" s="87">
        <v>85</v>
      </c>
      <c r="Q26" s="87">
        <v>90</v>
      </c>
      <c r="R26" s="94">
        <f t="shared" si="2"/>
        <v>5.5555555555555573E-2</v>
      </c>
      <c r="S26" s="89"/>
      <c r="T26" s="89"/>
      <c r="U26" s="87" t="s">
        <v>9</v>
      </c>
      <c r="V26" s="87" t="s">
        <v>293</v>
      </c>
      <c r="W26" s="87" t="s">
        <v>211</v>
      </c>
      <c r="X26" s="87"/>
      <c r="Y26" s="87">
        <v>2.5</v>
      </c>
      <c r="Z26" s="87">
        <v>1.2</v>
      </c>
      <c r="AA26" s="88">
        <f t="shared" si="3"/>
        <v>3333.3333333333335</v>
      </c>
      <c r="AB26" s="87" t="s">
        <v>7</v>
      </c>
      <c r="AC26" s="87" t="s">
        <v>7</v>
      </c>
      <c r="AD26" s="87" t="s">
        <v>7</v>
      </c>
      <c r="AE26" s="87" t="s">
        <v>7</v>
      </c>
      <c r="AF26" s="87" t="str">
        <f t="shared" si="4"/>
        <v>NA</v>
      </c>
      <c r="AG26" s="87">
        <f t="shared" si="5"/>
        <v>0.375</v>
      </c>
      <c r="AH26" s="87">
        <f t="shared" si="6"/>
        <v>0.375</v>
      </c>
      <c r="AI26" s="153">
        <f t="shared" si="7"/>
        <v>1.1111111111111115E-2</v>
      </c>
      <c r="AJ26" s="2" t="str">
        <f t="shared" si="8"/>
        <v>NA</v>
      </c>
    </row>
    <row r="27" spans="1:36" x14ac:dyDescent="0.3">
      <c r="A27" s="211">
        <v>4</v>
      </c>
      <c r="B2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27" s="2" t="str">
        <f t="shared" si="0"/>
        <v>E4I1</v>
      </c>
      <c r="D27" t="str">
        <f t="shared" si="1"/>
        <v>E4</v>
      </c>
      <c r="E27" s="87" t="s">
        <v>1035</v>
      </c>
      <c r="F27" s="157">
        <v>4</v>
      </c>
      <c r="G27" s="87" t="s">
        <v>308</v>
      </c>
      <c r="H27" s="87"/>
      <c r="I27" s="87"/>
      <c r="J27" s="87"/>
      <c r="K27" s="87" t="s">
        <v>292</v>
      </c>
      <c r="L27" s="87" t="s">
        <v>7</v>
      </c>
      <c r="M27" s="87"/>
      <c r="N27" s="87" t="s">
        <v>7</v>
      </c>
      <c r="O27" s="87" t="s">
        <v>7</v>
      </c>
      <c r="P27" s="87">
        <v>85</v>
      </c>
      <c r="Q27" s="87">
        <v>90</v>
      </c>
      <c r="R27" s="94">
        <f t="shared" si="2"/>
        <v>5.5555555555555573E-2</v>
      </c>
      <c r="S27" s="89"/>
      <c r="T27" s="89"/>
      <c r="U27" s="87" t="s">
        <v>9</v>
      </c>
      <c r="V27" s="87" t="s">
        <v>293</v>
      </c>
      <c r="W27" s="87" t="s">
        <v>211</v>
      </c>
      <c r="X27" s="87"/>
      <c r="Y27" s="87">
        <v>2.5</v>
      </c>
      <c r="Z27" s="87">
        <v>1.2</v>
      </c>
      <c r="AA27" s="88">
        <f t="shared" si="3"/>
        <v>3333.3333333333335</v>
      </c>
      <c r="AB27" s="87" t="s">
        <v>7</v>
      </c>
      <c r="AC27" s="87" t="s">
        <v>7</v>
      </c>
      <c r="AD27" s="87" t="s">
        <v>7</v>
      </c>
      <c r="AE27" s="87" t="s">
        <v>7</v>
      </c>
      <c r="AF27" s="87" t="str">
        <f t="shared" si="4"/>
        <v>NA</v>
      </c>
      <c r="AG27" s="87">
        <f t="shared" si="5"/>
        <v>0.375</v>
      </c>
      <c r="AH27" s="87">
        <f t="shared" si="6"/>
        <v>0.375</v>
      </c>
      <c r="AI27" s="153">
        <f t="shared" si="7"/>
        <v>1.1111111111111115E-2</v>
      </c>
      <c r="AJ27" s="2" t="str">
        <f t="shared" si="8"/>
        <v>NA</v>
      </c>
    </row>
    <row r="28" spans="1:36" x14ac:dyDescent="0.3">
      <c r="A28" s="211">
        <v>4</v>
      </c>
      <c r="B2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28" s="2" t="str">
        <f t="shared" si="0"/>
        <v>E4I1</v>
      </c>
      <c r="D28" t="str">
        <f t="shared" si="1"/>
        <v>E4</v>
      </c>
      <c r="E28" s="87" t="s">
        <v>1036</v>
      </c>
      <c r="F28" s="157">
        <v>3.5</v>
      </c>
      <c r="G28" s="87" t="s">
        <v>442</v>
      </c>
      <c r="H28" s="87"/>
      <c r="I28" s="87"/>
      <c r="J28" s="87"/>
      <c r="K28" s="87" t="s">
        <v>292</v>
      </c>
      <c r="L28" s="87" t="s">
        <v>7</v>
      </c>
      <c r="M28" s="87"/>
      <c r="N28" s="87" t="s">
        <v>7</v>
      </c>
      <c r="O28" s="87" t="s">
        <v>7</v>
      </c>
      <c r="P28" s="87">
        <v>85</v>
      </c>
      <c r="Q28" s="87">
        <v>90</v>
      </c>
      <c r="R28" s="94">
        <f t="shared" si="2"/>
        <v>5.5555555555555573E-2</v>
      </c>
      <c r="S28" s="89"/>
      <c r="T28" s="89"/>
      <c r="U28" s="87" t="s">
        <v>9</v>
      </c>
      <c r="V28" s="87" t="s">
        <v>293</v>
      </c>
      <c r="W28" s="87" t="s">
        <v>211</v>
      </c>
      <c r="X28" s="87"/>
      <c r="Y28" s="87">
        <v>2.5</v>
      </c>
      <c r="Z28" s="87">
        <v>0.9</v>
      </c>
      <c r="AA28" s="88">
        <f t="shared" si="3"/>
        <v>4444.4444444444443</v>
      </c>
      <c r="AB28" s="87" t="s">
        <v>7</v>
      </c>
      <c r="AC28" s="87" t="s">
        <v>7</v>
      </c>
      <c r="AD28" s="87" t="s">
        <v>7</v>
      </c>
      <c r="AE28" s="87" t="s">
        <v>7</v>
      </c>
      <c r="AF28" s="87" t="str">
        <f t="shared" si="4"/>
        <v>NA</v>
      </c>
      <c r="AG28" s="87">
        <f t="shared" si="5"/>
        <v>0.375</v>
      </c>
      <c r="AH28" s="87">
        <f t="shared" si="6"/>
        <v>0.375</v>
      </c>
      <c r="AI28" s="153">
        <f t="shared" si="7"/>
        <v>1.1111111111111115E-2</v>
      </c>
      <c r="AJ28" s="2" t="str">
        <f t="shared" si="8"/>
        <v>NA</v>
      </c>
    </row>
    <row r="29" spans="1:36" x14ac:dyDescent="0.3">
      <c r="A29" s="211">
        <v>4</v>
      </c>
      <c r="B2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29" s="2" t="str">
        <f t="shared" si="0"/>
        <v>E4I1</v>
      </c>
      <c r="D29" t="str">
        <f t="shared" si="1"/>
        <v>E4</v>
      </c>
      <c r="E29" s="87" t="s">
        <v>1037</v>
      </c>
      <c r="F29" s="157">
        <v>4</v>
      </c>
      <c r="G29" s="87" t="s">
        <v>357</v>
      </c>
      <c r="H29" s="87"/>
      <c r="I29" s="87"/>
      <c r="J29" s="87"/>
      <c r="K29" s="87" t="s">
        <v>292</v>
      </c>
      <c r="L29" s="87" t="s">
        <v>7</v>
      </c>
      <c r="M29" s="87"/>
      <c r="N29" s="87" t="s">
        <v>7</v>
      </c>
      <c r="O29" s="87" t="s">
        <v>7</v>
      </c>
      <c r="P29" s="87">
        <v>85</v>
      </c>
      <c r="Q29" s="87">
        <v>90</v>
      </c>
      <c r="R29" s="94">
        <f t="shared" si="2"/>
        <v>5.5555555555555573E-2</v>
      </c>
      <c r="S29" s="89"/>
      <c r="T29" s="89"/>
      <c r="U29" s="87" t="s">
        <v>9</v>
      </c>
      <c r="V29" s="87" t="s">
        <v>293</v>
      </c>
      <c r="W29" s="87" t="s">
        <v>211</v>
      </c>
      <c r="X29" s="87"/>
      <c r="Y29" s="87">
        <v>2.5</v>
      </c>
      <c r="Z29" s="87">
        <v>0.9</v>
      </c>
      <c r="AA29" s="88">
        <f t="shared" si="3"/>
        <v>4444.4444444444443</v>
      </c>
      <c r="AB29" s="87" t="s">
        <v>7</v>
      </c>
      <c r="AC29" s="87" t="s">
        <v>7</v>
      </c>
      <c r="AD29" s="87" t="s">
        <v>7</v>
      </c>
      <c r="AE29" s="87" t="s">
        <v>7</v>
      </c>
      <c r="AF29" s="87" t="str">
        <f t="shared" si="4"/>
        <v>NA</v>
      </c>
      <c r="AG29" s="87">
        <f t="shared" si="5"/>
        <v>0.375</v>
      </c>
      <c r="AH29" s="87">
        <f t="shared" si="6"/>
        <v>0.375</v>
      </c>
      <c r="AI29" s="153">
        <f t="shared" si="7"/>
        <v>1.1111111111111115E-2</v>
      </c>
      <c r="AJ29" s="2" t="str">
        <f t="shared" si="8"/>
        <v>NA</v>
      </c>
    </row>
    <row r="30" spans="1:36" x14ac:dyDescent="0.3">
      <c r="A30" s="211">
        <v>4</v>
      </c>
      <c r="B3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30" s="2" t="str">
        <f t="shared" si="0"/>
        <v>E4I1</v>
      </c>
      <c r="D30" t="str">
        <f t="shared" si="1"/>
        <v>E4</v>
      </c>
      <c r="E30" s="87" t="s">
        <v>1038</v>
      </c>
      <c r="F30" s="157">
        <v>4</v>
      </c>
      <c r="G30" s="87" t="s">
        <v>438</v>
      </c>
      <c r="H30" s="87"/>
      <c r="I30" s="87"/>
      <c r="J30" s="87"/>
      <c r="K30" s="87" t="s">
        <v>292</v>
      </c>
      <c r="L30" s="87" t="s">
        <v>7</v>
      </c>
      <c r="M30" s="87"/>
      <c r="N30" s="87" t="s">
        <v>7</v>
      </c>
      <c r="O30" s="87" t="s">
        <v>7</v>
      </c>
      <c r="P30" s="87">
        <v>85</v>
      </c>
      <c r="Q30" s="87">
        <v>90</v>
      </c>
      <c r="R30" s="94">
        <f t="shared" si="2"/>
        <v>5.5555555555555573E-2</v>
      </c>
      <c r="S30" s="89"/>
      <c r="T30" s="89"/>
      <c r="U30" s="87" t="s">
        <v>9</v>
      </c>
      <c r="V30" s="87" t="s">
        <v>293</v>
      </c>
      <c r="W30" s="87" t="s">
        <v>211</v>
      </c>
      <c r="X30" s="87"/>
      <c r="Y30" s="87">
        <v>2.5</v>
      </c>
      <c r="Z30" s="87">
        <v>0.9</v>
      </c>
      <c r="AA30" s="88">
        <f t="shared" si="3"/>
        <v>4444.4444444444443</v>
      </c>
      <c r="AB30" s="87" t="s">
        <v>7</v>
      </c>
      <c r="AC30" s="87" t="s">
        <v>7</v>
      </c>
      <c r="AD30" s="87" t="s">
        <v>7</v>
      </c>
      <c r="AE30" s="87" t="s">
        <v>7</v>
      </c>
      <c r="AF30" s="87" t="str">
        <f t="shared" si="4"/>
        <v>NA</v>
      </c>
      <c r="AG30" s="87">
        <f t="shared" si="5"/>
        <v>0.375</v>
      </c>
      <c r="AH30" s="87">
        <f t="shared" si="6"/>
        <v>0.375</v>
      </c>
      <c r="AI30" s="153">
        <f t="shared" si="7"/>
        <v>1.1111111111111115E-2</v>
      </c>
      <c r="AJ30" s="2" t="str">
        <f t="shared" si="8"/>
        <v>NA</v>
      </c>
    </row>
    <row r="31" spans="1:36" x14ac:dyDescent="0.3">
      <c r="A31" s="211">
        <v>4</v>
      </c>
      <c r="B3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31" s="2" t="str">
        <f t="shared" si="0"/>
        <v>E4I1</v>
      </c>
      <c r="D31" t="str">
        <f t="shared" si="1"/>
        <v>E4</v>
      </c>
      <c r="E31" s="87" t="s">
        <v>1039</v>
      </c>
      <c r="F31" s="157">
        <v>1</v>
      </c>
      <c r="G31" s="87" t="s">
        <v>291</v>
      </c>
      <c r="H31" s="87"/>
      <c r="I31" s="87"/>
      <c r="J31" s="87"/>
      <c r="K31" s="87" t="s">
        <v>292</v>
      </c>
      <c r="L31" s="87" t="s">
        <v>7</v>
      </c>
      <c r="M31" s="87"/>
      <c r="N31" s="87">
        <v>1</v>
      </c>
      <c r="O31" s="87" t="s">
        <v>7</v>
      </c>
      <c r="P31" s="87">
        <v>85</v>
      </c>
      <c r="Q31" s="87">
        <v>90</v>
      </c>
      <c r="R31" s="94">
        <f t="shared" si="2"/>
        <v>5.5555555555555573E-2</v>
      </c>
      <c r="S31" s="89"/>
      <c r="T31" s="89"/>
      <c r="U31" s="87" t="s">
        <v>9</v>
      </c>
      <c r="V31" s="87" t="s">
        <v>293</v>
      </c>
      <c r="W31" s="87" t="s">
        <v>211</v>
      </c>
      <c r="X31" s="87"/>
      <c r="Y31" s="87">
        <v>2.5</v>
      </c>
      <c r="Z31" s="87">
        <v>0.9</v>
      </c>
      <c r="AA31" s="88">
        <f t="shared" si="3"/>
        <v>4444.4444444444443</v>
      </c>
      <c r="AB31" s="87" t="s">
        <v>7</v>
      </c>
      <c r="AC31" s="87" t="s">
        <v>7</v>
      </c>
      <c r="AD31" s="87" t="s">
        <v>7</v>
      </c>
      <c r="AE31" s="87" t="s">
        <v>7</v>
      </c>
      <c r="AF31" s="87" t="str">
        <f t="shared" si="4"/>
        <v>NA</v>
      </c>
      <c r="AG31" s="87">
        <f t="shared" si="5"/>
        <v>0.375</v>
      </c>
      <c r="AH31" s="87">
        <f t="shared" si="6"/>
        <v>0.375</v>
      </c>
      <c r="AI31" s="153">
        <f t="shared" si="7"/>
        <v>1.1111111111111115E-2</v>
      </c>
      <c r="AJ31" s="2" t="str">
        <f t="shared" si="8"/>
        <v>NA</v>
      </c>
    </row>
    <row r="32" spans="1:36" x14ac:dyDescent="0.3">
      <c r="A32" s="211">
        <v>5</v>
      </c>
      <c r="B3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32" s="2" t="str">
        <f t="shared" si="0"/>
        <v>E5I1</v>
      </c>
      <c r="D32" t="str">
        <f t="shared" si="1"/>
        <v>E5</v>
      </c>
      <c r="E32" s="87" t="s">
        <v>356</v>
      </c>
      <c r="F32" s="157">
        <v>1.8</v>
      </c>
      <c r="G32" s="87" t="s">
        <v>357</v>
      </c>
      <c r="H32" s="89" t="s">
        <v>7</v>
      </c>
      <c r="I32" s="89"/>
      <c r="J32" s="89"/>
      <c r="K32" s="87" t="s">
        <v>292</v>
      </c>
      <c r="L32" s="89" t="s">
        <v>7</v>
      </c>
      <c r="M32" s="89"/>
      <c r="N32" s="89">
        <v>13</v>
      </c>
      <c r="O32" s="87" t="s">
        <v>453</v>
      </c>
      <c r="P32" s="87">
        <v>45</v>
      </c>
      <c r="Q32" s="87">
        <v>45</v>
      </c>
      <c r="R32" s="94">
        <f t="shared" si="2"/>
        <v>0</v>
      </c>
      <c r="S32" s="89"/>
      <c r="T32" s="89"/>
      <c r="U32" s="87" t="s">
        <v>24</v>
      </c>
      <c r="V32" s="87" t="s">
        <v>459</v>
      </c>
      <c r="W32" s="87" t="s">
        <v>7</v>
      </c>
      <c r="X32" s="89"/>
      <c r="Y32" s="87">
        <v>2.25</v>
      </c>
      <c r="Z32" s="87">
        <v>1</v>
      </c>
      <c r="AA32" s="88">
        <f t="shared" si="3"/>
        <v>4444.4444444444443</v>
      </c>
      <c r="AB32" s="87" t="s">
        <v>313</v>
      </c>
      <c r="AC32" s="90" t="s">
        <v>7</v>
      </c>
      <c r="AD32" s="89" t="s">
        <v>7</v>
      </c>
      <c r="AE32" s="87" t="s">
        <v>7</v>
      </c>
      <c r="AF32" s="87" t="str">
        <f t="shared" si="4"/>
        <v>NA</v>
      </c>
      <c r="AG32" s="87">
        <f t="shared" si="5"/>
        <v>0.33749999999999997</v>
      </c>
      <c r="AH32" s="87">
        <f t="shared" si="6"/>
        <v>0.33749999999999997</v>
      </c>
      <c r="AI32" s="153">
        <f t="shared" si="7"/>
        <v>0</v>
      </c>
      <c r="AJ32" s="2" t="str">
        <f t="shared" si="8"/>
        <v>NA</v>
      </c>
    </row>
    <row r="33" spans="1:36" x14ac:dyDescent="0.3">
      <c r="A33" s="211">
        <v>5</v>
      </c>
      <c r="B3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33" s="2" t="str">
        <f t="shared" si="0"/>
        <v>E5I1</v>
      </c>
      <c r="D33" t="str">
        <f t="shared" si="1"/>
        <v>E5</v>
      </c>
      <c r="E33" s="87" t="s">
        <v>358</v>
      </c>
      <c r="F33" s="157">
        <v>4</v>
      </c>
      <c r="G33" s="87" t="s">
        <v>344</v>
      </c>
      <c r="H33" s="89" t="s">
        <v>7</v>
      </c>
      <c r="I33" s="89"/>
      <c r="J33" s="89"/>
      <c r="K33" s="87" t="s">
        <v>345</v>
      </c>
      <c r="L33" s="89" t="s">
        <v>7</v>
      </c>
      <c r="M33" s="89"/>
      <c r="N33" s="89">
        <v>40</v>
      </c>
      <c r="O33" s="87" t="s">
        <v>453</v>
      </c>
      <c r="P33" s="87">
        <v>45</v>
      </c>
      <c r="Q33" s="87">
        <v>45</v>
      </c>
      <c r="R33" s="94">
        <f t="shared" si="2"/>
        <v>0</v>
      </c>
      <c r="S33" s="89"/>
      <c r="T33" s="89"/>
      <c r="U33" s="87" t="s">
        <v>24</v>
      </c>
      <c r="V33" s="87" t="s">
        <v>461</v>
      </c>
      <c r="W33" s="87" t="s">
        <v>7</v>
      </c>
      <c r="X33" s="89"/>
      <c r="Y33" s="87">
        <v>2.25</v>
      </c>
      <c r="Z33" s="87">
        <v>1</v>
      </c>
      <c r="AA33" s="88">
        <f t="shared" si="3"/>
        <v>4444.4444444444443</v>
      </c>
      <c r="AB33" s="87" t="s">
        <v>313</v>
      </c>
      <c r="AC33" s="90" t="s">
        <v>7</v>
      </c>
      <c r="AD33" s="89" t="s">
        <v>7</v>
      </c>
      <c r="AE33" s="87" t="s">
        <v>7</v>
      </c>
      <c r="AF33" s="87" t="str">
        <f t="shared" si="4"/>
        <v>NA</v>
      </c>
      <c r="AG33" s="87">
        <f t="shared" si="5"/>
        <v>0.45</v>
      </c>
      <c r="AH33" s="87">
        <f t="shared" si="6"/>
        <v>0.40500000000000003</v>
      </c>
      <c r="AI33" s="153">
        <f t="shared" si="7"/>
        <v>0</v>
      </c>
      <c r="AJ33" s="2" t="str">
        <f t="shared" si="8"/>
        <v>NA</v>
      </c>
    </row>
    <row r="34" spans="1:36" x14ac:dyDescent="0.3">
      <c r="A34" s="211">
        <v>6</v>
      </c>
      <c r="B3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34" s="2" t="str">
        <f t="shared" ref="C34:C65" si="9">LEFT(E34,LEN(E34)-2)</f>
        <v>E6I1</v>
      </c>
      <c r="D34" t="str">
        <f t="shared" ref="D34:D65" si="10">LEFT(E34,LEN(E34)-4)</f>
        <v>E6</v>
      </c>
      <c r="E34" s="87" t="s">
        <v>349</v>
      </c>
      <c r="F34" s="157">
        <v>7.4</v>
      </c>
      <c r="G34" s="87" t="s">
        <v>308</v>
      </c>
      <c r="H34" s="87" t="s">
        <v>509</v>
      </c>
      <c r="I34" s="87"/>
      <c r="J34" s="87"/>
      <c r="K34" s="87" t="s">
        <v>292</v>
      </c>
      <c r="L34" s="87" t="s">
        <v>37</v>
      </c>
      <c r="M34" s="87"/>
      <c r="N34" s="89">
        <v>33</v>
      </c>
      <c r="O34" s="87" t="s">
        <v>453</v>
      </c>
      <c r="P34" s="87">
        <v>90</v>
      </c>
      <c r="Q34" s="87">
        <v>90</v>
      </c>
      <c r="R34" s="94">
        <f t="shared" ref="R34:R65" si="11">(100-(P34*100/Q34))/100</f>
        <v>0</v>
      </c>
      <c r="S34" s="89"/>
      <c r="T34" s="89"/>
      <c r="U34" s="87" t="s">
        <v>24</v>
      </c>
      <c r="V34" s="87" t="s">
        <v>460</v>
      </c>
      <c r="W34" s="87" t="s">
        <v>4</v>
      </c>
      <c r="X34" s="87"/>
      <c r="Y34" s="87">
        <v>2</v>
      </c>
      <c r="Z34" s="87">
        <v>1</v>
      </c>
      <c r="AA34" s="88">
        <f t="shared" ref="AA34:AA65" si="12">(F34*10000)/(Y34*Z34)/F34</f>
        <v>5000</v>
      </c>
      <c r="AB34" s="87" t="s">
        <v>329</v>
      </c>
      <c r="AC34" s="90" t="s">
        <v>7</v>
      </c>
      <c r="AD34" s="89" t="s">
        <v>7</v>
      </c>
      <c r="AE34" s="87" t="s">
        <v>7</v>
      </c>
      <c r="AF34" s="87" t="str">
        <f t="shared" ref="AF34:AF65" si="13">IF(AE34="NA","NA",AE34-AD34)</f>
        <v>NA</v>
      </c>
      <c r="AG34" s="87">
        <f t="shared" ref="AG34:AG65" si="14">IF(OR(V34="CDR",V34="GS"),0.3*(Y34/2),IF(V34="TRP",0.3*(Y34/2),IF(V34="GOB",0.45,IF(V34="non",0.55,"NA"))))</f>
        <v>0.3</v>
      </c>
      <c r="AH34" s="87">
        <f t="shared" ref="AH34:AH65" si="15">IF(AG34&gt;0.4,AG34-(0.1*AG34*(AG34-0.4)/0.05),AG34)</f>
        <v>0.3</v>
      </c>
      <c r="AI34" s="153">
        <f t="shared" ref="AI34:AI65" si="16">R34/5</f>
        <v>0</v>
      </c>
      <c r="AJ34" s="2" t="str">
        <f t="shared" ref="AJ34:AJ65" si="17">IF(AF34="NA","NA",(2*AF34+AH34)*(1-AI34)/Y34)</f>
        <v>NA</v>
      </c>
    </row>
    <row r="35" spans="1:36" x14ac:dyDescent="0.3">
      <c r="A35" s="211">
        <v>6</v>
      </c>
      <c r="B3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35" s="2" t="str">
        <f t="shared" si="9"/>
        <v>E6I1</v>
      </c>
      <c r="D35" t="str">
        <f t="shared" si="10"/>
        <v>E6</v>
      </c>
      <c r="E35" s="87" t="s">
        <v>350</v>
      </c>
      <c r="F35" s="157">
        <v>8.5</v>
      </c>
      <c r="G35" s="87" t="s">
        <v>291</v>
      </c>
      <c r="H35" s="87" t="s">
        <v>509</v>
      </c>
      <c r="I35" s="87"/>
      <c r="J35" s="87"/>
      <c r="K35" s="87" t="s">
        <v>292</v>
      </c>
      <c r="L35" s="87" t="s">
        <v>37</v>
      </c>
      <c r="M35" s="87"/>
      <c r="N35" s="89">
        <v>12</v>
      </c>
      <c r="O35" s="87" t="s">
        <v>7</v>
      </c>
      <c r="P35" s="87">
        <v>90</v>
      </c>
      <c r="Q35" s="87">
        <v>90</v>
      </c>
      <c r="R35" s="94">
        <f t="shared" si="11"/>
        <v>0</v>
      </c>
      <c r="S35" s="89"/>
      <c r="T35" s="89"/>
      <c r="U35" s="87" t="s">
        <v>24</v>
      </c>
      <c r="V35" s="87" t="s">
        <v>460</v>
      </c>
      <c r="W35" s="87" t="s">
        <v>4</v>
      </c>
      <c r="X35" s="87"/>
      <c r="Y35" s="87">
        <v>2.25</v>
      </c>
      <c r="Z35" s="87">
        <v>0.9</v>
      </c>
      <c r="AA35" s="88">
        <f t="shared" si="12"/>
        <v>4938.2716049382716</v>
      </c>
      <c r="AB35" s="87" t="s">
        <v>329</v>
      </c>
      <c r="AC35" s="90" t="s">
        <v>7</v>
      </c>
      <c r="AD35" s="89" t="s">
        <v>7</v>
      </c>
      <c r="AE35" s="87" t="s">
        <v>7</v>
      </c>
      <c r="AF35" s="87" t="str">
        <f t="shared" si="13"/>
        <v>NA</v>
      </c>
      <c r="AG35" s="87">
        <f t="shared" si="14"/>
        <v>0.33749999999999997</v>
      </c>
      <c r="AH35" s="87">
        <f t="shared" si="15"/>
        <v>0.33749999999999997</v>
      </c>
      <c r="AI35" s="153">
        <f t="shared" si="16"/>
        <v>0</v>
      </c>
      <c r="AJ35" s="2" t="str">
        <f t="shared" si="17"/>
        <v>NA</v>
      </c>
    </row>
    <row r="36" spans="1:36" x14ac:dyDescent="0.3">
      <c r="A36" s="211">
        <v>6</v>
      </c>
      <c r="B3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36" s="2" t="str">
        <f t="shared" si="9"/>
        <v>E6I1</v>
      </c>
      <c r="D36" t="str">
        <f t="shared" si="10"/>
        <v>E6</v>
      </c>
      <c r="E36" s="87" t="s">
        <v>351</v>
      </c>
      <c r="F36" s="157">
        <v>3.5</v>
      </c>
      <c r="G36" s="87" t="s">
        <v>306</v>
      </c>
      <c r="H36" s="87" t="s">
        <v>509</v>
      </c>
      <c r="I36" s="87"/>
      <c r="J36" s="87"/>
      <c r="K36" s="87" t="s">
        <v>292</v>
      </c>
      <c r="L36" s="87" t="s">
        <v>37</v>
      </c>
      <c r="M36" s="87"/>
      <c r="N36" s="89">
        <v>12</v>
      </c>
      <c r="O36" s="87" t="s">
        <v>7</v>
      </c>
      <c r="P36" s="87">
        <v>90</v>
      </c>
      <c r="Q36" s="87">
        <v>90</v>
      </c>
      <c r="R36" s="94">
        <f t="shared" si="11"/>
        <v>0</v>
      </c>
      <c r="S36" s="89"/>
      <c r="T36" s="89"/>
      <c r="U36" s="87" t="s">
        <v>24</v>
      </c>
      <c r="V36" s="87" t="s">
        <v>460</v>
      </c>
      <c r="W36" s="87" t="s">
        <v>4</v>
      </c>
      <c r="X36" s="87"/>
      <c r="Y36" s="87">
        <v>2.25</v>
      </c>
      <c r="Z36" s="87">
        <v>0.9</v>
      </c>
      <c r="AA36" s="88">
        <f t="shared" si="12"/>
        <v>4938.2716049382716</v>
      </c>
      <c r="AB36" s="87" t="s">
        <v>329</v>
      </c>
      <c r="AC36" s="90" t="s">
        <v>7</v>
      </c>
      <c r="AD36" s="89" t="s">
        <v>7</v>
      </c>
      <c r="AE36" s="87" t="s">
        <v>7</v>
      </c>
      <c r="AF36" s="87" t="str">
        <f t="shared" si="13"/>
        <v>NA</v>
      </c>
      <c r="AG36" s="87">
        <f t="shared" si="14"/>
        <v>0.33749999999999997</v>
      </c>
      <c r="AH36" s="87">
        <f t="shared" si="15"/>
        <v>0.33749999999999997</v>
      </c>
      <c r="AI36" s="153">
        <f t="shared" si="16"/>
        <v>0</v>
      </c>
      <c r="AJ36" s="2" t="str">
        <f t="shared" si="17"/>
        <v>NA</v>
      </c>
    </row>
    <row r="37" spans="1:36" x14ac:dyDescent="0.3">
      <c r="A37" s="211">
        <v>6</v>
      </c>
      <c r="B3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37" s="2" t="str">
        <f t="shared" si="9"/>
        <v>E6I1</v>
      </c>
      <c r="D37" t="str">
        <f t="shared" si="10"/>
        <v>E6</v>
      </c>
      <c r="E37" s="87" t="s">
        <v>352</v>
      </c>
      <c r="F37" s="157">
        <v>1.6</v>
      </c>
      <c r="G37" s="87" t="s">
        <v>440</v>
      </c>
      <c r="H37" s="87" t="s">
        <v>509</v>
      </c>
      <c r="I37" s="87"/>
      <c r="J37" s="87"/>
      <c r="K37" s="87" t="s">
        <v>292</v>
      </c>
      <c r="L37" s="87" t="s">
        <v>37</v>
      </c>
      <c r="M37" s="87"/>
      <c r="N37" s="89">
        <v>12</v>
      </c>
      <c r="O37" s="87" t="s">
        <v>7</v>
      </c>
      <c r="P37" s="87">
        <v>90</v>
      </c>
      <c r="Q37" s="87">
        <v>90</v>
      </c>
      <c r="R37" s="94">
        <f t="shared" si="11"/>
        <v>0</v>
      </c>
      <c r="S37" s="89"/>
      <c r="T37" s="89"/>
      <c r="U37" s="87" t="s">
        <v>24</v>
      </c>
      <c r="V37" s="87" t="s">
        <v>460</v>
      </c>
      <c r="W37" s="87" t="s">
        <v>4</v>
      </c>
      <c r="X37" s="87"/>
      <c r="Y37" s="87">
        <v>2.25</v>
      </c>
      <c r="Z37" s="87">
        <v>0.9</v>
      </c>
      <c r="AA37" s="88">
        <f t="shared" si="12"/>
        <v>4938.2716049382716</v>
      </c>
      <c r="AB37" s="87" t="s">
        <v>329</v>
      </c>
      <c r="AC37" s="90" t="s">
        <v>7</v>
      </c>
      <c r="AD37" s="89" t="s">
        <v>7</v>
      </c>
      <c r="AE37" s="87" t="s">
        <v>7</v>
      </c>
      <c r="AF37" s="87" t="str">
        <f t="shared" si="13"/>
        <v>NA</v>
      </c>
      <c r="AG37" s="87">
        <f t="shared" si="14"/>
        <v>0.33749999999999997</v>
      </c>
      <c r="AH37" s="87">
        <f t="shared" si="15"/>
        <v>0.33749999999999997</v>
      </c>
      <c r="AI37" s="153">
        <f t="shared" si="16"/>
        <v>0</v>
      </c>
      <c r="AJ37" s="2" t="str">
        <f t="shared" si="17"/>
        <v>NA</v>
      </c>
    </row>
    <row r="38" spans="1:36" x14ac:dyDescent="0.3">
      <c r="A38" s="211">
        <v>6</v>
      </c>
      <c r="B3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38" s="2" t="str">
        <f t="shared" si="9"/>
        <v>E6I1</v>
      </c>
      <c r="D38" t="str">
        <f t="shared" si="10"/>
        <v>E6</v>
      </c>
      <c r="E38" s="87" t="s">
        <v>353</v>
      </c>
      <c r="F38" s="157">
        <v>1.2</v>
      </c>
      <c r="G38" s="87" t="s">
        <v>438</v>
      </c>
      <c r="H38" s="87" t="s">
        <v>509</v>
      </c>
      <c r="I38" s="87"/>
      <c r="J38" s="87"/>
      <c r="K38" s="87" t="s">
        <v>292</v>
      </c>
      <c r="L38" s="87" t="s">
        <v>37</v>
      </c>
      <c r="M38" s="87"/>
      <c r="N38" s="89">
        <v>12</v>
      </c>
      <c r="O38" s="87" t="s">
        <v>7</v>
      </c>
      <c r="P38" s="87">
        <v>90</v>
      </c>
      <c r="Q38" s="87">
        <v>90</v>
      </c>
      <c r="R38" s="94">
        <f t="shared" si="11"/>
        <v>0</v>
      </c>
      <c r="S38" s="89"/>
      <c r="T38" s="89"/>
      <c r="U38" s="87" t="s">
        <v>24</v>
      </c>
      <c r="V38" s="87" t="s">
        <v>460</v>
      </c>
      <c r="W38" s="87" t="s">
        <v>4</v>
      </c>
      <c r="X38" s="87"/>
      <c r="Y38" s="87">
        <v>2.25</v>
      </c>
      <c r="Z38" s="87">
        <v>0.9</v>
      </c>
      <c r="AA38" s="88">
        <f t="shared" si="12"/>
        <v>4938.2716049382716</v>
      </c>
      <c r="AB38" s="87" t="s">
        <v>329</v>
      </c>
      <c r="AC38" s="90" t="s">
        <v>7</v>
      </c>
      <c r="AD38" s="89" t="s">
        <v>7</v>
      </c>
      <c r="AE38" s="87" t="s">
        <v>7</v>
      </c>
      <c r="AF38" s="87" t="str">
        <f t="shared" si="13"/>
        <v>NA</v>
      </c>
      <c r="AG38" s="87">
        <f t="shared" si="14"/>
        <v>0.33749999999999997</v>
      </c>
      <c r="AH38" s="87">
        <f t="shared" si="15"/>
        <v>0.33749999999999997</v>
      </c>
      <c r="AI38" s="153">
        <f t="shared" si="16"/>
        <v>0</v>
      </c>
      <c r="AJ38" s="2" t="str">
        <f t="shared" si="17"/>
        <v>NA</v>
      </c>
    </row>
    <row r="39" spans="1:36" x14ac:dyDescent="0.3">
      <c r="A39" s="211">
        <v>6</v>
      </c>
      <c r="B3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39" s="2" t="str">
        <f t="shared" si="9"/>
        <v>E6I1</v>
      </c>
      <c r="D39" t="str">
        <f t="shared" si="10"/>
        <v>E6</v>
      </c>
      <c r="E39" s="87" t="s">
        <v>354</v>
      </c>
      <c r="F39" s="157">
        <v>3</v>
      </c>
      <c r="G39" s="87" t="s">
        <v>439</v>
      </c>
      <c r="H39" s="87" t="s">
        <v>509</v>
      </c>
      <c r="I39" s="87"/>
      <c r="J39" s="87"/>
      <c r="K39" s="87" t="s">
        <v>292</v>
      </c>
      <c r="L39" s="87" t="s">
        <v>37</v>
      </c>
      <c r="M39" s="87"/>
      <c r="N39" s="89">
        <v>12</v>
      </c>
      <c r="O39" s="87" t="s">
        <v>7</v>
      </c>
      <c r="P39" s="87">
        <v>90</v>
      </c>
      <c r="Q39" s="87">
        <v>90</v>
      </c>
      <c r="R39" s="94">
        <f t="shared" si="11"/>
        <v>0</v>
      </c>
      <c r="S39" s="89"/>
      <c r="T39" s="89"/>
      <c r="U39" s="87" t="s">
        <v>24</v>
      </c>
      <c r="V39" s="87" t="s">
        <v>460</v>
      </c>
      <c r="W39" s="87" t="s">
        <v>4</v>
      </c>
      <c r="X39" s="87"/>
      <c r="Y39" s="87">
        <v>2.25</v>
      </c>
      <c r="Z39" s="87">
        <v>0.9</v>
      </c>
      <c r="AA39" s="88">
        <f t="shared" si="12"/>
        <v>4938.2716049382716</v>
      </c>
      <c r="AB39" s="87" t="s">
        <v>329</v>
      </c>
      <c r="AC39" s="90" t="s">
        <v>7</v>
      </c>
      <c r="AD39" s="89" t="s">
        <v>7</v>
      </c>
      <c r="AE39" s="87" t="s">
        <v>7</v>
      </c>
      <c r="AF39" s="87" t="str">
        <f t="shared" si="13"/>
        <v>NA</v>
      </c>
      <c r="AG39" s="87">
        <f t="shared" si="14"/>
        <v>0.33749999999999997</v>
      </c>
      <c r="AH39" s="87">
        <f t="shared" si="15"/>
        <v>0.33749999999999997</v>
      </c>
      <c r="AI39" s="153">
        <f t="shared" si="16"/>
        <v>0</v>
      </c>
      <c r="AJ39" s="2" t="str">
        <f t="shared" si="17"/>
        <v>NA</v>
      </c>
    </row>
    <row r="40" spans="1:36" x14ac:dyDescent="0.3">
      <c r="A40" s="211">
        <v>6</v>
      </c>
      <c r="B4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40" s="2" t="str">
        <f t="shared" si="9"/>
        <v>E6I1</v>
      </c>
      <c r="D40" t="str">
        <f t="shared" si="10"/>
        <v>E6</v>
      </c>
      <c r="E40" s="87" t="s">
        <v>355</v>
      </c>
      <c r="F40" s="157">
        <v>1.7</v>
      </c>
      <c r="G40" s="87" t="s">
        <v>306</v>
      </c>
      <c r="H40" s="87" t="s">
        <v>509</v>
      </c>
      <c r="I40" s="87"/>
      <c r="J40" s="87"/>
      <c r="K40" s="87" t="s">
        <v>292</v>
      </c>
      <c r="L40" s="87" t="s">
        <v>37</v>
      </c>
      <c r="M40" s="87"/>
      <c r="N40" s="89">
        <v>1</v>
      </c>
      <c r="O40" s="87" t="s">
        <v>7</v>
      </c>
      <c r="P40" s="87">
        <v>90</v>
      </c>
      <c r="Q40" s="87">
        <v>90</v>
      </c>
      <c r="R40" s="94">
        <f t="shared" si="11"/>
        <v>0</v>
      </c>
      <c r="S40" s="89"/>
      <c r="T40" s="89"/>
      <c r="U40" s="87" t="s">
        <v>24</v>
      </c>
      <c r="V40" s="87" t="s">
        <v>459</v>
      </c>
      <c r="W40" s="87" t="s">
        <v>7</v>
      </c>
      <c r="X40" s="87"/>
      <c r="Y40" s="87">
        <v>2.25</v>
      </c>
      <c r="Z40" s="87">
        <v>0.9</v>
      </c>
      <c r="AA40" s="88">
        <f t="shared" si="12"/>
        <v>4938.2716049382716</v>
      </c>
      <c r="AB40" s="87" t="s">
        <v>329</v>
      </c>
      <c r="AC40" s="90" t="s">
        <v>7</v>
      </c>
      <c r="AD40" s="89" t="s">
        <v>7</v>
      </c>
      <c r="AE40" s="87" t="s">
        <v>7</v>
      </c>
      <c r="AF40" s="87" t="str">
        <f t="shared" si="13"/>
        <v>NA</v>
      </c>
      <c r="AG40" s="87">
        <f t="shared" si="14"/>
        <v>0.33749999999999997</v>
      </c>
      <c r="AH40" s="87">
        <f t="shared" si="15"/>
        <v>0.33749999999999997</v>
      </c>
      <c r="AI40" s="153">
        <f t="shared" si="16"/>
        <v>0</v>
      </c>
      <c r="AJ40" s="2" t="str">
        <f t="shared" si="17"/>
        <v>NA</v>
      </c>
    </row>
    <row r="41" spans="1:36" x14ac:dyDescent="0.3">
      <c r="A41" s="211">
        <v>7</v>
      </c>
      <c r="B4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41" s="2" t="str">
        <f t="shared" si="9"/>
        <v>E7I1</v>
      </c>
      <c r="D41" t="str">
        <f t="shared" si="10"/>
        <v>E7</v>
      </c>
      <c r="E41" s="87" t="s">
        <v>1018</v>
      </c>
      <c r="F41" s="157">
        <v>0.6</v>
      </c>
      <c r="G41" s="87" t="s">
        <v>386</v>
      </c>
      <c r="H41" s="87"/>
      <c r="I41" s="87"/>
      <c r="J41" s="87"/>
      <c r="K41" s="87" t="s">
        <v>292</v>
      </c>
      <c r="L41" s="87" t="s">
        <v>7</v>
      </c>
      <c r="M41" s="87"/>
      <c r="N41" s="87" t="s">
        <v>7</v>
      </c>
      <c r="O41" s="87" t="s">
        <v>7</v>
      </c>
      <c r="P41" s="87">
        <v>90</v>
      </c>
      <c r="Q41" s="87">
        <v>110</v>
      </c>
      <c r="R41" s="94">
        <f t="shared" si="11"/>
        <v>0.18181818181818188</v>
      </c>
      <c r="S41" s="89"/>
      <c r="T41" s="89"/>
      <c r="U41" s="87" t="s">
        <v>24</v>
      </c>
      <c r="V41" s="87" t="s">
        <v>460</v>
      </c>
      <c r="W41" s="87"/>
      <c r="X41" s="87"/>
      <c r="Y41" s="87">
        <v>2</v>
      </c>
      <c r="Z41" s="87">
        <v>1.2</v>
      </c>
      <c r="AA41" s="88">
        <f t="shared" si="12"/>
        <v>4166.666666666667</v>
      </c>
      <c r="AB41" s="87" t="s">
        <v>7</v>
      </c>
      <c r="AC41" s="87" t="s">
        <v>7</v>
      </c>
      <c r="AD41" s="87" t="s">
        <v>7</v>
      </c>
      <c r="AE41" s="87" t="s">
        <v>7</v>
      </c>
      <c r="AF41" s="87" t="str">
        <f t="shared" si="13"/>
        <v>NA</v>
      </c>
      <c r="AG41" s="87">
        <f t="shared" si="14"/>
        <v>0.3</v>
      </c>
      <c r="AH41" s="87">
        <f t="shared" si="15"/>
        <v>0.3</v>
      </c>
      <c r="AI41" s="153">
        <f t="shared" si="16"/>
        <v>3.6363636363636376E-2</v>
      </c>
      <c r="AJ41" s="2" t="str">
        <f t="shared" si="17"/>
        <v>NA</v>
      </c>
    </row>
    <row r="42" spans="1:36" x14ac:dyDescent="0.3">
      <c r="A42" s="211">
        <v>7</v>
      </c>
      <c r="B4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42" s="2" t="str">
        <f t="shared" si="9"/>
        <v>E7I1</v>
      </c>
      <c r="D42" t="str">
        <f t="shared" si="10"/>
        <v>E7</v>
      </c>
      <c r="E42" s="87" t="s">
        <v>1019</v>
      </c>
      <c r="F42" s="157">
        <v>0.9</v>
      </c>
      <c r="G42" s="87" t="s">
        <v>297</v>
      </c>
      <c r="H42" s="87"/>
      <c r="I42" s="87"/>
      <c r="J42" s="87"/>
      <c r="K42" s="87" t="s">
        <v>292</v>
      </c>
      <c r="L42" s="87" t="s">
        <v>7</v>
      </c>
      <c r="M42" s="87"/>
      <c r="N42" s="87" t="s">
        <v>7</v>
      </c>
      <c r="O42" s="87" t="s">
        <v>7</v>
      </c>
      <c r="P42" s="87">
        <v>90</v>
      </c>
      <c r="Q42" s="87">
        <v>110</v>
      </c>
      <c r="R42" s="94">
        <f t="shared" si="11"/>
        <v>0.18181818181818188</v>
      </c>
      <c r="S42" s="89"/>
      <c r="T42" s="89"/>
      <c r="U42" s="87" t="s">
        <v>24</v>
      </c>
      <c r="V42" s="87" t="s">
        <v>460</v>
      </c>
      <c r="W42" s="87"/>
      <c r="X42" s="87"/>
      <c r="Y42" s="87">
        <v>2</v>
      </c>
      <c r="Z42" s="87">
        <v>1.2</v>
      </c>
      <c r="AA42" s="88">
        <f t="shared" si="12"/>
        <v>4166.666666666667</v>
      </c>
      <c r="AB42" s="87" t="s">
        <v>7</v>
      </c>
      <c r="AC42" s="87" t="s">
        <v>7</v>
      </c>
      <c r="AD42" s="87" t="s">
        <v>7</v>
      </c>
      <c r="AE42" s="87" t="s">
        <v>7</v>
      </c>
      <c r="AF42" s="87" t="str">
        <f t="shared" si="13"/>
        <v>NA</v>
      </c>
      <c r="AG42" s="87">
        <f t="shared" si="14"/>
        <v>0.3</v>
      </c>
      <c r="AH42" s="87">
        <f t="shared" si="15"/>
        <v>0.3</v>
      </c>
      <c r="AI42" s="153">
        <f t="shared" si="16"/>
        <v>3.6363636363636376E-2</v>
      </c>
      <c r="AJ42" s="2" t="str">
        <f t="shared" si="17"/>
        <v>NA</v>
      </c>
    </row>
    <row r="43" spans="1:36" x14ac:dyDescent="0.3">
      <c r="A43" s="211">
        <v>7</v>
      </c>
      <c r="B4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43" s="2" t="str">
        <f t="shared" si="9"/>
        <v>E7I1</v>
      </c>
      <c r="D43" t="str">
        <f t="shared" si="10"/>
        <v>E7</v>
      </c>
      <c r="E43" s="87" t="s">
        <v>1020</v>
      </c>
      <c r="F43" s="157">
        <v>2.1</v>
      </c>
      <c r="G43" s="87" t="s">
        <v>308</v>
      </c>
      <c r="H43" s="87"/>
      <c r="I43" s="87"/>
      <c r="J43" s="87"/>
      <c r="K43" s="87" t="s">
        <v>292</v>
      </c>
      <c r="L43" s="87" t="s">
        <v>7</v>
      </c>
      <c r="M43" s="87"/>
      <c r="N43" s="87">
        <v>1</v>
      </c>
      <c r="O43" s="87" t="s">
        <v>7</v>
      </c>
      <c r="P43" s="87">
        <v>90</v>
      </c>
      <c r="Q43" s="87">
        <v>110</v>
      </c>
      <c r="R43" s="94">
        <f t="shared" si="11"/>
        <v>0.18181818181818188</v>
      </c>
      <c r="S43" s="89"/>
      <c r="T43" s="89"/>
      <c r="U43" s="87" t="s">
        <v>24</v>
      </c>
      <c r="V43" s="87" t="s">
        <v>460</v>
      </c>
      <c r="W43" s="87"/>
      <c r="X43" s="87"/>
      <c r="Y43" s="87">
        <v>2</v>
      </c>
      <c r="Z43" s="87">
        <v>1.2</v>
      </c>
      <c r="AA43" s="88">
        <f t="shared" si="12"/>
        <v>4166.6666666666661</v>
      </c>
      <c r="AB43" s="87" t="s">
        <v>7</v>
      </c>
      <c r="AC43" s="87" t="s">
        <v>7</v>
      </c>
      <c r="AD43" s="87" t="s">
        <v>7</v>
      </c>
      <c r="AE43" s="87" t="s">
        <v>7</v>
      </c>
      <c r="AF43" s="87" t="str">
        <f t="shared" si="13"/>
        <v>NA</v>
      </c>
      <c r="AG43" s="87">
        <f t="shared" si="14"/>
        <v>0.3</v>
      </c>
      <c r="AH43" s="87">
        <f t="shared" si="15"/>
        <v>0.3</v>
      </c>
      <c r="AI43" s="153">
        <f t="shared" si="16"/>
        <v>3.6363636363636376E-2</v>
      </c>
      <c r="AJ43" s="2" t="str">
        <f t="shared" si="17"/>
        <v>NA</v>
      </c>
    </row>
    <row r="44" spans="1:36" x14ac:dyDescent="0.3">
      <c r="A44" s="211">
        <v>7</v>
      </c>
      <c r="B4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44" s="2" t="str">
        <f t="shared" si="9"/>
        <v>E7I1</v>
      </c>
      <c r="D44" t="str">
        <f t="shared" si="10"/>
        <v>E7</v>
      </c>
      <c r="E44" s="87" t="s">
        <v>1021</v>
      </c>
      <c r="F44" s="157">
        <v>1.6</v>
      </c>
      <c r="G44" s="87" t="s">
        <v>291</v>
      </c>
      <c r="H44" s="87"/>
      <c r="I44" s="87"/>
      <c r="J44" s="87"/>
      <c r="K44" s="87" t="s">
        <v>292</v>
      </c>
      <c r="L44" s="87" t="s">
        <v>7</v>
      </c>
      <c r="M44" s="87"/>
      <c r="N44" s="87" t="s">
        <v>7</v>
      </c>
      <c r="O44" s="87" t="s">
        <v>7</v>
      </c>
      <c r="P44" s="87">
        <v>90</v>
      </c>
      <c r="Q44" s="87">
        <v>110</v>
      </c>
      <c r="R44" s="94">
        <f t="shared" si="11"/>
        <v>0.18181818181818188</v>
      </c>
      <c r="S44" s="89"/>
      <c r="T44" s="89"/>
      <c r="U44" s="87" t="s">
        <v>24</v>
      </c>
      <c r="V44" s="87" t="s">
        <v>460</v>
      </c>
      <c r="W44" s="87"/>
      <c r="X44" s="87"/>
      <c r="Y44" s="87">
        <v>2</v>
      </c>
      <c r="Z44" s="87">
        <v>1.2</v>
      </c>
      <c r="AA44" s="88">
        <f t="shared" si="12"/>
        <v>4166.666666666667</v>
      </c>
      <c r="AB44" s="87" t="s">
        <v>7</v>
      </c>
      <c r="AC44" s="87" t="s">
        <v>7</v>
      </c>
      <c r="AD44" s="87" t="s">
        <v>7</v>
      </c>
      <c r="AE44" s="87" t="s">
        <v>7</v>
      </c>
      <c r="AF44" s="87" t="str">
        <f t="shared" si="13"/>
        <v>NA</v>
      </c>
      <c r="AG44" s="87">
        <f t="shared" si="14"/>
        <v>0.3</v>
      </c>
      <c r="AH44" s="87">
        <f t="shared" si="15"/>
        <v>0.3</v>
      </c>
      <c r="AI44" s="153">
        <f t="shared" si="16"/>
        <v>3.6363636363636376E-2</v>
      </c>
      <c r="AJ44" s="2" t="str">
        <f t="shared" si="17"/>
        <v>NA</v>
      </c>
    </row>
    <row r="45" spans="1:36" x14ac:dyDescent="0.3">
      <c r="A45" s="211">
        <v>7</v>
      </c>
      <c r="B4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45" s="2" t="str">
        <f t="shared" si="9"/>
        <v>E7I1</v>
      </c>
      <c r="D45" t="str">
        <f t="shared" si="10"/>
        <v>E7</v>
      </c>
      <c r="E45" s="87" t="s">
        <v>1022</v>
      </c>
      <c r="F45" s="157">
        <v>0.76</v>
      </c>
      <c r="G45" s="87" t="s">
        <v>308</v>
      </c>
      <c r="H45" s="87"/>
      <c r="I45" s="87"/>
      <c r="J45" s="87"/>
      <c r="K45" s="87" t="s">
        <v>292</v>
      </c>
      <c r="L45" s="87" t="s">
        <v>7</v>
      </c>
      <c r="M45" s="87"/>
      <c r="N45" s="87" t="s">
        <v>7</v>
      </c>
      <c r="O45" s="87" t="s">
        <v>7</v>
      </c>
      <c r="P45" s="87">
        <v>90</v>
      </c>
      <c r="Q45" s="87">
        <v>110</v>
      </c>
      <c r="R45" s="94">
        <f t="shared" si="11"/>
        <v>0.18181818181818188</v>
      </c>
      <c r="S45" s="89"/>
      <c r="T45" s="89"/>
      <c r="U45" s="87" t="s">
        <v>24</v>
      </c>
      <c r="V45" s="87" t="s">
        <v>460</v>
      </c>
      <c r="W45" s="87"/>
      <c r="X45" s="87"/>
      <c r="Y45" s="87">
        <v>2</v>
      </c>
      <c r="Z45" s="87">
        <v>1.2</v>
      </c>
      <c r="AA45" s="88">
        <f t="shared" si="12"/>
        <v>4166.666666666667</v>
      </c>
      <c r="AB45" s="87" t="s">
        <v>7</v>
      </c>
      <c r="AC45" s="87" t="s">
        <v>7</v>
      </c>
      <c r="AD45" s="87" t="s">
        <v>7</v>
      </c>
      <c r="AE45" s="87" t="s">
        <v>7</v>
      </c>
      <c r="AF45" s="87" t="str">
        <f t="shared" si="13"/>
        <v>NA</v>
      </c>
      <c r="AG45" s="87">
        <f t="shared" si="14"/>
        <v>0.3</v>
      </c>
      <c r="AH45" s="87">
        <f t="shared" si="15"/>
        <v>0.3</v>
      </c>
      <c r="AI45" s="153">
        <f t="shared" si="16"/>
        <v>3.6363636363636376E-2</v>
      </c>
      <c r="AJ45" s="2" t="str">
        <f t="shared" si="17"/>
        <v>NA</v>
      </c>
    </row>
    <row r="46" spans="1:36" x14ac:dyDescent="0.3">
      <c r="A46" s="211">
        <v>7</v>
      </c>
      <c r="B4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46" s="2" t="str">
        <f t="shared" si="9"/>
        <v>E7I1</v>
      </c>
      <c r="D46" t="str">
        <f t="shared" si="10"/>
        <v>E7</v>
      </c>
      <c r="E46" s="87" t="s">
        <v>1023</v>
      </c>
      <c r="F46" s="157">
        <v>1</v>
      </c>
      <c r="G46" s="87" t="s">
        <v>308</v>
      </c>
      <c r="H46" s="87"/>
      <c r="I46" s="87"/>
      <c r="J46" s="87"/>
      <c r="K46" s="87" t="s">
        <v>292</v>
      </c>
      <c r="L46" s="87" t="s">
        <v>7</v>
      </c>
      <c r="M46" s="87"/>
      <c r="N46" s="87">
        <v>31</v>
      </c>
      <c r="O46" s="87" t="s">
        <v>7</v>
      </c>
      <c r="P46" s="87">
        <v>90</v>
      </c>
      <c r="Q46" s="87">
        <v>110</v>
      </c>
      <c r="R46" s="94">
        <f t="shared" si="11"/>
        <v>0.18181818181818188</v>
      </c>
      <c r="S46" s="89"/>
      <c r="T46" s="89"/>
      <c r="U46" s="87" t="s">
        <v>24</v>
      </c>
      <c r="V46" s="87" t="s">
        <v>460</v>
      </c>
      <c r="W46" s="87"/>
      <c r="X46" s="87"/>
      <c r="Y46" s="87">
        <v>2</v>
      </c>
      <c r="Z46" s="87">
        <v>1.2</v>
      </c>
      <c r="AA46" s="88">
        <f t="shared" si="12"/>
        <v>4166.666666666667</v>
      </c>
      <c r="AB46" s="87" t="s">
        <v>7</v>
      </c>
      <c r="AC46" s="87" t="s">
        <v>7</v>
      </c>
      <c r="AD46" s="87" t="s">
        <v>7</v>
      </c>
      <c r="AE46" s="87" t="s">
        <v>7</v>
      </c>
      <c r="AF46" s="87" t="str">
        <f t="shared" si="13"/>
        <v>NA</v>
      </c>
      <c r="AG46" s="87">
        <f t="shared" si="14"/>
        <v>0.3</v>
      </c>
      <c r="AH46" s="87">
        <f t="shared" si="15"/>
        <v>0.3</v>
      </c>
      <c r="AI46" s="153">
        <f t="shared" si="16"/>
        <v>3.6363636363636376E-2</v>
      </c>
      <c r="AJ46" s="2" t="str">
        <f t="shared" si="17"/>
        <v>NA</v>
      </c>
    </row>
    <row r="47" spans="1:36" x14ac:dyDescent="0.3">
      <c r="A47" s="211">
        <v>7</v>
      </c>
      <c r="B4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47" s="2" t="str">
        <f t="shared" si="9"/>
        <v>E7I1</v>
      </c>
      <c r="D47" t="str">
        <f t="shared" si="10"/>
        <v>E7</v>
      </c>
      <c r="E47" s="87" t="s">
        <v>1024</v>
      </c>
      <c r="F47" s="157">
        <v>1.45</v>
      </c>
      <c r="G47" s="87" t="s">
        <v>306</v>
      </c>
      <c r="H47" s="87"/>
      <c r="I47" s="87"/>
      <c r="J47" s="87"/>
      <c r="K47" s="87" t="s">
        <v>292</v>
      </c>
      <c r="L47" s="87" t="s">
        <v>7</v>
      </c>
      <c r="M47" s="87"/>
      <c r="N47" s="87" t="s">
        <v>7</v>
      </c>
      <c r="O47" s="87" t="s">
        <v>7</v>
      </c>
      <c r="P47" s="87">
        <v>90</v>
      </c>
      <c r="Q47" s="87">
        <v>110</v>
      </c>
      <c r="R47" s="94">
        <f t="shared" si="11"/>
        <v>0.18181818181818188</v>
      </c>
      <c r="S47" s="89"/>
      <c r="T47" s="89"/>
      <c r="U47" s="87" t="s">
        <v>24</v>
      </c>
      <c r="V47" s="87" t="s">
        <v>460</v>
      </c>
      <c r="W47" s="87"/>
      <c r="X47" s="87"/>
      <c r="Y47" s="87">
        <v>2</v>
      </c>
      <c r="Z47" s="87">
        <v>1.2</v>
      </c>
      <c r="AA47" s="88">
        <f t="shared" si="12"/>
        <v>4166.666666666667</v>
      </c>
      <c r="AB47" s="87" t="s">
        <v>7</v>
      </c>
      <c r="AC47" s="87" t="s">
        <v>7</v>
      </c>
      <c r="AD47" s="87" t="s">
        <v>7</v>
      </c>
      <c r="AE47" s="87" t="s">
        <v>7</v>
      </c>
      <c r="AF47" s="87" t="str">
        <f t="shared" si="13"/>
        <v>NA</v>
      </c>
      <c r="AG47" s="87">
        <f t="shared" si="14"/>
        <v>0.3</v>
      </c>
      <c r="AH47" s="87">
        <f t="shared" si="15"/>
        <v>0.3</v>
      </c>
      <c r="AI47" s="153">
        <f t="shared" si="16"/>
        <v>3.6363636363636376E-2</v>
      </c>
      <c r="AJ47" s="2" t="str">
        <f t="shared" si="17"/>
        <v>NA</v>
      </c>
    </row>
    <row r="48" spans="1:36" x14ac:dyDescent="0.3">
      <c r="A48" s="211">
        <v>7</v>
      </c>
      <c r="B4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48" s="2" t="str">
        <f t="shared" si="9"/>
        <v>E7I1</v>
      </c>
      <c r="D48" t="str">
        <f t="shared" si="10"/>
        <v>E7</v>
      </c>
      <c r="E48" s="87" t="s">
        <v>1025</v>
      </c>
      <c r="F48" s="157">
        <v>1.2</v>
      </c>
      <c r="G48" s="87" t="s">
        <v>379</v>
      </c>
      <c r="H48" s="87"/>
      <c r="I48" s="87"/>
      <c r="J48" s="87"/>
      <c r="K48" s="87" t="s">
        <v>292</v>
      </c>
      <c r="L48" s="87" t="s">
        <v>7</v>
      </c>
      <c r="M48" s="87"/>
      <c r="N48" s="87" t="s">
        <v>7</v>
      </c>
      <c r="O48" s="87" t="s">
        <v>7</v>
      </c>
      <c r="P48" s="87">
        <v>90</v>
      </c>
      <c r="Q48" s="87">
        <v>110</v>
      </c>
      <c r="R48" s="94">
        <f t="shared" si="11"/>
        <v>0.18181818181818188</v>
      </c>
      <c r="S48" s="89"/>
      <c r="T48" s="89"/>
      <c r="U48" s="87" t="s">
        <v>24</v>
      </c>
      <c r="V48" s="87" t="s">
        <v>460</v>
      </c>
      <c r="W48" s="87"/>
      <c r="X48" s="87"/>
      <c r="Y48" s="87">
        <v>2</v>
      </c>
      <c r="Z48" s="87">
        <v>1.2</v>
      </c>
      <c r="AA48" s="88">
        <f t="shared" si="12"/>
        <v>4166.666666666667</v>
      </c>
      <c r="AB48" s="87" t="s">
        <v>7</v>
      </c>
      <c r="AC48" s="87" t="s">
        <v>7</v>
      </c>
      <c r="AD48" s="87" t="s">
        <v>7</v>
      </c>
      <c r="AE48" s="87" t="s">
        <v>7</v>
      </c>
      <c r="AF48" s="87" t="str">
        <f t="shared" si="13"/>
        <v>NA</v>
      </c>
      <c r="AG48" s="87">
        <f t="shared" si="14"/>
        <v>0.3</v>
      </c>
      <c r="AH48" s="87">
        <f t="shared" si="15"/>
        <v>0.3</v>
      </c>
      <c r="AI48" s="153">
        <f t="shared" si="16"/>
        <v>3.6363636363636376E-2</v>
      </c>
      <c r="AJ48" s="2" t="str">
        <f t="shared" si="17"/>
        <v>NA</v>
      </c>
    </row>
    <row r="49" spans="1:36" x14ac:dyDescent="0.3">
      <c r="A49" s="211">
        <v>7</v>
      </c>
      <c r="B4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49" s="2" t="str">
        <f t="shared" si="9"/>
        <v>E7I1</v>
      </c>
      <c r="D49" t="str">
        <f t="shared" si="10"/>
        <v>E7</v>
      </c>
      <c r="E49" s="87" t="s">
        <v>1026</v>
      </c>
      <c r="F49" s="157">
        <v>0.8</v>
      </c>
      <c r="G49" s="87" t="s">
        <v>308</v>
      </c>
      <c r="H49" s="87"/>
      <c r="I49" s="87"/>
      <c r="J49" s="87"/>
      <c r="K49" s="87" t="s">
        <v>292</v>
      </c>
      <c r="L49" s="87" t="s">
        <v>7</v>
      </c>
      <c r="M49" s="87"/>
      <c r="N49" s="87">
        <v>31</v>
      </c>
      <c r="O49" s="87" t="s">
        <v>7</v>
      </c>
      <c r="P49" s="87">
        <v>90</v>
      </c>
      <c r="Q49" s="87">
        <v>110</v>
      </c>
      <c r="R49" s="94">
        <f t="shared" si="11"/>
        <v>0.18181818181818188</v>
      </c>
      <c r="S49" s="89"/>
      <c r="T49" s="89"/>
      <c r="U49" s="87" t="s">
        <v>24</v>
      </c>
      <c r="V49" s="87" t="s">
        <v>460</v>
      </c>
      <c r="W49" s="87"/>
      <c r="X49" s="87"/>
      <c r="Y49" s="87">
        <v>2</v>
      </c>
      <c r="Z49" s="87">
        <v>1.2</v>
      </c>
      <c r="AA49" s="88">
        <f t="shared" si="12"/>
        <v>4166.666666666667</v>
      </c>
      <c r="AB49" s="87" t="s">
        <v>7</v>
      </c>
      <c r="AC49" s="87" t="s">
        <v>7</v>
      </c>
      <c r="AD49" s="87" t="s">
        <v>7</v>
      </c>
      <c r="AE49" s="87" t="s">
        <v>7</v>
      </c>
      <c r="AF49" s="87" t="str">
        <f t="shared" si="13"/>
        <v>NA</v>
      </c>
      <c r="AG49" s="87">
        <f t="shared" si="14"/>
        <v>0.3</v>
      </c>
      <c r="AH49" s="87">
        <f t="shared" si="15"/>
        <v>0.3</v>
      </c>
      <c r="AI49" s="153">
        <f t="shared" si="16"/>
        <v>3.6363636363636376E-2</v>
      </c>
      <c r="AJ49" s="2" t="str">
        <f t="shared" si="17"/>
        <v>NA</v>
      </c>
    </row>
    <row r="50" spans="1:36" x14ac:dyDescent="0.3">
      <c r="A50" s="211">
        <v>7</v>
      </c>
      <c r="B5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50" s="2" t="str">
        <f t="shared" si="9"/>
        <v>E7I2</v>
      </c>
      <c r="D50" t="str">
        <f t="shared" si="10"/>
        <v>E7</v>
      </c>
      <c r="E50" s="87" t="s">
        <v>1027</v>
      </c>
      <c r="F50" s="157">
        <v>1.0900000000000001</v>
      </c>
      <c r="G50" s="87" t="s">
        <v>439</v>
      </c>
      <c r="H50" s="87"/>
      <c r="I50" s="87"/>
      <c r="J50" s="87"/>
      <c r="K50" s="87" t="s">
        <v>292</v>
      </c>
      <c r="L50" s="87" t="s">
        <v>7</v>
      </c>
      <c r="M50" s="87"/>
      <c r="N50" s="87" t="s">
        <v>7</v>
      </c>
      <c r="O50" s="87" t="s">
        <v>7</v>
      </c>
      <c r="P50" s="87">
        <v>140</v>
      </c>
      <c r="Q50" s="87">
        <v>110</v>
      </c>
      <c r="R50" s="94">
        <f t="shared" si="11"/>
        <v>-0.27272727272727265</v>
      </c>
      <c r="S50" s="89"/>
      <c r="T50" s="89"/>
      <c r="U50" s="87" t="s">
        <v>9</v>
      </c>
      <c r="V50" s="87" t="s">
        <v>459</v>
      </c>
      <c r="W50" s="87"/>
      <c r="X50" s="87"/>
      <c r="Y50" s="87">
        <v>2</v>
      </c>
      <c r="Z50" s="87">
        <v>1.2</v>
      </c>
      <c r="AA50" s="88">
        <f t="shared" si="12"/>
        <v>4166.666666666667</v>
      </c>
      <c r="AB50" s="87" t="s">
        <v>7</v>
      </c>
      <c r="AC50" s="87" t="s">
        <v>7</v>
      </c>
      <c r="AD50" s="87" t="s">
        <v>7</v>
      </c>
      <c r="AE50" s="87" t="s">
        <v>7</v>
      </c>
      <c r="AF50" s="87" t="str">
        <f t="shared" si="13"/>
        <v>NA</v>
      </c>
      <c r="AG50" s="87">
        <f t="shared" si="14"/>
        <v>0.3</v>
      </c>
      <c r="AH50" s="87">
        <f t="shared" si="15"/>
        <v>0.3</v>
      </c>
      <c r="AI50" s="153">
        <f t="shared" si="16"/>
        <v>-5.4545454545454529E-2</v>
      </c>
      <c r="AJ50" s="2" t="str">
        <f t="shared" si="17"/>
        <v>NA</v>
      </c>
    </row>
    <row r="51" spans="1:36" x14ac:dyDescent="0.3">
      <c r="A51" s="211">
        <v>7</v>
      </c>
      <c r="B5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51" s="2" t="str">
        <f t="shared" si="9"/>
        <v>E7I2</v>
      </c>
      <c r="D51" t="str">
        <f t="shared" si="10"/>
        <v>E7</v>
      </c>
      <c r="E51" s="87" t="s">
        <v>1028</v>
      </c>
      <c r="F51" s="157">
        <v>1.57</v>
      </c>
      <c r="G51" s="87" t="s">
        <v>344</v>
      </c>
      <c r="H51" s="87"/>
      <c r="I51" s="87"/>
      <c r="J51" s="87"/>
      <c r="K51" s="87" t="s">
        <v>292</v>
      </c>
      <c r="L51" s="87" t="s">
        <v>7</v>
      </c>
      <c r="M51" s="87"/>
      <c r="N51" s="87" t="s">
        <v>7</v>
      </c>
      <c r="O51" s="87" t="s">
        <v>7</v>
      </c>
      <c r="P51" s="87">
        <v>140</v>
      </c>
      <c r="Q51" s="87">
        <v>110</v>
      </c>
      <c r="R51" s="94">
        <f t="shared" si="11"/>
        <v>-0.27272727272727265</v>
      </c>
      <c r="S51" s="89"/>
      <c r="T51" s="89"/>
      <c r="U51" s="87" t="s">
        <v>9</v>
      </c>
      <c r="V51" s="87" t="s">
        <v>459</v>
      </c>
      <c r="W51" s="87"/>
      <c r="X51" s="87"/>
      <c r="Y51" s="87">
        <v>2</v>
      </c>
      <c r="Z51" s="87">
        <v>1.2</v>
      </c>
      <c r="AA51" s="88">
        <f t="shared" si="12"/>
        <v>4166.666666666667</v>
      </c>
      <c r="AB51" s="87" t="s">
        <v>7</v>
      </c>
      <c r="AC51" s="87" t="s">
        <v>7</v>
      </c>
      <c r="AD51" s="87" t="s">
        <v>7</v>
      </c>
      <c r="AE51" s="87" t="s">
        <v>7</v>
      </c>
      <c r="AF51" s="87" t="str">
        <f t="shared" si="13"/>
        <v>NA</v>
      </c>
      <c r="AG51" s="87">
        <f t="shared" si="14"/>
        <v>0.3</v>
      </c>
      <c r="AH51" s="87">
        <f t="shared" si="15"/>
        <v>0.3</v>
      </c>
      <c r="AI51" s="153">
        <f t="shared" si="16"/>
        <v>-5.4545454545454529E-2</v>
      </c>
      <c r="AJ51" s="2" t="str">
        <f t="shared" si="17"/>
        <v>NA</v>
      </c>
    </row>
    <row r="52" spans="1:36" x14ac:dyDescent="0.3">
      <c r="A52" s="211">
        <v>7</v>
      </c>
      <c r="B5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52" s="2" t="str">
        <f t="shared" si="9"/>
        <v>E7I2</v>
      </c>
      <c r="D52" t="str">
        <f t="shared" si="10"/>
        <v>E7</v>
      </c>
      <c r="E52" s="87" t="s">
        <v>1029</v>
      </c>
      <c r="F52" s="157">
        <v>0.97</v>
      </c>
      <c r="G52" s="87" t="s">
        <v>442</v>
      </c>
      <c r="H52" s="87"/>
      <c r="I52" s="87"/>
      <c r="J52" s="87"/>
      <c r="K52" s="87" t="s">
        <v>292</v>
      </c>
      <c r="L52" s="87" t="s">
        <v>7</v>
      </c>
      <c r="M52" s="87"/>
      <c r="N52" s="87" t="s">
        <v>7</v>
      </c>
      <c r="O52" s="87" t="s">
        <v>7</v>
      </c>
      <c r="P52" s="87">
        <v>140</v>
      </c>
      <c r="Q52" s="87">
        <v>110</v>
      </c>
      <c r="R52" s="94">
        <f t="shared" si="11"/>
        <v>-0.27272727272727265</v>
      </c>
      <c r="S52" s="89"/>
      <c r="T52" s="89"/>
      <c r="U52" s="87" t="s">
        <v>9</v>
      </c>
      <c r="V52" s="87" t="s">
        <v>459</v>
      </c>
      <c r="W52" s="87"/>
      <c r="X52" s="87"/>
      <c r="Y52" s="87">
        <v>2</v>
      </c>
      <c r="Z52" s="87">
        <v>1.2</v>
      </c>
      <c r="AA52" s="88">
        <f t="shared" si="12"/>
        <v>4166.666666666667</v>
      </c>
      <c r="AB52" s="87" t="s">
        <v>7</v>
      </c>
      <c r="AC52" s="87" t="s">
        <v>7</v>
      </c>
      <c r="AD52" s="87" t="s">
        <v>7</v>
      </c>
      <c r="AE52" s="87" t="s">
        <v>7</v>
      </c>
      <c r="AF52" s="87" t="str">
        <f t="shared" si="13"/>
        <v>NA</v>
      </c>
      <c r="AG52" s="87">
        <f t="shared" si="14"/>
        <v>0.3</v>
      </c>
      <c r="AH52" s="87">
        <f t="shared" si="15"/>
        <v>0.3</v>
      </c>
      <c r="AI52" s="153">
        <f t="shared" si="16"/>
        <v>-5.4545454545454529E-2</v>
      </c>
      <c r="AJ52" s="2" t="str">
        <f t="shared" si="17"/>
        <v>NA</v>
      </c>
    </row>
    <row r="53" spans="1:36" x14ac:dyDescent="0.3">
      <c r="A53" s="211">
        <v>7</v>
      </c>
      <c r="B5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53" s="2" t="str">
        <f t="shared" si="9"/>
        <v>E7I2</v>
      </c>
      <c r="D53" t="str">
        <f t="shared" si="10"/>
        <v>E7</v>
      </c>
      <c r="E53" s="87" t="s">
        <v>1030</v>
      </c>
      <c r="F53" s="157">
        <v>0.69</v>
      </c>
      <c r="G53" s="87" t="s">
        <v>306</v>
      </c>
      <c r="H53" s="87"/>
      <c r="I53" s="87"/>
      <c r="J53" s="87"/>
      <c r="K53" s="87" t="s">
        <v>292</v>
      </c>
      <c r="L53" s="87" t="s">
        <v>7</v>
      </c>
      <c r="M53" s="87"/>
      <c r="N53" s="87" t="s">
        <v>7</v>
      </c>
      <c r="O53" s="87" t="s">
        <v>7</v>
      </c>
      <c r="P53" s="87">
        <v>140</v>
      </c>
      <c r="Q53" s="87">
        <v>110</v>
      </c>
      <c r="R53" s="94">
        <f t="shared" si="11"/>
        <v>-0.27272727272727265</v>
      </c>
      <c r="S53" s="89"/>
      <c r="T53" s="89"/>
      <c r="U53" s="87" t="s">
        <v>9</v>
      </c>
      <c r="V53" s="87" t="s">
        <v>459</v>
      </c>
      <c r="W53" s="87"/>
      <c r="X53" s="87"/>
      <c r="Y53" s="87">
        <v>2</v>
      </c>
      <c r="Z53" s="87">
        <v>1.2</v>
      </c>
      <c r="AA53" s="88">
        <f t="shared" si="12"/>
        <v>4166.6666666666661</v>
      </c>
      <c r="AB53" s="87" t="s">
        <v>7</v>
      </c>
      <c r="AC53" s="87" t="s">
        <v>7</v>
      </c>
      <c r="AD53" s="87" t="s">
        <v>7</v>
      </c>
      <c r="AE53" s="87" t="s">
        <v>7</v>
      </c>
      <c r="AF53" s="87" t="str">
        <f t="shared" si="13"/>
        <v>NA</v>
      </c>
      <c r="AG53" s="87">
        <f t="shared" si="14"/>
        <v>0.3</v>
      </c>
      <c r="AH53" s="87">
        <f t="shared" si="15"/>
        <v>0.3</v>
      </c>
      <c r="AI53" s="153">
        <f t="shared" si="16"/>
        <v>-5.4545454545454529E-2</v>
      </c>
      <c r="AJ53" s="2" t="str">
        <f t="shared" si="17"/>
        <v>NA</v>
      </c>
    </row>
    <row r="54" spans="1:36" x14ac:dyDescent="0.3">
      <c r="A54" s="211">
        <v>7</v>
      </c>
      <c r="B5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54" s="2" t="str">
        <f t="shared" si="9"/>
        <v>E7I2</v>
      </c>
      <c r="D54" t="str">
        <f t="shared" si="10"/>
        <v>E7</v>
      </c>
      <c r="E54" s="87" t="s">
        <v>1031</v>
      </c>
      <c r="F54" s="157">
        <v>1.1299999999999999</v>
      </c>
      <c r="G54" s="87" t="s">
        <v>291</v>
      </c>
      <c r="H54" s="87"/>
      <c r="I54" s="87"/>
      <c r="J54" s="87"/>
      <c r="K54" s="87" t="s">
        <v>292</v>
      </c>
      <c r="L54" s="87" t="s">
        <v>7</v>
      </c>
      <c r="M54" s="87"/>
      <c r="N54" s="87">
        <v>1</v>
      </c>
      <c r="O54" s="87" t="s">
        <v>7</v>
      </c>
      <c r="P54" s="87">
        <v>140</v>
      </c>
      <c r="Q54" s="87">
        <v>110</v>
      </c>
      <c r="R54" s="94">
        <f t="shared" si="11"/>
        <v>-0.27272727272727265</v>
      </c>
      <c r="S54" s="89"/>
      <c r="T54" s="89"/>
      <c r="U54" s="87" t="s">
        <v>9</v>
      </c>
      <c r="V54" s="87" t="s">
        <v>459</v>
      </c>
      <c r="W54" s="87"/>
      <c r="X54" s="87"/>
      <c r="Y54" s="87">
        <v>2</v>
      </c>
      <c r="Z54" s="87">
        <v>1.2</v>
      </c>
      <c r="AA54" s="88">
        <f t="shared" si="12"/>
        <v>4166.666666666667</v>
      </c>
      <c r="AB54" s="87" t="s">
        <v>7</v>
      </c>
      <c r="AC54" s="87" t="s">
        <v>7</v>
      </c>
      <c r="AD54" s="87" t="s">
        <v>7</v>
      </c>
      <c r="AE54" s="87" t="s">
        <v>7</v>
      </c>
      <c r="AF54" s="87" t="str">
        <f t="shared" si="13"/>
        <v>NA</v>
      </c>
      <c r="AG54" s="87">
        <f t="shared" si="14"/>
        <v>0.3</v>
      </c>
      <c r="AH54" s="87">
        <f t="shared" si="15"/>
        <v>0.3</v>
      </c>
      <c r="AI54" s="153">
        <f t="shared" si="16"/>
        <v>-5.4545454545454529E-2</v>
      </c>
      <c r="AJ54" s="2" t="str">
        <f t="shared" si="17"/>
        <v>NA</v>
      </c>
    </row>
    <row r="55" spans="1:36" x14ac:dyDescent="0.3">
      <c r="A55" s="211">
        <v>8</v>
      </c>
      <c r="B5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55" s="2" t="str">
        <f t="shared" si="9"/>
        <v>E8I1</v>
      </c>
      <c r="D55" t="str">
        <f t="shared" si="10"/>
        <v>E8</v>
      </c>
      <c r="E55" s="87" t="s">
        <v>359</v>
      </c>
      <c r="F55" s="157">
        <v>1.3</v>
      </c>
      <c r="G55" s="87" t="s">
        <v>344</v>
      </c>
      <c r="H55" s="87" t="s">
        <v>445</v>
      </c>
      <c r="I55" s="87" t="s">
        <v>446</v>
      </c>
      <c r="J55" s="87" t="s">
        <v>367</v>
      </c>
      <c r="K55" s="87" t="s">
        <v>292</v>
      </c>
      <c r="L55" s="87" t="s">
        <v>37</v>
      </c>
      <c r="M55" s="87" t="s">
        <v>450</v>
      </c>
      <c r="N55" s="89">
        <v>15</v>
      </c>
      <c r="O55" s="87" t="s">
        <v>453</v>
      </c>
      <c r="P55" s="87">
        <v>40</v>
      </c>
      <c r="Q55" s="87">
        <v>40</v>
      </c>
      <c r="R55" s="94">
        <f t="shared" si="11"/>
        <v>0</v>
      </c>
      <c r="S55" s="89"/>
      <c r="T55" s="89"/>
      <c r="U55" s="87" t="s">
        <v>24</v>
      </c>
      <c r="V55" s="87" t="s">
        <v>459</v>
      </c>
      <c r="W55" s="87" t="s">
        <v>7</v>
      </c>
      <c r="X55" s="89"/>
      <c r="Y55" s="87">
        <v>2.25</v>
      </c>
      <c r="Z55" s="87">
        <v>1</v>
      </c>
      <c r="AA55" s="88">
        <f t="shared" si="12"/>
        <v>4444.4444444444443</v>
      </c>
      <c r="AB55" s="87" t="s">
        <v>313</v>
      </c>
      <c r="AC55" s="90" t="s">
        <v>7</v>
      </c>
      <c r="AD55" s="89" t="s">
        <v>7</v>
      </c>
      <c r="AE55" s="87" t="s">
        <v>7</v>
      </c>
      <c r="AF55" s="87" t="str">
        <f t="shared" si="13"/>
        <v>NA</v>
      </c>
      <c r="AG55" s="87">
        <f t="shared" si="14"/>
        <v>0.33749999999999997</v>
      </c>
      <c r="AH55" s="87">
        <f t="shared" si="15"/>
        <v>0.33749999999999997</v>
      </c>
      <c r="AI55" s="153">
        <f t="shared" si="16"/>
        <v>0</v>
      </c>
      <c r="AJ55" s="2" t="str">
        <f t="shared" si="17"/>
        <v>NA</v>
      </c>
    </row>
    <row r="56" spans="1:36" x14ac:dyDescent="0.3">
      <c r="A56" s="211">
        <v>8</v>
      </c>
      <c r="B5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56" s="2" t="str">
        <f t="shared" si="9"/>
        <v>E8I1</v>
      </c>
      <c r="D56" t="str">
        <f t="shared" si="10"/>
        <v>E8</v>
      </c>
      <c r="E56" s="87" t="s">
        <v>360</v>
      </c>
      <c r="F56" s="157">
        <v>0.5</v>
      </c>
      <c r="G56" s="87" t="s">
        <v>361</v>
      </c>
      <c r="H56" s="87" t="s">
        <v>445</v>
      </c>
      <c r="I56" s="87" t="s">
        <v>446</v>
      </c>
      <c r="J56" s="87" t="s">
        <v>367</v>
      </c>
      <c r="K56" s="87" t="s">
        <v>319</v>
      </c>
      <c r="L56" s="87" t="s">
        <v>451</v>
      </c>
      <c r="M56" s="87" t="s">
        <v>452</v>
      </c>
      <c r="N56" s="89">
        <v>15</v>
      </c>
      <c r="O56" s="87" t="s">
        <v>453</v>
      </c>
      <c r="P56" s="87">
        <v>40</v>
      </c>
      <c r="Q56" s="87">
        <v>40</v>
      </c>
      <c r="R56" s="94">
        <f t="shared" si="11"/>
        <v>0</v>
      </c>
      <c r="S56" s="89"/>
      <c r="T56" s="89"/>
      <c r="U56" s="87" t="s">
        <v>24</v>
      </c>
      <c r="V56" s="87" t="s">
        <v>459</v>
      </c>
      <c r="W56" s="87" t="s">
        <v>7</v>
      </c>
      <c r="X56" s="89"/>
      <c r="Y56" s="87">
        <v>2.25</v>
      </c>
      <c r="Z56" s="87">
        <v>1</v>
      </c>
      <c r="AA56" s="88">
        <f t="shared" si="12"/>
        <v>4444.4444444444443</v>
      </c>
      <c r="AB56" s="87" t="s">
        <v>313</v>
      </c>
      <c r="AC56" s="90" t="s">
        <v>7</v>
      </c>
      <c r="AD56" s="89" t="s">
        <v>7</v>
      </c>
      <c r="AE56" s="87" t="s">
        <v>7</v>
      </c>
      <c r="AF56" s="87" t="str">
        <f t="shared" si="13"/>
        <v>NA</v>
      </c>
      <c r="AG56" s="87">
        <f t="shared" si="14"/>
        <v>0.33749999999999997</v>
      </c>
      <c r="AH56" s="87">
        <f t="shared" si="15"/>
        <v>0.33749999999999997</v>
      </c>
      <c r="AI56" s="153">
        <f t="shared" si="16"/>
        <v>0</v>
      </c>
      <c r="AJ56" s="2" t="str">
        <f t="shared" si="17"/>
        <v>NA</v>
      </c>
    </row>
    <row r="57" spans="1:36" x14ac:dyDescent="0.3">
      <c r="A57" s="211">
        <v>8</v>
      </c>
      <c r="B5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57" s="2" t="str">
        <f t="shared" si="9"/>
        <v>E8I1</v>
      </c>
      <c r="D57" t="str">
        <f t="shared" si="10"/>
        <v>E8</v>
      </c>
      <c r="E57" s="87" t="s">
        <v>362</v>
      </c>
      <c r="F57" s="157">
        <v>1.3</v>
      </c>
      <c r="G57" s="87" t="s">
        <v>357</v>
      </c>
      <c r="H57" s="87" t="s">
        <v>445</v>
      </c>
      <c r="I57" s="87" t="s">
        <v>446</v>
      </c>
      <c r="J57" s="87" t="s">
        <v>367</v>
      </c>
      <c r="K57" s="87" t="s">
        <v>319</v>
      </c>
      <c r="L57" s="87" t="s">
        <v>451</v>
      </c>
      <c r="M57" s="87" t="s">
        <v>452</v>
      </c>
      <c r="N57" s="89">
        <v>15</v>
      </c>
      <c r="O57" s="87" t="s">
        <v>453</v>
      </c>
      <c r="P57" s="87">
        <v>40</v>
      </c>
      <c r="Q57" s="87">
        <v>40</v>
      </c>
      <c r="R57" s="94">
        <f t="shared" si="11"/>
        <v>0</v>
      </c>
      <c r="S57" s="89"/>
      <c r="T57" s="89"/>
      <c r="U57" s="87" t="s">
        <v>24</v>
      </c>
      <c r="V57" s="89" t="s">
        <v>461</v>
      </c>
      <c r="W57" s="87" t="s">
        <v>7</v>
      </c>
      <c r="X57" s="89"/>
      <c r="Y57" s="87">
        <v>2.25</v>
      </c>
      <c r="Z57" s="87">
        <v>1</v>
      </c>
      <c r="AA57" s="88">
        <f t="shared" si="12"/>
        <v>4444.4444444444443</v>
      </c>
      <c r="AB57" s="87" t="s">
        <v>313</v>
      </c>
      <c r="AC57" s="90" t="s">
        <v>7</v>
      </c>
      <c r="AD57" s="89" t="s">
        <v>7</v>
      </c>
      <c r="AE57" s="87" t="s">
        <v>7</v>
      </c>
      <c r="AF57" s="87" t="str">
        <f t="shared" si="13"/>
        <v>NA</v>
      </c>
      <c r="AG57" s="87">
        <f t="shared" si="14"/>
        <v>0.45</v>
      </c>
      <c r="AH57" s="87">
        <f t="shared" si="15"/>
        <v>0.40500000000000003</v>
      </c>
      <c r="AI57" s="153">
        <f t="shared" si="16"/>
        <v>0</v>
      </c>
      <c r="AJ57" s="2" t="str">
        <f t="shared" si="17"/>
        <v>NA</v>
      </c>
    </row>
    <row r="58" spans="1:36" x14ac:dyDescent="0.3">
      <c r="A58" s="211">
        <v>8</v>
      </c>
      <c r="B5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58" s="2" t="str">
        <f t="shared" si="9"/>
        <v>E8I1</v>
      </c>
      <c r="D58" t="str">
        <f t="shared" si="10"/>
        <v>E8</v>
      </c>
      <c r="E58" s="87" t="s">
        <v>363</v>
      </c>
      <c r="F58" s="157">
        <v>0.8</v>
      </c>
      <c r="G58" s="87" t="s">
        <v>364</v>
      </c>
      <c r="H58" s="87" t="s">
        <v>445</v>
      </c>
      <c r="I58" s="87" t="s">
        <v>446</v>
      </c>
      <c r="J58" s="87" t="s">
        <v>367</v>
      </c>
      <c r="K58" s="87" t="s">
        <v>319</v>
      </c>
      <c r="L58" s="87" t="s">
        <v>451</v>
      </c>
      <c r="M58" s="87" t="s">
        <v>452</v>
      </c>
      <c r="N58" s="89">
        <v>15</v>
      </c>
      <c r="O58" s="87" t="s">
        <v>453</v>
      </c>
      <c r="P58" s="87">
        <v>40</v>
      </c>
      <c r="Q58" s="87">
        <v>40</v>
      </c>
      <c r="R58" s="94">
        <f t="shared" si="11"/>
        <v>0</v>
      </c>
      <c r="S58" s="89"/>
      <c r="T58" s="89"/>
      <c r="U58" s="87" t="s">
        <v>24</v>
      </c>
      <c r="V58" s="87" t="s">
        <v>459</v>
      </c>
      <c r="W58" s="87" t="s">
        <v>7</v>
      </c>
      <c r="X58" s="89"/>
      <c r="Y58" s="87">
        <v>2.25</v>
      </c>
      <c r="Z58" s="87">
        <v>1</v>
      </c>
      <c r="AA58" s="88">
        <f t="shared" si="12"/>
        <v>4444.4444444444443</v>
      </c>
      <c r="AB58" s="87" t="s">
        <v>313</v>
      </c>
      <c r="AC58" s="90" t="s">
        <v>7</v>
      </c>
      <c r="AD58" s="89" t="s">
        <v>7</v>
      </c>
      <c r="AE58" s="87" t="s">
        <v>7</v>
      </c>
      <c r="AF58" s="87" t="str">
        <f t="shared" si="13"/>
        <v>NA</v>
      </c>
      <c r="AG58" s="87">
        <f t="shared" si="14"/>
        <v>0.33749999999999997</v>
      </c>
      <c r="AH58" s="87">
        <f t="shared" si="15"/>
        <v>0.33749999999999997</v>
      </c>
      <c r="AI58" s="153">
        <f t="shared" si="16"/>
        <v>0</v>
      </c>
      <c r="AJ58" s="2" t="str">
        <f t="shared" si="17"/>
        <v>NA</v>
      </c>
    </row>
    <row r="59" spans="1:36" x14ac:dyDescent="0.3">
      <c r="A59" s="211">
        <v>8</v>
      </c>
      <c r="B5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59" s="2" t="str">
        <f t="shared" si="9"/>
        <v>E8I1</v>
      </c>
      <c r="D59" t="str">
        <f t="shared" si="10"/>
        <v>E8</v>
      </c>
      <c r="E59" s="87" t="s">
        <v>365</v>
      </c>
      <c r="F59" s="157">
        <v>1</v>
      </c>
      <c r="G59" s="87" t="s">
        <v>297</v>
      </c>
      <c r="H59" s="87" t="s">
        <v>445</v>
      </c>
      <c r="I59" s="87" t="s">
        <v>446</v>
      </c>
      <c r="J59" s="87" t="s">
        <v>367</v>
      </c>
      <c r="K59" s="87" t="s">
        <v>319</v>
      </c>
      <c r="L59" s="87" t="s">
        <v>451</v>
      </c>
      <c r="M59" s="87" t="s">
        <v>452</v>
      </c>
      <c r="N59" s="89">
        <v>15</v>
      </c>
      <c r="O59" s="87" t="s">
        <v>453</v>
      </c>
      <c r="P59" s="87">
        <v>40</v>
      </c>
      <c r="Q59" s="87">
        <v>40</v>
      </c>
      <c r="R59" s="94">
        <f t="shared" si="11"/>
        <v>0</v>
      </c>
      <c r="S59" s="89"/>
      <c r="T59" s="89"/>
      <c r="U59" s="87" t="s">
        <v>24</v>
      </c>
      <c r="V59" s="89" t="s">
        <v>461</v>
      </c>
      <c r="W59" s="87" t="s">
        <v>7</v>
      </c>
      <c r="X59" s="89"/>
      <c r="Y59" s="87">
        <v>2.25</v>
      </c>
      <c r="Z59" s="87">
        <v>1</v>
      </c>
      <c r="AA59" s="88">
        <f t="shared" si="12"/>
        <v>4444.4444444444443</v>
      </c>
      <c r="AB59" s="87" t="s">
        <v>313</v>
      </c>
      <c r="AC59" s="90" t="s">
        <v>7</v>
      </c>
      <c r="AD59" s="89" t="s">
        <v>7</v>
      </c>
      <c r="AE59" s="87" t="s">
        <v>7</v>
      </c>
      <c r="AF59" s="87" t="str">
        <f t="shared" si="13"/>
        <v>NA</v>
      </c>
      <c r="AG59" s="87">
        <f t="shared" si="14"/>
        <v>0.45</v>
      </c>
      <c r="AH59" s="87">
        <f t="shared" si="15"/>
        <v>0.40500000000000003</v>
      </c>
      <c r="AI59" s="153">
        <f t="shared" si="16"/>
        <v>0</v>
      </c>
      <c r="AJ59" s="2" t="str">
        <f t="shared" si="17"/>
        <v>NA</v>
      </c>
    </row>
    <row r="60" spans="1:36" x14ac:dyDescent="0.3">
      <c r="A60" s="211">
        <v>8</v>
      </c>
      <c r="B6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60" s="2" t="str">
        <f t="shared" si="9"/>
        <v>E8I2</v>
      </c>
      <c r="D60" t="str">
        <f t="shared" si="10"/>
        <v>E8</v>
      </c>
      <c r="E60" s="87" t="s">
        <v>366</v>
      </c>
      <c r="F60" s="157">
        <v>2.8</v>
      </c>
      <c r="G60" s="87" t="s">
        <v>439</v>
      </c>
      <c r="H60" s="89" t="s">
        <v>367</v>
      </c>
      <c r="I60" s="89"/>
      <c r="J60" s="89"/>
      <c r="K60" s="87" t="s">
        <v>292</v>
      </c>
      <c r="L60" s="87" t="s">
        <v>37</v>
      </c>
      <c r="M60" s="87" t="s">
        <v>450</v>
      </c>
      <c r="N60" s="89">
        <v>15</v>
      </c>
      <c r="O60" s="87" t="s">
        <v>453</v>
      </c>
      <c r="P60" s="87">
        <v>40</v>
      </c>
      <c r="Q60" s="87">
        <v>40</v>
      </c>
      <c r="R60" s="94">
        <f t="shared" si="11"/>
        <v>0</v>
      </c>
      <c r="S60" s="89"/>
      <c r="T60" s="89"/>
      <c r="U60" s="87" t="s">
        <v>24</v>
      </c>
      <c r="V60" s="87" t="s">
        <v>459</v>
      </c>
      <c r="W60" s="87" t="s">
        <v>7</v>
      </c>
      <c r="X60" s="89"/>
      <c r="Y60" s="87">
        <v>2.25</v>
      </c>
      <c r="Z60" s="87">
        <v>0.9</v>
      </c>
      <c r="AA60" s="88">
        <f t="shared" si="12"/>
        <v>4938.2716049382725</v>
      </c>
      <c r="AB60" s="87" t="s">
        <v>329</v>
      </c>
      <c r="AC60" s="90" t="s">
        <v>7</v>
      </c>
      <c r="AD60" s="89" t="s">
        <v>7</v>
      </c>
      <c r="AE60" s="87" t="s">
        <v>7</v>
      </c>
      <c r="AF60" s="87" t="str">
        <f t="shared" si="13"/>
        <v>NA</v>
      </c>
      <c r="AG60" s="87">
        <f t="shared" si="14"/>
        <v>0.33749999999999997</v>
      </c>
      <c r="AH60" s="87">
        <f t="shared" si="15"/>
        <v>0.33749999999999997</v>
      </c>
      <c r="AI60" s="153">
        <f t="shared" si="16"/>
        <v>0</v>
      </c>
      <c r="AJ60" s="2" t="str">
        <f t="shared" si="17"/>
        <v>NA</v>
      </c>
    </row>
    <row r="61" spans="1:36" x14ac:dyDescent="0.3">
      <c r="A61" s="211">
        <v>8</v>
      </c>
      <c r="B6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61" s="2" t="str">
        <f t="shared" si="9"/>
        <v>E8I2</v>
      </c>
      <c r="D61" t="str">
        <f t="shared" si="10"/>
        <v>E8</v>
      </c>
      <c r="E61" s="87" t="s">
        <v>368</v>
      </c>
      <c r="F61" s="157">
        <v>2.2000000000000002</v>
      </c>
      <c r="G61" s="87" t="s">
        <v>306</v>
      </c>
      <c r="H61" s="89" t="s">
        <v>367</v>
      </c>
      <c r="I61" s="89"/>
      <c r="J61" s="89"/>
      <c r="K61" s="87" t="s">
        <v>292</v>
      </c>
      <c r="L61" s="87" t="s">
        <v>37</v>
      </c>
      <c r="M61" s="87" t="s">
        <v>450</v>
      </c>
      <c r="N61" s="89">
        <v>12</v>
      </c>
      <c r="O61" s="87" t="s">
        <v>453</v>
      </c>
      <c r="P61" s="87">
        <v>40</v>
      </c>
      <c r="Q61" s="87">
        <v>40</v>
      </c>
      <c r="R61" s="94">
        <f t="shared" si="11"/>
        <v>0</v>
      </c>
      <c r="S61" s="89"/>
      <c r="T61" s="89"/>
      <c r="U61" s="87" t="s">
        <v>24</v>
      </c>
      <c r="V61" s="87" t="s">
        <v>459</v>
      </c>
      <c r="W61" s="87" t="s">
        <v>7</v>
      </c>
      <c r="X61" s="89"/>
      <c r="Y61" s="87">
        <v>2.25</v>
      </c>
      <c r="Z61" s="87">
        <v>0.9</v>
      </c>
      <c r="AA61" s="88">
        <f t="shared" si="12"/>
        <v>4938.2716049382716</v>
      </c>
      <c r="AB61" s="87" t="s">
        <v>329</v>
      </c>
      <c r="AC61" s="90" t="s">
        <v>7</v>
      </c>
      <c r="AD61" s="89" t="s">
        <v>7</v>
      </c>
      <c r="AE61" s="87" t="s">
        <v>7</v>
      </c>
      <c r="AF61" s="87" t="str">
        <f t="shared" si="13"/>
        <v>NA</v>
      </c>
      <c r="AG61" s="87">
        <f t="shared" si="14"/>
        <v>0.33749999999999997</v>
      </c>
      <c r="AH61" s="87">
        <f t="shared" si="15"/>
        <v>0.33749999999999997</v>
      </c>
      <c r="AI61" s="153">
        <f t="shared" si="16"/>
        <v>0</v>
      </c>
      <c r="AJ61" s="2" t="str">
        <f t="shared" si="17"/>
        <v>NA</v>
      </c>
    </row>
    <row r="62" spans="1:36" x14ac:dyDescent="0.3">
      <c r="A62" s="211">
        <v>8</v>
      </c>
      <c r="B6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62" s="2" t="str">
        <f t="shared" si="9"/>
        <v>E8I2</v>
      </c>
      <c r="D62" t="str">
        <f t="shared" si="10"/>
        <v>E8</v>
      </c>
      <c r="E62" s="87" t="s">
        <v>369</v>
      </c>
      <c r="F62" s="157">
        <v>2.4</v>
      </c>
      <c r="G62" s="87" t="s">
        <v>308</v>
      </c>
      <c r="H62" s="89" t="s">
        <v>367</v>
      </c>
      <c r="I62" s="89"/>
      <c r="J62" s="89"/>
      <c r="K62" s="87" t="s">
        <v>292</v>
      </c>
      <c r="L62" s="87" t="s">
        <v>37</v>
      </c>
      <c r="M62" s="87" t="s">
        <v>450</v>
      </c>
      <c r="N62" s="89">
        <v>20</v>
      </c>
      <c r="O62" s="87" t="s">
        <v>453</v>
      </c>
      <c r="P62" s="87">
        <v>40</v>
      </c>
      <c r="Q62" s="87">
        <v>40</v>
      </c>
      <c r="R62" s="94">
        <f t="shared" si="11"/>
        <v>0</v>
      </c>
      <c r="S62" s="89"/>
      <c r="T62" s="89"/>
      <c r="U62" s="87" t="s">
        <v>24</v>
      </c>
      <c r="V62" s="87" t="s">
        <v>459</v>
      </c>
      <c r="W62" s="87" t="s">
        <v>7</v>
      </c>
      <c r="X62" s="89"/>
      <c r="Y62" s="87">
        <v>2.25</v>
      </c>
      <c r="Z62" s="87">
        <v>0.9</v>
      </c>
      <c r="AA62" s="88">
        <f t="shared" si="12"/>
        <v>4938.2716049382716</v>
      </c>
      <c r="AB62" s="87" t="s">
        <v>329</v>
      </c>
      <c r="AC62" s="90" t="s">
        <v>7</v>
      </c>
      <c r="AD62" s="89" t="s">
        <v>7</v>
      </c>
      <c r="AE62" s="87" t="s">
        <v>7</v>
      </c>
      <c r="AF62" s="87" t="str">
        <f t="shared" si="13"/>
        <v>NA</v>
      </c>
      <c r="AG62" s="87">
        <f t="shared" si="14"/>
        <v>0.33749999999999997</v>
      </c>
      <c r="AH62" s="87">
        <f t="shared" si="15"/>
        <v>0.33749999999999997</v>
      </c>
      <c r="AI62" s="153">
        <f t="shared" si="16"/>
        <v>0</v>
      </c>
      <c r="AJ62" s="2" t="str">
        <f t="shared" si="17"/>
        <v>NA</v>
      </c>
    </row>
    <row r="63" spans="1:36" x14ac:dyDescent="0.3">
      <c r="A63" s="211">
        <v>9</v>
      </c>
      <c r="B6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63" s="2" t="str">
        <f t="shared" si="9"/>
        <v>E9I1</v>
      </c>
      <c r="D63" t="str">
        <f t="shared" si="10"/>
        <v>E9</v>
      </c>
      <c r="E63" s="87" t="s">
        <v>394</v>
      </c>
      <c r="F63" s="157">
        <v>0.2</v>
      </c>
      <c r="G63" s="87" t="s">
        <v>306</v>
      </c>
      <c r="H63" s="87" t="s">
        <v>446</v>
      </c>
      <c r="I63" s="87"/>
      <c r="J63" s="87"/>
      <c r="K63" s="87" t="s">
        <v>292</v>
      </c>
      <c r="L63" s="87" t="s">
        <v>37</v>
      </c>
      <c r="M63" s="87" t="s">
        <v>446</v>
      </c>
      <c r="N63" s="87">
        <v>20</v>
      </c>
      <c r="O63" s="87" t="s">
        <v>453</v>
      </c>
      <c r="P63" s="87">
        <v>70</v>
      </c>
      <c r="Q63" s="87">
        <v>90</v>
      </c>
      <c r="R63" s="94">
        <f t="shared" si="11"/>
        <v>0.22222222222222229</v>
      </c>
      <c r="S63" s="89"/>
      <c r="T63" s="89"/>
      <c r="U63" s="87" t="s">
        <v>9</v>
      </c>
      <c r="V63" s="87" t="s">
        <v>293</v>
      </c>
      <c r="W63" s="87" t="s">
        <v>4</v>
      </c>
      <c r="X63" s="87"/>
      <c r="Y63" s="87">
        <v>2.5</v>
      </c>
      <c r="Z63" s="87">
        <v>1.1000000000000001</v>
      </c>
      <c r="AA63" s="88">
        <f t="shared" si="12"/>
        <v>3636.363636363636</v>
      </c>
      <c r="AB63" s="87" t="s">
        <v>7</v>
      </c>
      <c r="AC63" s="90" t="s">
        <v>7</v>
      </c>
      <c r="AD63" s="89" t="s">
        <v>7</v>
      </c>
      <c r="AE63" s="87" t="s">
        <v>7</v>
      </c>
      <c r="AF63" s="87" t="str">
        <f t="shared" si="13"/>
        <v>NA</v>
      </c>
      <c r="AG63" s="87">
        <f t="shared" si="14"/>
        <v>0.375</v>
      </c>
      <c r="AH63" s="87">
        <f t="shared" si="15"/>
        <v>0.375</v>
      </c>
      <c r="AI63" s="153">
        <f t="shared" si="16"/>
        <v>4.444444444444446E-2</v>
      </c>
      <c r="AJ63" s="2" t="str">
        <f t="shared" si="17"/>
        <v>NA</v>
      </c>
    </row>
    <row r="64" spans="1:36" x14ac:dyDescent="0.3">
      <c r="A64" s="211">
        <v>9</v>
      </c>
      <c r="B6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64" s="2" t="str">
        <f t="shared" si="9"/>
        <v>E9I1</v>
      </c>
      <c r="D64" t="str">
        <f t="shared" si="10"/>
        <v>E9</v>
      </c>
      <c r="E64" s="87" t="s">
        <v>395</v>
      </c>
      <c r="F64" s="157">
        <v>1.1000000000000001</v>
      </c>
      <c r="G64" s="87" t="s">
        <v>396</v>
      </c>
      <c r="H64" s="87" t="s">
        <v>446</v>
      </c>
      <c r="I64" s="89"/>
      <c r="J64" s="89"/>
      <c r="K64" s="89" t="s">
        <v>292</v>
      </c>
      <c r="L64" s="87" t="s">
        <v>37</v>
      </c>
      <c r="M64" s="87" t="s">
        <v>446</v>
      </c>
      <c r="N64" s="87">
        <v>20</v>
      </c>
      <c r="O64" s="87" t="s">
        <v>453</v>
      </c>
      <c r="P64" s="87">
        <v>70</v>
      </c>
      <c r="Q64" s="87">
        <v>90</v>
      </c>
      <c r="R64" s="94">
        <f t="shared" si="11"/>
        <v>0.22222222222222229</v>
      </c>
      <c r="S64" s="89"/>
      <c r="T64" s="89"/>
      <c r="U64" s="87" t="s">
        <v>9</v>
      </c>
      <c r="V64" s="87" t="s">
        <v>293</v>
      </c>
      <c r="W64" s="87" t="s">
        <v>4</v>
      </c>
      <c r="X64" s="87"/>
      <c r="Y64" s="87">
        <v>2.5</v>
      </c>
      <c r="Z64" s="87">
        <v>1.1000000000000001</v>
      </c>
      <c r="AA64" s="88">
        <f t="shared" si="12"/>
        <v>3636.363636363636</v>
      </c>
      <c r="AB64" s="87" t="s">
        <v>7</v>
      </c>
      <c r="AC64" s="90" t="s">
        <v>7</v>
      </c>
      <c r="AD64" s="89" t="s">
        <v>7</v>
      </c>
      <c r="AE64" s="87" t="s">
        <v>7</v>
      </c>
      <c r="AF64" s="87" t="str">
        <f t="shared" si="13"/>
        <v>NA</v>
      </c>
      <c r="AG64" s="87">
        <f t="shared" si="14"/>
        <v>0.375</v>
      </c>
      <c r="AH64" s="87">
        <f t="shared" si="15"/>
        <v>0.375</v>
      </c>
      <c r="AI64" s="153">
        <f t="shared" si="16"/>
        <v>4.444444444444446E-2</v>
      </c>
      <c r="AJ64" s="2" t="str">
        <f t="shared" si="17"/>
        <v>NA</v>
      </c>
    </row>
    <row r="65" spans="1:36" x14ac:dyDescent="0.3">
      <c r="A65" s="211">
        <v>9</v>
      </c>
      <c r="B6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65" s="2" t="str">
        <f t="shared" si="9"/>
        <v>E9I2</v>
      </c>
      <c r="D65" t="str">
        <f t="shared" si="10"/>
        <v>E9</v>
      </c>
      <c r="E65" s="87" t="s">
        <v>397</v>
      </c>
      <c r="F65" s="157">
        <v>1.8</v>
      </c>
      <c r="G65" s="87" t="s">
        <v>306</v>
      </c>
      <c r="H65" s="87" t="s">
        <v>446</v>
      </c>
      <c r="I65" s="89"/>
      <c r="J65" s="89"/>
      <c r="K65" s="87" t="s">
        <v>292</v>
      </c>
      <c r="L65" s="87" t="s">
        <v>37</v>
      </c>
      <c r="M65" s="87" t="s">
        <v>446</v>
      </c>
      <c r="N65" s="87">
        <v>20</v>
      </c>
      <c r="O65" s="87" t="s">
        <v>453</v>
      </c>
      <c r="P65" s="87">
        <v>70</v>
      </c>
      <c r="Q65" s="87">
        <v>90</v>
      </c>
      <c r="R65" s="94">
        <f t="shared" si="11"/>
        <v>0.22222222222222229</v>
      </c>
      <c r="S65" s="89"/>
      <c r="T65" s="89"/>
      <c r="U65" s="87" t="s">
        <v>9</v>
      </c>
      <c r="V65" s="87" t="s">
        <v>293</v>
      </c>
      <c r="W65" s="87" t="s">
        <v>4</v>
      </c>
      <c r="X65" s="87"/>
      <c r="Y65" s="87">
        <v>2.5</v>
      </c>
      <c r="Z65" s="87">
        <v>1.1000000000000001</v>
      </c>
      <c r="AA65" s="88">
        <f t="shared" si="12"/>
        <v>3636.363636363636</v>
      </c>
      <c r="AB65" s="87" t="s">
        <v>7</v>
      </c>
      <c r="AC65" s="90" t="s">
        <v>7</v>
      </c>
      <c r="AD65" s="89" t="s">
        <v>7</v>
      </c>
      <c r="AE65" s="87" t="s">
        <v>7</v>
      </c>
      <c r="AF65" s="87" t="str">
        <f t="shared" si="13"/>
        <v>NA</v>
      </c>
      <c r="AG65" s="87">
        <f t="shared" si="14"/>
        <v>0.375</v>
      </c>
      <c r="AH65" s="87">
        <f t="shared" si="15"/>
        <v>0.375</v>
      </c>
      <c r="AI65" s="153">
        <f t="shared" si="16"/>
        <v>4.444444444444446E-2</v>
      </c>
      <c r="AJ65" s="2" t="str">
        <f t="shared" si="17"/>
        <v>NA</v>
      </c>
    </row>
    <row r="66" spans="1:36" x14ac:dyDescent="0.3">
      <c r="A66" s="211">
        <v>9</v>
      </c>
      <c r="B6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66" s="2" t="str">
        <f t="shared" ref="C66:C97" si="18">LEFT(E66,LEN(E66)-2)</f>
        <v>E9I2</v>
      </c>
      <c r="D66" t="str">
        <f t="shared" ref="D66:D97" si="19">LEFT(E66,LEN(E66)-4)</f>
        <v>E9</v>
      </c>
      <c r="E66" s="87" t="s">
        <v>398</v>
      </c>
      <c r="F66" s="157">
        <v>3</v>
      </c>
      <c r="G66" s="87" t="s">
        <v>308</v>
      </c>
      <c r="H66" s="87" t="s">
        <v>446</v>
      </c>
      <c r="I66" s="89"/>
      <c r="J66" s="89"/>
      <c r="K66" s="89" t="s">
        <v>292</v>
      </c>
      <c r="L66" s="87" t="s">
        <v>37</v>
      </c>
      <c r="M66" s="87" t="s">
        <v>446</v>
      </c>
      <c r="N66" s="87">
        <v>25</v>
      </c>
      <c r="O66" s="87" t="s">
        <v>453</v>
      </c>
      <c r="P66" s="89">
        <v>120</v>
      </c>
      <c r="Q66" s="87">
        <v>90</v>
      </c>
      <c r="R66" s="94">
        <v>0</v>
      </c>
      <c r="S66" s="89"/>
      <c r="T66" s="89"/>
      <c r="U66" s="87" t="s">
        <v>24</v>
      </c>
      <c r="V66" s="87" t="s">
        <v>293</v>
      </c>
      <c r="W66" s="87" t="s">
        <v>4</v>
      </c>
      <c r="X66" s="87"/>
      <c r="Y66" s="87">
        <v>2.5</v>
      </c>
      <c r="Z66" s="87">
        <v>1.1000000000000001</v>
      </c>
      <c r="AA66" s="88">
        <f t="shared" ref="AA66:AA97" si="20">(F66*10000)/(Y66*Z66)/F66</f>
        <v>3636.3636363636365</v>
      </c>
      <c r="AB66" s="87" t="s">
        <v>7</v>
      </c>
      <c r="AC66" s="90" t="s">
        <v>7</v>
      </c>
      <c r="AD66" s="89" t="s">
        <v>7</v>
      </c>
      <c r="AE66" s="87" t="s">
        <v>7</v>
      </c>
      <c r="AF66" s="87" t="str">
        <f t="shared" ref="AF66:AF97" si="21">IF(AE66="NA","NA",AE66-AD66)</f>
        <v>NA</v>
      </c>
      <c r="AG66" s="87">
        <f t="shared" ref="AG66:AG97" si="22">IF(OR(V66="CDR",V66="GS"),0.3*(Y66/2),IF(V66="TRP",0.3*(Y66/2),IF(V66="GOB",0.45,IF(V66="non",0.55,"NA"))))</f>
        <v>0.375</v>
      </c>
      <c r="AH66" s="87">
        <f t="shared" ref="AH66:AH97" si="23">IF(AG66&gt;0.4,AG66-(0.1*AG66*(AG66-0.4)/0.05),AG66)</f>
        <v>0.375</v>
      </c>
      <c r="AI66" s="153">
        <f t="shared" ref="AI66:AI97" si="24">R66/5</f>
        <v>0</v>
      </c>
      <c r="AJ66" s="2" t="str">
        <f t="shared" ref="AJ66:AJ97" si="25">IF(AF66="NA","NA",(2*AF66+AH66)*(1-AI66)/Y66)</f>
        <v>NA</v>
      </c>
    </row>
    <row r="67" spans="1:36" x14ac:dyDescent="0.3">
      <c r="A67" s="211">
        <v>9</v>
      </c>
      <c r="B6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67" s="2" t="str">
        <f t="shared" si="18"/>
        <v>E9I2</v>
      </c>
      <c r="D67" t="str">
        <f t="shared" si="19"/>
        <v>E9</v>
      </c>
      <c r="E67" s="87" t="s">
        <v>399</v>
      </c>
      <c r="F67" s="157">
        <v>3</v>
      </c>
      <c r="G67" s="87" t="s">
        <v>304</v>
      </c>
      <c r="H67" s="87" t="s">
        <v>446</v>
      </c>
      <c r="I67" s="89"/>
      <c r="J67" s="89"/>
      <c r="K67" s="87" t="s">
        <v>292</v>
      </c>
      <c r="L67" s="87" t="s">
        <v>37</v>
      </c>
      <c r="M67" s="87" t="s">
        <v>446</v>
      </c>
      <c r="N67" s="87">
        <v>15</v>
      </c>
      <c r="O67" s="87" t="s">
        <v>453</v>
      </c>
      <c r="P67" s="89">
        <v>150</v>
      </c>
      <c r="Q67" s="87">
        <v>90</v>
      </c>
      <c r="R67" s="94">
        <v>0</v>
      </c>
      <c r="S67" s="89"/>
      <c r="T67" s="89"/>
      <c r="U67" s="89" t="s">
        <v>9</v>
      </c>
      <c r="V67" s="87" t="s">
        <v>293</v>
      </c>
      <c r="W67" s="87" t="s">
        <v>4</v>
      </c>
      <c r="X67" s="87"/>
      <c r="Y67" s="87">
        <v>2</v>
      </c>
      <c r="Z67" s="87">
        <v>1</v>
      </c>
      <c r="AA67" s="88">
        <f t="shared" si="20"/>
        <v>5000</v>
      </c>
      <c r="AB67" s="87" t="s">
        <v>7</v>
      </c>
      <c r="AC67" s="90" t="s">
        <v>7</v>
      </c>
      <c r="AD67" s="89" t="s">
        <v>7</v>
      </c>
      <c r="AE67" s="87" t="s">
        <v>7</v>
      </c>
      <c r="AF67" s="87" t="str">
        <f t="shared" si="21"/>
        <v>NA</v>
      </c>
      <c r="AG67" s="87">
        <f t="shared" si="22"/>
        <v>0.3</v>
      </c>
      <c r="AH67" s="87">
        <f t="shared" si="23"/>
        <v>0.3</v>
      </c>
      <c r="AI67" s="153">
        <f t="shared" si="24"/>
        <v>0</v>
      </c>
      <c r="AJ67" s="2" t="str">
        <f t="shared" si="25"/>
        <v>NA</v>
      </c>
    </row>
    <row r="68" spans="1:36" x14ac:dyDescent="0.3">
      <c r="A68" s="211">
        <v>9</v>
      </c>
      <c r="B6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68" s="2" t="str">
        <f t="shared" si="18"/>
        <v>E9I2</v>
      </c>
      <c r="D68" t="str">
        <f t="shared" si="19"/>
        <v>E9</v>
      </c>
      <c r="E68" s="87" t="s">
        <v>400</v>
      </c>
      <c r="F68" s="157">
        <v>0.6</v>
      </c>
      <c r="G68" s="87" t="s">
        <v>386</v>
      </c>
      <c r="H68" s="87" t="s">
        <v>446</v>
      </c>
      <c r="I68" s="89"/>
      <c r="J68" s="89"/>
      <c r="K68" s="89" t="s">
        <v>292</v>
      </c>
      <c r="L68" s="87" t="s">
        <v>37</v>
      </c>
      <c r="M68" s="87" t="s">
        <v>446</v>
      </c>
      <c r="N68" s="87">
        <v>15</v>
      </c>
      <c r="O68" s="87" t="s">
        <v>453</v>
      </c>
      <c r="P68" s="87">
        <v>70</v>
      </c>
      <c r="Q68" s="87">
        <v>90</v>
      </c>
      <c r="R68" s="94">
        <f>(100-(P68*100/Q68))/100</f>
        <v>0.22222222222222229</v>
      </c>
      <c r="S68" s="89"/>
      <c r="T68" s="89"/>
      <c r="U68" s="87" t="s">
        <v>9</v>
      </c>
      <c r="V68" s="87" t="s">
        <v>293</v>
      </c>
      <c r="W68" s="87" t="s">
        <v>4</v>
      </c>
      <c r="X68" s="87"/>
      <c r="Y68" s="87">
        <v>2</v>
      </c>
      <c r="Z68" s="87">
        <v>1</v>
      </c>
      <c r="AA68" s="88">
        <f t="shared" si="20"/>
        <v>5000</v>
      </c>
      <c r="AB68" s="87" t="s">
        <v>7</v>
      </c>
      <c r="AC68" s="90" t="s">
        <v>7</v>
      </c>
      <c r="AD68" s="89" t="s">
        <v>7</v>
      </c>
      <c r="AE68" s="87" t="s">
        <v>7</v>
      </c>
      <c r="AF68" s="87" t="str">
        <f t="shared" si="21"/>
        <v>NA</v>
      </c>
      <c r="AG68" s="87">
        <f t="shared" si="22"/>
        <v>0.3</v>
      </c>
      <c r="AH68" s="87">
        <f t="shared" si="23"/>
        <v>0.3</v>
      </c>
      <c r="AI68" s="153">
        <f t="shared" si="24"/>
        <v>4.444444444444446E-2</v>
      </c>
      <c r="AJ68" s="2" t="str">
        <f t="shared" si="25"/>
        <v>NA</v>
      </c>
    </row>
    <row r="69" spans="1:36" x14ac:dyDescent="0.3">
      <c r="A69" s="211">
        <v>10</v>
      </c>
      <c r="B6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69" s="2" t="str">
        <f t="shared" si="18"/>
        <v>E10I1</v>
      </c>
      <c r="D69" t="str">
        <f t="shared" si="19"/>
        <v>E10</v>
      </c>
      <c r="E69" s="87" t="s">
        <v>401</v>
      </c>
      <c r="F69" s="157">
        <v>1.5</v>
      </c>
      <c r="G69" s="87" t="s">
        <v>291</v>
      </c>
      <c r="H69" s="87" t="s">
        <v>446</v>
      </c>
      <c r="I69" s="87"/>
      <c r="J69" s="87"/>
      <c r="K69" s="87" t="s">
        <v>292</v>
      </c>
      <c r="L69" s="87" t="s">
        <v>37</v>
      </c>
      <c r="M69" s="87"/>
      <c r="N69" s="87">
        <v>25</v>
      </c>
      <c r="O69" s="87" t="s">
        <v>453</v>
      </c>
      <c r="P69" s="87">
        <v>77</v>
      </c>
      <c r="Q69" s="87">
        <v>90</v>
      </c>
      <c r="R69" s="94">
        <f>(100-(P69*100/Q69))/100</f>
        <v>0.14444444444444443</v>
      </c>
      <c r="S69" s="87"/>
      <c r="T69" s="87"/>
      <c r="U69" s="87" t="s">
        <v>24</v>
      </c>
      <c r="V69" s="87" t="s">
        <v>460</v>
      </c>
      <c r="W69" s="87" t="s">
        <v>4</v>
      </c>
      <c r="X69" s="87"/>
      <c r="Y69" s="87">
        <v>2.25</v>
      </c>
      <c r="Z69" s="87">
        <v>1</v>
      </c>
      <c r="AA69" s="88">
        <f t="shared" si="20"/>
        <v>4444.4444444444443</v>
      </c>
      <c r="AB69" s="87" t="s">
        <v>7</v>
      </c>
      <c r="AC69" s="90" t="s">
        <v>7</v>
      </c>
      <c r="AD69" s="87" t="s">
        <v>7</v>
      </c>
      <c r="AE69" s="87" t="s">
        <v>7</v>
      </c>
      <c r="AF69" s="87" t="str">
        <f t="shared" si="21"/>
        <v>NA</v>
      </c>
      <c r="AG69" s="87">
        <f t="shared" si="22"/>
        <v>0.33749999999999997</v>
      </c>
      <c r="AH69" s="87">
        <f t="shared" si="23"/>
        <v>0.33749999999999997</v>
      </c>
      <c r="AI69" s="153">
        <f t="shared" si="24"/>
        <v>2.8888888888888888E-2</v>
      </c>
      <c r="AJ69" s="2" t="str">
        <f t="shared" si="25"/>
        <v>NA</v>
      </c>
    </row>
    <row r="70" spans="1:36" x14ac:dyDescent="0.3">
      <c r="A70" s="211">
        <v>10</v>
      </c>
      <c r="B7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70" s="2" t="str">
        <f t="shared" si="18"/>
        <v>E10I1</v>
      </c>
      <c r="D70" t="str">
        <f t="shared" si="19"/>
        <v>E10</v>
      </c>
      <c r="E70" s="87" t="s">
        <v>402</v>
      </c>
      <c r="F70" s="157">
        <v>1.5</v>
      </c>
      <c r="G70" s="87" t="s">
        <v>291</v>
      </c>
      <c r="H70" s="87" t="s">
        <v>446</v>
      </c>
      <c r="I70" s="87"/>
      <c r="J70" s="87"/>
      <c r="K70" s="87" t="s">
        <v>1005</v>
      </c>
      <c r="L70" s="87" t="s">
        <v>37</v>
      </c>
      <c r="M70" s="87" t="s">
        <v>447</v>
      </c>
      <c r="N70" s="87">
        <v>4</v>
      </c>
      <c r="O70" s="87" t="s">
        <v>7</v>
      </c>
      <c r="P70" s="87">
        <v>77</v>
      </c>
      <c r="Q70" s="87">
        <v>90</v>
      </c>
      <c r="R70" s="94">
        <f>(100-(P70*100/Q70))/100</f>
        <v>0.14444444444444443</v>
      </c>
      <c r="S70" s="87"/>
      <c r="T70" s="87"/>
      <c r="U70" s="87" t="s">
        <v>24</v>
      </c>
      <c r="V70" s="87" t="s">
        <v>460</v>
      </c>
      <c r="W70" s="87" t="s">
        <v>4</v>
      </c>
      <c r="X70" s="87"/>
      <c r="Y70" s="87">
        <v>2</v>
      </c>
      <c r="Z70" s="87">
        <v>1.1000000000000001</v>
      </c>
      <c r="AA70" s="88">
        <f t="shared" si="20"/>
        <v>4545.454545454545</v>
      </c>
      <c r="AB70" s="87" t="s">
        <v>7</v>
      </c>
      <c r="AC70" s="90" t="s">
        <v>7</v>
      </c>
      <c r="AD70" s="87" t="s">
        <v>7</v>
      </c>
      <c r="AE70" s="87" t="s">
        <v>7</v>
      </c>
      <c r="AF70" s="87" t="str">
        <f t="shared" si="21"/>
        <v>NA</v>
      </c>
      <c r="AG70" s="87">
        <f t="shared" si="22"/>
        <v>0.3</v>
      </c>
      <c r="AH70" s="87">
        <f t="shared" si="23"/>
        <v>0.3</v>
      </c>
      <c r="AI70" s="153">
        <f t="shared" si="24"/>
        <v>2.8888888888888888E-2</v>
      </c>
      <c r="AJ70" s="2" t="str">
        <f t="shared" si="25"/>
        <v>NA</v>
      </c>
    </row>
    <row r="71" spans="1:36" x14ac:dyDescent="0.3">
      <c r="A71" s="211">
        <v>10</v>
      </c>
      <c r="B7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71" s="2" t="str">
        <f t="shared" si="18"/>
        <v>E10I2</v>
      </c>
      <c r="D71" t="str">
        <f t="shared" si="19"/>
        <v>E10</v>
      </c>
      <c r="E71" s="87" t="s">
        <v>403</v>
      </c>
      <c r="F71" s="157">
        <v>1.5</v>
      </c>
      <c r="G71" s="87" t="s">
        <v>442</v>
      </c>
      <c r="H71" s="87" t="s">
        <v>446</v>
      </c>
      <c r="I71" s="87"/>
      <c r="J71" s="87"/>
      <c r="K71" s="87" t="s">
        <v>292</v>
      </c>
      <c r="L71" s="87" t="s">
        <v>37</v>
      </c>
      <c r="M71" s="87"/>
      <c r="N71" s="87">
        <v>10</v>
      </c>
      <c r="O71" s="87" t="s">
        <v>7</v>
      </c>
      <c r="P71" s="87">
        <v>110</v>
      </c>
      <c r="Q71" s="87">
        <v>90</v>
      </c>
      <c r="R71" s="94">
        <v>0</v>
      </c>
      <c r="S71" s="87"/>
      <c r="T71" s="87"/>
      <c r="U71" s="87" t="s">
        <v>24</v>
      </c>
      <c r="V71" s="87" t="s">
        <v>460</v>
      </c>
      <c r="W71" s="87" t="s">
        <v>4</v>
      </c>
      <c r="X71" s="87"/>
      <c r="Y71" s="87">
        <v>2</v>
      </c>
      <c r="Z71" s="87">
        <v>1</v>
      </c>
      <c r="AA71" s="88">
        <f t="shared" si="20"/>
        <v>5000</v>
      </c>
      <c r="AB71" s="87" t="s">
        <v>7</v>
      </c>
      <c r="AC71" s="90" t="s">
        <v>7</v>
      </c>
      <c r="AD71" s="87" t="s">
        <v>7</v>
      </c>
      <c r="AE71" s="87" t="s">
        <v>7</v>
      </c>
      <c r="AF71" s="87" t="str">
        <f t="shared" si="21"/>
        <v>NA</v>
      </c>
      <c r="AG71" s="87">
        <f t="shared" si="22"/>
        <v>0.3</v>
      </c>
      <c r="AH71" s="87">
        <f t="shared" si="23"/>
        <v>0.3</v>
      </c>
      <c r="AI71" s="153">
        <f t="shared" si="24"/>
        <v>0</v>
      </c>
      <c r="AJ71" s="2" t="str">
        <f t="shared" si="25"/>
        <v>NA</v>
      </c>
    </row>
    <row r="72" spans="1:36" x14ac:dyDescent="0.3">
      <c r="A72" s="211">
        <v>10</v>
      </c>
      <c r="B7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72" s="2" t="str">
        <f t="shared" si="18"/>
        <v>E10I2</v>
      </c>
      <c r="D72" t="str">
        <f t="shared" si="19"/>
        <v>E10</v>
      </c>
      <c r="E72" s="87" t="s">
        <v>404</v>
      </c>
      <c r="F72" s="157">
        <v>2</v>
      </c>
      <c r="G72" s="87" t="s">
        <v>308</v>
      </c>
      <c r="H72" s="87" t="s">
        <v>446</v>
      </c>
      <c r="I72" s="87"/>
      <c r="J72" s="87"/>
      <c r="K72" s="87" t="s">
        <v>292</v>
      </c>
      <c r="L72" s="87" t="s">
        <v>37</v>
      </c>
      <c r="M72" s="87"/>
      <c r="N72" s="87">
        <v>10</v>
      </c>
      <c r="O72" s="87" t="s">
        <v>7</v>
      </c>
      <c r="P72" s="87">
        <v>90</v>
      </c>
      <c r="Q72" s="87">
        <v>90</v>
      </c>
      <c r="R72" s="94">
        <f>(100-(P72*100/Q72))/100</f>
        <v>0</v>
      </c>
      <c r="S72" s="87"/>
      <c r="T72" s="87"/>
      <c r="U72" s="87" t="s">
        <v>24</v>
      </c>
      <c r="V72" s="87" t="s">
        <v>460</v>
      </c>
      <c r="W72" s="87" t="s">
        <v>4</v>
      </c>
      <c r="X72" s="87"/>
      <c r="Y72" s="87">
        <v>2</v>
      </c>
      <c r="Z72" s="87">
        <v>1</v>
      </c>
      <c r="AA72" s="88">
        <f t="shared" si="20"/>
        <v>5000</v>
      </c>
      <c r="AB72" s="87" t="s">
        <v>7</v>
      </c>
      <c r="AC72" s="90" t="s">
        <v>7</v>
      </c>
      <c r="AD72" s="87" t="s">
        <v>7</v>
      </c>
      <c r="AE72" s="87" t="s">
        <v>7</v>
      </c>
      <c r="AF72" s="87" t="str">
        <f t="shared" si="21"/>
        <v>NA</v>
      </c>
      <c r="AG72" s="87">
        <f t="shared" si="22"/>
        <v>0.3</v>
      </c>
      <c r="AH72" s="87">
        <f t="shared" si="23"/>
        <v>0.3</v>
      </c>
      <c r="AI72" s="153">
        <f t="shared" si="24"/>
        <v>0</v>
      </c>
      <c r="AJ72" s="2" t="str">
        <f t="shared" si="25"/>
        <v>NA</v>
      </c>
    </row>
    <row r="73" spans="1:36" x14ac:dyDescent="0.3">
      <c r="A73" s="211">
        <v>10</v>
      </c>
      <c r="B7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73" s="2" t="str">
        <f t="shared" si="18"/>
        <v>E10I2</v>
      </c>
      <c r="D73" t="str">
        <f t="shared" si="19"/>
        <v>E10</v>
      </c>
      <c r="E73" s="87" t="s">
        <v>405</v>
      </c>
      <c r="F73" s="157">
        <v>2</v>
      </c>
      <c r="G73" s="87" t="s">
        <v>439</v>
      </c>
      <c r="H73" s="87" t="s">
        <v>446</v>
      </c>
      <c r="I73" s="87"/>
      <c r="J73" s="87"/>
      <c r="K73" s="87" t="s">
        <v>292</v>
      </c>
      <c r="L73" s="87" t="s">
        <v>37</v>
      </c>
      <c r="M73" s="87"/>
      <c r="N73" s="87">
        <v>10</v>
      </c>
      <c r="O73" s="87" t="s">
        <v>7</v>
      </c>
      <c r="P73" s="87">
        <v>90</v>
      </c>
      <c r="Q73" s="87">
        <v>90</v>
      </c>
      <c r="R73" s="94">
        <f>(100-(P73*100/Q73))/100</f>
        <v>0</v>
      </c>
      <c r="S73" s="87"/>
      <c r="T73" s="87"/>
      <c r="U73" s="87" t="s">
        <v>24</v>
      </c>
      <c r="V73" s="87" t="s">
        <v>460</v>
      </c>
      <c r="W73" s="87" t="s">
        <v>4</v>
      </c>
      <c r="X73" s="87"/>
      <c r="Y73" s="87">
        <v>2</v>
      </c>
      <c r="Z73" s="87">
        <v>1</v>
      </c>
      <c r="AA73" s="88">
        <f t="shared" si="20"/>
        <v>5000</v>
      </c>
      <c r="AB73" s="87" t="s">
        <v>7</v>
      </c>
      <c r="AC73" s="90" t="s">
        <v>7</v>
      </c>
      <c r="AD73" s="87" t="s">
        <v>7</v>
      </c>
      <c r="AE73" s="87" t="s">
        <v>7</v>
      </c>
      <c r="AF73" s="87" t="str">
        <f t="shared" si="21"/>
        <v>NA</v>
      </c>
      <c r="AG73" s="87">
        <f t="shared" si="22"/>
        <v>0.3</v>
      </c>
      <c r="AH73" s="87">
        <f t="shared" si="23"/>
        <v>0.3</v>
      </c>
      <c r="AI73" s="153">
        <f t="shared" si="24"/>
        <v>0</v>
      </c>
      <c r="AJ73" s="2" t="str">
        <f t="shared" si="25"/>
        <v>NA</v>
      </c>
    </row>
    <row r="74" spans="1:36" x14ac:dyDescent="0.3">
      <c r="A74" s="211">
        <v>10</v>
      </c>
      <c r="B7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74" s="2" t="str">
        <f t="shared" si="18"/>
        <v>E10I3</v>
      </c>
      <c r="D74" t="str">
        <f t="shared" si="19"/>
        <v>E10</v>
      </c>
      <c r="E74" s="87" t="s">
        <v>406</v>
      </c>
      <c r="F74" s="157">
        <v>0.4</v>
      </c>
      <c r="G74" s="87" t="s">
        <v>291</v>
      </c>
      <c r="H74" s="87" t="s">
        <v>446</v>
      </c>
      <c r="I74" s="87"/>
      <c r="J74" s="87"/>
      <c r="K74" s="87" t="s">
        <v>1005</v>
      </c>
      <c r="L74" s="87" t="s">
        <v>37</v>
      </c>
      <c r="M74" s="87" t="s">
        <v>447</v>
      </c>
      <c r="N74" s="87">
        <v>3</v>
      </c>
      <c r="O74" s="87" t="s">
        <v>7</v>
      </c>
      <c r="P74" s="87">
        <v>0</v>
      </c>
      <c r="Q74" s="87">
        <v>0</v>
      </c>
      <c r="R74" s="94">
        <v>0</v>
      </c>
      <c r="S74" s="87"/>
      <c r="T74" s="87"/>
      <c r="U74" s="87" t="s">
        <v>24</v>
      </c>
      <c r="V74" s="87" t="s">
        <v>460</v>
      </c>
      <c r="W74" s="87" t="s">
        <v>4</v>
      </c>
      <c r="X74" s="87"/>
      <c r="Y74" s="87">
        <v>2</v>
      </c>
      <c r="Z74" s="87">
        <v>1</v>
      </c>
      <c r="AA74" s="88">
        <f t="shared" si="20"/>
        <v>5000</v>
      </c>
      <c r="AB74" s="87" t="s">
        <v>7</v>
      </c>
      <c r="AC74" s="90" t="s">
        <v>7</v>
      </c>
      <c r="AD74" s="87" t="s">
        <v>7</v>
      </c>
      <c r="AE74" s="87" t="s">
        <v>7</v>
      </c>
      <c r="AF74" s="87" t="str">
        <f t="shared" si="21"/>
        <v>NA</v>
      </c>
      <c r="AG74" s="87">
        <f t="shared" si="22"/>
        <v>0.3</v>
      </c>
      <c r="AH74" s="87">
        <f t="shared" si="23"/>
        <v>0.3</v>
      </c>
      <c r="AI74" s="153">
        <f t="shared" si="24"/>
        <v>0</v>
      </c>
      <c r="AJ74" s="2" t="str">
        <f t="shared" si="25"/>
        <v>NA</v>
      </c>
    </row>
    <row r="75" spans="1:36" x14ac:dyDescent="0.3">
      <c r="A75" s="211">
        <v>11</v>
      </c>
      <c r="B7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75" s="2" t="str">
        <f t="shared" si="18"/>
        <v>E11I1</v>
      </c>
      <c r="D75" t="str">
        <f t="shared" si="19"/>
        <v>E11</v>
      </c>
      <c r="E75" s="87" t="s">
        <v>391</v>
      </c>
      <c r="F75" s="157">
        <v>4</v>
      </c>
      <c r="G75" s="87" t="s">
        <v>291</v>
      </c>
      <c r="H75" s="87" t="s">
        <v>445</v>
      </c>
      <c r="I75" s="87" t="s">
        <v>21</v>
      </c>
      <c r="J75" s="87" t="s">
        <v>444</v>
      </c>
      <c r="K75" s="87" t="s">
        <v>292</v>
      </c>
      <c r="L75" s="87" t="s">
        <v>171</v>
      </c>
      <c r="M75" s="87" t="s">
        <v>172</v>
      </c>
      <c r="N75" s="87">
        <v>3</v>
      </c>
      <c r="O75" s="87" t="s">
        <v>454</v>
      </c>
      <c r="P75" s="87">
        <v>0</v>
      </c>
      <c r="Q75" s="87">
        <v>0</v>
      </c>
      <c r="R75" s="94">
        <v>0</v>
      </c>
      <c r="S75" s="89"/>
      <c r="T75" s="89"/>
      <c r="U75" s="87" t="s">
        <v>24</v>
      </c>
      <c r="V75" s="87" t="s">
        <v>459</v>
      </c>
      <c r="W75" s="87" t="s">
        <v>7</v>
      </c>
      <c r="X75" s="87"/>
      <c r="Y75" s="87">
        <v>2.25</v>
      </c>
      <c r="Z75" s="87">
        <v>0.9</v>
      </c>
      <c r="AA75" s="88">
        <f t="shared" si="20"/>
        <v>4938.2716049382716</v>
      </c>
      <c r="AB75" s="87" t="s">
        <v>392</v>
      </c>
      <c r="AC75" s="90" t="s">
        <v>301</v>
      </c>
      <c r="AD75" s="87">
        <v>0.8</v>
      </c>
      <c r="AE75" s="87">
        <v>1.6</v>
      </c>
      <c r="AF75" s="87">
        <f t="shared" si="21"/>
        <v>0.8</v>
      </c>
      <c r="AG75" s="87">
        <f t="shared" si="22"/>
        <v>0.33749999999999997</v>
      </c>
      <c r="AH75" s="87">
        <f t="shared" si="23"/>
        <v>0.33749999999999997</v>
      </c>
      <c r="AI75" s="153">
        <f t="shared" si="24"/>
        <v>0</v>
      </c>
      <c r="AJ75" s="2">
        <f t="shared" si="25"/>
        <v>0.86111111111111116</v>
      </c>
    </row>
    <row r="76" spans="1:36" x14ac:dyDescent="0.3">
      <c r="A76" s="211">
        <v>11</v>
      </c>
      <c r="B7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76" s="2" t="str">
        <f t="shared" si="18"/>
        <v>E11I1</v>
      </c>
      <c r="D76" t="str">
        <f t="shared" si="19"/>
        <v>E11</v>
      </c>
      <c r="E76" s="87" t="s">
        <v>393</v>
      </c>
      <c r="F76" s="157">
        <v>3</v>
      </c>
      <c r="G76" s="87" t="s">
        <v>291</v>
      </c>
      <c r="H76" s="89"/>
      <c r="I76" s="89"/>
      <c r="J76" s="89"/>
      <c r="K76" s="87" t="s">
        <v>1005</v>
      </c>
      <c r="L76" s="89" t="s">
        <v>171</v>
      </c>
      <c r="M76" s="89" t="s">
        <v>172</v>
      </c>
      <c r="N76" s="87">
        <v>3</v>
      </c>
      <c r="O76" s="87" t="s">
        <v>454</v>
      </c>
      <c r="P76" s="87">
        <v>0</v>
      </c>
      <c r="Q76" s="87">
        <v>0</v>
      </c>
      <c r="R76" s="94">
        <v>0</v>
      </c>
      <c r="S76" s="89" t="s">
        <v>37</v>
      </c>
      <c r="T76" s="89"/>
      <c r="U76" s="87" t="s">
        <v>24</v>
      </c>
      <c r="V76" s="87" t="s">
        <v>459</v>
      </c>
      <c r="W76" s="87" t="s">
        <v>7</v>
      </c>
      <c r="X76" s="87"/>
      <c r="Y76" s="87">
        <v>2.25</v>
      </c>
      <c r="Z76" s="87">
        <v>0.9</v>
      </c>
      <c r="AA76" s="88">
        <f t="shared" si="20"/>
        <v>4938.2716049382716</v>
      </c>
      <c r="AB76" s="87" t="s">
        <v>392</v>
      </c>
      <c r="AC76" s="90" t="s">
        <v>301</v>
      </c>
      <c r="AD76" s="87">
        <v>0.8</v>
      </c>
      <c r="AE76" s="87">
        <v>1.6</v>
      </c>
      <c r="AF76" s="87">
        <f t="shared" si="21"/>
        <v>0.8</v>
      </c>
      <c r="AG76" s="87">
        <f t="shared" si="22"/>
        <v>0.33749999999999997</v>
      </c>
      <c r="AH76" s="87">
        <f t="shared" si="23"/>
        <v>0.33749999999999997</v>
      </c>
      <c r="AI76" s="153">
        <f t="shared" si="24"/>
        <v>0</v>
      </c>
      <c r="AJ76" s="2">
        <f t="shared" si="25"/>
        <v>0.86111111111111116</v>
      </c>
    </row>
    <row r="77" spans="1:36" x14ac:dyDescent="0.3">
      <c r="A77" s="211">
        <v>12</v>
      </c>
      <c r="B7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77" s="2" t="str">
        <f t="shared" si="18"/>
        <v>E12I1</v>
      </c>
      <c r="D77" t="str">
        <f t="shared" si="19"/>
        <v>E12</v>
      </c>
      <c r="E77" s="87" t="s">
        <v>430</v>
      </c>
      <c r="F77" s="157">
        <v>2.2999999999999998</v>
      </c>
      <c r="G77" s="87" t="s">
        <v>442</v>
      </c>
      <c r="H77" s="87" t="s">
        <v>172</v>
      </c>
      <c r="I77" s="87"/>
      <c r="J77" s="87"/>
      <c r="K77" s="89" t="s">
        <v>292</v>
      </c>
      <c r="L77" s="87" t="s">
        <v>37</v>
      </c>
      <c r="M77" s="87"/>
      <c r="N77" s="87">
        <v>3</v>
      </c>
      <c r="O77" s="87" t="s">
        <v>454</v>
      </c>
      <c r="P77" s="87">
        <v>20</v>
      </c>
      <c r="Q77" s="87">
        <v>90</v>
      </c>
      <c r="R77" s="94">
        <f t="shared" ref="R77:R94" si="26">(100-(P77*100/Q77))/100</f>
        <v>0.77777777777777768</v>
      </c>
      <c r="S77" s="89" t="s">
        <v>37</v>
      </c>
      <c r="T77" s="89"/>
      <c r="U77" s="87" t="s">
        <v>24</v>
      </c>
      <c r="V77" s="87" t="s">
        <v>461</v>
      </c>
      <c r="W77" s="87" t="s">
        <v>7</v>
      </c>
      <c r="X77" s="87"/>
      <c r="Y77" s="87">
        <v>2.5</v>
      </c>
      <c r="Z77" s="87">
        <v>0.8</v>
      </c>
      <c r="AA77" s="88">
        <f t="shared" si="20"/>
        <v>5000</v>
      </c>
      <c r="AB77" s="87" t="s">
        <v>313</v>
      </c>
      <c r="AC77" s="90" t="s">
        <v>7</v>
      </c>
      <c r="AD77" s="87">
        <v>0.8</v>
      </c>
      <c r="AE77" s="87" t="s">
        <v>7</v>
      </c>
      <c r="AF77" s="87" t="str">
        <f t="shared" si="21"/>
        <v>NA</v>
      </c>
      <c r="AG77" s="87">
        <f t="shared" si="22"/>
        <v>0.45</v>
      </c>
      <c r="AH77" s="87">
        <f t="shared" si="23"/>
        <v>0.40500000000000003</v>
      </c>
      <c r="AI77" s="153">
        <f t="shared" si="24"/>
        <v>0.15555555555555553</v>
      </c>
      <c r="AJ77" s="2" t="str">
        <f t="shared" si="25"/>
        <v>NA</v>
      </c>
    </row>
    <row r="78" spans="1:36" x14ac:dyDescent="0.3">
      <c r="A78" s="211">
        <v>12</v>
      </c>
      <c r="B7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78" s="2" t="str">
        <f t="shared" si="18"/>
        <v>E12I1</v>
      </c>
      <c r="D78" t="str">
        <f t="shared" si="19"/>
        <v>E12</v>
      </c>
      <c r="E78" s="87" t="s">
        <v>431</v>
      </c>
      <c r="F78" s="157">
        <v>3.5</v>
      </c>
      <c r="G78" s="87" t="s">
        <v>308</v>
      </c>
      <c r="H78" s="87" t="s">
        <v>172</v>
      </c>
      <c r="I78" s="87"/>
      <c r="J78" s="87"/>
      <c r="K78" s="89" t="s">
        <v>292</v>
      </c>
      <c r="L78" s="87" t="s">
        <v>37</v>
      </c>
      <c r="M78" s="87"/>
      <c r="N78" s="87">
        <v>25</v>
      </c>
      <c r="O78" s="87" t="s">
        <v>453</v>
      </c>
      <c r="P78" s="87">
        <v>80</v>
      </c>
      <c r="Q78" s="87">
        <v>90</v>
      </c>
      <c r="R78" s="94">
        <f t="shared" si="26"/>
        <v>0.11111111111111115</v>
      </c>
      <c r="S78" s="89" t="s">
        <v>37</v>
      </c>
      <c r="T78" s="89"/>
      <c r="U78" s="87" t="s">
        <v>9</v>
      </c>
      <c r="V78" s="87" t="s">
        <v>293</v>
      </c>
      <c r="W78" s="87" t="s">
        <v>463</v>
      </c>
      <c r="X78" s="87"/>
      <c r="Y78" s="87">
        <v>2</v>
      </c>
      <c r="Z78" s="87">
        <v>1.25</v>
      </c>
      <c r="AA78" s="88">
        <f t="shared" si="20"/>
        <v>4000</v>
      </c>
      <c r="AB78" s="87" t="s">
        <v>313</v>
      </c>
      <c r="AC78" s="90" t="s">
        <v>7</v>
      </c>
      <c r="AD78" s="87">
        <v>0.8</v>
      </c>
      <c r="AE78" s="87" t="s">
        <v>7</v>
      </c>
      <c r="AF78" s="87" t="str">
        <f t="shared" si="21"/>
        <v>NA</v>
      </c>
      <c r="AG78" s="87">
        <f t="shared" si="22"/>
        <v>0.3</v>
      </c>
      <c r="AH78" s="87">
        <f t="shared" si="23"/>
        <v>0.3</v>
      </c>
      <c r="AI78" s="153">
        <f t="shared" si="24"/>
        <v>2.222222222222223E-2</v>
      </c>
      <c r="AJ78" s="2" t="str">
        <f t="shared" si="25"/>
        <v>NA</v>
      </c>
    </row>
    <row r="79" spans="1:36" x14ac:dyDescent="0.3">
      <c r="A79" s="211">
        <v>12</v>
      </c>
      <c r="B7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79" s="2" t="str">
        <f t="shared" si="18"/>
        <v>E12I1</v>
      </c>
      <c r="D79" t="str">
        <f t="shared" si="19"/>
        <v>E12</v>
      </c>
      <c r="E79" s="87" t="s">
        <v>432</v>
      </c>
      <c r="F79" s="157">
        <v>2</v>
      </c>
      <c r="G79" s="87" t="s">
        <v>439</v>
      </c>
      <c r="H79" s="87" t="s">
        <v>172</v>
      </c>
      <c r="I79" s="87"/>
      <c r="J79" s="87"/>
      <c r="K79" s="89" t="s">
        <v>292</v>
      </c>
      <c r="L79" s="87" t="s">
        <v>37</v>
      </c>
      <c r="M79" s="87"/>
      <c r="N79" s="87">
        <v>4</v>
      </c>
      <c r="O79" s="87" t="s">
        <v>454</v>
      </c>
      <c r="P79" s="87">
        <v>60</v>
      </c>
      <c r="Q79" s="87">
        <v>90</v>
      </c>
      <c r="R79" s="94">
        <f t="shared" si="26"/>
        <v>0.33333333333333326</v>
      </c>
      <c r="S79" s="89" t="s">
        <v>37</v>
      </c>
      <c r="T79" s="89"/>
      <c r="U79" s="87" t="s">
        <v>24</v>
      </c>
      <c r="V79" s="87" t="s">
        <v>461</v>
      </c>
      <c r="W79" s="87" t="s">
        <v>7</v>
      </c>
      <c r="X79" s="87"/>
      <c r="Y79" s="87">
        <v>2.5</v>
      </c>
      <c r="Z79" s="87">
        <v>0.8</v>
      </c>
      <c r="AA79" s="88">
        <f t="shared" si="20"/>
        <v>5000</v>
      </c>
      <c r="AB79" s="87" t="s">
        <v>313</v>
      </c>
      <c r="AC79" s="90" t="s">
        <v>7</v>
      </c>
      <c r="AD79" s="87">
        <v>0.8</v>
      </c>
      <c r="AE79" s="87" t="s">
        <v>7</v>
      </c>
      <c r="AF79" s="87" t="str">
        <f t="shared" si="21"/>
        <v>NA</v>
      </c>
      <c r="AG79" s="87">
        <f t="shared" si="22"/>
        <v>0.45</v>
      </c>
      <c r="AH79" s="87">
        <f t="shared" si="23"/>
        <v>0.40500000000000003</v>
      </c>
      <c r="AI79" s="153">
        <f t="shared" si="24"/>
        <v>6.6666666666666652E-2</v>
      </c>
      <c r="AJ79" s="2" t="str">
        <f t="shared" si="25"/>
        <v>NA</v>
      </c>
    </row>
    <row r="80" spans="1:36" x14ac:dyDescent="0.3">
      <c r="A80" s="211">
        <v>12</v>
      </c>
      <c r="B8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80" s="2" t="str">
        <f t="shared" si="18"/>
        <v>E12I1</v>
      </c>
      <c r="D80" t="str">
        <f t="shared" si="19"/>
        <v>E12</v>
      </c>
      <c r="E80" s="87" t="s">
        <v>433</v>
      </c>
      <c r="F80" s="157">
        <v>1</v>
      </c>
      <c r="G80" s="87" t="s">
        <v>442</v>
      </c>
      <c r="H80" s="87" t="s">
        <v>172</v>
      </c>
      <c r="I80" s="87"/>
      <c r="J80" s="87"/>
      <c r="K80" s="89" t="s">
        <v>292</v>
      </c>
      <c r="L80" s="87" t="s">
        <v>37</v>
      </c>
      <c r="M80" s="87"/>
      <c r="N80" s="87">
        <v>5</v>
      </c>
      <c r="O80" s="87" t="s">
        <v>454</v>
      </c>
      <c r="P80" s="87">
        <v>90</v>
      </c>
      <c r="Q80" s="87">
        <v>90</v>
      </c>
      <c r="R80" s="94">
        <f t="shared" si="26"/>
        <v>0</v>
      </c>
      <c r="S80" s="89"/>
      <c r="T80" s="89"/>
      <c r="U80" s="87" t="s">
        <v>24</v>
      </c>
      <c r="V80" s="87" t="s">
        <v>459</v>
      </c>
      <c r="W80" s="87" t="s">
        <v>7</v>
      </c>
      <c r="X80" s="87"/>
      <c r="Y80" s="87">
        <v>2.5</v>
      </c>
      <c r="Z80" s="87">
        <v>0.8</v>
      </c>
      <c r="AA80" s="88">
        <f t="shared" si="20"/>
        <v>5000</v>
      </c>
      <c r="AB80" s="87" t="s">
        <v>313</v>
      </c>
      <c r="AC80" s="90" t="s">
        <v>7</v>
      </c>
      <c r="AD80" s="87">
        <v>0.8</v>
      </c>
      <c r="AE80" s="87" t="s">
        <v>7</v>
      </c>
      <c r="AF80" s="87" t="str">
        <f t="shared" si="21"/>
        <v>NA</v>
      </c>
      <c r="AG80" s="87">
        <f t="shared" si="22"/>
        <v>0.375</v>
      </c>
      <c r="AH80" s="87">
        <f t="shared" si="23"/>
        <v>0.375</v>
      </c>
      <c r="AI80" s="153">
        <f t="shared" si="24"/>
        <v>0</v>
      </c>
      <c r="AJ80" s="2" t="str">
        <f t="shared" si="25"/>
        <v>NA</v>
      </c>
    </row>
    <row r="81" spans="1:36" x14ac:dyDescent="0.3">
      <c r="A81" s="211">
        <v>12</v>
      </c>
      <c r="B8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81" s="2" t="str">
        <f t="shared" si="18"/>
        <v>E12I2</v>
      </c>
      <c r="D81" t="str">
        <f t="shared" si="19"/>
        <v>E12</v>
      </c>
      <c r="E81" s="87" t="s">
        <v>434</v>
      </c>
      <c r="F81" s="157">
        <v>1.7</v>
      </c>
      <c r="G81" s="87" t="s">
        <v>297</v>
      </c>
      <c r="H81" s="87" t="s">
        <v>172</v>
      </c>
      <c r="I81" s="87"/>
      <c r="J81" s="87"/>
      <c r="K81" s="89" t="s">
        <v>292</v>
      </c>
      <c r="L81" s="87" t="s">
        <v>37</v>
      </c>
      <c r="M81" s="87"/>
      <c r="N81" s="87">
        <v>1</v>
      </c>
      <c r="O81" s="87" t="s">
        <v>454</v>
      </c>
      <c r="P81" s="87">
        <v>90</v>
      </c>
      <c r="Q81" s="87">
        <v>90</v>
      </c>
      <c r="R81" s="94">
        <f t="shared" si="26"/>
        <v>0</v>
      </c>
      <c r="S81" s="89"/>
      <c r="T81" s="89"/>
      <c r="U81" s="87" t="s">
        <v>24</v>
      </c>
      <c r="V81" s="87" t="s">
        <v>459</v>
      </c>
      <c r="W81" s="87" t="s">
        <v>7</v>
      </c>
      <c r="X81" s="87"/>
      <c r="Y81" s="87">
        <v>2.5</v>
      </c>
      <c r="Z81" s="87">
        <v>0.8</v>
      </c>
      <c r="AA81" s="88">
        <f t="shared" si="20"/>
        <v>5000</v>
      </c>
      <c r="AB81" s="87" t="s">
        <v>313</v>
      </c>
      <c r="AC81" s="90" t="s">
        <v>7</v>
      </c>
      <c r="AD81" s="87">
        <v>0.8</v>
      </c>
      <c r="AE81" s="87" t="s">
        <v>7</v>
      </c>
      <c r="AF81" s="87" t="str">
        <f t="shared" si="21"/>
        <v>NA</v>
      </c>
      <c r="AG81" s="87">
        <f t="shared" si="22"/>
        <v>0.375</v>
      </c>
      <c r="AH81" s="87">
        <f t="shared" si="23"/>
        <v>0.375</v>
      </c>
      <c r="AI81" s="153">
        <f t="shared" si="24"/>
        <v>0</v>
      </c>
      <c r="AJ81" s="2" t="str">
        <f t="shared" si="25"/>
        <v>NA</v>
      </c>
    </row>
    <row r="82" spans="1:36" x14ac:dyDescent="0.3">
      <c r="A82" s="211">
        <v>12</v>
      </c>
      <c r="B8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82" s="2" t="str">
        <f t="shared" si="18"/>
        <v>E12I2</v>
      </c>
      <c r="D82" t="str">
        <f t="shared" si="19"/>
        <v>E12</v>
      </c>
      <c r="E82" s="87" t="s">
        <v>435</v>
      </c>
      <c r="F82" s="157">
        <v>0.4</v>
      </c>
      <c r="G82" s="87" t="s">
        <v>297</v>
      </c>
      <c r="H82" s="87" t="s">
        <v>172</v>
      </c>
      <c r="I82" s="87"/>
      <c r="J82" s="87"/>
      <c r="K82" s="89" t="s">
        <v>292</v>
      </c>
      <c r="L82" s="87" t="s">
        <v>37</v>
      </c>
      <c r="M82" s="87"/>
      <c r="N82" s="87">
        <v>3</v>
      </c>
      <c r="O82" s="87" t="s">
        <v>454</v>
      </c>
      <c r="P82" s="87">
        <v>90</v>
      </c>
      <c r="Q82" s="87">
        <v>90</v>
      </c>
      <c r="R82" s="94">
        <f t="shared" si="26"/>
        <v>0</v>
      </c>
      <c r="S82" s="89"/>
      <c r="T82" s="89"/>
      <c r="U82" s="87" t="s">
        <v>24</v>
      </c>
      <c r="V82" s="87" t="s">
        <v>459</v>
      </c>
      <c r="W82" s="87" t="s">
        <v>7</v>
      </c>
      <c r="X82" s="87"/>
      <c r="Y82" s="87">
        <v>2.5</v>
      </c>
      <c r="Z82" s="87">
        <v>0.8</v>
      </c>
      <c r="AA82" s="88">
        <f t="shared" si="20"/>
        <v>5000</v>
      </c>
      <c r="AB82" s="87" t="s">
        <v>313</v>
      </c>
      <c r="AC82" s="90" t="s">
        <v>7</v>
      </c>
      <c r="AD82" s="87">
        <v>0.8</v>
      </c>
      <c r="AE82" s="87" t="s">
        <v>7</v>
      </c>
      <c r="AF82" s="87" t="str">
        <f t="shared" si="21"/>
        <v>NA</v>
      </c>
      <c r="AG82" s="87">
        <f t="shared" si="22"/>
        <v>0.375</v>
      </c>
      <c r="AH82" s="87">
        <f t="shared" si="23"/>
        <v>0.375</v>
      </c>
      <c r="AI82" s="153">
        <f t="shared" si="24"/>
        <v>0</v>
      </c>
      <c r="AJ82" s="2" t="str">
        <f t="shared" si="25"/>
        <v>NA</v>
      </c>
    </row>
    <row r="83" spans="1:36" x14ac:dyDescent="0.3">
      <c r="A83" s="211">
        <v>12</v>
      </c>
      <c r="B8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83" s="2" t="str">
        <f t="shared" si="18"/>
        <v>E12I2</v>
      </c>
      <c r="D83" t="str">
        <f t="shared" si="19"/>
        <v>E12</v>
      </c>
      <c r="E83" s="87" t="s">
        <v>436</v>
      </c>
      <c r="F83" s="157">
        <v>0.5</v>
      </c>
      <c r="G83" s="87" t="s">
        <v>297</v>
      </c>
      <c r="H83" s="87" t="s">
        <v>172</v>
      </c>
      <c r="I83" s="87"/>
      <c r="J83" s="87"/>
      <c r="K83" s="89" t="s">
        <v>292</v>
      </c>
      <c r="L83" s="87" t="s">
        <v>37</v>
      </c>
      <c r="M83" s="87"/>
      <c r="N83" s="87">
        <v>3</v>
      </c>
      <c r="O83" s="87" t="s">
        <v>454</v>
      </c>
      <c r="P83" s="87">
        <v>90</v>
      </c>
      <c r="Q83" s="87">
        <v>90</v>
      </c>
      <c r="R83" s="94">
        <f t="shared" si="26"/>
        <v>0</v>
      </c>
      <c r="S83" s="89"/>
      <c r="T83" s="89"/>
      <c r="U83" s="87" t="s">
        <v>24</v>
      </c>
      <c r="V83" s="87" t="s">
        <v>459</v>
      </c>
      <c r="W83" s="87" t="s">
        <v>7</v>
      </c>
      <c r="X83" s="87"/>
      <c r="Y83" s="87">
        <v>2.5</v>
      </c>
      <c r="Z83" s="87">
        <v>0.8</v>
      </c>
      <c r="AA83" s="88">
        <f t="shared" si="20"/>
        <v>5000</v>
      </c>
      <c r="AB83" s="87" t="s">
        <v>313</v>
      </c>
      <c r="AC83" s="90" t="s">
        <v>7</v>
      </c>
      <c r="AD83" s="87">
        <v>0.8</v>
      </c>
      <c r="AE83" s="87" t="s">
        <v>7</v>
      </c>
      <c r="AF83" s="87" t="str">
        <f t="shared" si="21"/>
        <v>NA</v>
      </c>
      <c r="AG83" s="87">
        <f t="shared" si="22"/>
        <v>0.375</v>
      </c>
      <c r="AH83" s="87">
        <f t="shared" si="23"/>
        <v>0.375</v>
      </c>
      <c r="AI83" s="153">
        <f t="shared" si="24"/>
        <v>0</v>
      </c>
      <c r="AJ83" s="2" t="str">
        <f t="shared" si="25"/>
        <v>NA</v>
      </c>
    </row>
    <row r="84" spans="1:36" x14ac:dyDescent="0.3">
      <c r="A84" s="211">
        <v>13</v>
      </c>
      <c r="B8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84" s="2" t="str">
        <f t="shared" si="18"/>
        <v>E13I1</v>
      </c>
      <c r="D84" t="str">
        <f t="shared" si="19"/>
        <v>E13</v>
      </c>
      <c r="E84" s="87" t="s">
        <v>328</v>
      </c>
      <c r="F84" s="157">
        <v>1.3</v>
      </c>
      <c r="G84" s="87" t="s">
        <v>308</v>
      </c>
      <c r="H84" s="87" t="s">
        <v>509</v>
      </c>
      <c r="I84" s="87"/>
      <c r="J84" s="87"/>
      <c r="K84" s="87" t="s">
        <v>292</v>
      </c>
      <c r="L84" s="87" t="s">
        <v>37</v>
      </c>
      <c r="M84" s="87" t="s">
        <v>4</v>
      </c>
      <c r="N84" s="89">
        <v>26</v>
      </c>
      <c r="O84" s="87" t="s">
        <v>453</v>
      </c>
      <c r="P84" s="87">
        <v>80</v>
      </c>
      <c r="Q84" s="87">
        <v>90</v>
      </c>
      <c r="R84" s="94">
        <f t="shared" si="26"/>
        <v>0.11111111111111115</v>
      </c>
      <c r="S84" s="89" t="s">
        <v>1</v>
      </c>
      <c r="T84" s="89"/>
      <c r="U84" s="87" t="s">
        <v>24</v>
      </c>
      <c r="V84" s="87" t="s">
        <v>460</v>
      </c>
      <c r="W84" s="87" t="s">
        <v>4</v>
      </c>
      <c r="X84" s="87"/>
      <c r="Y84" s="87">
        <v>2</v>
      </c>
      <c r="Z84" s="87">
        <v>1</v>
      </c>
      <c r="AA84" s="88">
        <f t="shared" si="20"/>
        <v>5000</v>
      </c>
      <c r="AB84" s="87" t="s">
        <v>329</v>
      </c>
      <c r="AC84" s="90" t="s">
        <v>314</v>
      </c>
      <c r="AD84" s="87">
        <v>1</v>
      </c>
      <c r="AE84" s="87">
        <v>2</v>
      </c>
      <c r="AF84" s="87">
        <f t="shared" si="21"/>
        <v>1</v>
      </c>
      <c r="AG84" s="87">
        <f t="shared" si="22"/>
        <v>0.3</v>
      </c>
      <c r="AH84" s="87">
        <f t="shared" si="23"/>
        <v>0.3</v>
      </c>
      <c r="AI84" s="153">
        <f t="shared" si="24"/>
        <v>2.222222222222223E-2</v>
      </c>
      <c r="AJ84" s="2">
        <f t="shared" si="25"/>
        <v>1.1244444444444444</v>
      </c>
    </row>
    <row r="85" spans="1:36" x14ac:dyDescent="0.3">
      <c r="A85" s="211">
        <v>13</v>
      </c>
      <c r="B8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85" s="2" t="str">
        <f t="shared" si="18"/>
        <v>E13I1</v>
      </c>
      <c r="D85" t="str">
        <f t="shared" si="19"/>
        <v>E13</v>
      </c>
      <c r="E85" s="87" t="s">
        <v>330</v>
      </c>
      <c r="F85" s="157">
        <v>0.56000000000000005</v>
      </c>
      <c r="G85" s="87" t="s">
        <v>306</v>
      </c>
      <c r="H85" s="87" t="s">
        <v>509</v>
      </c>
      <c r="I85" s="87"/>
      <c r="J85" s="87"/>
      <c r="K85" s="87" t="s">
        <v>292</v>
      </c>
      <c r="L85" s="87" t="s">
        <v>37</v>
      </c>
      <c r="M85" s="87" t="s">
        <v>4</v>
      </c>
      <c r="N85" s="89">
        <v>6</v>
      </c>
      <c r="O85" s="87" t="s">
        <v>453</v>
      </c>
      <c r="P85" s="87">
        <v>90</v>
      </c>
      <c r="Q85" s="87">
        <v>90</v>
      </c>
      <c r="R85" s="94">
        <f t="shared" si="26"/>
        <v>0</v>
      </c>
      <c r="S85" s="89"/>
      <c r="T85" s="89"/>
      <c r="U85" s="87" t="s">
        <v>24</v>
      </c>
      <c r="V85" s="87" t="s">
        <v>460</v>
      </c>
      <c r="W85" s="87" t="s">
        <v>4</v>
      </c>
      <c r="X85" s="87"/>
      <c r="Y85" s="87">
        <v>2</v>
      </c>
      <c r="Z85" s="87">
        <v>1</v>
      </c>
      <c r="AA85" s="88">
        <f t="shared" si="20"/>
        <v>5000</v>
      </c>
      <c r="AB85" s="87" t="s">
        <v>329</v>
      </c>
      <c r="AC85" s="90" t="s">
        <v>314</v>
      </c>
      <c r="AD85" s="87">
        <v>1</v>
      </c>
      <c r="AE85" s="87">
        <v>2</v>
      </c>
      <c r="AF85" s="87">
        <f t="shared" si="21"/>
        <v>1</v>
      </c>
      <c r="AG85" s="87">
        <f t="shared" si="22"/>
        <v>0.3</v>
      </c>
      <c r="AH85" s="87">
        <f t="shared" si="23"/>
        <v>0.3</v>
      </c>
      <c r="AI85" s="153">
        <f t="shared" si="24"/>
        <v>0</v>
      </c>
      <c r="AJ85" s="2">
        <f t="shared" si="25"/>
        <v>1.1499999999999999</v>
      </c>
    </row>
    <row r="86" spans="1:36" x14ac:dyDescent="0.3">
      <c r="A86" s="211">
        <v>13</v>
      </c>
      <c r="B8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86" s="2" t="str">
        <f t="shared" si="18"/>
        <v>E13I1</v>
      </c>
      <c r="D86" t="str">
        <f t="shared" si="19"/>
        <v>E13</v>
      </c>
      <c r="E86" s="87" t="s">
        <v>331</v>
      </c>
      <c r="F86" s="157">
        <v>0.56000000000000005</v>
      </c>
      <c r="G86" s="87" t="s">
        <v>306</v>
      </c>
      <c r="H86" s="87" t="s">
        <v>509</v>
      </c>
      <c r="I86" s="87"/>
      <c r="J86" s="87"/>
      <c r="K86" s="87" t="s">
        <v>292</v>
      </c>
      <c r="L86" s="87" t="s">
        <v>37</v>
      </c>
      <c r="M86" s="87" t="s">
        <v>4</v>
      </c>
      <c r="N86" s="89">
        <v>4</v>
      </c>
      <c r="O86" s="87" t="s">
        <v>453</v>
      </c>
      <c r="P86" s="87">
        <v>90</v>
      </c>
      <c r="Q86" s="87">
        <v>90</v>
      </c>
      <c r="R86" s="94">
        <f t="shared" si="26"/>
        <v>0</v>
      </c>
      <c r="S86" s="89"/>
      <c r="T86" s="89"/>
      <c r="U86" s="87" t="s">
        <v>24</v>
      </c>
      <c r="V86" s="87" t="s">
        <v>460</v>
      </c>
      <c r="W86" s="87" t="s">
        <v>4</v>
      </c>
      <c r="X86" s="87"/>
      <c r="Y86" s="87">
        <v>2</v>
      </c>
      <c r="Z86" s="87">
        <v>1</v>
      </c>
      <c r="AA86" s="88">
        <f t="shared" si="20"/>
        <v>5000</v>
      </c>
      <c r="AB86" s="87" t="s">
        <v>329</v>
      </c>
      <c r="AC86" s="90" t="s">
        <v>314</v>
      </c>
      <c r="AD86" s="87">
        <v>1</v>
      </c>
      <c r="AE86" s="87">
        <v>2</v>
      </c>
      <c r="AF86" s="87">
        <f t="shared" si="21"/>
        <v>1</v>
      </c>
      <c r="AG86" s="87">
        <f t="shared" si="22"/>
        <v>0.3</v>
      </c>
      <c r="AH86" s="87">
        <f t="shared" si="23"/>
        <v>0.3</v>
      </c>
      <c r="AI86" s="153">
        <f t="shared" si="24"/>
        <v>0</v>
      </c>
      <c r="AJ86" s="2">
        <f t="shared" si="25"/>
        <v>1.1499999999999999</v>
      </c>
    </row>
    <row r="87" spans="1:36" x14ac:dyDescent="0.3">
      <c r="A87" s="211">
        <v>13</v>
      </c>
      <c r="B8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87" s="2" t="str">
        <f t="shared" si="18"/>
        <v>E13I1</v>
      </c>
      <c r="D87" t="str">
        <f t="shared" si="19"/>
        <v>E13</v>
      </c>
      <c r="E87" s="87" t="s">
        <v>332</v>
      </c>
      <c r="F87" s="157">
        <v>0.56000000000000005</v>
      </c>
      <c r="G87" s="87" t="s">
        <v>306</v>
      </c>
      <c r="H87" s="87" t="s">
        <v>509</v>
      </c>
      <c r="I87" s="87"/>
      <c r="J87" s="87"/>
      <c r="K87" s="87" t="s">
        <v>292</v>
      </c>
      <c r="L87" s="87" t="s">
        <v>37</v>
      </c>
      <c r="M87" s="87" t="s">
        <v>4</v>
      </c>
      <c r="N87" s="89">
        <v>2</v>
      </c>
      <c r="O87" s="87" t="s">
        <v>454</v>
      </c>
      <c r="P87" s="87">
        <v>90</v>
      </c>
      <c r="Q87" s="87">
        <v>90</v>
      </c>
      <c r="R87" s="94">
        <f t="shared" si="26"/>
        <v>0</v>
      </c>
      <c r="S87" s="89"/>
      <c r="T87" s="89"/>
      <c r="U87" s="87" t="s">
        <v>24</v>
      </c>
      <c r="V87" s="87" t="s">
        <v>460</v>
      </c>
      <c r="W87" s="87" t="s">
        <v>4</v>
      </c>
      <c r="X87" s="87"/>
      <c r="Y87" s="87">
        <v>2</v>
      </c>
      <c r="Z87" s="87">
        <v>1</v>
      </c>
      <c r="AA87" s="88">
        <f t="shared" si="20"/>
        <v>5000</v>
      </c>
      <c r="AB87" s="87" t="s">
        <v>329</v>
      </c>
      <c r="AC87" s="90" t="s">
        <v>314</v>
      </c>
      <c r="AD87" s="87">
        <v>1</v>
      </c>
      <c r="AE87" s="87">
        <v>2</v>
      </c>
      <c r="AF87" s="87">
        <f t="shared" si="21"/>
        <v>1</v>
      </c>
      <c r="AG87" s="87">
        <f t="shared" si="22"/>
        <v>0.3</v>
      </c>
      <c r="AH87" s="87">
        <f t="shared" si="23"/>
        <v>0.3</v>
      </c>
      <c r="AI87" s="153">
        <f t="shared" si="24"/>
        <v>0</v>
      </c>
      <c r="AJ87" s="2">
        <f t="shared" si="25"/>
        <v>1.1499999999999999</v>
      </c>
    </row>
    <row r="88" spans="1:36" x14ac:dyDescent="0.3">
      <c r="A88" s="211">
        <v>13</v>
      </c>
      <c r="B8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88" s="2" t="str">
        <f t="shared" si="18"/>
        <v>E13I2</v>
      </c>
      <c r="D88" t="str">
        <f t="shared" si="19"/>
        <v>E13</v>
      </c>
      <c r="E88" s="87" t="s">
        <v>333</v>
      </c>
      <c r="F88" s="157">
        <v>3</v>
      </c>
      <c r="G88" s="87" t="s">
        <v>308</v>
      </c>
      <c r="H88" s="87" t="s">
        <v>509</v>
      </c>
      <c r="I88" s="87"/>
      <c r="J88" s="87"/>
      <c r="K88" s="87" t="s">
        <v>292</v>
      </c>
      <c r="L88" s="87" t="s">
        <v>37</v>
      </c>
      <c r="M88" s="87" t="s">
        <v>4</v>
      </c>
      <c r="N88" s="89">
        <v>8</v>
      </c>
      <c r="O88" s="87" t="s">
        <v>453</v>
      </c>
      <c r="P88" s="87">
        <v>90</v>
      </c>
      <c r="Q88" s="87">
        <v>90</v>
      </c>
      <c r="R88" s="94">
        <f t="shared" si="26"/>
        <v>0</v>
      </c>
      <c r="S88" s="89"/>
      <c r="T88" s="89"/>
      <c r="U88" s="87" t="s">
        <v>24</v>
      </c>
      <c r="V88" s="87" t="s">
        <v>460</v>
      </c>
      <c r="W88" s="87" t="s">
        <v>4</v>
      </c>
      <c r="X88" s="87"/>
      <c r="Y88" s="87">
        <v>2</v>
      </c>
      <c r="Z88" s="87">
        <v>1</v>
      </c>
      <c r="AA88" s="88">
        <f t="shared" si="20"/>
        <v>5000</v>
      </c>
      <c r="AB88" s="87" t="s">
        <v>334</v>
      </c>
      <c r="AC88" s="90" t="s">
        <v>314</v>
      </c>
      <c r="AD88" s="87">
        <v>1</v>
      </c>
      <c r="AE88" s="87">
        <v>2</v>
      </c>
      <c r="AF88" s="87">
        <f t="shared" si="21"/>
        <v>1</v>
      </c>
      <c r="AG88" s="87">
        <f t="shared" si="22"/>
        <v>0.3</v>
      </c>
      <c r="AH88" s="87">
        <f t="shared" si="23"/>
        <v>0.3</v>
      </c>
      <c r="AI88" s="153">
        <f t="shared" si="24"/>
        <v>0</v>
      </c>
      <c r="AJ88" s="2">
        <f t="shared" si="25"/>
        <v>1.1499999999999999</v>
      </c>
    </row>
    <row r="89" spans="1:36" x14ac:dyDescent="0.3">
      <c r="A89" s="211">
        <v>13</v>
      </c>
      <c r="B8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89" s="2" t="str">
        <f t="shared" si="18"/>
        <v>E13I2</v>
      </c>
      <c r="D89" t="str">
        <f t="shared" si="19"/>
        <v>E13</v>
      </c>
      <c r="E89" s="87" t="s">
        <v>335</v>
      </c>
      <c r="F89" s="157">
        <v>0.5</v>
      </c>
      <c r="G89" s="87" t="s">
        <v>291</v>
      </c>
      <c r="H89" s="87" t="s">
        <v>509</v>
      </c>
      <c r="I89" s="87"/>
      <c r="J89" s="87"/>
      <c r="K89" s="87" t="s">
        <v>292</v>
      </c>
      <c r="L89" s="87" t="s">
        <v>37</v>
      </c>
      <c r="M89" s="87" t="s">
        <v>4</v>
      </c>
      <c r="N89" s="89">
        <v>10</v>
      </c>
      <c r="O89" s="87" t="s">
        <v>453</v>
      </c>
      <c r="P89" s="87">
        <v>90</v>
      </c>
      <c r="Q89" s="87">
        <v>90</v>
      </c>
      <c r="R89" s="94">
        <f t="shared" si="26"/>
        <v>0</v>
      </c>
      <c r="S89" s="89"/>
      <c r="T89" s="89"/>
      <c r="U89" s="87" t="s">
        <v>24</v>
      </c>
      <c r="V89" s="87" t="s">
        <v>460</v>
      </c>
      <c r="W89" s="87" t="s">
        <v>4</v>
      </c>
      <c r="X89" s="87"/>
      <c r="Y89" s="87">
        <v>2</v>
      </c>
      <c r="Z89" s="87">
        <v>1</v>
      </c>
      <c r="AA89" s="88">
        <f t="shared" si="20"/>
        <v>5000</v>
      </c>
      <c r="AB89" s="87" t="s">
        <v>334</v>
      </c>
      <c r="AC89" s="90" t="s">
        <v>314</v>
      </c>
      <c r="AD89" s="87">
        <v>1</v>
      </c>
      <c r="AE89" s="87">
        <v>2</v>
      </c>
      <c r="AF89" s="87">
        <f t="shared" si="21"/>
        <v>1</v>
      </c>
      <c r="AG89" s="87">
        <f t="shared" si="22"/>
        <v>0.3</v>
      </c>
      <c r="AH89" s="87">
        <f t="shared" si="23"/>
        <v>0.3</v>
      </c>
      <c r="AI89" s="153">
        <f t="shared" si="24"/>
        <v>0</v>
      </c>
      <c r="AJ89" s="2">
        <f t="shared" si="25"/>
        <v>1.1499999999999999</v>
      </c>
    </row>
    <row r="90" spans="1:36" x14ac:dyDescent="0.3">
      <c r="A90" s="211">
        <v>13</v>
      </c>
      <c r="B9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90" s="2" t="str">
        <f t="shared" si="18"/>
        <v>E13I2</v>
      </c>
      <c r="D90" t="str">
        <f t="shared" si="19"/>
        <v>E13</v>
      </c>
      <c r="E90" s="87" t="s">
        <v>336</v>
      </c>
      <c r="F90" s="157">
        <v>1.5</v>
      </c>
      <c r="G90" s="87" t="s">
        <v>439</v>
      </c>
      <c r="H90" s="87" t="s">
        <v>509</v>
      </c>
      <c r="I90" s="87"/>
      <c r="J90" s="87"/>
      <c r="K90" s="87" t="s">
        <v>292</v>
      </c>
      <c r="L90" s="87" t="s">
        <v>37</v>
      </c>
      <c r="M90" s="87" t="s">
        <v>4</v>
      </c>
      <c r="N90" s="89">
        <v>24</v>
      </c>
      <c r="O90" s="87" t="s">
        <v>453</v>
      </c>
      <c r="P90" s="87">
        <v>90</v>
      </c>
      <c r="Q90" s="87">
        <v>90</v>
      </c>
      <c r="R90" s="94">
        <f t="shared" si="26"/>
        <v>0</v>
      </c>
      <c r="S90" s="89"/>
      <c r="T90" s="89"/>
      <c r="U90" s="87" t="s">
        <v>24</v>
      </c>
      <c r="V90" s="87" t="s">
        <v>460</v>
      </c>
      <c r="W90" s="87" t="s">
        <v>4</v>
      </c>
      <c r="X90" s="87"/>
      <c r="Y90" s="87">
        <v>2</v>
      </c>
      <c r="Z90" s="87">
        <v>1</v>
      </c>
      <c r="AA90" s="88">
        <f t="shared" si="20"/>
        <v>5000</v>
      </c>
      <c r="AB90" s="87" t="s">
        <v>334</v>
      </c>
      <c r="AC90" s="90" t="s">
        <v>314</v>
      </c>
      <c r="AD90" s="87">
        <v>1</v>
      </c>
      <c r="AE90" s="87">
        <v>2</v>
      </c>
      <c r="AF90" s="87">
        <f t="shared" si="21"/>
        <v>1</v>
      </c>
      <c r="AG90" s="87">
        <f t="shared" si="22"/>
        <v>0.3</v>
      </c>
      <c r="AH90" s="87">
        <f t="shared" si="23"/>
        <v>0.3</v>
      </c>
      <c r="AI90" s="153">
        <f t="shared" si="24"/>
        <v>0</v>
      </c>
      <c r="AJ90" s="2">
        <f t="shared" si="25"/>
        <v>1.1499999999999999</v>
      </c>
    </row>
    <row r="91" spans="1:36" x14ac:dyDescent="0.3">
      <c r="A91" s="211">
        <v>14</v>
      </c>
      <c r="B9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91" s="2" t="str">
        <f t="shared" si="18"/>
        <v>E14I1</v>
      </c>
      <c r="D91" t="str">
        <f t="shared" si="19"/>
        <v>E14</v>
      </c>
      <c r="E91" s="87" t="s">
        <v>337</v>
      </c>
      <c r="F91" s="157">
        <v>2</v>
      </c>
      <c r="G91" s="87" t="s">
        <v>440</v>
      </c>
      <c r="H91" s="87" t="s">
        <v>509</v>
      </c>
      <c r="I91" s="87" t="s">
        <v>444</v>
      </c>
      <c r="J91" s="87"/>
      <c r="K91" s="87" t="s">
        <v>292</v>
      </c>
      <c r="L91" s="87" t="s">
        <v>37</v>
      </c>
      <c r="M91" s="87" t="s">
        <v>187</v>
      </c>
      <c r="N91" s="89">
        <v>20</v>
      </c>
      <c r="O91" s="89" t="s">
        <v>453</v>
      </c>
      <c r="P91" s="87">
        <v>80</v>
      </c>
      <c r="Q91" s="87">
        <v>90</v>
      </c>
      <c r="R91" s="94">
        <f t="shared" si="26"/>
        <v>0.11111111111111115</v>
      </c>
      <c r="S91" s="89" t="s">
        <v>37</v>
      </c>
      <c r="T91" s="89" t="s">
        <v>269</v>
      </c>
      <c r="U91" s="87" t="s">
        <v>9</v>
      </c>
      <c r="V91" s="87" t="s">
        <v>293</v>
      </c>
      <c r="W91" s="87" t="s">
        <v>4</v>
      </c>
      <c r="X91" s="87" t="s">
        <v>463</v>
      </c>
      <c r="Y91" s="87">
        <v>2</v>
      </c>
      <c r="Z91" s="87">
        <v>1</v>
      </c>
      <c r="AA91" s="88">
        <f t="shared" si="20"/>
        <v>5000</v>
      </c>
      <c r="AB91" s="87" t="s">
        <v>329</v>
      </c>
      <c r="AC91" s="90" t="s">
        <v>301</v>
      </c>
      <c r="AD91" s="87">
        <v>0.8</v>
      </c>
      <c r="AE91" s="87">
        <v>1.7</v>
      </c>
      <c r="AF91" s="87">
        <f t="shared" si="21"/>
        <v>0.89999999999999991</v>
      </c>
      <c r="AG91" s="87">
        <f t="shared" si="22"/>
        <v>0.3</v>
      </c>
      <c r="AH91" s="87">
        <f t="shared" si="23"/>
        <v>0.3</v>
      </c>
      <c r="AI91" s="153">
        <f t="shared" si="24"/>
        <v>2.222222222222223E-2</v>
      </c>
      <c r="AJ91" s="2">
        <f t="shared" si="25"/>
        <v>1.0266666666666664</v>
      </c>
    </row>
    <row r="92" spans="1:36" x14ac:dyDescent="0.3">
      <c r="A92" s="211">
        <v>14</v>
      </c>
      <c r="B9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92" s="2" t="str">
        <f t="shared" si="18"/>
        <v>E14I1</v>
      </c>
      <c r="D92" t="str">
        <f t="shared" si="19"/>
        <v>E14</v>
      </c>
      <c r="E92" s="87" t="s">
        <v>338</v>
      </c>
      <c r="F92" s="157">
        <v>1.5</v>
      </c>
      <c r="G92" s="87" t="s">
        <v>308</v>
      </c>
      <c r="H92" s="87" t="s">
        <v>509</v>
      </c>
      <c r="I92" s="87" t="s">
        <v>444</v>
      </c>
      <c r="J92" s="87"/>
      <c r="K92" s="87" t="s">
        <v>292</v>
      </c>
      <c r="L92" s="87" t="s">
        <v>37</v>
      </c>
      <c r="M92" s="87" t="s">
        <v>187</v>
      </c>
      <c r="N92" s="89">
        <v>24</v>
      </c>
      <c r="O92" s="87" t="s">
        <v>453</v>
      </c>
      <c r="P92" s="87">
        <v>80</v>
      </c>
      <c r="Q92" s="87">
        <v>90</v>
      </c>
      <c r="R92" s="94">
        <f t="shared" si="26"/>
        <v>0.11111111111111115</v>
      </c>
      <c r="S92" s="89" t="s">
        <v>37</v>
      </c>
      <c r="T92" s="89"/>
      <c r="U92" s="87" t="s">
        <v>9</v>
      </c>
      <c r="V92" s="87" t="s">
        <v>293</v>
      </c>
      <c r="W92" s="87" t="s">
        <v>4</v>
      </c>
      <c r="X92" s="87" t="s">
        <v>463</v>
      </c>
      <c r="Y92" s="87">
        <v>2</v>
      </c>
      <c r="Z92" s="87">
        <v>1</v>
      </c>
      <c r="AA92" s="88">
        <f t="shared" si="20"/>
        <v>5000</v>
      </c>
      <c r="AB92" s="87" t="s">
        <v>313</v>
      </c>
      <c r="AC92" s="90" t="s">
        <v>301</v>
      </c>
      <c r="AD92" s="87">
        <v>0.8</v>
      </c>
      <c r="AE92" s="87">
        <v>1.7</v>
      </c>
      <c r="AF92" s="87">
        <f t="shared" si="21"/>
        <v>0.89999999999999991</v>
      </c>
      <c r="AG92" s="87">
        <f t="shared" si="22"/>
        <v>0.3</v>
      </c>
      <c r="AH92" s="87">
        <f t="shared" si="23"/>
        <v>0.3</v>
      </c>
      <c r="AI92" s="153">
        <f t="shared" si="24"/>
        <v>2.222222222222223E-2</v>
      </c>
      <c r="AJ92" s="2">
        <f t="shared" si="25"/>
        <v>1.0266666666666664</v>
      </c>
    </row>
    <row r="93" spans="1:36" x14ac:dyDescent="0.3">
      <c r="A93" s="211">
        <v>14</v>
      </c>
      <c r="B9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93" s="2" t="str">
        <f t="shared" si="18"/>
        <v>E14I2</v>
      </c>
      <c r="D93" t="str">
        <f t="shared" si="19"/>
        <v>E14</v>
      </c>
      <c r="E93" s="87" t="s">
        <v>339</v>
      </c>
      <c r="F93" s="157">
        <v>1.5</v>
      </c>
      <c r="G93" s="87" t="s">
        <v>291</v>
      </c>
      <c r="H93" s="87" t="s">
        <v>509</v>
      </c>
      <c r="I93" s="87" t="s">
        <v>444</v>
      </c>
      <c r="J93" s="87"/>
      <c r="K93" s="87" t="s">
        <v>292</v>
      </c>
      <c r="L93" s="87" t="s">
        <v>37</v>
      </c>
      <c r="M93" s="87" t="s">
        <v>187</v>
      </c>
      <c r="N93" s="89">
        <v>17</v>
      </c>
      <c r="O93" s="87" t="s">
        <v>453</v>
      </c>
      <c r="P93" s="87">
        <v>80</v>
      </c>
      <c r="Q93" s="87">
        <v>90</v>
      </c>
      <c r="R93" s="94">
        <f t="shared" si="26"/>
        <v>0.11111111111111115</v>
      </c>
      <c r="S93" s="89" t="s">
        <v>1</v>
      </c>
      <c r="T93" s="89"/>
      <c r="U93" s="87" t="s">
        <v>9</v>
      </c>
      <c r="V93" s="87" t="s">
        <v>460</v>
      </c>
      <c r="W93" s="87" t="s">
        <v>4</v>
      </c>
      <c r="X93" s="87" t="s">
        <v>463</v>
      </c>
      <c r="Y93" s="87">
        <v>2</v>
      </c>
      <c r="Z93" s="87">
        <v>1</v>
      </c>
      <c r="AA93" s="88">
        <f t="shared" si="20"/>
        <v>5000</v>
      </c>
      <c r="AB93" s="87" t="s">
        <v>313</v>
      </c>
      <c r="AC93" s="90" t="s">
        <v>301</v>
      </c>
      <c r="AD93" s="87">
        <v>0.8</v>
      </c>
      <c r="AE93" s="87">
        <v>1.7</v>
      </c>
      <c r="AF93" s="87">
        <f t="shared" si="21"/>
        <v>0.89999999999999991</v>
      </c>
      <c r="AG93" s="87">
        <f t="shared" si="22"/>
        <v>0.3</v>
      </c>
      <c r="AH93" s="87">
        <f t="shared" si="23"/>
        <v>0.3</v>
      </c>
      <c r="AI93" s="153">
        <f t="shared" si="24"/>
        <v>2.222222222222223E-2</v>
      </c>
      <c r="AJ93" s="2">
        <f t="shared" si="25"/>
        <v>1.0266666666666664</v>
      </c>
    </row>
    <row r="94" spans="1:36" x14ac:dyDescent="0.3">
      <c r="A94" s="211">
        <v>14</v>
      </c>
      <c r="B9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94" s="2" t="str">
        <f t="shared" si="18"/>
        <v>E14I2</v>
      </c>
      <c r="D94" t="str">
        <f t="shared" si="19"/>
        <v>E14</v>
      </c>
      <c r="E94" s="87" t="s">
        <v>340</v>
      </c>
      <c r="F94" s="157">
        <v>0.4</v>
      </c>
      <c r="G94" s="87" t="s">
        <v>439</v>
      </c>
      <c r="H94" s="87" t="s">
        <v>509</v>
      </c>
      <c r="I94" s="87" t="s">
        <v>444</v>
      </c>
      <c r="J94" s="87"/>
      <c r="K94" s="87" t="s">
        <v>292</v>
      </c>
      <c r="L94" s="87" t="s">
        <v>37</v>
      </c>
      <c r="M94" s="87" t="s">
        <v>187</v>
      </c>
      <c r="N94" s="89">
        <v>22</v>
      </c>
      <c r="O94" s="87" t="s">
        <v>453</v>
      </c>
      <c r="P94" s="87">
        <v>80</v>
      </c>
      <c r="Q94" s="87">
        <v>90</v>
      </c>
      <c r="R94" s="94">
        <f t="shared" si="26"/>
        <v>0.11111111111111115</v>
      </c>
      <c r="S94" s="89" t="s">
        <v>1</v>
      </c>
      <c r="T94" s="89"/>
      <c r="U94" s="87" t="s">
        <v>9</v>
      </c>
      <c r="V94" s="87" t="s">
        <v>293</v>
      </c>
      <c r="W94" s="87" t="s">
        <v>4</v>
      </c>
      <c r="X94" s="87" t="s">
        <v>463</v>
      </c>
      <c r="Y94" s="87">
        <v>2</v>
      </c>
      <c r="Z94" s="87">
        <v>1</v>
      </c>
      <c r="AA94" s="88">
        <f t="shared" si="20"/>
        <v>5000</v>
      </c>
      <c r="AB94" s="87" t="s">
        <v>329</v>
      </c>
      <c r="AC94" s="90" t="s">
        <v>301</v>
      </c>
      <c r="AD94" s="87">
        <v>0.8</v>
      </c>
      <c r="AE94" s="87">
        <v>1.7</v>
      </c>
      <c r="AF94" s="87">
        <f t="shared" si="21"/>
        <v>0.89999999999999991</v>
      </c>
      <c r="AG94" s="87">
        <f t="shared" si="22"/>
        <v>0.3</v>
      </c>
      <c r="AH94" s="87">
        <f t="shared" si="23"/>
        <v>0.3</v>
      </c>
      <c r="AI94" s="153">
        <f t="shared" si="24"/>
        <v>2.222222222222223E-2</v>
      </c>
      <c r="AJ94" s="2">
        <f t="shared" si="25"/>
        <v>1.0266666666666664</v>
      </c>
    </row>
    <row r="95" spans="1:36" x14ac:dyDescent="0.3">
      <c r="A95" s="211">
        <v>14</v>
      </c>
      <c r="B9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95" s="2" t="str">
        <f t="shared" si="18"/>
        <v>E14I2</v>
      </c>
      <c r="D95" t="str">
        <f t="shared" si="19"/>
        <v>E14</v>
      </c>
      <c r="E95" s="87" t="s">
        <v>341</v>
      </c>
      <c r="F95" s="157">
        <v>0.9</v>
      </c>
      <c r="G95" s="87" t="s">
        <v>441</v>
      </c>
      <c r="H95" s="87" t="s">
        <v>509</v>
      </c>
      <c r="I95" s="87" t="s">
        <v>444</v>
      </c>
      <c r="J95" s="87"/>
      <c r="K95" s="87" t="s">
        <v>292</v>
      </c>
      <c r="L95" s="87" t="s">
        <v>37</v>
      </c>
      <c r="M95" s="87" t="s">
        <v>187</v>
      </c>
      <c r="N95" s="89">
        <v>2</v>
      </c>
      <c r="O95" s="87" t="s">
        <v>454</v>
      </c>
      <c r="P95" s="87">
        <v>0</v>
      </c>
      <c r="Q95" s="87">
        <v>0</v>
      </c>
      <c r="R95" s="94">
        <v>0</v>
      </c>
      <c r="S95" s="89"/>
      <c r="T95" s="89"/>
      <c r="U95" s="89"/>
      <c r="V95" s="87" t="s">
        <v>293</v>
      </c>
      <c r="W95" s="89" t="s">
        <v>7</v>
      </c>
      <c r="X95" s="89"/>
      <c r="Y95" s="87">
        <v>2</v>
      </c>
      <c r="Z95" s="87">
        <v>0.8</v>
      </c>
      <c r="AA95" s="88">
        <f t="shared" si="20"/>
        <v>6250</v>
      </c>
      <c r="AB95" s="87" t="s">
        <v>329</v>
      </c>
      <c r="AC95" s="91" t="s">
        <v>138</v>
      </c>
      <c r="AD95" s="87">
        <v>0.8</v>
      </c>
      <c r="AE95" s="87">
        <v>1</v>
      </c>
      <c r="AF95" s="87">
        <f t="shared" si="21"/>
        <v>0.19999999999999996</v>
      </c>
      <c r="AG95" s="87">
        <f t="shared" si="22"/>
        <v>0.3</v>
      </c>
      <c r="AH95" s="87">
        <f t="shared" si="23"/>
        <v>0.3</v>
      </c>
      <c r="AI95" s="153">
        <f t="shared" si="24"/>
        <v>0</v>
      </c>
      <c r="AJ95" s="2">
        <f t="shared" si="25"/>
        <v>0.35</v>
      </c>
    </row>
    <row r="96" spans="1:36" x14ac:dyDescent="0.3">
      <c r="A96" s="211">
        <v>15</v>
      </c>
      <c r="B9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96" s="2" t="str">
        <f t="shared" si="18"/>
        <v>E15I1</v>
      </c>
      <c r="D96" t="str">
        <f t="shared" si="19"/>
        <v>E15</v>
      </c>
      <c r="E96" s="87" t="s">
        <v>318</v>
      </c>
      <c r="F96" s="157">
        <v>1.06</v>
      </c>
      <c r="G96" s="87" t="s">
        <v>291</v>
      </c>
      <c r="H96" s="87" t="s">
        <v>509</v>
      </c>
      <c r="I96" s="87"/>
      <c r="J96" s="87"/>
      <c r="K96" s="87" t="s">
        <v>319</v>
      </c>
      <c r="L96" s="87" t="s">
        <v>177</v>
      </c>
      <c r="M96" s="87"/>
      <c r="N96" s="87">
        <v>14</v>
      </c>
      <c r="O96" s="87" t="s">
        <v>453</v>
      </c>
      <c r="P96" s="87">
        <v>80</v>
      </c>
      <c r="Q96" s="87">
        <v>120</v>
      </c>
      <c r="R96" s="94">
        <f t="shared" ref="R96:R122" si="27">(100-(P96*100/Q96))/100</f>
        <v>0.33333333333333326</v>
      </c>
      <c r="S96" s="89" t="s">
        <v>37</v>
      </c>
      <c r="T96" s="89" t="s">
        <v>269</v>
      </c>
      <c r="U96" s="87" t="s">
        <v>9</v>
      </c>
      <c r="V96" s="87" t="s">
        <v>460</v>
      </c>
      <c r="W96" s="87" t="s">
        <v>4</v>
      </c>
      <c r="X96" s="87"/>
      <c r="Y96" s="87">
        <v>2</v>
      </c>
      <c r="Z96" s="87">
        <v>1</v>
      </c>
      <c r="AA96" s="88">
        <f t="shared" si="20"/>
        <v>5000</v>
      </c>
      <c r="AB96" s="87" t="s">
        <v>313</v>
      </c>
      <c r="AC96" s="90" t="s">
        <v>314</v>
      </c>
      <c r="AD96" s="87">
        <v>0.8</v>
      </c>
      <c r="AE96" s="87">
        <v>1.9</v>
      </c>
      <c r="AF96" s="87">
        <f t="shared" si="21"/>
        <v>1.0999999999999999</v>
      </c>
      <c r="AG96" s="87">
        <f t="shared" si="22"/>
        <v>0.3</v>
      </c>
      <c r="AH96" s="87">
        <f t="shared" si="23"/>
        <v>0.3</v>
      </c>
      <c r="AI96" s="153">
        <f t="shared" si="24"/>
        <v>6.6666666666666652E-2</v>
      </c>
      <c r="AJ96" s="2">
        <f t="shared" si="25"/>
        <v>1.1666666666666665</v>
      </c>
    </row>
    <row r="97" spans="1:36" x14ac:dyDescent="0.3">
      <c r="A97" s="211">
        <v>15</v>
      </c>
      <c r="B9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97" s="2" t="str">
        <f t="shared" si="18"/>
        <v>E15I1</v>
      </c>
      <c r="D97" t="str">
        <f t="shared" si="19"/>
        <v>E15</v>
      </c>
      <c r="E97" s="87" t="s">
        <v>320</v>
      </c>
      <c r="F97" s="157">
        <v>2</v>
      </c>
      <c r="G97" s="87" t="s">
        <v>308</v>
      </c>
      <c r="H97" s="87" t="s">
        <v>509</v>
      </c>
      <c r="I97" s="87"/>
      <c r="J97" s="87"/>
      <c r="K97" s="87" t="s">
        <v>292</v>
      </c>
      <c r="L97" s="87" t="s">
        <v>177</v>
      </c>
      <c r="M97" s="87"/>
      <c r="N97" s="87">
        <v>14</v>
      </c>
      <c r="O97" s="87" t="s">
        <v>453</v>
      </c>
      <c r="P97" s="87">
        <v>80</v>
      </c>
      <c r="Q97" s="87">
        <v>120</v>
      </c>
      <c r="R97" s="94">
        <f t="shared" si="27"/>
        <v>0.33333333333333326</v>
      </c>
      <c r="S97" s="89" t="s">
        <v>37</v>
      </c>
      <c r="T97" s="89" t="s">
        <v>269</v>
      </c>
      <c r="U97" s="87" t="s">
        <v>9</v>
      </c>
      <c r="V97" s="87" t="s">
        <v>460</v>
      </c>
      <c r="W97" s="87" t="s">
        <v>4</v>
      </c>
      <c r="X97" s="87"/>
      <c r="Y97" s="87">
        <v>2</v>
      </c>
      <c r="Z97" s="87">
        <v>1.2</v>
      </c>
      <c r="AA97" s="88">
        <f t="shared" si="20"/>
        <v>4166.666666666667</v>
      </c>
      <c r="AB97" s="87" t="s">
        <v>313</v>
      </c>
      <c r="AC97" s="90" t="s">
        <v>314</v>
      </c>
      <c r="AD97" s="87">
        <v>0.7</v>
      </c>
      <c r="AE97" s="87">
        <v>1.6</v>
      </c>
      <c r="AF97" s="87">
        <f t="shared" si="21"/>
        <v>0.90000000000000013</v>
      </c>
      <c r="AG97" s="87">
        <f t="shared" si="22"/>
        <v>0.3</v>
      </c>
      <c r="AH97" s="87">
        <f t="shared" si="23"/>
        <v>0.3</v>
      </c>
      <c r="AI97" s="153">
        <f t="shared" si="24"/>
        <v>6.6666666666666652E-2</v>
      </c>
      <c r="AJ97" s="2">
        <f t="shared" si="25"/>
        <v>0.98000000000000009</v>
      </c>
    </row>
    <row r="98" spans="1:36" x14ac:dyDescent="0.3">
      <c r="A98" s="211">
        <v>16</v>
      </c>
      <c r="B9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98" s="2" t="str">
        <f t="shared" ref="C98:C129" si="28">LEFT(E98,LEN(E98)-2)</f>
        <v>E16I1</v>
      </c>
      <c r="D98" t="str">
        <f t="shared" ref="D98:D129" si="29">LEFT(E98,LEN(E98)-4)</f>
        <v>E16</v>
      </c>
      <c r="E98" s="87" t="s">
        <v>312</v>
      </c>
      <c r="F98" s="157">
        <v>0.7</v>
      </c>
      <c r="G98" s="87" t="s">
        <v>291</v>
      </c>
      <c r="H98" s="87" t="s">
        <v>509</v>
      </c>
      <c r="I98" s="87"/>
      <c r="J98" s="87"/>
      <c r="K98" s="87" t="s">
        <v>292</v>
      </c>
      <c r="L98" s="87" t="s">
        <v>177</v>
      </c>
      <c r="M98" s="87"/>
      <c r="N98" s="87">
        <v>8</v>
      </c>
      <c r="O98" s="87" t="s">
        <v>454</v>
      </c>
      <c r="P98" s="87">
        <v>95</v>
      </c>
      <c r="Q98" s="87">
        <v>120</v>
      </c>
      <c r="R98" s="94">
        <f t="shared" si="27"/>
        <v>0.20833333333333329</v>
      </c>
      <c r="S98" s="89" t="s">
        <v>37</v>
      </c>
      <c r="T98" s="89"/>
      <c r="U98" s="87" t="s">
        <v>24</v>
      </c>
      <c r="V98" s="87" t="s">
        <v>460</v>
      </c>
      <c r="W98" s="87" t="s">
        <v>7</v>
      </c>
      <c r="X98" s="87"/>
      <c r="Y98" s="87">
        <v>2</v>
      </c>
      <c r="Z98" s="87">
        <v>1</v>
      </c>
      <c r="AA98" s="88">
        <f t="shared" ref="AA98:AA129" si="30">(F98*10000)/(Y98*Z98)/F98</f>
        <v>5000</v>
      </c>
      <c r="AB98" s="87" t="s">
        <v>313</v>
      </c>
      <c r="AC98" s="90" t="s">
        <v>314</v>
      </c>
      <c r="AD98" s="87">
        <v>0.8</v>
      </c>
      <c r="AE98" s="87">
        <v>1.9</v>
      </c>
      <c r="AF98" s="87">
        <f t="shared" ref="AF98:AF129" si="31">IF(AE98="NA","NA",AE98-AD98)</f>
        <v>1.0999999999999999</v>
      </c>
      <c r="AG98" s="87">
        <f t="shared" ref="AG98:AG129" si="32">IF(OR(V98="CDR",V98="GS"),0.3*(Y98/2),IF(V98="TRP",0.3*(Y98/2),IF(V98="GOB",0.45,IF(V98="non",0.55,"NA"))))</f>
        <v>0.3</v>
      </c>
      <c r="AH98" s="87">
        <f t="shared" ref="AH98:AH129" si="33">IF(AG98&gt;0.4,AG98-(0.1*AG98*(AG98-0.4)/0.05),AG98)</f>
        <v>0.3</v>
      </c>
      <c r="AI98" s="153">
        <f t="shared" ref="AI98:AI129" si="34">R98/5</f>
        <v>4.1666666666666657E-2</v>
      </c>
      <c r="AJ98" s="2">
        <f t="shared" ref="AJ98:AJ129" si="35">IF(AF98="NA","NA",(2*AF98+AH98)*(1-AI98)/Y98)</f>
        <v>1.1979166666666665</v>
      </c>
    </row>
    <row r="99" spans="1:36" x14ac:dyDescent="0.3">
      <c r="A99" s="211">
        <v>16</v>
      </c>
      <c r="B9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99" s="2" t="str">
        <f t="shared" si="28"/>
        <v>E16I1</v>
      </c>
      <c r="D99" t="str">
        <f t="shared" si="29"/>
        <v>E16</v>
      </c>
      <c r="E99" s="87" t="s">
        <v>315</v>
      </c>
      <c r="F99" s="157">
        <v>2.7</v>
      </c>
      <c r="G99" s="87" t="s">
        <v>308</v>
      </c>
      <c r="H99" s="87" t="s">
        <v>509</v>
      </c>
      <c r="I99" s="87"/>
      <c r="J99" s="87"/>
      <c r="K99" s="87" t="s">
        <v>292</v>
      </c>
      <c r="L99" s="87" t="s">
        <v>177</v>
      </c>
      <c r="M99" s="87"/>
      <c r="N99" s="87">
        <v>20</v>
      </c>
      <c r="O99" s="87" t="s">
        <v>453</v>
      </c>
      <c r="P99" s="87">
        <v>95</v>
      </c>
      <c r="Q99" s="87">
        <v>120</v>
      </c>
      <c r="R99" s="94">
        <f t="shared" si="27"/>
        <v>0.20833333333333329</v>
      </c>
      <c r="S99" s="89" t="s">
        <v>37</v>
      </c>
      <c r="T99" s="89"/>
      <c r="U99" s="87" t="s">
        <v>24</v>
      </c>
      <c r="V99" s="87" t="s">
        <v>460</v>
      </c>
      <c r="W99" s="87" t="s">
        <v>7</v>
      </c>
      <c r="X99" s="87"/>
      <c r="Y99" s="87">
        <v>2</v>
      </c>
      <c r="Z99" s="87">
        <v>1</v>
      </c>
      <c r="AA99" s="88">
        <f t="shared" si="30"/>
        <v>5000</v>
      </c>
      <c r="AB99" s="87" t="s">
        <v>313</v>
      </c>
      <c r="AC99" s="90" t="s">
        <v>464</v>
      </c>
      <c r="AD99" s="89" t="s">
        <v>7</v>
      </c>
      <c r="AE99" s="89" t="s">
        <v>7</v>
      </c>
      <c r="AF99" s="87" t="str">
        <f t="shared" si="31"/>
        <v>NA</v>
      </c>
      <c r="AG99" s="87">
        <f t="shared" si="32"/>
        <v>0.3</v>
      </c>
      <c r="AH99" s="87">
        <f t="shared" si="33"/>
        <v>0.3</v>
      </c>
      <c r="AI99" s="153">
        <f t="shared" si="34"/>
        <v>4.1666666666666657E-2</v>
      </c>
      <c r="AJ99" s="2" t="str">
        <f t="shared" si="35"/>
        <v>NA</v>
      </c>
    </row>
    <row r="100" spans="1:36" x14ac:dyDescent="0.3">
      <c r="A100" s="211">
        <v>16</v>
      </c>
      <c r="B10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00" s="2" t="str">
        <f t="shared" si="28"/>
        <v>E16I1</v>
      </c>
      <c r="D100" t="str">
        <f t="shared" si="29"/>
        <v>E16</v>
      </c>
      <c r="E100" s="87" t="s">
        <v>316</v>
      </c>
      <c r="F100" s="157">
        <v>2.5</v>
      </c>
      <c r="G100" s="87" t="s">
        <v>438</v>
      </c>
      <c r="H100" s="87" t="s">
        <v>509</v>
      </c>
      <c r="I100" s="87"/>
      <c r="J100" s="87"/>
      <c r="K100" s="87" t="s">
        <v>292</v>
      </c>
      <c r="L100" s="87" t="s">
        <v>177</v>
      </c>
      <c r="M100" s="87"/>
      <c r="N100" s="87">
        <v>10</v>
      </c>
      <c r="O100" s="87" t="s">
        <v>453</v>
      </c>
      <c r="P100" s="87">
        <v>95</v>
      </c>
      <c r="Q100" s="87">
        <v>120</v>
      </c>
      <c r="R100" s="94">
        <f t="shared" si="27"/>
        <v>0.20833333333333329</v>
      </c>
      <c r="S100" s="89" t="s">
        <v>37</v>
      </c>
      <c r="T100" s="89"/>
      <c r="U100" s="87" t="s">
        <v>24</v>
      </c>
      <c r="V100" s="87" t="s">
        <v>460</v>
      </c>
      <c r="W100" s="87" t="s">
        <v>7</v>
      </c>
      <c r="X100" s="87"/>
      <c r="Y100" s="87">
        <v>2</v>
      </c>
      <c r="Z100" s="87">
        <v>1</v>
      </c>
      <c r="AA100" s="88">
        <f t="shared" si="30"/>
        <v>5000</v>
      </c>
      <c r="AB100" s="87" t="s">
        <v>313</v>
      </c>
      <c r="AC100" s="90" t="s">
        <v>314</v>
      </c>
      <c r="AD100" s="87">
        <v>0.6</v>
      </c>
      <c r="AE100" s="87">
        <v>1.9</v>
      </c>
      <c r="AF100" s="87">
        <f t="shared" si="31"/>
        <v>1.2999999999999998</v>
      </c>
      <c r="AG100" s="87">
        <f t="shared" si="32"/>
        <v>0.3</v>
      </c>
      <c r="AH100" s="87">
        <f t="shared" si="33"/>
        <v>0.3</v>
      </c>
      <c r="AI100" s="153">
        <f t="shared" si="34"/>
        <v>4.1666666666666657E-2</v>
      </c>
      <c r="AJ100" s="2">
        <f t="shared" si="35"/>
        <v>1.3895833333333332</v>
      </c>
    </row>
    <row r="101" spans="1:36" x14ac:dyDescent="0.3">
      <c r="A101" s="211">
        <v>16</v>
      </c>
      <c r="B10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01" s="2" t="str">
        <f t="shared" si="28"/>
        <v>E16I1</v>
      </c>
      <c r="D101" t="str">
        <f t="shared" si="29"/>
        <v>E16</v>
      </c>
      <c r="E101" s="87" t="s">
        <v>317</v>
      </c>
      <c r="F101" s="157">
        <v>1.3</v>
      </c>
      <c r="G101" s="87" t="s">
        <v>308</v>
      </c>
      <c r="H101" s="87" t="s">
        <v>509</v>
      </c>
      <c r="I101" s="87"/>
      <c r="J101" s="87"/>
      <c r="K101" s="87" t="s">
        <v>1005</v>
      </c>
      <c r="L101" s="87" t="s">
        <v>177</v>
      </c>
      <c r="M101" s="87"/>
      <c r="N101" s="87">
        <v>5</v>
      </c>
      <c r="O101" s="87" t="s">
        <v>454</v>
      </c>
      <c r="P101" s="87">
        <v>95</v>
      </c>
      <c r="Q101" s="87">
        <v>120</v>
      </c>
      <c r="R101" s="94">
        <f t="shared" si="27"/>
        <v>0.20833333333333329</v>
      </c>
      <c r="S101" s="89" t="s">
        <v>37</v>
      </c>
      <c r="T101" s="89"/>
      <c r="U101" s="87" t="s">
        <v>24</v>
      </c>
      <c r="V101" s="87" t="s">
        <v>460</v>
      </c>
      <c r="W101" s="87" t="s">
        <v>7</v>
      </c>
      <c r="X101" s="87"/>
      <c r="Y101" s="87">
        <v>2</v>
      </c>
      <c r="Z101" s="87">
        <v>1</v>
      </c>
      <c r="AA101" s="88">
        <f t="shared" si="30"/>
        <v>5000</v>
      </c>
      <c r="AB101" s="87" t="s">
        <v>313</v>
      </c>
      <c r="AC101" s="90" t="s">
        <v>314</v>
      </c>
      <c r="AD101" s="87">
        <v>0.8</v>
      </c>
      <c r="AE101" s="87">
        <v>1.9</v>
      </c>
      <c r="AF101" s="87">
        <f t="shared" si="31"/>
        <v>1.0999999999999999</v>
      </c>
      <c r="AG101" s="87">
        <f t="shared" si="32"/>
        <v>0.3</v>
      </c>
      <c r="AH101" s="87">
        <f t="shared" si="33"/>
        <v>0.3</v>
      </c>
      <c r="AI101" s="153">
        <f t="shared" si="34"/>
        <v>4.1666666666666657E-2</v>
      </c>
      <c r="AJ101" s="2">
        <f t="shared" si="35"/>
        <v>1.1979166666666665</v>
      </c>
    </row>
    <row r="102" spans="1:36" x14ac:dyDescent="0.3">
      <c r="A102" s="211">
        <v>17</v>
      </c>
      <c r="B10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02" s="2" t="str">
        <f t="shared" si="28"/>
        <v>E17I1</v>
      </c>
      <c r="D102" t="str">
        <f t="shared" si="29"/>
        <v>E17</v>
      </c>
      <c r="E102" s="87" t="s">
        <v>299</v>
      </c>
      <c r="F102" s="157">
        <v>1.3</v>
      </c>
      <c r="G102" s="87" t="s">
        <v>291</v>
      </c>
      <c r="H102" s="87" t="s">
        <v>172</v>
      </c>
      <c r="I102" s="87"/>
      <c r="J102" s="87"/>
      <c r="K102" s="87" t="s">
        <v>292</v>
      </c>
      <c r="L102" s="87" t="s">
        <v>172</v>
      </c>
      <c r="M102" s="87"/>
      <c r="N102" s="87">
        <v>10</v>
      </c>
      <c r="O102" s="87" t="s">
        <v>453</v>
      </c>
      <c r="P102" s="87">
        <v>90</v>
      </c>
      <c r="Q102" s="87">
        <v>90</v>
      </c>
      <c r="R102" s="94">
        <f t="shared" si="27"/>
        <v>0</v>
      </c>
      <c r="S102" s="87"/>
      <c r="T102" s="87"/>
      <c r="U102" s="87" t="s">
        <v>9</v>
      </c>
      <c r="V102" s="87" t="s">
        <v>461</v>
      </c>
      <c r="W102" s="87" t="s">
        <v>462</v>
      </c>
      <c r="X102" s="87" t="s">
        <v>4</v>
      </c>
      <c r="Y102" s="87">
        <v>2.25</v>
      </c>
      <c r="Z102" s="87">
        <v>1.1499999999999999</v>
      </c>
      <c r="AA102" s="88">
        <f t="shared" si="30"/>
        <v>3864.7342995169083</v>
      </c>
      <c r="AB102" s="87" t="s">
        <v>300</v>
      </c>
      <c r="AC102" s="90" t="s">
        <v>301</v>
      </c>
      <c r="AD102" s="87">
        <v>0.8</v>
      </c>
      <c r="AE102" s="87">
        <v>1.8</v>
      </c>
      <c r="AF102" s="87">
        <f t="shared" si="31"/>
        <v>1</v>
      </c>
      <c r="AG102" s="87">
        <f t="shared" si="32"/>
        <v>0.45</v>
      </c>
      <c r="AH102" s="87">
        <f t="shared" si="33"/>
        <v>0.40500000000000003</v>
      </c>
      <c r="AI102" s="153">
        <f t="shared" si="34"/>
        <v>0</v>
      </c>
      <c r="AJ102" s="2">
        <f t="shared" si="35"/>
        <v>1.068888888888889</v>
      </c>
    </row>
    <row r="103" spans="1:36" x14ac:dyDescent="0.3">
      <c r="A103" s="211">
        <v>17</v>
      </c>
      <c r="B10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03" s="2" t="str">
        <f t="shared" si="28"/>
        <v>E17I1</v>
      </c>
      <c r="D103" t="str">
        <f t="shared" si="29"/>
        <v>E17</v>
      </c>
      <c r="E103" s="87" t="s">
        <v>302</v>
      </c>
      <c r="F103" s="158">
        <v>1.3</v>
      </c>
      <c r="G103" s="87" t="s">
        <v>442</v>
      </c>
      <c r="H103" s="87" t="s">
        <v>172</v>
      </c>
      <c r="I103" s="87"/>
      <c r="J103" s="87"/>
      <c r="K103" s="87" t="s">
        <v>292</v>
      </c>
      <c r="L103" s="87" t="s">
        <v>172</v>
      </c>
      <c r="M103" s="87"/>
      <c r="N103" s="89">
        <v>13</v>
      </c>
      <c r="O103" s="87" t="s">
        <v>453</v>
      </c>
      <c r="P103" s="87">
        <v>90</v>
      </c>
      <c r="Q103" s="87">
        <v>90</v>
      </c>
      <c r="R103" s="94">
        <f t="shared" si="27"/>
        <v>0</v>
      </c>
      <c r="S103" s="87"/>
      <c r="T103" s="87"/>
      <c r="U103" s="87" t="s">
        <v>9</v>
      </c>
      <c r="V103" s="87" t="s">
        <v>461</v>
      </c>
      <c r="W103" s="87" t="s">
        <v>462</v>
      </c>
      <c r="X103" s="87" t="s">
        <v>4</v>
      </c>
      <c r="Y103" s="87">
        <v>2.25</v>
      </c>
      <c r="Z103" s="87">
        <v>1.1499999999999999</v>
      </c>
      <c r="AA103" s="88">
        <f t="shared" si="30"/>
        <v>3864.7342995169083</v>
      </c>
      <c r="AB103" s="87" t="s">
        <v>300</v>
      </c>
      <c r="AC103" s="90" t="s">
        <v>301</v>
      </c>
      <c r="AD103" s="87">
        <v>0.8</v>
      </c>
      <c r="AE103" s="87">
        <v>1.8</v>
      </c>
      <c r="AF103" s="87">
        <f t="shared" si="31"/>
        <v>1</v>
      </c>
      <c r="AG103" s="87">
        <f t="shared" si="32"/>
        <v>0.45</v>
      </c>
      <c r="AH103" s="87">
        <f t="shared" si="33"/>
        <v>0.40500000000000003</v>
      </c>
      <c r="AI103" s="153">
        <f t="shared" si="34"/>
        <v>0</v>
      </c>
      <c r="AJ103" s="2">
        <f t="shared" si="35"/>
        <v>1.068888888888889</v>
      </c>
    </row>
    <row r="104" spans="1:36" x14ac:dyDescent="0.3">
      <c r="A104" s="211">
        <v>17</v>
      </c>
      <c r="B10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04" s="2" t="str">
        <f t="shared" si="28"/>
        <v>E17I1</v>
      </c>
      <c r="D104" t="str">
        <f t="shared" si="29"/>
        <v>E17</v>
      </c>
      <c r="E104" s="87" t="s">
        <v>303</v>
      </c>
      <c r="F104" s="157">
        <v>1</v>
      </c>
      <c r="G104" s="87" t="s">
        <v>438</v>
      </c>
      <c r="H104" s="87" t="s">
        <v>172</v>
      </c>
      <c r="I104" s="87"/>
      <c r="J104" s="87"/>
      <c r="K104" s="87" t="s">
        <v>292</v>
      </c>
      <c r="L104" s="87" t="s">
        <v>172</v>
      </c>
      <c r="M104" s="87"/>
      <c r="N104" s="87">
        <v>12</v>
      </c>
      <c r="O104" s="87" t="s">
        <v>453</v>
      </c>
      <c r="P104" s="87">
        <v>90</v>
      </c>
      <c r="Q104" s="87">
        <v>90</v>
      </c>
      <c r="R104" s="94">
        <f t="shared" si="27"/>
        <v>0</v>
      </c>
      <c r="S104" s="87"/>
      <c r="T104" s="87"/>
      <c r="U104" s="87" t="s">
        <v>9</v>
      </c>
      <c r="V104" s="87" t="s">
        <v>461</v>
      </c>
      <c r="W104" s="87" t="s">
        <v>462</v>
      </c>
      <c r="X104" s="87" t="s">
        <v>4</v>
      </c>
      <c r="Y104" s="87">
        <v>2.25</v>
      </c>
      <c r="Z104" s="87">
        <v>1.1499999999999999</v>
      </c>
      <c r="AA104" s="88">
        <f t="shared" si="30"/>
        <v>3864.7342995169083</v>
      </c>
      <c r="AB104" s="87" t="s">
        <v>300</v>
      </c>
      <c r="AC104" s="90" t="s">
        <v>301</v>
      </c>
      <c r="AD104" s="87">
        <v>0.8</v>
      </c>
      <c r="AE104" s="87">
        <v>1.8</v>
      </c>
      <c r="AF104" s="87">
        <f t="shared" si="31"/>
        <v>1</v>
      </c>
      <c r="AG104" s="87">
        <f t="shared" si="32"/>
        <v>0.45</v>
      </c>
      <c r="AH104" s="87">
        <f t="shared" si="33"/>
        <v>0.40500000000000003</v>
      </c>
      <c r="AI104" s="153">
        <f t="shared" si="34"/>
        <v>0</v>
      </c>
      <c r="AJ104" s="2">
        <f t="shared" si="35"/>
        <v>1.068888888888889</v>
      </c>
    </row>
    <row r="105" spans="1:36" x14ac:dyDescent="0.3">
      <c r="A105" s="211">
        <v>17</v>
      </c>
      <c r="B10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05" s="2" t="str">
        <f t="shared" si="28"/>
        <v>E17I1</v>
      </c>
      <c r="D105" t="str">
        <f t="shared" si="29"/>
        <v>E17</v>
      </c>
      <c r="E105" s="87" t="s">
        <v>305</v>
      </c>
      <c r="F105" s="157">
        <v>1.5</v>
      </c>
      <c r="G105" s="87" t="s">
        <v>306</v>
      </c>
      <c r="H105" s="87" t="s">
        <v>172</v>
      </c>
      <c r="I105" s="87"/>
      <c r="J105" s="87"/>
      <c r="K105" s="87" t="s">
        <v>292</v>
      </c>
      <c r="L105" s="87" t="s">
        <v>172</v>
      </c>
      <c r="M105" s="87"/>
      <c r="N105" s="87">
        <v>18</v>
      </c>
      <c r="O105" s="87" t="s">
        <v>453</v>
      </c>
      <c r="P105" s="87">
        <v>90</v>
      </c>
      <c r="Q105" s="87">
        <v>90</v>
      </c>
      <c r="R105" s="94">
        <f t="shared" si="27"/>
        <v>0</v>
      </c>
      <c r="S105" s="87"/>
      <c r="T105" s="87"/>
      <c r="U105" s="87" t="s">
        <v>9</v>
      </c>
      <c r="V105" s="87" t="s">
        <v>461</v>
      </c>
      <c r="W105" s="87" t="s">
        <v>462</v>
      </c>
      <c r="X105" s="87" t="s">
        <v>4</v>
      </c>
      <c r="Y105" s="87">
        <v>2.25</v>
      </c>
      <c r="Z105" s="87">
        <v>1.1499999999999999</v>
      </c>
      <c r="AA105" s="88">
        <f t="shared" si="30"/>
        <v>3864.7342995169088</v>
      </c>
      <c r="AB105" s="87" t="s">
        <v>300</v>
      </c>
      <c r="AC105" s="90" t="s">
        <v>301</v>
      </c>
      <c r="AD105" s="87">
        <v>0.8</v>
      </c>
      <c r="AE105" s="87">
        <v>1.8</v>
      </c>
      <c r="AF105" s="87">
        <f t="shared" si="31"/>
        <v>1</v>
      </c>
      <c r="AG105" s="87">
        <f t="shared" si="32"/>
        <v>0.45</v>
      </c>
      <c r="AH105" s="87">
        <f t="shared" si="33"/>
        <v>0.40500000000000003</v>
      </c>
      <c r="AI105" s="153">
        <f t="shared" si="34"/>
        <v>0</v>
      </c>
      <c r="AJ105" s="2">
        <f t="shared" si="35"/>
        <v>1.068888888888889</v>
      </c>
    </row>
    <row r="106" spans="1:36" x14ac:dyDescent="0.3">
      <c r="A106" s="211">
        <v>17</v>
      </c>
      <c r="B10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06" s="2" t="str">
        <f t="shared" si="28"/>
        <v>E17I1</v>
      </c>
      <c r="D106" t="str">
        <f t="shared" si="29"/>
        <v>E17</v>
      </c>
      <c r="E106" s="87" t="s">
        <v>307</v>
      </c>
      <c r="F106" s="157">
        <v>2.8</v>
      </c>
      <c r="G106" s="87" t="s">
        <v>308</v>
      </c>
      <c r="H106" s="87" t="s">
        <v>172</v>
      </c>
      <c r="I106" s="87"/>
      <c r="J106" s="87"/>
      <c r="K106" s="87" t="s">
        <v>292</v>
      </c>
      <c r="L106" s="87" t="s">
        <v>172</v>
      </c>
      <c r="M106" s="87"/>
      <c r="N106" s="87">
        <v>34</v>
      </c>
      <c r="O106" s="87" t="s">
        <v>453</v>
      </c>
      <c r="P106" s="87">
        <v>90</v>
      </c>
      <c r="Q106" s="87">
        <v>90</v>
      </c>
      <c r="R106" s="94">
        <f t="shared" si="27"/>
        <v>0</v>
      </c>
      <c r="S106" s="89"/>
      <c r="T106" s="89"/>
      <c r="U106" s="87" t="s">
        <v>24</v>
      </c>
      <c r="V106" s="87" t="s">
        <v>459</v>
      </c>
      <c r="W106" s="87" t="s">
        <v>7</v>
      </c>
      <c r="X106" s="87"/>
      <c r="Y106" s="87">
        <v>2.25</v>
      </c>
      <c r="Z106" s="87">
        <v>1.1499999999999999</v>
      </c>
      <c r="AA106" s="88">
        <f t="shared" si="30"/>
        <v>3864.7342995169088</v>
      </c>
      <c r="AB106" s="87" t="s">
        <v>300</v>
      </c>
      <c r="AC106" s="90" t="s">
        <v>464</v>
      </c>
      <c r="AD106" s="89" t="s">
        <v>7</v>
      </c>
      <c r="AE106" s="89" t="s">
        <v>7</v>
      </c>
      <c r="AF106" s="87" t="str">
        <f t="shared" si="31"/>
        <v>NA</v>
      </c>
      <c r="AG106" s="87">
        <f t="shared" si="32"/>
        <v>0.33749999999999997</v>
      </c>
      <c r="AH106" s="87">
        <f t="shared" si="33"/>
        <v>0.33749999999999997</v>
      </c>
      <c r="AI106" s="153">
        <f t="shared" si="34"/>
        <v>0</v>
      </c>
      <c r="AJ106" s="2" t="str">
        <f t="shared" si="35"/>
        <v>NA</v>
      </c>
    </row>
    <row r="107" spans="1:36" x14ac:dyDescent="0.3">
      <c r="A107" s="211">
        <v>17</v>
      </c>
      <c r="B10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07" s="2" t="str">
        <f t="shared" si="28"/>
        <v>E17I1</v>
      </c>
      <c r="D107" t="str">
        <f t="shared" si="29"/>
        <v>E17</v>
      </c>
      <c r="E107" s="87" t="s">
        <v>309</v>
      </c>
      <c r="F107" s="158">
        <v>0.1</v>
      </c>
      <c r="G107" s="87" t="s">
        <v>308</v>
      </c>
      <c r="H107" s="87" t="s">
        <v>172</v>
      </c>
      <c r="I107" s="87"/>
      <c r="J107" s="87"/>
      <c r="K107" s="87" t="s">
        <v>292</v>
      </c>
      <c r="L107" s="87" t="s">
        <v>172</v>
      </c>
      <c r="M107" s="87"/>
      <c r="N107" s="87">
        <v>22</v>
      </c>
      <c r="O107" s="87" t="s">
        <v>453</v>
      </c>
      <c r="P107" s="87">
        <v>90</v>
      </c>
      <c r="Q107" s="87">
        <v>90</v>
      </c>
      <c r="R107" s="94">
        <f t="shared" si="27"/>
        <v>0</v>
      </c>
      <c r="S107" s="89"/>
      <c r="T107" s="89"/>
      <c r="U107" s="87" t="s">
        <v>24</v>
      </c>
      <c r="V107" s="87" t="s">
        <v>461</v>
      </c>
      <c r="W107" s="87" t="s">
        <v>462</v>
      </c>
      <c r="X107" s="87" t="s">
        <v>4</v>
      </c>
      <c r="Y107" s="87">
        <v>2.25</v>
      </c>
      <c r="Z107" s="87">
        <v>1.1499999999999999</v>
      </c>
      <c r="AA107" s="88">
        <f t="shared" si="30"/>
        <v>3864.7342995169083</v>
      </c>
      <c r="AB107" s="87" t="s">
        <v>300</v>
      </c>
      <c r="AC107" s="90" t="s">
        <v>464</v>
      </c>
      <c r="AD107" s="89" t="s">
        <v>7</v>
      </c>
      <c r="AE107" s="89" t="s">
        <v>7</v>
      </c>
      <c r="AF107" s="87" t="str">
        <f t="shared" si="31"/>
        <v>NA</v>
      </c>
      <c r="AG107" s="87">
        <f t="shared" si="32"/>
        <v>0.45</v>
      </c>
      <c r="AH107" s="87">
        <f t="shared" si="33"/>
        <v>0.40500000000000003</v>
      </c>
      <c r="AI107" s="153">
        <f t="shared" si="34"/>
        <v>0</v>
      </c>
      <c r="AJ107" s="2" t="str">
        <f t="shared" si="35"/>
        <v>NA</v>
      </c>
    </row>
    <row r="108" spans="1:36" x14ac:dyDescent="0.3">
      <c r="A108" s="211">
        <v>17</v>
      </c>
      <c r="B10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08" s="2" t="str">
        <f t="shared" si="28"/>
        <v>E17I2</v>
      </c>
      <c r="D108" t="str">
        <f t="shared" si="29"/>
        <v>E17</v>
      </c>
      <c r="E108" s="87" t="s">
        <v>310</v>
      </c>
      <c r="F108" s="157">
        <v>2.04</v>
      </c>
      <c r="G108" s="87" t="s">
        <v>440</v>
      </c>
      <c r="H108" s="87" t="s">
        <v>172</v>
      </c>
      <c r="I108" s="87"/>
      <c r="J108" s="87"/>
      <c r="K108" s="87" t="s">
        <v>292</v>
      </c>
      <c r="L108" s="87" t="s">
        <v>172</v>
      </c>
      <c r="M108" s="87"/>
      <c r="N108" s="87">
        <v>16</v>
      </c>
      <c r="O108" s="87" t="s">
        <v>453</v>
      </c>
      <c r="P108" s="87">
        <v>70</v>
      </c>
      <c r="Q108" s="87">
        <v>70</v>
      </c>
      <c r="R108" s="94">
        <f t="shared" si="27"/>
        <v>0</v>
      </c>
      <c r="S108" s="89" t="s">
        <v>37</v>
      </c>
      <c r="T108" s="89"/>
      <c r="U108" s="87" t="s">
        <v>24</v>
      </c>
      <c r="V108" s="87" t="s">
        <v>461</v>
      </c>
      <c r="W108" s="87" t="s">
        <v>462</v>
      </c>
      <c r="X108" s="87" t="s">
        <v>4</v>
      </c>
      <c r="Y108" s="87">
        <v>2.25</v>
      </c>
      <c r="Z108" s="87">
        <v>1.1499999999999999</v>
      </c>
      <c r="AA108" s="88">
        <f t="shared" si="30"/>
        <v>3864.7342995169083</v>
      </c>
      <c r="AB108" s="87" t="s">
        <v>300</v>
      </c>
      <c r="AC108" s="90" t="s">
        <v>301</v>
      </c>
      <c r="AD108" s="87">
        <v>0.8</v>
      </c>
      <c r="AE108" s="87">
        <v>1.8</v>
      </c>
      <c r="AF108" s="87">
        <f t="shared" si="31"/>
        <v>1</v>
      </c>
      <c r="AG108" s="87">
        <f t="shared" si="32"/>
        <v>0.45</v>
      </c>
      <c r="AH108" s="87">
        <f t="shared" si="33"/>
        <v>0.40500000000000003</v>
      </c>
      <c r="AI108" s="153">
        <f t="shared" si="34"/>
        <v>0</v>
      </c>
      <c r="AJ108" s="2">
        <f t="shared" si="35"/>
        <v>1.068888888888889</v>
      </c>
    </row>
    <row r="109" spans="1:36" x14ac:dyDescent="0.3">
      <c r="A109" s="211">
        <v>17</v>
      </c>
      <c r="B10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09" s="2" t="str">
        <f t="shared" si="28"/>
        <v>E17I2</v>
      </c>
      <c r="D109" t="str">
        <f t="shared" si="29"/>
        <v>E17</v>
      </c>
      <c r="E109" s="87" t="s">
        <v>311</v>
      </c>
      <c r="F109" s="157">
        <v>1.94</v>
      </c>
      <c r="G109" s="87" t="s">
        <v>439</v>
      </c>
      <c r="H109" s="87" t="s">
        <v>172</v>
      </c>
      <c r="I109" s="87"/>
      <c r="J109" s="87"/>
      <c r="K109" s="87" t="s">
        <v>292</v>
      </c>
      <c r="L109" s="87" t="s">
        <v>172</v>
      </c>
      <c r="M109" s="87"/>
      <c r="N109" s="87">
        <v>16</v>
      </c>
      <c r="O109" s="87" t="s">
        <v>453</v>
      </c>
      <c r="P109" s="87">
        <v>90</v>
      </c>
      <c r="Q109" s="87">
        <v>90</v>
      </c>
      <c r="R109" s="94">
        <f t="shared" si="27"/>
        <v>0</v>
      </c>
      <c r="S109" s="89" t="s">
        <v>37</v>
      </c>
      <c r="T109" s="89"/>
      <c r="U109" s="87" t="s">
        <v>24</v>
      </c>
      <c r="V109" s="87" t="s">
        <v>461</v>
      </c>
      <c r="W109" s="87" t="s">
        <v>462</v>
      </c>
      <c r="X109" s="87" t="s">
        <v>4</v>
      </c>
      <c r="Y109" s="87">
        <v>2</v>
      </c>
      <c r="Z109" s="87">
        <v>1</v>
      </c>
      <c r="AA109" s="88">
        <f t="shared" si="30"/>
        <v>5000</v>
      </c>
      <c r="AB109" s="87" t="s">
        <v>300</v>
      </c>
      <c r="AC109" s="90" t="s">
        <v>301</v>
      </c>
      <c r="AD109" s="87">
        <v>0.8</v>
      </c>
      <c r="AE109" s="87">
        <v>1.8</v>
      </c>
      <c r="AF109" s="87">
        <f t="shared" si="31"/>
        <v>1</v>
      </c>
      <c r="AG109" s="87">
        <f t="shared" si="32"/>
        <v>0.45</v>
      </c>
      <c r="AH109" s="87">
        <f t="shared" si="33"/>
        <v>0.40500000000000003</v>
      </c>
      <c r="AI109" s="153">
        <f t="shared" si="34"/>
        <v>0</v>
      </c>
      <c r="AJ109" s="2">
        <f t="shared" si="35"/>
        <v>1.2025000000000001</v>
      </c>
    </row>
    <row r="110" spans="1:36" x14ac:dyDescent="0.3">
      <c r="A110" s="211">
        <v>18</v>
      </c>
      <c r="B11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10" s="2" t="str">
        <f t="shared" si="28"/>
        <v>E18I1</v>
      </c>
      <c r="D110" t="str">
        <f t="shared" si="29"/>
        <v>E18</v>
      </c>
      <c r="E110" s="87" t="s">
        <v>1006</v>
      </c>
      <c r="F110" s="157">
        <v>1.3</v>
      </c>
      <c r="G110" s="87" t="s">
        <v>306</v>
      </c>
      <c r="H110" s="87"/>
      <c r="I110" s="87"/>
      <c r="J110" s="87"/>
      <c r="K110" s="87" t="s">
        <v>292</v>
      </c>
      <c r="L110" s="87" t="s">
        <v>7</v>
      </c>
      <c r="M110" s="87"/>
      <c r="N110" s="87" t="s">
        <v>7</v>
      </c>
      <c r="O110" s="87" t="s">
        <v>453</v>
      </c>
      <c r="P110" s="87">
        <v>120</v>
      </c>
      <c r="Q110" s="87">
        <v>90</v>
      </c>
      <c r="R110" s="94">
        <f t="shared" si="27"/>
        <v>-0.33333333333333343</v>
      </c>
      <c r="S110" s="89"/>
      <c r="T110" s="89"/>
      <c r="U110" s="87" t="s">
        <v>24</v>
      </c>
      <c r="V110" s="87" t="s">
        <v>460</v>
      </c>
      <c r="W110" s="87"/>
      <c r="X110" s="87"/>
      <c r="Y110" s="87">
        <v>2</v>
      </c>
      <c r="Z110" s="87">
        <v>1</v>
      </c>
      <c r="AA110" s="88">
        <f t="shared" si="30"/>
        <v>5000</v>
      </c>
      <c r="AB110" s="87" t="s">
        <v>313</v>
      </c>
      <c r="AC110" s="90" t="s">
        <v>301</v>
      </c>
      <c r="AD110" s="87">
        <v>0.9</v>
      </c>
      <c r="AE110" s="87" t="s">
        <v>7</v>
      </c>
      <c r="AF110" s="87" t="str">
        <f t="shared" si="31"/>
        <v>NA</v>
      </c>
      <c r="AG110" s="87">
        <f t="shared" si="32"/>
        <v>0.3</v>
      </c>
      <c r="AH110" s="87">
        <f t="shared" si="33"/>
        <v>0.3</v>
      </c>
      <c r="AI110" s="153">
        <f t="shared" si="34"/>
        <v>-6.666666666666668E-2</v>
      </c>
      <c r="AJ110" s="2" t="str">
        <f t="shared" si="35"/>
        <v>NA</v>
      </c>
    </row>
    <row r="111" spans="1:36" x14ac:dyDescent="0.3">
      <c r="A111" s="211">
        <v>18</v>
      </c>
      <c r="B11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11" s="2" t="str">
        <f t="shared" si="28"/>
        <v>E18I1</v>
      </c>
      <c r="D111" t="str">
        <f t="shared" si="29"/>
        <v>E18</v>
      </c>
      <c r="E111" s="87" t="s">
        <v>1007</v>
      </c>
      <c r="F111" s="157">
        <v>1</v>
      </c>
      <c r="G111" s="87" t="s">
        <v>379</v>
      </c>
      <c r="H111" s="87"/>
      <c r="I111" s="87"/>
      <c r="J111" s="87"/>
      <c r="K111" s="87" t="s">
        <v>292</v>
      </c>
      <c r="L111" s="87" t="s">
        <v>7</v>
      </c>
      <c r="M111" s="87"/>
      <c r="N111" s="87" t="s">
        <v>7</v>
      </c>
      <c r="O111" s="87" t="s">
        <v>453</v>
      </c>
      <c r="P111" s="87">
        <v>120</v>
      </c>
      <c r="Q111" s="87">
        <v>90</v>
      </c>
      <c r="R111" s="94">
        <f t="shared" si="27"/>
        <v>-0.33333333333333343</v>
      </c>
      <c r="S111" s="89"/>
      <c r="T111" s="89"/>
      <c r="U111" s="87" t="s">
        <v>24</v>
      </c>
      <c r="V111" s="87" t="s">
        <v>293</v>
      </c>
      <c r="W111" s="87"/>
      <c r="X111" s="87"/>
      <c r="Y111" s="87">
        <v>2</v>
      </c>
      <c r="Z111" s="87">
        <v>1</v>
      </c>
      <c r="AA111" s="88">
        <f t="shared" si="30"/>
        <v>5000</v>
      </c>
      <c r="AB111" s="87" t="s">
        <v>313</v>
      </c>
      <c r="AC111" s="90" t="s">
        <v>301</v>
      </c>
      <c r="AD111" s="87">
        <v>0.9</v>
      </c>
      <c r="AE111" s="87" t="s">
        <v>7</v>
      </c>
      <c r="AF111" s="87" t="str">
        <f t="shared" si="31"/>
        <v>NA</v>
      </c>
      <c r="AG111" s="87">
        <f t="shared" si="32"/>
        <v>0.3</v>
      </c>
      <c r="AH111" s="87">
        <f t="shared" si="33"/>
        <v>0.3</v>
      </c>
      <c r="AI111" s="153">
        <f t="shared" si="34"/>
        <v>-6.666666666666668E-2</v>
      </c>
      <c r="AJ111" s="2" t="str">
        <f t="shared" si="35"/>
        <v>NA</v>
      </c>
    </row>
    <row r="112" spans="1:36" x14ac:dyDescent="0.3">
      <c r="A112" s="211">
        <v>18</v>
      </c>
      <c r="B11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12" s="2" t="str">
        <f t="shared" si="28"/>
        <v>E18I1</v>
      </c>
      <c r="D112" t="str">
        <f t="shared" si="29"/>
        <v>E18</v>
      </c>
      <c r="E112" s="87" t="s">
        <v>1008</v>
      </c>
      <c r="F112" s="157">
        <v>2.5</v>
      </c>
      <c r="G112" s="87" t="s">
        <v>442</v>
      </c>
      <c r="H112" s="87"/>
      <c r="I112" s="87"/>
      <c r="J112" s="87"/>
      <c r="K112" s="87" t="s">
        <v>292</v>
      </c>
      <c r="L112" s="87" t="s">
        <v>7</v>
      </c>
      <c r="M112" s="87"/>
      <c r="N112" s="87" t="s">
        <v>7</v>
      </c>
      <c r="O112" s="87" t="s">
        <v>453</v>
      </c>
      <c r="P112" s="87">
        <v>120</v>
      </c>
      <c r="Q112" s="87">
        <v>90</v>
      </c>
      <c r="R112" s="94">
        <f t="shared" si="27"/>
        <v>-0.33333333333333343</v>
      </c>
      <c r="S112" s="89"/>
      <c r="T112" s="89"/>
      <c r="U112" s="87" t="s">
        <v>24</v>
      </c>
      <c r="V112" s="87" t="s">
        <v>460</v>
      </c>
      <c r="W112" s="87"/>
      <c r="X112" s="87"/>
      <c r="Y112" s="87">
        <v>2</v>
      </c>
      <c r="Z112" s="87">
        <v>1</v>
      </c>
      <c r="AA112" s="88">
        <f t="shared" si="30"/>
        <v>5000</v>
      </c>
      <c r="AB112" s="87" t="s">
        <v>313</v>
      </c>
      <c r="AC112" s="90" t="s">
        <v>301</v>
      </c>
      <c r="AD112" s="87">
        <v>0.9</v>
      </c>
      <c r="AE112" s="87" t="s">
        <v>7</v>
      </c>
      <c r="AF112" s="87" t="str">
        <f t="shared" si="31"/>
        <v>NA</v>
      </c>
      <c r="AG112" s="87">
        <f t="shared" si="32"/>
        <v>0.3</v>
      </c>
      <c r="AH112" s="87">
        <f t="shared" si="33"/>
        <v>0.3</v>
      </c>
      <c r="AI112" s="153">
        <f t="shared" si="34"/>
        <v>-6.666666666666668E-2</v>
      </c>
      <c r="AJ112" s="2" t="str">
        <f t="shared" si="35"/>
        <v>NA</v>
      </c>
    </row>
    <row r="113" spans="1:36" ht="13.95" customHeight="1" x14ac:dyDescent="0.3">
      <c r="A113" s="211">
        <v>18</v>
      </c>
      <c r="B11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13" s="2" t="str">
        <f t="shared" si="28"/>
        <v>E18I1</v>
      </c>
      <c r="D113" t="str">
        <f t="shared" si="29"/>
        <v>E18</v>
      </c>
      <c r="E113" s="87" t="s">
        <v>1009</v>
      </c>
      <c r="F113" s="157">
        <v>1</v>
      </c>
      <c r="G113" s="87" t="s">
        <v>439</v>
      </c>
      <c r="H113" s="87"/>
      <c r="I113" s="87"/>
      <c r="J113" s="87"/>
      <c r="K113" s="87" t="s">
        <v>292</v>
      </c>
      <c r="L113" s="87" t="s">
        <v>7</v>
      </c>
      <c r="M113" s="87"/>
      <c r="N113" s="87" t="s">
        <v>7</v>
      </c>
      <c r="O113" s="87" t="s">
        <v>453</v>
      </c>
      <c r="P113" s="87">
        <v>120</v>
      </c>
      <c r="Q113" s="87">
        <v>90</v>
      </c>
      <c r="R113" s="94">
        <f t="shared" si="27"/>
        <v>-0.33333333333333343</v>
      </c>
      <c r="S113" s="89"/>
      <c r="T113" s="89"/>
      <c r="U113" s="87" t="s">
        <v>24</v>
      </c>
      <c r="V113" s="87" t="s">
        <v>460</v>
      </c>
      <c r="W113" s="87"/>
      <c r="X113" s="87"/>
      <c r="Y113" s="87">
        <v>2</v>
      </c>
      <c r="Z113" s="87">
        <v>1</v>
      </c>
      <c r="AA113" s="88">
        <f t="shared" si="30"/>
        <v>5000</v>
      </c>
      <c r="AB113" s="87" t="s">
        <v>329</v>
      </c>
      <c r="AC113" s="90" t="s">
        <v>301</v>
      </c>
      <c r="AD113" s="87">
        <v>0.9</v>
      </c>
      <c r="AE113" s="87" t="s">
        <v>7</v>
      </c>
      <c r="AF113" s="87" t="str">
        <f t="shared" si="31"/>
        <v>NA</v>
      </c>
      <c r="AG113" s="87">
        <f t="shared" si="32"/>
        <v>0.3</v>
      </c>
      <c r="AH113" s="87">
        <f t="shared" si="33"/>
        <v>0.3</v>
      </c>
      <c r="AI113" s="153">
        <f t="shared" si="34"/>
        <v>-6.666666666666668E-2</v>
      </c>
      <c r="AJ113" s="2" t="str">
        <f t="shared" si="35"/>
        <v>NA</v>
      </c>
    </row>
    <row r="114" spans="1:36" ht="13.95" customHeight="1" x14ac:dyDescent="0.3">
      <c r="A114" s="211">
        <v>18</v>
      </c>
      <c r="B11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14" s="2" t="str">
        <f t="shared" si="28"/>
        <v>E18I1</v>
      </c>
      <c r="D114" t="str">
        <f t="shared" si="29"/>
        <v>E18</v>
      </c>
      <c r="E114" s="87" t="s">
        <v>1010</v>
      </c>
      <c r="F114" s="157">
        <v>0.8</v>
      </c>
      <c r="G114" s="87" t="s">
        <v>308</v>
      </c>
      <c r="H114" s="87"/>
      <c r="I114" s="87"/>
      <c r="J114" s="87"/>
      <c r="K114" s="87" t="s">
        <v>292</v>
      </c>
      <c r="L114" s="87" t="s">
        <v>7</v>
      </c>
      <c r="M114" s="87"/>
      <c r="N114" s="87" t="s">
        <v>7</v>
      </c>
      <c r="O114" s="87" t="s">
        <v>453</v>
      </c>
      <c r="P114" s="87">
        <v>120</v>
      </c>
      <c r="Q114" s="87">
        <v>90</v>
      </c>
      <c r="R114" s="94">
        <f t="shared" si="27"/>
        <v>-0.33333333333333343</v>
      </c>
      <c r="S114" s="89"/>
      <c r="T114" s="89"/>
      <c r="U114" s="87" t="s">
        <v>24</v>
      </c>
      <c r="V114" s="87" t="s">
        <v>460</v>
      </c>
      <c r="W114" s="87"/>
      <c r="X114" s="87"/>
      <c r="Y114" s="87">
        <v>2</v>
      </c>
      <c r="Z114" s="87">
        <v>1</v>
      </c>
      <c r="AA114" s="88">
        <f t="shared" si="30"/>
        <v>5000</v>
      </c>
      <c r="AB114" s="87" t="s">
        <v>329</v>
      </c>
      <c r="AC114" s="90" t="s">
        <v>301</v>
      </c>
      <c r="AD114" s="87">
        <v>0.9</v>
      </c>
      <c r="AE114" s="87" t="s">
        <v>7</v>
      </c>
      <c r="AF114" s="87" t="str">
        <f t="shared" si="31"/>
        <v>NA</v>
      </c>
      <c r="AG114" s="87">
        <f t="shared" si="32"/>
        <v>0.3</v>
      </c>
      <c r="AH114" s="87">
        <f t="shared" si="33"/>
        <v>0.3</v>
      </c>
      <c r="AI114" s="153">
        <f t="shared" si="34"/>
        <v>-6.666666666666668E-2</v>
      </c>
      <c r="AJ114" s="2" t="str">
        <f t="shared" si="35"/>
        <v>NA</v>
      </c>
    </row>
    <row r="115" spans="1:36" ht="13.95" customHeight="1" x14ac:dyDescent="0.3">
      <c r="A115" s="211">
        <v>18</v>
      </c>
      <c r="B11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15" s="2" t="str">
        <f t="shared" si="28"/>
        <v>E18I1</v>
      </c>
      <c r="D115" t="str">
        <f t="shared" si="29"/>
        <v>E18</v>
      </c>
      <c r="E115" s="87" t="s">
        <v>1011</v>
      </c>
      <c r="F115" s="157">
        <v>0.8</v>
      </c>
      <c r="G115" s="87" t="s">
        <v>440</v>
      </c>
      <c r="H115" s="87"/>
      <c r="I115" s="87"/>
      <c r="J115" s="87"/>
      <c r="K115" s="87" t="s">
        <v>292</v>
      </c>
      <c r="L115" s="87" t="s">
        <v>7</v>
      </c>
      <c r="M115" s="87"/>
      <c r="N115" s="87" t="s">
        <v>7</v>
      </c>
      <c r="O115" s="87" t="s">
        <v>453</v>
      </c>
      <c r="P115" s="87">
        <v>120</v>
      </c>
      <c r="Q115" s="87">
        <v>90</v>
      </c>
      <c r="R115" s="94">
        <f t="shared" si="27"/>
        <v>-0.33333333333333343</v>
      </c>
      <c r="S115" s="89"/>
      <c r="T115" s="89"/>
      <c r="U115" s="87" t="s">
        <v>24</v>
      </c>
      <c r="V115" s="87" t="s">
        <v>460</v>
      </c>
      <c r="W115" s="87"/>
      <c r="X115" s="87"/>
      <c r="Y115" s="87">
        <v>2</v>
      </c>
      <c r="Z115" s="87">
        <v>1</v>
      </c>
      <c r="AA115" s="88">
        <f t="shared" si="30"/>
        <v>5000</v>
      </c>
      <c r="AB115" s="87" t="s">
        <v>329</v>
      </c>
      <c r="AC115" s="90" t="s">
        <v>301</v>
      </c>
      <c r="AD115" s="87">
        <v>0.9</v>
      </c>
      <c r="AE115" s="87" t="s">
        <v>7</v>
      </c>
      <c r="AF115" s="87" t="str">
        <f t="shared" si="31"/>
        <v>NA</v>
      </c>
      <c r="AG115" s="87">
        <f t="shared" si="32"/>
        <v>0.3</v>
      </c>
      <c r="AH115" s="87">
        <f t="shared" si="33"/>
        <v>0.3</v>
      </c>
      <c r="AI115" s="153">
        <f t="shared" si="34"/>
        <v>-6.666666666666668E-2</v>
      </c>
      <c r="AJ115" s="2" t="str">
        <f t="shared" si="35"/>
        <v>NA</v>
      </c>
    </row>
    <row r="116" spans="1:36" ht="13.95" customHeight="1" x14ac:dyDescent="0.3">
      <c r="A116" s="211">
        <v>18</v>
      </c>
      <c r="B11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16" s="2" t="str">
        <f t="shared" si="28"/>
        <v>E18I1</v>
      </c>
      <c r="D116" t="str">
        <f t="shared" si="29"/>
        <v>E18</v>
      </c>
      <c r="E116" s="87" t="s">
        <v>1012</v>
      </c>
      <c r="F116" s="157">
        <v>0.8</v>
      </c>
      <c r="G116" s="87" t="s">
        <v>438</v>
      </c>
      <c r="H116" s="87"/>
      <c r="I116" s="87"/>
      <c r="J116" s="87"/>
      <c r="K116" s="87" t="s">
        <v>292</v>
      </c>
      <c r="L116" s="87" t="s">
        <v>7</v>
      </c>
      <c r="M116" s="87"/>
      <c r="N116" s="87" t="s">
        <v>7</v>
      </c>
      <c r="O116" s="87" t="s">
        <v>453</v>
      </c>
      <c r="P116" s="87">
        <v>120</v>
      </c>
      <c r="Q116" s="87">
        <v>90</v>
      </c>
      <c r="R116" s="94">
        <f t="shared" si="27"/>
        <v>-0.33333333333333343</v>
      </c>
      <c r="S116" s="89"/>
      <c r="T116" s="89"/>
      <c r="U116" s="87" t="s">
        <v>24</v>
      </c>
      <c r="V116" s="87" t="s">
        <v>460</v>
      </c>
      <c r="W116" s="87"/>
      <c r="X116" s="87"/>
      <c r="Y116" s="87">
        <v>2</v>
      </c>
      <c r="Z116" s="87">
        <v>1</v>
      </c>
      <c r="AA116" s="88">
        <f t="shared" si="30"/>
        <v>5000</v>
      </c>
      <c r="AB116" s="87" t="s">
        <v>329</v>
      </c>
      <c r="AC116" s="90" t="s">
        <v>301</v>
      </c>
      <c r="AD116" s="87">
        <v>0.9</v>
      </c>
      <c r="AE116" s="87" t="s">
        <v>7</v>
      </c>
      <c r="AF116" s="87" t="str">
        <f t="shared" si="31"/>
        <v>NA</v>
      </c>
      <c r="AG116" s="87">
        <f t="shared" si="32"/>
        <v>0.3</v>
      </c>
      <c r="AH116" s="87">
        <f t="shared" si="33"/>
        <v>0.3</v>
      </c>
      <c r="AI116" s="153">
        <f t="shared" si="34"/>
        <v>-6.666666666666668E-2</v>
      </c>
      <c r="AJ116" s="2" t="str">
        <f t="shared" si="35"/>
        <v>NA</v>
      </c>
    </row>
    <row r="117" spans="1:36" ht="13.95" customHeight="1" x14ac:dyDescent="0.3">
      <c r="A117" s="211">
        <v>18</v>
      </c>
      <c r="B11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17" s="2" t="str">
        <f t="shared" si="28"/>
        <v>E18I1</v>
      </c>
      <c r="D117" t="str">
        <f t="shared" si="29"/>
        <v>E18</v>
      </c>
      <c r="E117" s="87" t="s">
        <v>1013</v>
      </c>
      <c r="F117" s="157">
        <v>0.6</v>
      </c>
      <c r="G117" s="87" t="s">
        <v>379</v>
      </c>
      <c r="H117" s="87"/>
      <c r="I117" s="87"/>
      <c r="J117" s="87"/>
      <c r="K117" s="87" t="s">
        <v>292</v>
      </c>
      <c r="L117" s="87" t="s">
        <v>7</v>
      </c>
      <c r="M117" s="87"/>
      <c r="N117" s="87" t="s">
        <v>7</v>
      </c>
      <c r="O117" s="87" t="s">
        <v>453</v>
      </c>
      <c r="P117" s="87">
        <v>120</v>
      </c>
      <c r="Q117" s="87">
        <v>90</v>
      </c>
      <c r="R117" s="94">
        <f t="shared" si="27"/>
        <v>-0.33333333333333343</v>
      </c>
      <c r="S117" s="89"/>
      <c r="T117" s="89"/>
      <c r="U117" s="87" t="s">
        <v>24</v>
      </c>
      <c r="V117" s="87" t="s">
        <v>293</v>
      </c>
      <c r="W117" s="87"/>
      <c r="X117" s="87"/>
      <c r="Y117" s="87">
        <v>2</v>
      </c>
      <c r="Z117" s="87">
        <v>1</v>
      </c>
      <c r="AA117" s="88">
        <f t="shared" si="30"/>
        <v>5000</v>
      </c>
      <c r="AB117" s="87" t="s">
        <v>329</v>
      </c>
      <c r="AC117" s="90" t="s">
        <v>301</v>
      </c>
      <c r="AD117" s="87">
        <v>0.9</v>
      </c>
      <c r="AE117" s="87" t="s">
        <v>7</v>
      </c>
      <c r="AF117" s="87" t="str">
        <f t="shared" si="31"/>
        <v>NA</v>
      </c>
      <c r="AG117" s="87">
        <f t="shared" si="32"/>
        <v>0.3</v>
      </c>
      <c r="AH117" s="87">
        <f t="shared" si="33"/>
        <v>0.3</v>
      </c>
      <c r="AI117" s="153">
        <f t="shared" si="34"/>
        <v>-6.666666666666668E-2</v>
      </c>
      <c r="AJ117" s="2" t="str">
        <f t="shared" si="35"/>
        <v>NA</v>
      </c>
    </row>
    <row r="118" spans="1:36" ht="13.95" customHeight="1" x14ac:dyDescent="0.3">
      <c r="A118" s="211">
        <v>18</v>
      </c>
      <c r="B11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18" s="2" t="str">
        <f t="shared" si="28"/>
        <v>E18I1</v>
      </c>
      <c r="D118" t="str">
        <f t="shared" si="29"/>
        <v>E18</v>
      </c>
      <c r="E118" s="87" t="s">
        <v>1064</v>
      </c>
      <c r="F118" s="157">
        <v>0.35</v>
      </c>
      <c r="G118" s="87" t="s">
        <v>439</v>
      </c>
      <c r="H118" s="87"/>
      <c r="I118" s="87"/>
      <c r="J118" s="87"/>
      <c r="K118" s="87" t="s">
        <v>292</v>
      </c>
      <c r="L118" s="87" t="s">
        <v>7</v>
      </c>
      <c r="M118" s="87"/>
      <c r="N118" s="87" t="s">
        <v>7</v>
      </c>
      <c r="O118" s="87" t="s">
        <v>453</v>
      </c>
      <c r="P118" s="87">
        <v>120</v>
      </c>
      <c r="Q118" s="87">
        <v>90</v>
      </c>
      <c r="R118" s="94">
        <f t="shared" si="27"/>
        <v>-0.33333333333333343</v>
      </c>
      <c r="S118" s="89"/>
      <c r="T118" s="89"/>
      <c r="U118" s="87" t="s">
        <v>24</v>
      </c>
      <c r="V118" s="87" t="s">
        <v>460</v>
      </c>
      <c r="W118" s="87"/>
      <c r="X118" s="87"/>
      <c r="Y118" s="87">
        <v>2</v>
      </c>
      <c r="Z118" s="87">
        <v>1</v>
      </c>
      <c r="AA118" s="88">
        <f t="shared" si="30"/>
        <v>5000</v>
      </c>
      <c r="AB118" s="87" t="s">
        <v>7</v>
      </c>
      <c r="AC118" s="90" t="s">
        <v>314</v>
      </c>
      <c r="AD118" s="87">
        <v>0.9</v>
      </c>
      <c r="AE118" s="87" t="s">
        <v>7</v>
      </c>
      <c r="AF118" s="87" t="str">
        <f t="shared" si="31"/>
        <v>NA</v>
      </c>
      <c r="AG118" s="87">
        <f t="shared" si="32"/>
        <v>0.3</v>
      </c>
      <c r="AH118" s="87">
        <f t="shared" si="33"/>
        <v>0.3</v>
      </c>
      <c r="AI118" s="153">
        <f t="shared" si="34"/>
        <v>-6.666666666666668E-2</v>
      </c>
      <c r="AJ118" s="2" t="str">
        <f t="shared" si="35"/>
        <v>NA</v>
      </c>
    </row>
    <row r="119" spans="1:36" ht="13.95" customHeight="1" x14ac:dyDescent="0.3">
      <c r="A119" s="211">
        <v>18</v>
      </c>
      <c r="B11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19" s="2" t="str">
        <f t="shared" si="28"/>
        <v>E18I1</v>
      </c>
      <c r="D119" t="str">
        <f t="shared" si="29"/>
        <v>E18</v>
      </c>
      <c r="E119" s="87" t="s">
        <v>1068</v>
      </c>
      <c r="F119" s="157">
        <v>2.5</v>
      </c>
      <c r="G119" s="87" t="s">
        <v>308</v>
      </c>
      <c r="H119" s="87"/>
      <c r="I119" s="87"/>
      <c r="J119" s="87"/>
      <c r="K119" s="87" t="s">
        <v>292</v>
      </c>
      <c r="L119" s="87" t="s">
        <v>7</v>
      </c>
      <c r="M119" s="87"/>
      <c r="N119" s="87" t="s">
        <v>7</v>
      </c>
      <c r="O119" s="87" t="s">
        <v>453</v>
      </c>
      <c r="P119" s="87">
        <v>120</v>
      </c>
      <c r="Q119" s="87">
        <v>90</v>
      </c>
      <c r="R119" s="94">
        <f t="shared" si="27"/>
        <v>-0.33333333333333343</v>
      </c>
      <c r="S119" s="89"/>
      <c r="T119" s="89"/>
      <c r="U119" s="87" t="s">
        <v>24</v>
      </c>
      <c r="V119" s="87" t="s">
        <v>460</v>
      </c>
      <c r="W119" s="87"/>
      <c r="X119" s="87"/>
      <c r="Y119" s="87">
        <v>2</v>
      </c>
      <c r="Z119" s="87">
        <v>1</v>
      </c>
      <c r="AA119" s="88">
        <f t="shared" si="30"/>
        <v>5000</v>
      </c>
      <c r="AB119" s="87" t="s">
        <v>7</v>
      </c>
      <c r="AC119" s="90" t="s">
        <v>1014</v>
      </c>
      <c r="AD119" s="87">
        <v>0.9</v>
      </c>
      <c r="AE119" s="87" t="s">
        <v>7</v>
      </c>
      <c r="AF119" s="87" t="str">
        <f t="shared" si="31"/>
        <v>NA</v>
      </c>
      <c r="AG119" s="87">
        <f t="shared" si="32"/>
        <v>0.3</v>
      </c>
      <c r="AH119" s="87">
        <f t="shared" si="33"/>
        <v>0.3</v>
      </c>
      <c r="AI119" s="153">
        <f t="shared" si="34"/>
        <v>-6.666666666666668E-2</v>
      </c>
      <c r="AJ119" s="2" t="str">
        <f t="shared" si="35"/>
        <v>NA</v>
      </c>
    </row>
    <row r="120" spans="1:36" ht="13.95" customHeight="1" x14ac:dyDescent="0.3">
      <c r="A120" s="211">
        <v>18</v>
      </c>
      <c r="B12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20" s="2" t="str">
        <f t="shared" si="28"/>
        <v>E18I1</v>
      </c>
      <c r="D120" t="str">
        <f t="shared" si="29"/>
        <v>E18</v>
      </c>
      <c r="E120" s="87" t="s">
        <v>1069</v>
      </c>
      <c r="F120" s="157">
        <v>0.8</v>
      </c>
      <c r="G120" s="87" t="s">
        <v>438</v>
      </c>
      <c r="H120" s="87"/>
      <c r="I120" s="87"/>
      <c r="J120" s="87"/>
      <c r="K120" s="87" t="s">
        <v>292</v>
      </c>
      <c r="L120" s="87" t="s">
        <v>7</v>
      </c>
      <c r="M120" s="87"/>
      <c r="N120" s="87" t="s">
        <v>7</v>
      </c>
      <c r="O120" s="87" t="s">
        <v>453</v>
      </c>
      <c r="P120" s="87">
        <v>120</v>
      </c>
      <c r="Q120" s="87">
        <v>90</v>
      </c>
      <c r="R120" s="94">
        <f t="shared" si="27"/>
        <v>-0.33333333333333343</v>
      </c>
      <c r="S120" s="89"/>
      <c r="T120" s="89"/>
      <c r="U120" s="87" t="s">
        <v>24</v>
      </c>
      <c r="V120" s="87" t="s">
        <v>460</v>
      </c>
      <c r="W120" s="87"/>
      <c r="X120" s="87"/>
      <c r="Y120" s="87">
        <v>2</v>
      </c>
      <c r="Z120" s="87">
        <v>1</v>
      </c>
      <c r="AA120" s="88">
        <f t="shared" si="30"/>
        <v>5000</v>
      </c>
      <c r="AB120" s="87" t="s">
        <v>7</v>
      </c>
      <c r="AC120" s="90" t="s">
        <v>1015</v>
      </c>
      <c r="AD120" s="87">
        <v>0.9</v>
      </c>
      <c r="AE120" s="87" t="s">
        <v>7</v>
      </c>
      <c r="AF120" s="87" t="str">
        <f t="shared" si="31"/>
        <v>NA</v>
      </c>
      <c r="AG120" s="87">
        <f t="shared" si="32"/>
        <v>0.3</v>
      </c>
      <c r="AH120" s="87">
        <f t="shared" si="33"/>
        <v>0.3</v>
      </c>
      <c r="AI120" s="153">
        <f t="shared" si="34"/>
        <v>-6.666666666666668E-2</v>
      </c>
      <c r="AJ120" s="2" t="str">
        <f t="shared" si="35"/>
        <v>NA</v>
      </c>
    </row>
    <row r="121" spans="1:36" ht="13.95" customHeight="1" x14ac:dyDescent="0.3">
      <c r="A121" s="211">
        <v>18</v>
      </c>
      <c r="B12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21" s="2" t="str">
        <f t="shared" si="28"/>
        <v>E18I1</v>
      </c>
      <c r="D121" t="str">
        <f t="shared" si="29"/>
        <v>E18</v>
      </c>
      <c r="E121" s="87" t="s">
        <v>1070</v>
      </c>
      <c r="F121" s="157">
        <v>0.45</v>
      </c>
      <c r="G121" s="87" t="s">
        <v>308</v>
      </c>
      <c r="H121" s="87"/>
      <c r="I121" s="87"/>
      <c r="J121" s="87"/>
      <c r="K121" s="87" t="s">
        <v>292</v>
      </c>
      <c r="L121" s="87" t="s">
        <v>7</v>
      </c>
      <c r="M121" s="87"/>
      <c r="N121" s="87" t="s">
        <v>7</v>
      </c>
      <c r="O121" s="87" t="s">
        <v>453</v>
      </c>
      <c r="P121" s="87">
        <v>120</v>
      </c>
      <c r="Q121" s="87">
        <v>90</v>
      </c>
      <c r="R121" s="94">
        <f t="shared" si="27"/>
        <v>-0.33333333333333343</v>
      </c>
      <c r="S121" s="89"/>
      <c r="T121" s="89"/>
      <c r="U121" s="87" t="s">
        <v>24</v>
      </c>
      <c r="V121" s="87" t="s">
        <v>293</v>
      </c>
      <c r="W121" s="87"/>
      <c r="X121" s="87"/>
      <c r="Y121" s="87">
        <v>2</v>
      </c>
      <c r="Z121" s="87">
        <v>1</v>
      </c>
      <c r="AA121" s="88">
        <f t="shared" si="30"/>
        <v>5000</v>
      </c>
      <c r="AB121" s="87" t="s">
        <v>7</v>
      </c>
      <c r="AC121" s="90" t="s">
        <v>1016</v>
      </c>
      <c r="AD121" s="87">
        <v>0.9</v>
      </c>
      <c r="AE121" s="87" t="s">
        <v>7</v>
      </c>
      <c r="AF121" s="87" t="str">
        <f t="shared" si="31"/>
        <v>NA</v>
      </c>
      <c r="AG121" s="87">
        <f t="shared" si="32"/>
        <v>0.3</v>
      </c>
      <c r="AH121" s="87">
        <f t="shared" si="33"/>
        <v>0.3</v>
      </c>
      <c r="AI121" s="153">
        <f t="shared" si="34"/>
        <v>-6.666666666666668E-2</v>
      </c>
      <c r="AJ121" s="2" t="str">
        <f t="shared" si="35"/>
        <v>NA</v>
      </c>
    </row>
    <row r="122" spans="1:36" ht="13.95" customHeight="1" x14ac:dyDescent="0.3">
      <c r="A122" s="211">
        <v>18</v>
      </c>
      <c r="B12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22" s="2" t="str">
        <f t="shared" si="28"/>
        <v>E18I1</v>
      </c>
      <c r="D122" t="str">
        <f t="shared" si="29"/>
        <v>E18</v>
      </c>
      <c r="E122" s="87" t="s">
        <v>1071</v>
      </c>
      <c r="F122" s="157">
        <v>1.4</v>
      </c>
      <c r="G122" s="87" t="s">
        <v>308</v>
      </c>
      <c r="H122" s="87"/>
      <c r="I122" s="87"/>
      <c r="J122" s="87"/>
      <c r="K122" s="87" t="s">
        <v>292</v>
      </c>
      <c r="L122" s="87" t="s">
        <v>7</v>
      </c>
      <c r="M122" s="87"/>
      <c r="N122" s="87" t="s">
        <v>7</v>
      </c>
      <c r="O122" s="87" t="s">
        <v>453</v>
      </c>
      <c r="P122" s="87">
        <v>120</v>
      </c>
      <c r="Q122" s="87">
        <v>90</v>
      </c>
      <c r="R122" s="94">
        <f t="shared" si="27"/>
        <v>-0.33333333333333343</v>
      </c>
      <c r="S122" s="89"/>
      <c r="T122" s="89"/>
      <c r="U122" s="87" t="s">
        <v>24</v>
      </c>
      <c r="V122" s="87" t="s">
        <v>460</v>
      </c>
      <c r="W122" s="87"/>
      <c r="X122" s="87"/>
      <c r="Y122" s="87">
        <v>2</v>
      </c>
      <c r="Z122" s="87">
        <v>1</v>
      </c>
      <c r="AA122" s="88">
        <f t="shared" si="30"/>
        <v>5000</v>
      </c>
      <c r="AB122" s="87" t="s">
        <v>7</v>
      </c>
      <c r="AC122" s="90" t="s">
        <v>1017</v>
      </c>
      <c r="AD122" s="87">
        <v>0.9</v>
      </c>
      <c r="AE122" s="87" t="s">
        <v>7</v>
      </c>
      <c r="AF122" s="87" t="str">
        <f t="shared" si="31"/>
        <v>NA</v>
      </c>
      <c r="AG122" s="87">
        <f t="shared" si="32"/>
        <v>0.3</v>
      </c>
      <c r="AH122" s="87">
        <f t="shared" si="33"/>
        <v>0.3</v>
      </c>
      <c r="AI122" s="153">
        <f t="shared" si="34"/>
        <v>-6.666666666666668E-2</v>
      </c>
      <c r="AJ122" s="2" t="str">
        <f t="shared" si="35"/>
        <v>NA</v>
      </c>
    </row>
    <row r="123" spans="1:36" ht="13.95" customHeight="1" x14ac:dyDescent="0.3">
      <c r="A123" s="211">
        <v>19</v>
      </c>
      <c r="B12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23" s="2" t="str">
        <f t="shared" si="28"/>
        <v>E19I1</v>
      </c>
      <c r="D123" t="str">
        <f t="shared" si="29"/>
        <v>E19</v>
      </c>
      <c r="E123" s="87" t="s">
        <v>421</v>
      </c>
      <c r="F123" s="157">
        <v>1</v>
      </c>
      <c r="G123" s="87" t="s">
        <v>308</v>
      </c>
      <c r="H123" s="87" t="s">
        <v>448</v>
      </c>
      <c r="I123" s="87" t="s">
        <v>4</v>
      </c>
      <c r="J123" s="87"/>
      <c r="K123" s="89" t="s">
        <v>292</v>
      </c>
      <c r="L123" s="87" t="s">
        <v>37</v>
      </c>
      <c r="M123" s="87"/>
      <c r="N123" s="87">
        <v>1</v>
      </c>
      <c r="O123" s="87" t="s">
        <v>454</v>
      </c>
      <c r="P123" s="87">
        <v>0</v>
      </c>
      <c r="Q123" s="87">
        <v>0</v>
      </c>
      <c r="R123" s="94">
        <v>0</v>
      </c>
      <c r="S123" s="89"/>
      <c r="T123" s="89"/>
      <c r="U123" s="87" t="s">
        <v>24</v>
      </c>
      <c r="V123" s="87" t="s">
        <v>293</v>
      </c>
      <c r="W123" s="87" t="s">
        <v>463</v>
      </c>
      <c r="X123" s="87"/>
      <c r="Y123" s="87">
        <v>2</v>
      </c>
      <c r="Z123" s="87">
        <v>1</v>
      </c>
      <c r="AA123" s="88">
        <f t="shared" si="30"/>
        <v>5000</v>
      </c>
      <c r="AB123" s="87" t="s">
        <v>313</v>
      </c>
      <c r="AC123" s="90" t="s">
        <v>422</v>
      </c>
      <c r="AD123" s="89">
        <v>0.9</v>
      </c>
      <c r="AE123" s="89">
        <v>1.9</v>
      </c>
      <c r="AF123" s="87">
        <f t="shared" si="31"/>
        <v>0.99999999999999989</v>
      </c>
      <c r="AG123" s="87">
        <f t="shared" si="32"/>
        <v>0.3</v>
      </c>
      <c r="AH123" s="87">
        <f t="shared" si="33"/>
        <v>0.3</v>
      </c>
      <c r="AI123" s="153">
        <f t="shared" si="34"/>
        <v>0</v>
      </c>
      <c r="AJ123" s="2">
        <f t="shared" si="35"/>
        <v>1.1499999999999999</v>
      </c>
    </row>
    <row r="124" spans="1:36" ht="13.95" customHeight="1" x14ac:dyDescent="0.3">
      <c r="A124" s="211">
        <v>19</v>
      </c>
      <c r="B12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24" s="2" t="str">
        <f t="shared" si="28"/>
        <v>E19I1</v>
      </c>
      <c r="D124" t="str">
        <f t="shared" si="29"/>
        <v>E19</v>
      </c>
      <c r="E124" s="87" t="s">
        <v>423</v>
      </c>
      <c r="F124" s="157">
        <v>2.2000000000000002</v>
      </c>
      <c r="G124" s="87" t="s">
        <v>304</v>
      </c>
      <c r="H124" s="87" t="s">
        <v>448</v>
      </c>
      <c r="I124" s="87" t="s">
        <v>4</v>
      </c>
      <c r="J124" s="87"/>
      <c r="K124" s="89" t="s">
        <v>292</v>
      </c>
      <c r="L124" s="87" t="s">
        <v>37</v>
      </c>
      <c r="M124" s="87"/>
      <c r="N124" s="87">
        <v>5</v>
      </c>
      <c r="O124" s="87" t="s">
        <v>454</v>
      </c>
      <c r="P124" s="87">
        <v>90</v>
      </c>
      <c r="Q124" s="87">
        <v>90</v>
      </c>
      <c r="R124" s="94">
        <f t="shared" ref="R124:R143" si="36">(100-(P124*100/Q124))/100</f>
        <v>0</v>
      </c>
      <c r="S124" s="89"/>
      <c r="T124" s="89"/>
      <c r="U124" s="87" t="s">
        <v>24</v>
      </c>
      <c r="V124" s="87" t="s">
        <v>460</v>
      </c>
      <c r="W124" s="87" t="s">
        <v>4</v>
      </c>
      <c r="X124" s="87"/>
      <c r="Y124" s="87">
        <v>2</v>
      </c>
      <c r="Z124" s="87">
        <v>1</v>
      </c>
      <c r="AA124" s="88">
        <f t="shared" si="30"/>
        <v>5000</v>
      </c>
      <c r="AB124" s="87" t="s">
        <v>313</v>
      </c>
      <c r="AC124" s="90" t="s">
        <v>422</v>
      </c>
      <c r="AD124" s="89">
        <v>0.9</v>
      </c>
      <c r="AE124" s="89">
        <v>1.9</v>
      </c>
      <c r="AF124" s="87">
        <f t="shared" si="31"/>
        <v>0.99999999999999989</v>
      </c>
      <c r="AG124" s="87">
        <f t="shared" si="32"/>
        <v>0.3</v>
      </c>
      <c r="AH124" s="87">
        <f t="shared" si="33"/>
        <v>0.3</v>
      </c>
      <c r="AI124" s="153">
        <f t="shared" si="34"/>
        <v>0</v>
      </c>
      <c r="AJ124" s="2">
        <f t="shared" si="35"/>
        <v>1.1499999999999999</v>
      </c>
    </row>
    <row r="125" spans="1:36" ht="13.95" customHeight="1" x14ac:dyDescent="0.3">
      <c r="A125" s="211">
        <v>19</v>
      </c>
      <c r="B12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25" s="2" t="str">
        <f t="shared" si="28"/>
        <v>E19I1</v>
      </c>
      <c r="D125" t="str">
        <f t="shared" si="29"/>
        <v>E19</v>
      </c>
      <c r="E125" s="87" t="s">
        <v>424</v>
      </c>
      <c r="F125" s="157">
        <v>1.48</v>
      </c>
      <c r="G125" s="87" t="s">
        <v>308</v>
      </c>
      <c r="H125" s="87" t="s">
        <v>448</v>
      </c>
      <c r="I125" s="87" t="s">
        <v>4</v>
      </c>
      <c r="J125" s="87"/>
      <c r="K125" s="89" t="s">
        <v>292</v>
      </c>
      <c r="L125" s="87" t="s">
        <v>37</v>
      </c>
      <c r="M125" s="87"/>
      <c r="N125" s="87">
        <v>4</v>
      </c>
      <c r="O125" s="87" t="s">
        <v>454</v>
      </c>
      <c r="P125" s="87">
        <v>90</v>
      </c>
      <c r="Q125" s="87">
        <v>90</v>
      </c>
      <c r="R125" s="94">
        <f t="shared" si="36"/>
        <v>0</v>
      </c>
      <c r="S125" s="89"/>
      <c r="T125" s="89"/>
      <c r="U125" s="87" t="s">
        <v>24</v>
      </c>
      <c r="V125" s="87" t="s">
        <v>460</v>
      </c>
      <c r="W125" s="87" t="s">
        <v>4</v>
      </c>
      <c r="X125" s="87"/>
      <c r="Y125" s="87">
        <v>2</v>
      </c>
      <c r="Z125" s="87">
        <v>1</v>
      </c>
      <c r="AA125" s="88">
        <f t="shared" si="30"/>
        <v>5000</v>
      </c>
      <c r="AB125" s="87" t="s">
        <v>313</v>
      </c>
      <c r="AC125" s="90" t="s">
        <v>422</v>
      </c>
      <c r="AD125" s="89">
        <v>0.9</v>
      </c>
      <c r="AE125" s="89">
        <v>1.9</v>
      </c>
      <c r="AF125" s="87">
        <f t="shared" si="31"/>
        <v>0.99999999999999989</v>
      </c>
      <c r="AG125" s="87">
        <f t="shared" si="32"/>
        <v>0.3</v>
      </c>
      <c r="AH125" s="87">
        <f t="shared" si="33"/>
        <v>0.3</v>
      </c>
      <c r="AI125" s="153">
        <f t="shared" si="34"/>
        <v>0</v>
      </c>
      <c r="AJ125" s="2">
        <f t="shared" si="35"/>
        <v>1.1499999999999999</v>
      </c>
    </row>
    <row r="126" spans="1:36" ht="13.95" customHeight="1" x14ac:dyDescent="0.3">
      <c r="A126" s="211">
        <v>19</v>
      </c>
      <c r="B12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26" s="2" t="str">
        <f t="shared" si="28"/>
        <v>E19I1</v>
      </c>
      <c r="D126" t="str">
        <f t="shared" si="29"/>
        <v>E19</v>
      </c>
      <c r="E126" s="87" t="s">
        <v>425</v>
      </c>
      <c r="F126" s="157">
        <v>2</v>
      </c>
      <c r="G126" s="87" t="s">
        <v>291</v>
      </c>
      <c r="H126" s="87" t="s">
        <v>448</v>
      </c>
      <c r="I126" s="87" t="s">
        <v>4</v>
      </c>
      <c r="J126" s="87"/>
      <c r="K126" s="89" t="s">
        <v>292</v>
      </c>
      <c r="L126" s="87" t="s">
        <v>37</v>
      </c>
      <c r="M126" s="87"/>
      <c r="N126" s="87">
        <v>18</v>
      </c>
      <c r="O126" s="87" t="s">
        <v>453</v>
      </c>
      <c r="P126" s="87">
        <v>90</v>
      </c>
      <c r="Q126" s="87">
        <v>90</v>
      </c>
      <c r="R126" s="94">
        <f t="shared" si="36"/>
        <v>0</v>
      </c>
      <c r="S126" s="89"/>
      <c r="T126" s="89"/>
      <c r="U126" s="87" t="s">
        <v>24</v>
      </c>
      <c r="V126" s="87" t="s">
        <v>460</v>
      </c>
      <c r="W126" s="87" t="s">
        <v>4</v>
      </c>
      <c r="X126" s="87"/>
      <c r="Y126" s="87">
        <v>2</v>
      </c>
      <c r="Z126" s="87">
        <v>1.1000000000000001</v>
      </c>
      <c r="AA126" s="88">
        <f t="shared" si="30"/>
        <v>4545.454545454545</v>
      </c>
      <c r="AB126" s="87" t="s">
        <v>313</v>
      </c>
      <c r="AC126" s="90" t="s">
        <v>422</v>
      </c>
      <c r="AD126" s="89">
        <v>0.9</v>
      </c>
      <c r="AE126" s="89">
        <v>1.9</v>
      </c>
      <c r="AF126" s="87">
        <f t="shared" si="31"/>
        <v>0.99999999999999989</v>
      </c>
      <c r="AG126" s="87">
        <f t="shared" si="32"/>
        <v>0.3</v>
      </c>
      <c r="AH126" s="87">
        <f t="shared" si="33"/>
        <v>0.3</v>
      </c>
      <c r="AI126" s="153">
        <f t="shared" si="34"/>
        <v>0</v>
      </c>
      <c r="AJ126" s="2">
        <f t="shared" si="35"/>
        <v>1.1499999999999999</v>
      </c>
    </row>
    <row r="127" spans="1:36" ht="13.95" customHeight="1" x14ac:dyDescent="0.3">
      <c r="A127" s="211">
        <v>19</v>
      </c>
      <c r="B12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27" s="2" t="str">
        <f t="shared" si="28"/>
        <v>E19I1</v>
      </c>
      <c r="D127" t="str">
        <f t="shared" si="29"/>
        <v>E19</v>
      </c>
      <c r="E127" s="87" t="s">
        <v>426</v>
      </c>
      <c r="F127" s="157">
        <v>0.5</v>
      </c>
      <c r="G127" s="87" t="s">
        <v>291</v>
      </c>
      <c r="H127" s="87" t="s">
        <v>448</v>
      </c>
      <c r="I127" s="87" t="s">
        <v>4</v>
      </c>
      <c r="J127" s="87"/>
      <c r="K127" s="89" t="s">
        <v>292</v>
      </c>
      <c r="L127" s="87" t="s">
        <v>37</v>
      </c>
      <c r="M127" s="87"/>
      <c r="N127" s="87">
        <v>16</v>
      </c>
      <c r="O127" s="87" t="s">
        <v>453</v>
      </c>
      <c r="P127" s="87">
        <v>90</v>
      </c>
      <c r="Q127" s="87">
        <v>90</v>
      </c>
      <c r="R127" s="94">
        <f t="shared" si="36"/>
        <v>0</v>
      </c>
      <c r="S127" s="89"/>
      <c r="T127" s="89"/>
      <c r="U127" s="87" t="s">
        <v>24</v>
      </c>
      <c r="V127" s="87" t="s">
        <v>460</v>
      </c>
      <c r="W127" s="87" t="s">
        <v>4</v>
      </c>
      <c r="X127" s="87"/>
      <c r="Y127" s="87">
        <v>2</v>
      </c>
      <c r="Z127" s="87">
        <v>1.2</v>
      </c>
      <c r="AA127" s="88">
        <f t="shared" si="30"/>
        <v>4166.666666666667</v>
      </c>
      <c r="AB127" s="87" t="s">
        <v>313</v>
      </c>
      <c r="AC127" s="90" t="s">
        <v>422</v>
      </c>
      <c r="AD127" s="89">
        <v>0.9</v>
      </c>
      <c r="AE127" s="89">
        <v>1.9</v>
      </c>
      <c r="AF127" s="87">
        <f t="shared" si="31"/>
        <v>0.99999999999999989</v>
      </c>
      <c r="AG127" s="87">
        <f t="shared" si="32"/>
        <v>0.3</v>
      </c>
      <c r="AH127" s="87">
        <f t="shared" si="33"/>
        <v>0.3</v>
      </c>
      <c r="AI127" s="153">
        <f t="shared" si="34"/>
        <v>0</v>
      </c>
      <c r="AJ127" s="2">
        <f t="shared" si="35"/>
        <v>1.1499999999999999</v>
      </c>
    </row>
    <row r="128" spans="1:36" ht="13.95" customHeight="1" x14ac:dyDescent="0.3">
      <c r="A128" s="211">
        <v>19</v>
      </c>
      <c r="B12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28" s="2" t="str">
        <f t="shared" si="28"/>
        <v>E19I1</v>
      </c>
      <c r="D128" t="str">
        <f t="shared" si="29"/>
        <v>E19</v>
      </c>
      <c r="E128" s="87" t="s">
        <v>427</v>
      </c>
      <c r="F128" s="157">
        <v>0.6</v>
      </c>
      <c r="G128" s="87" t="s">
        <v>439</v>
      </c>
      <c r="H128" s="87" t="s">
        <v>448</v>
      </c>
      <c r="I128" s="87" t="s">
        <v>4</v>
      </c>
      <c r="J128" s="87"/>
      <c r="K128" s="89" t="s">
        <v>292</v>
      </c>
      <c r="L128" s="87" t="s">
        <v>37</v>
      </c>
      <c r="M128" s="87"/>
      <c r="N128" s="87">
        <v>30</v>
      </c>
      <c r="O128" s="87" t="s">
        <v>453</v>
      </c>
      <c r="P128" s="87">
        <v>90</v>
      </c>
      <c r="Q128" s="87">
        <v>90</v>
      </c>
      <c r="R128" s="94">
        <f t="shared" si="36"/>
        <v>0</v>
      </c>
      <c r="S128" s="89"/>
      <c r="T128" s="89"/>
      <c r="U128" s="87" t="s">
        <v>24</v>
      </c>
      <c r="V128" s="87" t="s">
        <v>460</v>
      </c>
      <c r="W128" s="87" t="s">
        <v>4</v>
      </c>
      <c r="X128" s="87"/>
      <c r="Y128" s="87">
        <v>2</v>
      </c>
      <c r="Z128" s="87">
        <v>1.2</v>
      </c>
      <c r="AA128" s="88">
        <f t="shared" si="30"/>
        <v>4166.666666666667</v>
      </c>
      <c r="AB128" s="87" t="s">
        <v>313</v>
      </c>
      <c r="AC128" s="90" t="s">
        <v>422</v>
      </c>
      <c r="AD128" s="89">
        <v>0.9</v>
      </c>
      <c r="AE128" s="89">
        <v>1.9</v>
      </c>
      <c r="AF128" s="87">
        <f t="shared" si="31"/>
        <v>0.99999999999999989</v>
      </c>
      <c r="AG128" s="87">
        <f t="shared" si="32"/>
        <v>0.3</v>
      </c>
      <c r="AH128" s="87">
        <f t="shared" si="33"/>
        <v>0.3</v>
      </c>
      <c r="AI128" s="153">
        <f t="shared" si="34"/>
        <v>0</v>
      </c>
      <c r="AJ128" s="2">
        <f t="shared" si="35"/>
        <v>1.1499999999999999</v>
      </c>
    </row>
    <row r="129" spans="1:36" ht="13.95" customHeight="1" x14ac:dyDescent="0.3">
      <c r="A129" s="211">
        <v>19</v>
      </c>
      <c r="B12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29" s="2" t="str">
        <f t="shared" si="28"/>
        <v>E19I1</v>
      </c>
      <c r="D129" t="str">
        <f t="shared" si="29"/>
        <v>E19</v>
      </c>
      <c r="E129" s="87" t="s">
        <v>428</v>
      </c>
      <c r="F129" s="157">
        <v>0.4</v>
      </c>
      <c r="G129" s="87" t="s">
        <v>304</v>
      </c>
      <c r="H129" s="87" t="s">
        <v>448</v>
      </c>
      <c r="I129" s="87" t="s">
        <v>4</v>
      </c>
      <c r="J129" s="87"/>
      <c r="K129" s="89" t="s">
        <v>292</v>
      </c>
      <c r="L129" s="87" t="s">
        <v>37</v>
      </c>
      <c r="M129" s="87"/>
      <c r="N129" s="87">
        <v>22</v>
      </c>
      <c r="O129" s="87" t="s">
        <v>453</v>
      </c>
      <c r="P129" s="87">
        <v>90</v>
      </c>
      <c r="Q129" s="87">
        <v>90</v>
      </c>
      <c r="R129" s="94">
        <f t="shared" si="36"/>
        <v>0</v>
      </c>
      <c r="S129" s="89"/>
      <c r="T129" s="89"/>
      <c r="U129" s="87" t="s">
        <v>24</v>
      </c>
      <c r="V129" s="87" t="s">
        <v>460</v>
      </c>
      <c r="W129" s="87" t="s">
        <v>4</v>
      </c>
      <c r="X129" s="87"/>
      <c r="Y129" s="87">
        <v>2</v>
      </c>
      <c r="Z129" s="87">
        <v>1.2</v>
      </c>
      <c r="AA129" s="88">
        <f t="shared" si="30"/>
        <v>4166.666666666667</v>
      </c>
      <c r="AB129" s="87" t="s">
        <v>313</v>
      </c>
      <c r="AC129" s="90" t="s">
        <v>422</v>
      </c>
      <c r="AD129" s="89">
        <v>0.9</v>
      </c>
      <c r="AE129" s="89">
        <v>1.9</v>
      </c>
      <c r="AF129" s="87">
        <f t="shared" si="31"/>
        <v>0.99999999999999989</v>
      </c>
      <c r="AG129" s="87">
        <f t="shared" si="32"/>
        <v>0.3</v>
      </c>
      <c r="AH129" s="87">
        <f t="shared" si="33"/>
        <v>0.3</v>
      </c>
      <c r="AI129" s="153">
        <f t="shared" si="34"/>
        <v>0</v>
      </c>
      <c r="AJ129" s="2">
        <f t="shared" si="35"/>
        <v>1.1499999999999999</v>
      </c>
    </row>
    <row r="130" spans="1:36" ht="13.95" customHeight="1" x14ac:dyDescent="0.3">
      <c r="A130" s="211">
        <v>19</v>
      </c>
      <c r="B13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30" s="2" t="str">
        <f t="shared" ref="C130:C161" si="37">LEFT(E130,LEN(E130)-2)</f>
        <v>E19I2</v>
      </c>
      <c r="D130" t="str">
        <f t="shared" ref="D130:D161" si="38">LEFT(E130,LEN(E130)-4)</f>
        <v>E19</v>
      </c>
      <c r="E130" s="87" t="s">
        <v>429</v>
      </c>
      <c r="F130" s="157">
        <v>1.68</v>
      </c>
      <c r="G130" s="87" t="s">
        <v>308</v>
      </c>
      <c r="H130" s="87" t="s">
        <v>448</v>
      </c>
      <c r="I130" s="87" t="s">
        <v>4</v>
      </c>
      <c r="J130" s="87"/>
      <c r="K130" s="89" t="s">
        <v>292</v>
      </c>
      <c r="L130" s="87" t="s">
        <v>37</v>
      </c>
      <c r="M130" s="87"/>
      <c r="N130" s="87">
        <v>20</v>
      </c>
      <c r="O130" s="87" t="s">
        <v>453</v>
      </c>
      <c r="P130" s="87">
        <v>90</v>
      </c>
      <c r="Q130" s="87">
        <v>90</v>
      </c>
      <c r="R130" s="94">
        <f t="shared" si="36"/>
        <v>0</v>
      </c>
      <c r="S130" s="89"/>
      <c r="T130" s="89"/>
      <c r="U130" s="87" t="s">
        <v>24</v>
      </c>
      <c r="V130" s="87" t="s">
        <v>460</v>
      </c>
      <c r="W130" s="87" t="s">
        <v>4</v>
      </c>
      <c r="X130" s="87"/>
      <c r="Y130" s="87">
        <v>2</v>
      </c>
      <c r="Z130" s="87">
        <v>1.25</v>
      </c>
      <c r="AA130" s="88">
        <f t="shared" ref="AA130:AA161" si="39">(F130*10000)/(Y130*Z130)/F130</f>
        <v>4000</v>
      </c>
      <c r="AB130" s="87" t="s">
        <v>313</v>
      </c>
      <c r="AC130" s="90" t="s">
        <v>422</v>
      </c>
      <c r="AD130" s="89">
        <v>0.9</v>
      </c>
      <c r="AE130" s="89">
        <v>1.9</v>
      </c>
      <c r="AF130" s="87">
        <f t="shared" ref="AF130:AF161" si="40">IF(AE130="NA","NA",AE130-AD130)</f>
        <v>0.99999999999999989</v>
      </c>
      <c r="AG130" s="87">
        <f t="shared" ref="AG130:AG161" si="41">IF(OR(V130="CDR",V130="GS"),0.3*(Y130/2),IF(V130="TRP",0.3*(Y130/2),IF(V130="GOB",0.45,IF(V130="non",0.55,"NA"))))</f>
        <v>0.3</v>
      </c>
      <c r="AH130" s="87">
        <f t="shared" ref="AH130:AH161" si="42">IF(AG130&gt;0.4,AG130-(0.1*AG130*(AG130-0.4)/0.05),AG130)</f>
        <v>0.3</v>
      </c>
      <c r="AI130" s="153">
        <f t="shared" ref="AI130:AI161" si="43">R130/5</f>
        <v>0</v>
      </c>
      <c r="AJ130" s="2">
        <f t="shared" ref="AJ130:AJ161" si="44">IF(AF130="NA","NA",(2*AF130+AH130)*(1-AI130)/Y130)</f>
        <v>1.1499999999999999</v>
      </c>
    </row>
    <row r="131" spans="1:36" ht="13.95" customHeight="1" x14ac:dyDescent="0.3">
      <c r="A131" s="211">
        <v>20</v>
      </c>
      <c r="B13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31" s="2" t="str">
        <f t="shared" si="37"/>
        <v>E20I1</v>
      </c>
      <c r="D131" t="str">
        <f t="shared" si="38"/>
        <v>E20</v>
      </c>
      <c r="E131" s="87" t="s">
        <v>419</v>
      </c>
      <c r="F131" s="157">
        <v>0.4</v>
      </c>
      <c r="G131" s="87" t="s">
        <v>420</v>
      </c>
      <c r="H131" s="89" t="s">
        <v>446</v>
      </c>
      <c r="I131" s="89"/>
      <c r="J131" s="89"/>
      <c r="K131" s="89" t="s">
        <v>345</v>
      </c>
      <c r="L131" s="89" t="s">
        <v>446</v>
      </c>
      <c r="M131" s="89"/>
      <c r="N131" s="87">
        <v>30</v>
      </c>
      <c r="O131" s="87" t="s">
        <v>453</v>
      </c>
      <c r="P131" s="87">
        <v>25</v>
      </c>
      <c r="Q131" s="87">
        <v>40</v>
      </c>
      <c r="R131" s="94">
        <f t="shared" si="36"/>
        <v>0.375</v>
      </c>
      <c r="S131" s="89" t="s">
        <v>37</v>
      </c>
      <c r="T131" s="89"/>
      <c r="U131" s="87" t="s">
        <v>24</v>
      </c>
      <c r="V131" s="87" t="s">
        <v>461</v>
      </c>
      <c r="W131" s="87" t="s">
        <v>446</v>
      </c>
      <c r="X131" s="87"/>
      <c r="Y131" s="87">
        <v>2</v>
      </c>
      <c r="Z131" s="87">
        <v>1</v>
      </c>
      <c r="AA131" s="88">
        <f t="shared" si="39"/>
        <v>5000</v>
      </c>
      <c r="AB131" s="87" t="s">
        <v>329</v>
      </c>
      <c r="AC131" s="90" t="s">
        <v>7</v>
      </c>
      <c r="AD131" s="89" t="s">
        <v>7</v>
      </c>
      <c r="AE131" s="87" t="s">
        <v>7</v>
      </c>
      <c r="AF131" s="87" t="str">
        <f t="shared" si="40"/>
        <v>NA</v>
      </c>
      <c r="AG131" s="87">
        <f t="shared" si="41"/>
        <v>0.45</v>
      </c>
      <c r="AH131" s="87">
        <f t="shared" si="42"/>
        <v>0.40500000000000003</v>
      </c>
      <c r="AI131" s="153">
        <f t="shared" si="43"/>
        <v>7.4999999999999997E-2</v>
      </c>
      <c r="AJ131" s="2" t="str">
        <f t="shared" si="44"/>
        <v>NA</v>
      </c>
    </row>
    <row r="132" spans="1:36" ht="13.95" customHeight="1" x14ac:dyDescent="0.3">
      <c r="A132" s="211">
        <v>21</v>
      </c>
      <c r="B13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32" s="2" t="str">
        <f t="shared" si="37"/>
        <v>E21I1</v>
      </c>
      <c r="D132" t="str">
        <f t="shared" si="38"/>
        <v>E21</v>
      </c>
      <c r="E132" s="87" t="s">
        <v>407</v>
      </c>
      <c r="F132" s="157">
        <v>1</v>
      </c>
      <c r="G132" s="87" t="s">
        <v>442</v>
      </c>
      <c r="H132" s="87" t="s">
        <v>509</v>
      </c>
      <c r="I132" s="87" t="s">
        <v>444</v>
      </c>
      <c r="J132" s="87"/>
      <c r="K132" s="87" t="s">
        <v>292</v>
      </c>
      <c r="L132" s="89" t="s">
        <v>172</v>
      </c>
      <c r="M132" s="89"/>
      <c r="N132" s="87">
        <v>11</v>
      </c>
      <c r="O132" s="87" t="s">
        <v>453</v>
      </c>
      <c r="P132" s="87">
        <v>120</v>
      </c>
      <c r="Q132" s="87">
        <v>120</v>
      </c>
      <c r="R132" s="94">
        <f t="shared" si="36"/>
        <v>0</v>
      </c>
      <c r="S132" s="89"/>
      <c r="T132" s="89"/>
      <c r="U132" s="87" t="s">
        <v>9</v>
      </c>
      <c r="V132" s="87" t="s">
        <v>293</v>
      </c>
      <c r="W132" s="87" t="s">
        <v>463</v>
      </c>
      <c r="X132" s="87"/>
      <c r="Y132" s="87">
        <v>2</v>
      </c>
      <c r="Z132" s="87">
        <v>0.8</v>
      </c>
      <c r="AA132" s="88">
        <f t="shared" si="39"/>
        <v>6250</v>
      </c>
      <c r="AB132" s="87" t="s">
        <v>313</v>
      </c>
      <c r="AC132" s="90" t="s">
        <v>301</v>
      </c>
      <c r="AD132" s="89">
        <v>0.75</v>
      </c>
      <c r="AE132" s="89">
        <v>1.65</v>
      </c>
      <c r="AF132" s="87">
        <f t="shared" si="40"/>
        <v>0.89999999999999991</v>
      </c>
      <c r="AG132" s="87">
        <f t="shared" si="41"/>
        <v>0.3</v>
      </c>
      <c r="AH132" s="87">
        <f t="shared" si="42"/>
        <v>0.3</v>
      </c>
      <c r="AI132" s="153">
        <f t="shared" si="43"/>
        <v>0</v>
      </c>
      <c r="AJ132" s="2">
        <f t="shared" si="44"/>
        <v>1.0499999999999998</v>
      </c>
    </row>
    <row r="133" spans="1:36" ht="13.95" customHeight="1" x14ac:dyDescent="0.3">
      <c r="A133" s="211">
        <v>21</v>
      </c>
      <c r="B13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33" s="2" t="str">
        <f t="shared" si="37"/>
        <v>E21I1</v>
      </c>
      <c r="D133" t="str">
        <f t="shared" si="38"/>
        <v>E21</v>
      </c>
      <c r="E133" s="87" t="s">
        <v>408</v>
      </c>
      <c r="F133" s="157">
        <v>0.6</v>
      </c>
      <c r="G133" s="87" t="s">
        <v>308</v>
      </c>
      <c r="H133" s="87" t="s">
        <v>509</v>
      </c>
      <c r="I133" s="87" t="s">
        <v>444</v>
      </c>
      <c r="J133" s="87"/>
      <c r="K133" s="87" t="s">
        <v>292</v>
      </c>
      <c r="L133" s="89" t="s">
        <v>172</v>
      </c>
      <c r="M133" s="89"/>
      <c r="N133" s="87">
        <v>21</v>
      </c>
      <c r="O133" s="87" t="s">
        <v>454</v>
      </c>
      <c r="P133" s="87">
        <v>100</v>
      </c>
      <c r="Q133" s="87">
        <v>120</v>
      </c>
      <c r="R133" s="94">
        <f t="shared" si="36"/>
        <v>0.16666666666666671</v>
      </c>
      <c r="S133" s="89" t="s">
        <v>37</v>
      </c>
      <c r="T133" s="89"/>
      <c r="U133" s="87" t="s">
        <v>24</v>
      </c>
      <c r="V133" s="87" t="s">
        <v>460</v>
      </c>
      <c r="W133" s="87" t="s">
        <v>4</v>
      </c>
      <c r="X133" s="87"/>
      <c r="Y133" s="87">
        <v>2</v>
      </c>
      <c r="Z133" s="87">
        <v>1.1000000000000001</v>
      </c>
      <c r="AA133" s="88">
        <f t="shared" si="39"/>
        <v>4545.454545454545</v>
      </c>
      <c r="AB133" s="87" t="s">
        <v>313</v>
      </c>
      <c r="AC133" s="90" t="s">
        <v>314</v>
      </c>
      <c r="AD133" s="89">
        <v>0.75</v>
      </c>
      <c r="AE133" s="89">
        <v>1.65</v>
      </c>
      <c r="AF133" s="87">
        <f t="shared" si="40"/>
        <v>0.89999999999999991</v>
      </c>
      <c r="AG133" s="87">
        <f t="shared" si="41"/>
        <v>0.3</v>
      </c>
      <c r="AH133" s="87">
        <f t="shared" si="42"/>
        <v>0.3</v>
      </c>
      <c r="AI133" s="153">
        <f t="shared" si="43"/>
        <v>3.333333333333334E-2</v>
      </c>
      <c r="AJ133" s="2">
        <f t="shared" si="44"/>
        <v>1.0149999999999999</v>
      </c>
    </row>
    <row r="134" spans="1:36" ht="13.95" customHeight="1" x14ac:dyDescent="0.3">
      <c r="A134" s="211">
        <v>21</v>
      </c>
      <c r="B13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34" s="2" t="str">
        <f t="shared" si="37"/>
        <v>E21I1</v>
      </c>
      <c r="D134" t="str">
        <f t="shared" si="38"/>
        <v>E21</v>
      </c>
      <c r="E134" s="87" t="s">
        <v>409</v>
      </c>
      <c r="F134" s="157">
        <v>2.5</v>
      </c>
      <c r="G134" s="87" t="s">
        <v>308</v>
      </c>
      <c r="H134" s="87" t="s">
        <v>509</v>
      </c>
      <c r="I134" s="87" t="s">
        <v>444</v>
      </c>
      <c r="J134" s="87"/>
      <c r="K134" s="87" t="s">
        <v>292</v>
      </c>
      <c r="L134" s="89" t="s">
        <v>172</v>
      </c>
      <c r="M134" s="89"/>
      <c r="N134" s="87">
        <v>21</v>
      </c>
      <c r="O134" s="87" t="s">
        <v>454</v>
      </c>
      <c r="P134" s="87">
        <v>120</v>
      </c>
      <c r="Q134" s="87">
        <v>120</v>
      </c>
      <c r="R134" s="94">
        <f t="shared" si="36"/>
        <v>0</v>
      </c>
      <c r="S134" s="89"/>
      <c r="T134" s="89"/>
      <c r="U134" s="87" t="s">
        <v>9</v>
      </c>
      <c r="V134" s="87" t="s">
        <v>293</v>
      </c>
      <c r="W134" s="87" t="s">
        <v>463</v>
      </c>
      <c r="X134" s="87"/>
      <c r="Y134" s="87">
        <v>2</v>
      </c>
      <c r="Z134" s="87">
        <v>1.2</v>
      </c>
      <c r="AA134" s="88">
        <f t="shared" si="39"/>
        <v>4166.666666666667</v>
      </c>
      <c r="AB134" s="87" t="s">
        <v>313</v>
      </c>
      <c r="AC134" s="90" t="s">
        <v>314</v>
      </c>
      <c r="AD134" s="89">
        <v>0.75</v>
      </c>
      <c r="AE134" s="89">
        <v>1.65</v>
      </c>
      <c r="AF134" s="87">
        <f t="shared" si="40"/>
        <v>0.89999999999999991</v>
      </c>
      <c r="AG134" s="87">
        <f t="shared" si="41"/>
        <v>0.3</v>
      </c>
      <c r="AH134" s="87">
        <f t="shared" si="42"/>
        <v>0.3</v>
      </c>
      <c r="AI134" s="153">
        <f t="shared" si="43"/>
        <v>0</v>
      </c>
      <c r="AJ134" s="2">
        <f t="shared" si="44"/>
        <v>1.0499999999999998</v>
      </c>
    </row>
    <row r="135" spans="1:36" ht="13.95" customHeight="1" x14ac:dyDescent="0.3">
      <c r="A135" s="211">
        <v>21</v>
      </c>
      <c r="B13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35" s="2" t="str">
        <f t="shared" si="37"/>
        <v>E21I1</v>
      </c>
      <c r="D135" t="str">
        <f t="shared" si="38"/>
        <v>E21</v>
      </c>
      <c r="E135" s="87" t="s">
        <v>410</v>
      </c>
      <c r="F135" s="157">
        <v>1.2</v>
      </c>
      <c r="G135" s="87" t="s">
        <v>440</v>
      </c>
      <c r="H135" s="87" t="s">
        <v>509</v>
      </c>
      <c r="I135" s="87" t="s">
        <v>444</v>
      </c>
      <c r="J135" s="87"/>
      <c r="K135" s="87" t="s">
        <v>292</v>
      </c>
      <c r="L135" s="89" t="s">
        <v>172</v>
      </c>
      <c r="M135" s="89"/>
      <c r="N135" s="87">
        <v>21</v>
      </c>
      <c r="O135" s="87" t="s">
        <v>454</v>
      </c>
      <c r="P135" s="87">
        <v>120</v>
      </c>
      <c r="Q135" s="87">
        <v>120</v>
      </c>
      <c r="R135" s="94">
        <f t="shared" si="36"/>
        <v>0</v>
      </c>
      <c r="S135" s="89"/>
      <c r="T135" s="89"/>
      <c r="U135" s="87" t="s">
        <v>9</v>
      </c>
      <c r="V135" s="87" t="s">
        <v>293</v>
      </c>
      <c r="W135" s="87" t="s">
        <v>463</v>
      </c>
      <c r="X135" s="87"/>
      <c r="Y135" s="87">
        <v>2</v>
      </c>
      <c r="Z135" s="87">
        <v>0.8</v>
      </c>
      <c r="AA135" s="88">
        <f t="shared" si="39"/>
        <v>6250</v>
      </c>
      <c r="AB135" s="87" t="s">
        <v>313</v>
      </c>
      <c r="AC135" s="90" t="s">
        <v>314</v>
      </c>
      <c r="AD135" s="89">
        <v>0.75</v>
      </c>
      <c r="AE135" s="89">
        <v>1.65</v>
      </c>
      <c r="AF135" s="87">
        <f t="shared" si="40"/>
        <v>0.89999999999999991</v>
      </c>
      <c r="AG135" s="87">
        <f t="shared" si="41"/>
        <v>0.3</v>
      </c>
      <c r="AH135" s="87">
        <f t="shared" si="42"/>
        <v>0.3</v>
      </c>
      <c r="AI135" s="153">
        <f t="shared" si="43"/>
        <v>0</v>
      </c>
      <c r="AJ135" s="2">
        <f t="shared" si="44"/>
        <v>1.0499999999999998</v>
      </c>
    </row>
    <row r="136" spans="1:36" ht="13.95" customHeight="1" x14ac:dyDescent="0.3">
      <c r="A136" s="211">
        <v>21</v>
      </c>
      <c r="B13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36" s="2" t="str">
        <f t="shared" si="37"/>
        <v>E21I1</v>
      </c>
      <c r="D136" t="str">
        <f t="shared" si="38"/>
        <v>E21</v>
      </c>
      <c r="E136" s="87" t="s">
        <v>411</v>
      </c>
      <c r="F136" s="157">
        <v>0.8</v>
      </c>
      <c r="G136" s="87" t="s">
        <v>304</v>
      </c>
      <c r="H136" s="87" t="s">
        <v>509</v>
      </c>
      <c r="I136" s="87" t="s">
        <v>444</v>
      </c>
      <c r="J136" s="87"/>
      <c r="K136" s="87" t="s">
        <v>292</v>
      </c>
      <c r="L136" s="89" t="s">
        <v>172</v>
      </c>
      <c r="M136" s="89"/>
      <c r="N136" s="87">
        <v>6</v>
      </c>
      <c r="O136" s="87" t="s">
        <v>454</v>
      </c>
      <c r="P136" s="87">
        <v>120</v>
      </c>
      <c r="Q136" s="87">
        <v>120</v>
      </c>
      <c r="R136" s="94">
        <f t="shared" si="36"/>
        <v>0</v>
      </c>
      <c r="S136" s="89"/>
      <c r="T136" s="89"/>
      <c r="U136" s="87" t="s">
        <v>9</v>
      </c>
      <c r="V136" s="87" t="s">
        <v>293</v>
      </c>
      <c r="W136" s="87" t="s">
        <v>463</v>
      </c>
      <c r="X136" s="87"/>
      <c r="Y136" s="87">
        <v>2</v>
      </c>
      <c r="Z136" s="87">
        <v>0.8</v>
      </c>
      <c r="AA136" s="88">
        <f t="shared" si="39"/>
        <v>6250</v>
      </c>
      <c r="AB136" s="87" t="s">
        <v>313</v>
      </c>
      <c r="AC136" s="90" t="s">
        <v>314</v>
      </c>
      <c r="AD136" s="89">
        <v>0.75</v>
      </c>
      <c r="AE136" s="89">
        <v>1.65</v>
      </c>
      <c r="AF136" s="87">
        <f t="shared" si="40"/>
        <v>0.89999999999999991</v>
      </c>
      <c r="AG136" s="87">
        <f t="shared" si="41"/>
        <v>0.3</v>
      </c>
      <c r="AH136" s="87">
        <f t="shared" si="42"/>
        <v>0.3</v>
      </c>
      <c r="AI136" s="153">
        <f t="shared" si="43"/>
        <v>0</v>
      </c>
      <c r="AJ136" s="2">
        <f t="shared" si="44"/>
        <v>1.0499999999999998</v>
      </c>
    </row>
    <row r="137" spans="1:36" ht="13.95" customHeight="1" x14ac:dyDescent="0.3">
      <c r="A137" s="211">
        <v>21</v>
      </c>
      <c r="B13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37" s="2" t="str">
        <f t="shared" si="37"/>
        <v>E21I2</v>
      </c>
      <c r="D137" t="str">
        <f t="shared" si="38"/>
        <v>E21</v>
      </c>
      <c r="E137" s="87" t="s">
        <v>412</v>
      </c>
      <c r="F137" s="157">
        <v>1.2</v>
      </c>
      <c r="G137" s="87" t="s">
        <v>304</v>
      </c>
      <c r="H137" s="89" t="s">
        <v>7</v>
      </c>
      <c r="I137" s="89"/>
      <c r="J137" s="89"/>
      <c r="K137" s="87" t="s">
        <v>292</v>
      </c>
      <c r="L137" s="89" t="s">
        <v>172</v>
      </c>
      <c r="M137" s="89"/>
      <c r="N137" s="87">
        <v>8</v>
      </c>
      <c r="O137" s="87" t="s">
        <v>453</v>
      </c>
      <c r="P137" s="87">
        <v>120</v>
      </c>
      <c r="Q137" s="87">
        <v>120</v>
      </c>
      <c r="R137" s="94">
        <f t="shared" si="36"/>
        <v>0</v>
      </c>
      <c r="S137" s="89"/>
      <c r="T137" s="89"/>
      <c r="U137" s="87" t="s">
        <v>9</v>
      </c>
      <c r="V137" s="87" t="s">
        <v>293</v>
      </c>
      <c r="W137" s="87" t="s">
        <v>463</v>
      </c>
      <c r="X137" s="87"/>
      <c r="Y137" s="87">
        <v>2</v>
      </c>
      <c r="Z137" s="87">
        <v>0.8</v>
      </c>
      <c r="AA137" s="88">
        <f t="shared" si="39"/>
        <v>6250</v>
      </c>
      <c r="AB137" s="87" t="s">
        <v>313</v>
      </c>
      <c r="AC137" s="90" t="s">
        <v>301</v>
      </c>
      <c r="AD137" s="89">
        <v>0.75</v>
      </c>
      <c r="AE137" s="89">
        <v>1.65</v>
      </c>
      <c r="AF137" s="87">
        <f t="shared" si="40"/>
        <v>0.89999999999999991</v>
      </c>
      <c r="AG137" s="87">
        <f t="shared" si="41"/>
        <v>0.3</v>
      </c>
      <c r="AH137" s="87">
        <f t="shared" si="42"/>
        <v>0.3</v>
      </c>
      <c r="AI137" s="153">
        <f t="shared" si="43"/>
        <v>0</v>
      </c>
      <c r="AJ137" s="2">
        <f t="shared" si="44"/>
        <v>1.0499999999999998</v>
      </c>
    </row>
    <row r="138" spans="1:36" ht="13.95" customHeight="1" x14ac:dyDescent="0.3">
      <c r="A138" s="211">
        <v>21</v>
      </c>
      <c r="B13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38" s="2" t="str">
        <f t="shared" si="37"/>
        <v>E21I2</v>
      </c>
      <c r="D138" t="str">
        <f t="shared" si="38"/>
        <v>E21</v>
      </c>
      <c r="E138" s="87" t="s">
        <v>413</v>
      </c>
      <c r="F138" s="157">
        <v>1.3</v>
      </c>
      <c r="G138" s="87" t="s">
        <v>414</v>
      </c>
      <c r="H138" s="89" t="s">
        <v>7</v>
      </c>
      <c r="I138" s="89"/>
      <c r="J138" s="89"/>
      <c r="K138" s="87" t="s">
        <v>292</v>
      </c>
      <c r="L138" s="89" t="s">
        <v>172</v>
      </c>
      <c r="M138" s="89"/>
      <c r="N138" s="87">
        <v>30</v>
      </c>
      <c r="O138" s="87" t="s">
        <v>453</v>
      </c>
      <c r="P138" s="87">
        <v>120</v>
      </c>
      <c r="Q138" s="87">
        <v>120</v>
      </c>
      <c r="R138" s="94">
        <f t="shared" si="36"/>
        <v>0</v>
      </c>
      <c r="S138" s="89"/>
      <c r="T138" s="89"/>
      <c r="U138" s="87" t="s">
        <v>9</v>
      </c>
      <c r="V138" s="87" t="s">
        <v>293</v>
      </c>
      <c r="W138" s="87" t="s">
        <v>463</v>
      </c>
      <c r="X138" s="87"/>
      <c r="Y138" s="87">
        <v>2.2000000000000002</v>
      </c>
      <c r="Z138" s="87">
        <v>1.3</v>
      </c>
      <c r="AA138" s="88">
        <f t="shared" si="39"/>
        <v>3496.5034965034961</v>
      </c>
      <c r="AB138" s="87" t="s">
        <v>313</v>
      </c>
      <c r="AC138" s="90" t="s">
        <v>301</v>
      </c>
      <c r="AD138" s="89">
        <v>0.75</v>
      </c>
      <c r="AE138" s="89">
        <v>1.65</v>
      </c>
      <c r="AF138" s="87">
        <f t="shared" si="40"/>
        <v>0.89999999999999991</v>
      </c>
      <c r="AG138" s="87">
        <f t="shared" si="41"/>
        <v>0.33</v>
      </c>
      <c r="AH138" s="87">
        <f t="shared" si="42"/>
        <v>0.33</v>
      </c>
      <c r="AI138" s="153">
        <f t="shared" si="43"/>
        <v>0</v>
      </c>
      <c r="AJ138" s="2">
        <f t="shared" si="44"/>
        <v>0.96818181818181803</v>
      </c>
    </row>
    <row r="139" spans="1:36" ht="13.95" customHeight="1" x14ac:dyDescent="0.3">
      <c r="A139" s="211">
        <v>21</v>
      </c>
      <c r="B13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39" s="2" t="str">
        <f t="shared" si="37"/>
        <v>E21I3</v>
      </c>
      <c r="D139" t="str">
        <f t="shared" si="38"/>
        <v>E21</v>
      </c>
      <c r="E139" s="87" t="s">
        <v>415</v>
      </c>
      <c r="F139" s="157">
        <v>0.9</v>
      </c>
      <c r="G139" s="87" t="s">
        <v>291</v>
      </c>
      <c r="H139" s="89" t="s">
        <v>7</v>
      </c>
      <c r="I139" s="89"/>
      <c r="J139" s="89"/>
      <c r="K139" s="87" t="s">
        <v>292</v>
      </c>
      <c r="L139" s="89" t="s">
        <v>172</v>
      </c>
      <c r="M139" s="89"/>
      <c r="N139" s="87">
        <v>3</v>
      </c>
      <c r="O139" s="87" t="s">
        <v>454</v>
      </c>
      <c r="P139" s="87">
        <v>120</v>
      </c>
      <c r="Q139" s="87">
        <v>120</v>
      </c>
      <c r="R139" s="94">
        <f t="shared" si="36"/>
        <v>0</v>
      </c>
      <c r="S139" s="89"/>
      <c r="T139" s="89"/>
      <c r="U139" s="87" t="s">
        <v>9</v>
      </c>
      <c r="V139" s="87" t="s">
        <v>293</v>
      </c>
      <c r="W139" s="87" t="s">
        <v>463</v>
      </c>
      <c r="X139" s="87"/>
      <c r="Y139" s="87">
        <v>2</v>
      </c>
      <c r="Z139" s="87">
        <v>0.8</v>
      </c>
      <c r="AA139" s="88">
        <f t="shared" si="39"/>
        <v>6250</v>
      </c>
      <c r="AB139" s="87" t="s">
        <v>313</v>
      </c>
      <c r="AC139" s="90" t="s">
        <v>301</v>
      </c>
      <c r="AD139" s="89">
        <v>0.75</v>
      </c>
      <c r="AE139" s="89">
        <v>1.65</v>
      </c>
      <c r="AF139" s="87">
        <f t="shared" si="40"/>
        <v>0.89999999999999991</v>
      </c>
      <c r="AG139" s="87">
        <f t="shared" si="41"/>
        <v>0.3</v>
      </c>
      <c r="AH139" s="87">
        <f t="shared" si="42"/>
        <v>0.3</v>
      </c>
      <c r="AI139" s="153">
        <f t="shared" si="43"/>
        <v>0</v>
      </c>
      <c r="AJ139" s="2">
        <f t="shared" si="44"/>
        <v>1.0499999999999998</v>
      </c>
    </row>
    <row r="140" spans="1:36" ht="13.95" customHeight="1" x14ac:dyDescent="0.3">
      <c r="A140" s="211">
        <v>21</v>
      </c>
      <c r="B14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40" s="2" t="str">
        <f t="shared" si="37"/>
        <v>E21I3</v>
      </c>
      <c r="D140" t="str">
        <f t="shared" si="38"/>
        <v>E21</v>
      </c>
      <c r="E140" s="87" t="s">
        <v>416</v>
      </c>
      <c r="F140" s="157">
        <v>0.8</v>
      </c>
      <c r="G140" s="87" t="s">
        <v>439</v>
      </c>
      <c r="H140" s="89" t="s">
        <v>7</v>
      </c>
      <c r="I140" s="89"/>
      <c r="J140" s="89"/>
      <c r="K140" s="87" t="s">
        <v>292</v>
      </c>
      <c r="L140" s="89" t="s">
        <v>172</v>
      </c>
      <c r="M140" s="89"/>
      <c r="N140" s="87">
        <v>15</v>
      </c>
      <c r="O140" s="87" t="s">
        <v>454</v>
      </c>
      <c r="P140" s="87">
        <v>120</v>
      </c>
      <c r="Q140" s="87">
        <v>120</v>
      </c>
      <c r="R140" s="94">
        <f t="shared" si="36"/>
        <v>0</v>
      </c>
      <c r="S140" s="89"/>
      <c r="T140" s="89"/>
      <c r="U140" s="87" t="s">
        <v>9</v>
      </c>
      <c r="V140" s="87" t="s">
        <v>293</v>
      </c>
      <c r="W140" s="87" t="s">
        <v>463</v>
      </c>
      <c r="X140" s="87"/>
      <c r="Y140" s="87">
        <v>2</v>
      </c>
      <c r="Z140" s="87">
        <v>1</v>
      </c>
      <c r="AA140" s="88">
        <f t="shared" si="39"/>
        <v>5000</v>
      </c>
      <c r="AB140" s="87" t="s">
        <v>313</v>
      </c>
      <c r="AC140" s="90" t="s">
        <v>301</v>
      </c>
      <c r="AD140" s="89">
        <v>0.75</v>
      </c>
      <c r="AE140" s="89">
        <v>1.65</v>
      </c>
      <c r="AF140" s="87">
        <f t="shared" si="40"/>
        <v>0.89999999999999991</v>
      </c>
      <c r="AG140" s="87">
        <f t="shared" si="41"/>
        <v>0.3</v>
      </c>
      <c r="AH140" s="87">
        <f t="shared" si="42"/>
        <v>0.3</v>
      </c>
      <c r="AI140" s="153">
        <f t="shared" si="43"/>
        <v>0</v>
      </c>
      <c r="AJ140" s="2">
        <f t="shared" si="44"/>
        <v>1.0499999999999998</v>
      </c>
    </row>
    <row r="141" spans="1:36" ht="13.95" customHeight="1" x14ac:dyDescent="0.3">
      <c r="A141" s="211">
        <v>21</v>
      </c>
      <c r="B14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2</v>
      </c>
      <c r="C141" s="2" t="str">
        <f t="shared" si="37"/>
        <v>E21I3</v>
      </c>
      <c r="D141" t="str">
        <f t="shared" si="38"/>
        <v>E21</v>
      </c>
      <c r="E141" s="87" t="s">
        <v>417</v>
      </c>
      <c r="F141" s="157">
        <v>0.8</v>
      </c>
      <c r="G141" s="87" t="s">
        <v>291</v>
      </c>
      <c r="H141" s="89" t="s">
        <v>7</v>
      </c>
      <c r="I141" s="89"/>
      <c r="J141" s="89"/>
      <c r="K141" s="87" t="s">
        <v>292</v>
      </c>
      <c r="L141" s="89" t="s">
        <v>172</v>
      </c>
      <c r="M141" s="89"/>
      <c r="N141" s="87">
        <v>15</v>
      </c>
      <c r="O141" s="87" t="s">
        <v>454</v>
      </c>
      <c r="P141" s="87">
        <v>120</v>
      </c>
      <c r="Q141" s="87">
        <v>120</v>
      </c>
      <c r="R141" s="94">
        <f t="shared" si="36"/>
        <v>0</v>
      </c>
      <c r="S141" s="89"/>
      <c r="T141" s="89"/>
      <c r="U141" s="87" t="s">
        <v>9</v>
      </c>
      <c r="V141" s="87" t="s">
        <v>293</v>
      </c>
      <c r="W141" s="87" t="s">
        <v>463</v>
      </c>
      <c r="X141" s="87"/>
      <c r="Y141" s="87">
        <v>2</v>
      </c>
      <c r="Z141" s="87">
        <v>1</v>
      </c>
      <c r="AA141" s="88">
        <f t="shared" si="39"/>
        <v>5000</v>
      </c>
      <c r="AB141" s="87" t="s">
        <v>313</v>
      </c>
      <c r="AC141" s="90" t="s">
        <v>301</v>
      </c>
      <c r="AD141" s="89">
        <v>0.75</v>
      </c>
      <c r="AE141" s="89">
        <v>1.65</v>
      </c>
      <c r="AF141" s="87">
        <f t="shared" si="40"/>
        <v>0.89999999999999991</v>
      </c>
      <c r="AG141" s="87">
        <f t="shared" si="41"/>
        <v>0.3</v>
      </c>
      <c r="AH141" s="87">
        <f t="shared" si="42"/>
        <v>0.3</v>
      </c>
      <c r="AI141" s="153">
        <f t="shared" si="43"/>
        <v>0</v>
      </c>
      <c r="AJ141" s="2">
        <f t="shared" si="44"/>
        <v>1.0499999999999998</v>
      </c>
    </row>
    <row r="142" spans="1:36" ht="13.95" customHeight="1" x14ac:dyDescent="0.3">
      <c r="A142" s="211">
        <v>22</v>
      </c>
      <c r="B14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42" s="2" t="str">
        <f t="shared" si="37"/>
        <v>E22I1</v>
      </c>
      <c r="D142" t="str">
        <f t="shared" si="38"/>
        <v>E22</v>
      </c>
      <c r="E142" s="87" t="s">
        <v>370</v>
      </c>
      <c r="F142" s="157">
        <v>3</v>
      </c>
      <c r="G142" s="87" t="s">
        <v>308</v>
      </c>
      <c r="H142" s="87" t="s">
        <v>509</v>
      </c>
      <c r="I142" s="87" t="s">
        <v>21</v>
      </c>
      <c r="J142" s="87"/>
      <c r="K142" s="87" t="s">
        <v>292</v>
      </c>
      <c r="L142" s="87" t="s">
        <v>37</v>
      </c>
      <c r="M142" s="87"/>
      <c r="N142" s="87">
        <v>9</v>
      </c>
      <c r="O142" s="87" t="s">
        <v>453</v>
      </c>
      <c r="P142" s="87">
        <v>23</v>
      </c>
      <c r="Q142" s="87">
        <v>90</v>
      </c>
      <c r="R142" s="94">
        <f t="shared" si="36"/>
        <v>0.74444444444444446</v>
      </c>
      <c r="S142" s="87" t="s">
        <v>37</v>
      </c>
      <c r="T142" s="87" t="s">
        <v>245</v>
      </c>
      <c r="U142" s="87" t="s">
        <v>24</v>
      </c>
      <c r="V142" s="87" t="s">
        <v>460</v>
      </c>
      <c r="W142" s="87" t="s">
        <v>4</v>
      </c>
      <c r="X142" s="87"/>
      <c r="Y142" s="87">
        <v>2.5</v>
      </c>
      <c r="Z142" s="87">
        <v>1</v>
      </c>
      <c r="AA142" s="88">
        <f t="shared" si="39"/>
        <v>4000</v>
      </c>
      <c r="AB142" s="87" t="s">
        <v>329</v>
      </c>
      <c r="AC142" s="90" t="s">
        <v>301</v>
      </c>
      <c r="AD142" s="87">
        <v>0.7</v>
      </c>
      <c r="AE142" s="87">
        <v>1.9</v>
      </c>
      <c r="AF142" s="87">
        <f t="shared" si="40"/>
        <v>1.2</v>
      </c>
      <c r="AG142" s="87">
        <f t="shared" si="41"/>
        <v>0.375</v>
      </c>
      <c r="AH142" s="87">
        <f t="shared" si="42"/>
        <v>0.375</v>
      </c>
      <c r="AI142" s="153">
        <f t="shared" si="43"/>
        <v>0.1488888888888889</v>
      </c>
      <c r="AJ142" s="2">
        <f t="shared" si="44"/>
        <v>0.94473333333333331</v>
      </c>
    </row>
    <row r="143" spans="1:36" ht="13.95" customHeight="1" x14ac:dyDescent="0.3">
      <c r="A143" s="211">
        <v>22</v>
      </c>
      <c r="B14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43" s="2" t="str">
        <f t="shared" si="37"/>
        <v>E22I1</v>
      </c>
      <c r="D143" t="str">
        <f t="shared" si="38"/>
        <v>E22</v>
      </c>
      <c r="E143" s="87" t="s">
        <v>371</v>
      </c>
      <c r="F143" s="157">
        <v>2.2000000000000002</v>
      </c>
      <c r="G143" s="87" t="s">
        <v>372</v>
      </c>
      <c r="H143" s="87" t="s">
        <v>509</v>
      </c>
      <c r="I143" s="87" t="s">
        <v>21</v>
      </c>
      <c r="J143" s="87"/>
      <c r="K143" s="87" t="s">
        <v>292</v>
      </c>
      <c r="L143" s="87" t="s">
        <v>37</v>
      </c>
      <c r="M143" s="87"/>
      <c r="N143" s="87">
        <v>20</v>
      </c>
      <c r="O143" s="87" t="s">
        <v>453</v>
      </c>
      <c r="P143" s="87">
        <v>60</v>
      </c>
      <c r="Q143" s="87">
        <v>90</v>
      </c>
      <c r="R143" s="94">
        <f t="shared" si="36"/>
        <v>0.33333333333333326</v>
      </c>
      <c r="S143" s="87" t="s">
        <v>37</v>
      </c>
      <c r="T143" s="87" t="s">
        <v>245</v>
      </c>
      <c r="U143" s="87" t="s">
        <v>24</v>
      </c>
      <c r="V143" s="87" t="s">
        <v>460</v>
      </c>
      <c r="W143" s="87" t="s">
        <v>4</v>
      </c>
      <c r="X143" s="87"/>
      <c r="Y143" s="87">
        <v>2.5</v>
      </c>
      <c r="Z143" s="87">
        <v>1</v>
      </c>
      <c r="AA143" s="88">
        <f t="shared" si="39"/>
        <v>3999.9999999999995</v>
      </c>
      <c r="AB143" s="87" t="s">
        <v>329</v>
      </c>
      <c r="AC143" s="90" t="s">
        <v>301</v>
      </c>
      <c r="AD143" s="87">
        <v>0.7</v>
      </c>
      <c r="AE143" s="87">
        <v>1.9</v>
      </c>
      <c r="AF143" s="87">
        <f t="shared" si="40"/>
        <v>1.2</v>
      </c>
      <c r="AG143" s="87">
        <f t="shared" si="41"/>
        <v>0.375</v>
      </c>
      <c r="AH143" s="87">
        <f t="shared" si="42"/>
        <v>0.375</v>
      </c>
      <c r="AI143" s="153">
        <f t="shared" si="43"/>
        <v>6.6666666666666652E-2</v>
      </c>
      <c r="AJ143" s="2">
        <f t="shared" si="44"/>
        <v>1.036</v>
      </c>
    </row>
    <row r="144" spans="1:36" ht="13.95" customHeight="1" x14ac:dyDescent="0.3">
      <c r="A144" s="211">
        <v>22</v>
      </c>
      <c r="B14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44" s="2" t="str">
        <f t="shared" si="37"/>
        <v>E22I1</v>
      </c>
      <c r="D144" t="str">
        <f t="shared" si="38"/>
        <v>E22</v>
      </c>
      <c r="E144" s="87" t="s">
        <v>373</v>
      </c>
      <c r="F144" s="157">
        <v>1.5</v>
      </c>
      <c r="G144" s="87" t="s">
        <v>291</v>
      </c>
      <c r="H144" s="87" t="s">
        <v>509</v>
      </c>
      <c r="I144" s="87" t="s">
        <v>21</v>
      </c>
      <c r="J144" s="87"/>
      <c r="K144" s="87" t="s">
        <v>292</v>
      </c>
      <c r="L144" s="87" t="s">
        <v>37</v>
      </c>
      <c r="M144" s="87"/>
      <c r="N144" s="87">
        <v>3</v>
      </c>
      <c r="O144" s="87" t="s">
        <v>454</v>
      </c>
      <c r="P144" s="87">
        <v>0</v>
      </c>
      <c r="Q144" s="87">
        <v>0</v>
      </c>
      <c r="R144" s="94">
        <v>0</v>
      </c>
      <c r="S144" s="87"/>
      <c r="T144" s="87"/>
      <c r="U144" s="87" t="s">
        <v>24</v>
      </c>
      <c r="V144" s="87" t="s">
        <v>460</v>
      </c>
      <c r="W144" s="87" t="s">
        <v>4</v>
      </c>
      <c r="X144" s="87"/>
      <c r="Y144" s="87">
        <v>2.5</v>
      </c>
      <c r="Z144" s="87">
        <v>0.9</v>
      </c>
      <c r="AA144" s="88">
        <f t="shared" si="39"/>
        <v>4444.4444444444443</v>
      </c>
      <c r="AB144" s="87" t="s">
        <v>329</v>
      </c>
      <c r="AC144" s="90" t="s">
        <v>314</v>
      </c>
      <c r="AD144" s="87">
        <v>0.7</v>
      </c>
      <c r="AE144" s="87">
        <v>1.9</v>
      </c>
      <c r="AF144" s="87">
        <f t="shared" si="40"/>
        <v>1.2</v>
      </c>
      <c r="AG144" s="87">
        <f t="shared" si="41"/>
        <v>0.375</v>
      </c>
      <c r="AH144" s="87">
        <f t="shared" si="42"/>
        <v>0.375</v>
      </c>
      <c r="AI144" s="153">
        <f t="shared" si="43"/>
        <v>0</v>
      </c>
      <c r="AJ144" s="2">
        <f t="shared" si="44"/>
        <v>1.1099999999999999</v>
      </c>
    </row>
    <row r="145" spans="1:36" ht="13.95" customHeight="1" x14ac:dyDescent="0.3">
      <c r="A145" s="211">
        <v>23</v>
      </c>
      <c r="B14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5</v>
      </c>
      <c r="C145" s="2" t="str">
        <f t="shared" si="37"/>
        <v>E23I1</v>
      </c>
      <c r="D145" t="str">
        <f t="shared" si="38"/>
        <v>E23</v>
      </c>
      <c r="E145" s="87" t="s">
        <v>418</v>
      </c>
      <c r="F145" s="157">
        <v>1.2</v>
      </c>
      <c r="G145" s="87" t="s">
        <v>306</v>
      </c>
      <c r="H145" s="89" t="s">
        <v>172</v>
      </c>
      <c r="I145" s="89"/>
      <c r="J145" s="89"/>
      <c r="K145" s="89" t="s">
        <v>292</v>
      </c>
      <c r="L145" s="89" t="s">
        <v>2</v>
      </c>
      <c r="M145" s="89"/>
      <c r="N145" s="87">
        <v>16</v>
      </c>
      <c r="O145" s="87" t="s">
        <v>453</v>
      </c>
      <c r="P145" s="87">
        <v>140</v>
      </c>
      <c r="Q145" s="87">
        <v>100</v>
      </c>
      <c r="R145" s="94">
        <v>0</v>
      </c>
      <c r="S145" s="89"/>
      <c r="T145" s="89"/>
      <c r="U145" s="87" t="s">
        <v>9</v>
      </c>
      <c r="V145" s="87" t="s">
        <v>461</v>
      </c>
      <c r="W145" s="87" t="s">
        <v>97</v>
      </c>
      <c r="X145" s="87"/>
      <c r="Y145" s="87">
        <v>2</v>
      </c>
      <c r="Z145" s="87">
        <v>1</v>
      </c>
      <c r="AA145" s="88">
        <f t="shared" si="39"/>
        <v>5000</v>
      </c>
      <c r="AB145" s="87" t="s">
        <v>313</v>
      </c>
      <c r="AC145" s="90" t="s">
        <v>314</v>
      </c>
      <c r="AD145" s="89">
        <v>0.7</v>
      </c>
      <c r="AE145" s="89">
        <v>1.5</v>
      </c>
      <c r="AF145" s="87">
        <f t="shared" si="40"/>
        <v>0.8</v>
      </c>
      <c r="AG145" s="87">
        <f t="shared" si="41"/>
        <v>0.45</v>
      </c>
      <c r="AH145" s="87">
        <f t="shared" si="42"/>
        <v>0.40500000000000003</v>
      </c>
      <c r="AI145" s="153">
        <f t="shared" si="43"/>
        <v>0</v>
      </c>
      <c r="AJ145" s="2">
        <f t="shared" si="44"/>
        <v>1.0024999999999999</v>
      </c>
    </row>
    <row r="146" spans="1:36" ht="13.95" customHeight="1" x14ac:dyDescent="0.3">
      <c r="A146" s="211">
        <v>24</v>
      </c>
      <c r="B14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46" s="2" t="str">
        <f t="shared" si="37"/>
        <v>E24I1</v>
      </c>
      <c r="D146" t="str">
        <f t="shared" si="38"/>
        <v>E24</v>
      </c>
      <c r="E146" s="87" t="s">
        <v>321</v>
      </c>
      <c r="F146" s="157">
        <v>0.7</v>
      </c>
      <c r="G146" s="87" t="s">
        <v>308</v>
      </c>
      <c r="H146" s="87" t="s">
        <v>509</v>
      </c>
      <c r="I146" s="87"/>
      <c r="J146" s="87"/>
      <c r="K146" s="87" t="s">
        <v>292</v>
      </c>
      <c r="L146" s="87" t="s">
        <v>449</v>
      </c>
      <c r="M146" s="87"/>
      <c r="N146" s="87">
        <v>15</v>
      </c>
      <c r="O146" s="87" t="s">
        <v>453</v>
      </c>
      <c r="P146" s="89">
        <f>12.5*7.69</f>
        <v>96.125</v>
      </c>
      <c r="Q146" s="87">
        <v>90</v>
      </c>
      <c r="R146" s="94">
        <v>0</v>
      </c>
      <c r="S146" s="89"/>
      <c r="T146" s="89"/>
      <c r="U146" s="87" t="s">
        <v>24</v>
      </c>
      <c r="V146" s="87" t="s">
        <v>459</v>
      </c>
      <c r="W146" s="87" t="s">
        <v>446</v>
      </c>
      <c r="X146" s="87"/>
      <c r="Y146" s="87">
        <v>2</v>
      </c>
      <c r="Z146" s="87">
        <v>1.1000000000000001</v>
      </c>
      <c r="AA146" s="88">
        <f t="shared" si="39"/>
        <v>4545.454545454545</v>
      </c>
      <c r="AB146" s="87" t="s">
        <v>322</v>
      </c>
      <c r="AC146" s="90" t="s">
        <v>301</v>
      </c>
      <c r="AD146" s="87">
        <v>0.7</v>
      </c>
      <c r="AE146" s="87">
        <v>1.9</v>
      </c>
      <c r="AF146" s="87">
        <f t="shared" si="40"/>
        <v>1.2</v>
      </c>
      <c r="AG146" s="87">
        <f t="shared" si="41"/>
        <v>0.3</v>
      </c>
      <c r="AH146" s="87">
        <f t="shared" si="42"/>
        <v>0.3</v>
      </c>
      <c r="AI146" s="153">
        <f t="shared" si="43"/>
        <v>0</v>
      </c>
      <c r="AJ146" s="2">
        <f t="shared" si="44"/>
        <v>1.3499999999999999</v>
      </c>
    </row>
    <row r="147" spans="1:36" ht="13.95" customHeight="1" x14ac:dyDescent="0.3">
      <c r="A147" s="211">
        <v>24</v>
      </c>
      <c r="B14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47" s="2" t="str">
        <f t="shared" si="37"/>
        <v>E24I1</v>
      </c>
      <c r="D147" t="str">
        <f t="shared" si="38"/>
        <v>E24</v>
      </c>
      <c r="E147" s="87" t="s">
        <v>323</v>
      </c>
      <c r="F147" s="157">
        <v>0.7</v>
      </c>
      <c r="G147" s="87" t="s">
        <v>308</v>
      </c>
      <c r="H147" s="87" t="s">
        <v>509</v>
      </c>
      <c r="I147" s="87"/>
      <c r="J147" s="87"/>
      <c r="K147" s="87" t="s">
        <v>292</v>
      </c>
      <c r="L147" s="87" t="s">
        <v>449</v>
      </c>
      <c r="M147" s="87"/>
      <c r="N147" s="87">
        <v>5</v>
      </c>
      <c r="O147" s="87" t="s">
        <v>454</v>
      </c>
      <c r="P147" s="89">
        <f>12.5*7.69</f>
        <v>96.125</v>
      </c>
      <c r="Q147" s="87">
        <v>90</v>
      </c>
      <c r="R147" s="94">
        <v>0</v>
      </c>
      <c r="S147" s="89"/>
      <c r="T147" s="89"/>
      <c r="U147" s="87" t="s">
        <v>24</v>
      </c>
      <c r="V147" s="87" t="s">
        <v>459</v>
      </c>
      <c r="W147" s="87" t="s">
        <v>446</v>
      </c>
      <c r="X147" s="87"/>
      <c r="Y147" s="87">
        <v>2</v>
      </c>
      <c r="Z147" s="87">
        <v>1</v>
      </c>
      <c r="AA147" s="88">
        <f t="shared" si="39"/>
        <v>5000</v>
      </c>
      <c r="AB147" s="87" t="s">
        <v>322</v>
      </c>
      <c r="AC147" s="90" t="s">
        <v>301</v>
      </c>
      <c r="AD147" s="87">
        <v>0.7</v>
      </c>
      <c r="AE147" s="87">
        <v>1.9</v>
      </c>
      <c r="AF147" s="87">
        <f t="shared" si="40"/>
        <v>1.2</v>
      </c>
      <c r="AG147" s="87">
        <f t="shared" si="41"/>
        <v>0.3</v>
      </c>
      <c r="AH147" s="87">
        <f t="shared" si="42"/>
        <v>0.3</v>
      </c>
      <c r="AI147" s="153">
        <f t="shared" si="43"/>
        <v>0</v>
      </c>
      <c r="AJ147" s="2">
        <f t="shared" si="44"/>
        <v>1.3499999999999999</v>
      </c>
    </row>
    <row r="148" spans="1:36" ht="13.95" customHeight="1" x14ac:dyDescent="0.3">
      <c r="A148" s="211">
        <v>24</v>
      </c>
      <c r="B14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48" s="2" t="str">
        <f t="shared" si="37"/>
        <v>E24I2</v>
      </c>
      <c r="D148" t="str">
        <f t="shared" si="38"/>
        <v>E24</v>
      </c>
      <c r="E148" s="87" t="s">
        <v>324</v>
      </c>
      <c r="F148" s="157">
        <v>0.4</v>
      </c>
      <c r="G148" s="87" t="s">
        <v>308</v>
      </c>
      <c r="H148" s="87" t="s">
        <v>509</v>
      </c>
      <c r="I148" s="87"/>
      <c r="J148" s="87"/>
      <c r="K148" s="87" t="s">
        <v>292</v>
      </c>
      <c r="L148" s="87" t="s">
        <v>449</v>
      </c>
      <c r="M148" s="87"/>
      <c r="N148" s="87" t="s">
        <v>7</v>
      </c>
      <c r="O148" s="87" t="s">
        <v>7</v>
      </c>
      <c r="P148" s="87">
        <v>90</v>
      </c>
      <c r="Q148" s="87">
        <v>90</v>
      </c>
      <c r="R148" s="94">
        <v>0</v>
      </c>
      <c r="S148" s="89"/>
      <c r="T148" s="89"/>
      <c r="U148" s="87" t="s">
        <v>24</v>
      </c>
      <c r="V148" s="87" t="s">
        <v>459</v>
      </c>
      <c r="W148" s="87" t="s">
        <v>446</v>
      </c>
      <c r="X148" s="87"/>
      <c r="Y148" s="87">
        <v>2</v>
      </c>
      <c r="Z148" s="87">
        <v>1</v>
      </c>
      <c r="AA148" s="88">
        <f t="shared" si="39"/>
        <v>5000</v>
      </c>
      <c r="AB148" s="87" t="s">
        <v>7</v>
      </c>
      <c r="AC148" s="90" t="s">
        <v>301</v>
      </c>
      <c r="AD148" s="87">
        <v>0.7</v>
      </c>
      <c r="AE148" s="87">
        <v>1.9</v>
      </c>
      <c r="AF148" s="87">
        <f t="shared" si="40"/>
        <v>1.2</v>
      </c>
      <c r="AG148" s="87">
        <f t="shared" si="41"/>
        <v>0.3</v>
      </c>
      <c r="AH148" s="87">
        <f t="shared" si="42"/>
        <v>0.3</v>
      </c>
      <c r="AI148" s="153">
        <f t="shared" si="43"/>
        <v>0</v>
      </c>
      <c r="AJ148" s="2">
        <f t="shared" si="44"/>
        <v>1.3499999999999999</v>
      </c>
    </row>
    <row r="149" spans="1:36" ht="13.95" customHeight="1" x14ac:dyDescent="0.3">
      <c r="A149" s="211">
        <v>24</v>
      </c>
      <c r="B14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49" s="2" t="str">
        <f t="shared" si="37"/>
        <v>E24I2</v>
      </c>
      <c r="D149" t="str">
        <f t="shared" si="38"/>
        <v>E24</v>
      </c>
      <c r="E149" s="87" t="s">
        <v>325</v>
      </c>
      <c r="F149" s="157">
        <v>1.2</v>
      </c>
      <c r="G149" s="87" t="s">
        <v>308</v>
      </c>
      <c r="H149" s="87" t="s">
        <v>509</v>
      </c>
      <c r="I149" s="87"/>
      <c r="J149" s="87"/>
      <c r="K149" s="87" t="s">
        <v>292</v>
      </c>
      <c r="L149" s="87" t="s">
        <v>449</v>
      </c>
      <c r="M149" s="87"/>
      <c r="N149" s="87" t="s">
        <v>7</v>
      </c>
      <c r="O149" s="87" t="s">
        <v>7</v>
      </c>
      <c r="P149" s="87">
        <v>90</v>
      </c>
      <c r="Q149" s="87">
        <v>90</v>
      </c>
      <c r="R149" s="94">
        <v>0</v>
      </c>
      <c r="S149" s="89"/>
      <c r="T149" s="89"/>
      <c r="U149" s="87" t="s">
        <v>24</v>
      </c>
      <c r="V149" s="87" t="s">
        <v>459</v>
      </c>
      <c r="W149" s="87" t="s">
        <v>446</v>
      </c>
      <c r="X149" s="87"/>
      <c r="Y149" s="87">
        <v>2</v>
      </c>
      <c r="Z149" s="87">
        <v>1.2</v>
      </c>
      <c r="AA149" s="88">
        <f t="shared" si="39"/>
        <v>4166.666666666667</v>
      </c>
      <c r="AB149" s="87" t="s">
        <v>7</v>
      </c>
      <c r="AC149" s="91" t="s">
        <v>301</v>
      </c>
      <c r="AD149" s="87">
        <v>0.7</v>
      </c>
      <c r="AE149" s="87">
        <v>1.9</v>
      </c>
      <c r="AF149" s="87">
        <f t="shared" si="40"/>
        <v>1.2</v>
      </c>
      <c r="AG149" s="87">
        <f t="shared" si="41"/>
        <v>0.3</v>
      </c>
      <c r="AH149" s="87">
        <f t="shared" si="42"/>
        <v>0.3</v>
      </c>
      <c r="AI149" s="153">
        <f t="shared" si="43"/>
        <v>0</v>
      </c>
      <c r="AJ149" s="2">
        <f t="shared" si="44"/>
        <v>1.3499999999999999</v>
      </c>
    </row>
    <row r="150" spans="1:36" ht="13.95" customHeight="1" x14ac:dyDescent="0.3">
      <c r="A150" s="211">
        <v>24</v>
      </c>
      <c r="B15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50" s="2" t="str">
        <f t="shared" si="37"/>
        <v>E24I2</v>
      </c>
      <c r="D150" t="str">
        <f t="shared" si="38"/>
        <v>E24</v>
      </c>
      <c r="E150" s="87" t="s">
        <v>326</v>
      </c>
      <c r="F150" s="157">
        <v>0.8</v>
      </c>
      <c r="G150" s="87" t="s">
        <v>308</v>
      </c>
      <c r="H150" s="87" t="s">
        <v>509</v>
      </c>
      <c r="I150" s="87"/>
      <c r="J150" s="87"/>
      <c r="K150" s="87" t="s">
        <v>292</v>
      </c>
      <c r="L150" s="87" t="s">
        <v>449</v>
      </c>
      <c r="M150" s="87"/>
      <c r="N150" s="87" t="s">
        <v>7</v>
      </c>
      <c r="O150" s="87" t="s">
        <v>7</v>
      </c>
      <c r="P150" s="87">
        <v>90</v>
      </c>
      <c r="Q150" s="87">
        <v>90</v>
      </c>
      <c r="R150" s="94">
        <v>0</v>
      </c>
      <c r="S150" s="89"/>
      <c r="T150" s="89"/>
      <c r="U150" s="87" t="s">
        <v>24</v>
      </c>
      <c r="V150" s="87" t="s">
        <v>459</v>
      </c>
      <c r="W150" s="87" t="s">
        <v>446</v>
      </c>
      <c r="X150" s="87"/>
      <c r="Y150" s="87">
        <v>2</v>
      </c>
      <c r="Z150" s="87">
        <v>1.1000000000000001</v>
      </c>
      <c r="AA150" s="88">
        <f t="shared" si="39"/>
        <v>4545.454545454545</v>
      </c>
      <c r="AB150" s="87" t="s">
        <v>7</v>
      </c>
      <c r="AC150" s="90" t="s">
        <v>24</v>
      </c>
      <c r="AD150" s="87">
        <v>0.7</v>
      </c>
      <c r="AE150" s="87">
        <v>1.9</v>
      </c>
      <c r="AF150" s="87">
        <f t="shared" si="40"/>
        <v>1.2</v>
      </c>
      <c r="AG150" s="87">
        <f t="shared" si="41"/>
        <v>0.3</v>
      </c>
      <c r="AH150" s="87">
        <f t="shared" si="42"/>
        <v>0.3</v>
      </c>
      <c r="AI150" s="153">
        <f t="shared" si="43"/>
        <v>0</v>
      </c>
      <c r="AJ150" s="2">
        <f t="shared" si="44"/>
        <v>1.3499999999999999</v>
      </c>
    </row>
    <row r="151" spans="1:36" ht="13.95" customHeight="1" x14ac:dyDescent="0.3">
      <c r="A151" s="211">
        <v>24</v>
      </c>
      <c r="B15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3</v>
      </c>
      <c r="C151" s="2" t="str">
        <f t="shared" si="37"/>
        <v>E24I2</v>
      </c>
      <c r="D151" t="str">
        <f t="shared" si="38"/>
        <v>E24</v>
      </c>
      <c r="E151" s="87" t="s">
        <v>327</v>
      </c>
      <c r="F151" s="157">
        <v>0.44</v>
      </c>
      <c r="G151" s="87" t="s">
        <v>308</v>
      </c>
      <c r="H151" s="87" t="s">
        <v>509</v>
      </c>
      <c r="I151" s="87"/>
      <c r="J151" s="87"/>
      <c r="K151" s="87" t="s">
        <v>292</v>
      </c>
      <c r="L151" s="87" t="s">
        <v>449</v>
      </c>
      <c r="M151" s="87"/>
      <c r="N151" s="87" t="s">
        <v>7</v>
      </c>
      <c r="O151" s="87" t="s">
        <v>7</v>
      </c>
      <c r="P151" s="87">
        <v>80</v>
      </c>
      <c r="Q151" s="87">
        <v>90</v>
      </c>
      <c r="R151" s="94">
        <f>(100-(P151*100/Q151))/100</f>
        <v>0.11111111111111115</v>
      </c>
      <c r="S151" s="89" t="s">
        <v>450</v>
      </c>
      <c r="T151" s="89"/>
      <c r="U151" s="87" t="s">
        <v>24</v>
      </c>
      <c r="V151" s="87" t="s">
        <v>459</v>
      </c>
      <c r="W151" s="87" t="s">
        <v>446</v>
      </c>
      <c r="X151" s="87"/>
      <c r="Y151" s="87">
        <v>2</v>
      </c>
      <c r="Z151" s="87">
        <v>1.2</v>
      </c>
      <c r="AA151" s="88">
        <f t="shared" si="39"/>
        <v>4166.666666666667</v>
      </c>
      <c r="AB151" s="87" t="s">
        <v>7</v>
      </c>
      <c r="AC151" s="90" t="s">
        <v>301</v>
      </c>
      <c r="AD151" s="87">
        <v>0.7</v>
      </c>
      <c r="AE151" s="87">
        <v>1.9</v>
      </c>
      <c r="AF151" s="87">
        <f t="shared" si="40"/>
        <v>1.2</v>
      </c>
      <c r="AG151" s="87">
        <f t="shared" si="41"/>
        <v>0.3</v>
      </c>
      <c r="AH151" s="87">
        <f t="shared" si="42"/>
        <v>0.3</v>
      </c>
      <c r="AI151" s="153">
        <f t="shared" si="43"/>
        <v>2.222222222222223E-2</v>
      </c>
      <c r="AJ151" s="2">
        <f t="shared" si="44"/>
        <v>1.3199999999999998</v>
      </c>
    </row>
    <row r="152" spans="1:36" ht="13.95" customHeight="1" x14ac:dyDescent="0.3">
      <c r="A152" s="211">
        <v>25</v>
      </c>
      <c r="B15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52" s="2" t="str">
        <f t="shared" si="37"/>
        <v>E25I1</v>
      </c>
      <c r="D152" t="str">
        <f t="shared" si="38"/>
        <v>E25</v>
      </c>
      <c r="E152" s="87" t="s">
        <v>342</v>
      </c>
      <c r="F152" s="157">
        <v>0.5</v>
      </c>
      <c r="G152" s="87" t="s">
        <v>306</v>
      </c>
      <c r="H152" s="87" t="s">
        <v>509</v>
      </c>
      <c r="I152" s="87"/>
      <c r="J152" s="87"/>
      <c r="K152" s="87" t="s">
        <v>1005</v>
      </c>
      <c r="L152" s="87" t="s">
        <v>172</v>
      </c>
      <c r="M152" s="87"/>
      <c r="N152" s="89">
        <v>9</v>
      </c>
      <c r="O152" s="87" t="s">
        <v>453</v>
      </c>
      <c r="P152" s="87">
        <v>30</v>
      </c>
      <c r="Q152" s="87">
        <v>90</v>
      </c>
      <c r="R152" s="94">
        <v>0</v>
      </c>
      <c r="S152" s="89" t="s">
        <v>37</v>
      </c>
      <c r="T152" s="89"/>
      <c r="U152" s="87" t="s">
        <v>9</v>
      </c>
      <c r="V152" s="87" t="s">
        <v>459</v>
      </c>
      <c r="W152" s="87" t="s">
        <v>97</v>
      </c>
      <c r="X152" s="87"/>
      <c r="Y152" s="87">
        <v>2</v>
      </c>
      <c r="Z152" s="87">
        <v>1</v>
      </c>
      <c r="AA152" s="88">
        <f t="shared" si="39"/>
        <v>5000</v>
      </c>
      <c r="AB152" s="87" t="s">
        <v>313</v>
      </c>
      <c r="AC152" s="91" t="s">
        <v>314</v>
      </c>
      <c r="AD152" s="87">
        <v>0.5</v>
      </c>
      <c r="AE152" s="87">
        <v>1.2</v>
      </c>
      <c r="AF152" s="87">
        <f t="shared" si="40"/>
        <v>0.7</v>
      </c>
      <c r="AG152" s="87">
        <f t="shared" si="41"/>
        <v>0.3</v>
      </c>
      <c r="AH152" s="87">
        <f t="shared" si="42"/>
        <v>0.3</v>
      </c>
      <c r="AI152" s="153">
        <f t="shared" si="43"/>
        <v>0</v>
      </c>
      <c r="AJ152" s="2">
        <f t="shared" si="44"/>
        <v>0.85</v>
      </c>
    </row>
    <row r="153" spans="1:36" ht="13.95" customHeight="1" x14ac:dyDescent="0.3">
      <c r="A153" s="211">
        <v>25</v>
      </c>
      <c r="B15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53" s="2" t="str">
        <f t="shared" si="37"/>
        <v>E25I2</v>
      </c>
      <c r="D153" t="str">
        <f t="shared" si="38"/>
        <v>E25</v>
      </c>
      <c r="E153" s="87" t="s">
        <v>343</v>
      </c>
      <c r="F153" s="157">
        <v>1</v>
      </c>
      <c r="G153" s="87" t="s">
        <v>344</v>
      </c>
      <c r="H153" s="87" t="s">
        <v>509</v>
      </c>
      <c r="I153" s="87"/>
      <c r="J153" s="87"/>
      <c r="K153" s="87" t="s">
        <v>345</v>
      </c>
      <c r="L153" s="87" t="s">
        <v>345</v>
      </c>
      <c r="M153" s="87"/>
      <c r="N153" s="89">
        <v>20</v>
      </c>
      <c r="O153" s="87" t="s">
        <v>453</v>
      </c>
      <c r="P153" s="87">
        <v>50</v>
      </c>
      <c r="Q153" s="87">
        <v>50</v>
      </c>
      <c r="R153" s="94">
        <f t="shared" ref="R153:R158" si="45">(100-(P153*100/Q153))/100</f>
        <v>0</v>
      </c>
      <c r="S153" s="89"/>
      <c r="T153" s="89"/>
      <c r="U153" s="87" t="s">
        <v>9</v>
      </c>
      <c r="V153" s="87" t="s">
        <v>459</v>
      </c>
      <c r="W153" s="87" t="s">
        <v>97</v>
      </c>
      <c r="X153" s="87"/>
      <c r="Y153" s="87">
        <v>2</v>
      </c>
      <c r="Z153" s="87">
        <v>1</v>
      </c>
      <c r="AA153" s="88">
        <f t="shared" si="39"/>
        <v>5000</v>
      </c>
      <c r="AB153" s="87" t="s">
        <v>346</v>
      </c>
      <c r="AC153" s="90" t="s">
        <v>314</v>
      </c>
      <c r="AD153" s="87">
        <v>0.7</v>
      </c>
      <c r="AE153" s="87">
        <v>1.9</v>
      </c>
      <c r="AF153" s="87">
        <f t="shared" si="40"/>
        <v>1.2</v>
      </c>
      <c r="AG153" s="87">
        <f t="shared" si="41"/>
        <v>0.3</v>
      </c>
      <c r="AH153" s="87">
        <f t="shared" si="42"/>
        <v>0.3</v>
      </c>
      <c r="AI153" s="153">
        <f t="shared" si="43"/>
        <v>0</v>
      </c>
      <c r="AJ153" s="2">
        <f t="shared" si="44"/>
        <v>1.3499999999999999</v>
      </c>
    </row>
    <row r="154" spans="1:36" ht="13.95" customHeight="1" x14ac:dyDescent="0.3">
      <c r="A154" s="211">
        <v>25</v>
      </c>
      <c r="B15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54" s="2" t="str">
        <f t="shared" si="37"/>
        <v>E25I2</v>
      </c>
      <c r="D154" t="str">
        <f t="shared" si="38"/>
        <v>E25</v>
      </c>
      <c r="E154" s="87" t="s">
        <v>347</v>
      </c>
      <c r="F154" s="157">
        <v>1.1499999999999999</v>
      </c>
      <c r="G154" s="87" t="s">
        <v>344</v>
      </c>
      <c r="H154" s="87" t="s">
        <v>509</v>
      </c>
      <c r="I154" s="87"/>
      <c r="J154" s="87"/>
      <c r="K154" s="87" t="s">
        <v>345</v>
      </c>
      <c r="L154" s="87" t="s">
        <v>345</v>
      </c>
      <c r="M154" s="87"/>
      <c r="N154" s="89">
        <v>14</v>
      </c>
      <c r="O154" s="87" t="s">
        <v>453</v>
      </c>
      <c r="P154" s="87">
        <v>50</v>
      </c>
      <c r="Q154" s="87">
        <v>50</v>
      </c>
      <c r="R154" s="94">
        <f t="shared" si="45"/>
        <v>0</v>
      </c>
      <c r="S154" s="89"/>
      <c r="T154" s="89"/>
      <c r="U154" s="87" t="s">
        <v>9</v>
      </c>
      <c r="V154" s="87" t="s">
        <v>459</v>
      </c>
      <c r="W154" s="87" t="s">
        <v>97</v>
      </c>
      <c r="X154" s="87"/>
      <c r="Y154" s="87">
        <v>2</v>
      </c>
      <c r="Z154" s="87">
        <v>1</v>
      </c>
      <c r="AA154" s="88">
        <f t="shared" si="39"/>
        <v>5000</v>
      </c>
      <c r="AB154" s="87" t="s">
        <v>346</v>
      </c>
      <c r="AC154" s="90" t="s">
        <v>348</v>
      </c>
      <c r="AD154" s="87">
        <v>0.7</v>
      </c>
      <c r="AE154" s="87">
        <v>2.2000000000000002</v>
      </c>
      <c r="AF154" s="87">
        <f t="shared" si="40"/>
        <v>1.5000000000000002</v>
      </c>
      <c r="AG154" s="87">
        <f t="shared" si="41"/>
        <v>0.3</v>
      </c>
      <c r="AH154" s="87">
        <f t="shared" si="42"/>
        <v>0.3</v>
      </c>
      <c r="AI154" s="153">
        <f t="shared" si="43"/>
        <v>0</v>
      </c>
      <c r="AJ154" s="2">
        <f t="shared" si="44"/>
        <v>1.6500000000000001</v>
      </c>
    </row>
    <row r="155" spans="1:36" ht="13.95" customHeight="1" x14ac:dyDescent="0.3">
      <c r="A155" s="211">
        <v>26</v>
      </c>
      <c r="B15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55" s="2" t="str">
        <f t="shared" si="37"/>
        <v>E26I1</v>
      </c>
      <c r="D155" t="str">
        <f t="shared" si="38"/>
        <v>E26</v>
      </c>
      <c r="E155" s="87" t="s">
        <v>388</v>
      </c>
      <c r="F155" s="157">
        <v>0.3</v>
      </c>
      <c r="G155" s="87" t="s">
        <v>443</v>
      </c>
      <c r="H155" s="87" t="s">
        <v>509</v>
      </c>
      <c r="I155" s="87"/>
      <c r="J155" s="87"/>
      <c r="K155" s="87" t="s">
        <v>345</v>
      </c>
      <c r="L155" s="87" t="s">
        <v>249</v>
      </c>
      <c r="M155" s="87"/>
      <c r="N155" s="87">
        <v>30</v>
      </c>
      <c r="O155" s="87" t="s">
        <v>453</v>
      </c>
      <c r="P155" s="87">
        <v>40</v>
      </c>
      <c r="Q155" s="87">
        <v>40</v>
      </c>
      <c r="R155" s="94">
        <f t="shared" si="45"/>
        <v>0</v>
      </c>
      <c r="S155" s="89"/>
      <c r="T155" s="89"/>
      <c r="U155" s="87" t="s">
        <v>24</v>
      </c>
      <c r="V155" s="87" t="s">
        <v>459</v>
      </c>
      <c r="W155" s="87" t="s">
        <v>446</v>
      </c>
      <c r="X155" s="87"/>
      <c r="Y155" s="87">
        <v>2</v>
      </c>
      <c r="Z155" s="87">
        <v>1</v>
      </c>
      <c r="AA155" s="88">
        <f t="shared" si="39"/>
        <v>5000</v>
      </c>
      <c r="AB155" s="87" t="s">
        <v>329</v>
      </c>
      <c r="AC155" s="90" t="s">
        <v>389</v>
      </c>
      <c r="AD155" s="87">
        <v>0.7</v>
      </c>
      <c r="AE155" s="87">
        <v>1.6</v>
      </c>
      <c r="AF155" s="87">
        <f t="shared" si="40"/>
        <v>0.90000000000000013</v>
      </c>
      <c r="AG155" s="87">
        <f t="shared" si="41"/>
        <v>0.3</v>
      </c>
      <c r="AH155" s="87">
        <f t="shared" si="42"/>
        <v>0.3</v>
      </c>
      <c r="AI155" s="153">
        <f t="shared" si="43"/>
        <v>0</v>
      </c>
      <c r="AJ155" s="2">
        <f t="shared" si="44"/>
        <v>1.05</v>
      </c>
    </row>
    <row r="156" spans="1:36" ht="13.95" customHeight="1" x14ac:dyDescent="0.3">
      <c r="A156" s="211">
        <v>26</v>
      </c>
      <c r="B15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4</v>
      </c>
      <c r="C156" s="2" t="str">
        <f t="shared" si="37"/>
        <v>E26I1</v>
      </c>
      <c r="D156" t="str">
        <f t="shared" si="38"/>
        <v>E26</v>
      </c>
      <c r="E156" s="87" t="s">
        <v>390</v>
      </c>
      <c r="F156" s="157">
        <v>1</v>
      </c>
      <c r="G156" s="87" t="s">
        <v>443</v>
      </c>
      <c r="H156" s="87" t="s">
        <v>509</v>
      </c>
      <c r="I156" s="87"/>
      <c r="J156" s="87"/>
      <c r="K156" s="87" t="s">
        <v>345</v>
      </c>
      <c r="L156" s="87" t="s">
        <v>249</v>
      </c>
      <c r="M156" s="87"/>
      <c r="N156" s="87">
        <v>30</v>
      </c>
      <c r="O156" s="87" t="s">
        <v>453</v>
      </c>
      <c r="P156" s="87">
        <v>40</v>
      </c>
      <c r="Q156" s="87">
        <v>40</v>
      </c>
      <c r="R156" s="94">
        <f t="shared" si="45"/>
        <v>0</v>
      </c>
      <c r="S156" s="89"/>
      <c r="T156" s="89"/>
      <c r="U156" s="87" t="s">
        <v>24</v>
      </c>
      <c r="V156" s="87" t="s">
        <v>461</v>
      </c>
      <c r="W156" s="87" t="s">
        <v>446</v>
      </c>
      <c r="X156" s="87"/>
      <c r="Y156" s="87">
        <v>2</v>
      </c>
      <c r="Z156" s="87">
        <v>1</v>
      </c>
      <c r="AA156" s="88">
        <f t="shared" si="39"/>
        <v>5000</v>
      </c>
      <c r="AB156" s="87" t="s">
        <v>329</v>
      </c>
      <c r="AC156" s="90" t="s">
        <v>389</v>
      </c>
      <c r="AD156" s="87">
        <v>0.7</v>
      </c>
      <c r="AE156" s="87">
        <v>1.6</v>
      </c>
      <c r="AF156" s="87">
        <f t="shared" si="40"/>
        <v>0.90000000000000013</v>
      </c>
      <c r="AG156" s="87">
        <f t="shared" si="41"/>
        <v>0.45</v>
      </c>
      <c r="AH156" s="87">
        <f t="shared" si="42"/>
        <v>0.40500000000000003</v>
      </c>
      <c r="AI156" s="153">
        <f t="shared" si="43"/>
        <v>0</v>
      </c>
      <c r="AJ156" s="2">
        <f t="shared" si="44"/>
        <v>1.1025</v>
      </c>
    </row>
    <row r="157" spans="1:36" ht="13.95" customHeight="1" x14ac:dyDescent="0.3">
      <c r="A157" s="211">
        <v>27</v>
      </c>
      <c r="B15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57" s="2" t="str">
        <f t="shared" si="37"/>
        <v>E27I1</v>
      </c>
      <c r="D157" t="str">
        <f t="shared" si="38"/>
        <v>E27</v>
      </c>
      <c r="E157" s="87" t="s">
        <v>376</v>
      </c>
      <c r="F157" s="157">
        <v>3</v>
      </c>
      <c r="G157" s="87" t="s">
        <v>308</v>
      </c>
      <c r="H157" s="87" t="s">
        <v>509</v>
      </c>
      <c r="I157" s="87"/>
      <c r="J157" s="87"/>
      <c r="K157" s="87" t="s">
        <v>292</v>
      </c>
      <c r="L157" s="87" t="s">
        <v>37</v>
      </c>
      <c r="M157" s="87" t="s">
        <v>172</v>
      </c>
      <c r="N157" s="87">
        <v>30</v>
      </c>
      <c r="O157" s="87" t="s">
        <v>453</v>
      </c>
      <c r="P157" s="87">
        <v>60</v>
      </c>
      <c r="Q157" s="87">
        <v>90</v>
      </c>
      <c r="R157" s="94">
        <f t="shared" si="45"/>
        <v>0.33333333333333326</v>
      </c>
      <c r="S157" s="87" t="s">
        <v>37</v>
      </c>
      <c r="T157" s="87"/>
      <c r="U157" s="87" t="s">
        <v>9</v>
      </c>
      <c r="V157" s="87" t="s">
        <v>293</v>
      </c>
      <c r="W157" s="87" t="s">
        <v>211</v>
      </c>
      <c r="X157" s="87" t="s">
        <v>463</v>
      </c>
      <c r="Y157" s="87">
        <v>2.5</v>
      </c>
      <c r="Z157" s="87">
        <v>1.2</v>
      </c>
      <c r="AA157" s="88">
        <f t="shared" si="39"/>
        <v>3333.3333333333335</v>
      </c>
      <c r="AB157" s="87" t="s">
        <v>334</v>
      </c>
      <c r="AC157" s="90" t="s">
        <v>301</v>
      </c>
      <c r="AD157" s="87">
        <v>0.9</v>
      </c>
      <c r="AE157" s="87">
        <v>1.5</v>
      </c>
      <c r="AF157" s="87">
        <f t="shared" si="40"/>
        <v>0.6</v>
      </c>
      <c r="AG157" s="87">
        <f t="shared" si="41"/>
        <v>0.375</v>
      </c>
      <c r="AH157" s="87">
        <f t="shared" si="42"/>
        <v>0.375</v>
      </c>
      <c r="AI157" s="153">
        <f t="shared" si="43"/>
        <v>6.6666666666666652E-2</v>
      </c>
      <c r="AJ157" s="2">
        <f t="shared" si="44"/>
        <v>0.58799999999999997</v>
      </c>
    </row>
    <row r="158" spans="1:36" x14ac:dyDescent="0.3">
      <c r="A158" s="211">
        <v>27</v>
      </c>
      <c r="B15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58" s="2" t="str">
        <f t="shared" si="37"/>
        <v>E27I2</v>
      </c>
      <c r="D158" t="str">
        <f t="shared" si="38"/>
        <v>E27</v>
      </c>
      <c r="E158" s="87" t="s">
        <v>377</v>
      </c>
      <c r="F158" s="157">
        <v>6</v>
      </c>
      <c r="G158" s="87" t="s">
        <v>291</v>
      </c>
      <c r="H158" s="87" t="s">
        <v>509</v>
      </c>
      <c r="I158" s="87"/>
      <c r="J158" s="87"/>
      <c r="K158" s="87" t="s">
        <v>292</v>
      </c>
      <c r="L158" s="87" t="s">
        <v>37</v>
      </c>
      <c r="M158" s="87" t="s">
        <v>172</v>
      </c>
      <c r="N158" s="87">
        <v>5</v>
      </c>
      <c r="O158" s="87" t="s">
        <v>454</v>
      </c>
      <c r="P158" s="87">
        <v>70</v>
      </c>
      <c r="Q158" s="87">
        <v>90</v>
      </c>
      <c r="R158" s="94">
        <f t="shared" si="45"/>
        <v>0.22222222222222229</v>
      </c>
      <c r="S158" s="87" t="s">
        <v>37</v>
      </c>
      <c r="T158" s="87"/>
      <c r="U158" s="87" t="s">
        <v>9</v>
      </c>
      <c r="V158" s="87" t="s">
        <v>293</v>
      </c>
      <c r="W158" s="87" t="s">
        <v>211</v>
      </c>
      <c r="X158" s="87" t="s">
        <v>463</v>
      </c>
      <c r="Y158" s="87">
        <v>2.5</v>
      </c>
      <c r="Z158" s="87">
        <v>1</v>
      </c>
      <c r="AA158" s="88">
        <f t="shared" si="39"/>
        <v>4000</v>
      </c>
      <c r="AB158" s="87" t="s">
        <v>334</v>
      </c>
      <c r="AC158" s="90" t="s">
        <v>301</v>
      </c>
      <c r="AD158" s="87">
        <v>0.9</v>
      </c>
      <c r="AE158" s="87">
        <v>1.5</v>
      </c>
      <c r="AF158" s="87">
        <f t="shared" si="40"/>
        <v>0.6</v>
      </c>
      <c r="AG158" s="87">
        <f t="shared" si="41"/>
        <v>0.375</v>
      </c>
      <c r="AH158" s="87">
        <f t="shared" si="42"/>
        <v>0.375</v>
      </c>
      <c r="AI158" s="153">
        <f t="shared" si="43"/>
        <v>4.444444444444446E-2</v>
      </c>
      <c r="AJ158" s="2">
        <f t="shared" si="44"/>
        <v>0.60199999999999998</v>
      </c>
    </row>
    <row r="159" spans="1:36" x14ac:dyDescent="0.3">
      <c r="A159" s="211">
        <v>27</v>
      </c>
      <c r="B159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59" s="2" t="str">
        <f t="shared" si="37"/>
        <v>E27I2</v>
      </c>
      <c r="D159" t="str">
        <f t="shared" si="38"/>
        <v>E27</v>
      </c>
      <c r="E159" s="87" t="s">
        <v>378</v>
      </c>
      <c r="F159" s="157">
        <v>2</v>
      </c>
      <c r="G159" s="87" t="s">
        <v>379</v>
      </c>
      <c r="H159" s="87" t="s">
        <v>509</v>
      </c>
      <c r="I159" s="87"/>
      <c r="J159" s="87"/>
      <c r="K159" s="87" t="s">
        <v>292</v>
      </c>
      <c r="L159" s="87" t="s">
        <v>37</v>
      </c>
      <c r="M159" s="87" t="s">
        <v>172</v>
      </c>
      <c r="N159" s="87">
        <v>15</v>
      </c>
      <c r="O159" s="87" t="s">
        <v>453</v>
      </c>
      <c r="P159" s="87">
        <v>120</v>
      </c>
      <c r="Q159" s="87">
        <v>90</v>
      </c>
      <c r="R159" s="94">
        <v>0</v>
      </c>
      <c r="S159" s="87" t="s">
        <v>37</v>
      </c>
      <c r="T159" s="87"/>
      <c r="U159" s="87" t="s">
        <v>9</v>
      </c>
      <c r="V159" s="87" t="s">
        <v>293</v>
      </c>
      <c r="W159" s="87" t="s">
        <v>211</v>
      </c>
      <c r="X159" s="87" t="s">
        <v>463</v>
      </c>
      <c r="Y159" s="87">
        <v>2.5</v>
      </c>
      <c r="Z159" s="87">
        <v>1</v>
      </c>
      <c r="AA159" s="88">
        <f t="shared" si="39"/>
        <v>4000</v>
      </c>
      <c r="AB159" s="87" t="s">
        <v>334</v>
      </c>
      <c r="AC159" s="90" t="s">
        <v>301</v>
      </c>
      <c r="AD159" s="87">
        <v>0.9</v>
      </c>
      <c r="AE159" s="87">
        <v>1.5</v>
      </c>
      <c r="AF159" s="87">
        <f t="shared" si="40"/>
        <v>0.6</v>
      </c>
      <c r="AG159" s="87">
        <f t="shared" si="41"/>
        <v>0.375</v>
      </c>
      <c r="AH159" s="87">
        <f t="shared" si="42"/>
        <v>0.375</v>
      </c>
      <c r="AI159" s="153">
        <f t="shared" si="43"/>
        <v>0</v>
      </c>
      <c r="AJ159" s="2">
        <f t="shared" si="44"/>
        <v>0.63</v>
      </c>
    </row>
    <row r="160" spans="1:36" x14ac:dyDescent="0.3">
      <c r="A160" s="211">
        <v>27</v>
      </c>
      <c r="B160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60" s="2" t="str">
        <f t="shared" si="37"/>
        <v>E27I2</v>
      </c>
      <c r="D160" t="str">
        <f t="shared" si="38"/>
        <v>E27</v>
      </c>
      <c r="E160" s="87" t="s">
        <v>380</v>
      </c>
      <c r="F160" s="157">
        <v>3</v>
      </c>
      <c r="G160" s="87" t="s">
        <v>439</v>
      </c>
      <c r="H160" s="87" t="s">
        <v>509</v>
      </c>
      <c r="I160" s="87"/>
      <c r="J160" s="87"/>
      <c r="K160" s="87" t="s">
        <v>292</v>
      </c>
      <c r="L160" s="87" t="s">
        <v>37</v>
      </c>
      <c r="M160" s="87" t="s">
        <v>172</v>
      </c>
      <c r="N160" s="87">
        <v>20</v>
      </c>
      <c r="O160" s="87" t="s">
        <v>453</v>
      </c>
      <c r="P160" s="87">
        <v>90</v>
      </c>
      <c r="Q160" s="87">
        <v>90</v>
      </c>
      <c r="R160" s="94">
        <f t="shared" ref="R160:R168" si="46">(100-(P160*100/Q160))/100</f>
        <v>0</v>
      </c>
      <c r="S160" s="87" t="s">
        <v>37</v>
      </c>
      <c r="T160" s="87"/>
      <c r="U160" s="87" t="s">
        <v>9</v>
      </c>
      <c r="V160" s="87" t="s">
        <v>293</v>
      </c>
      <c r="W160" s="87" t="s">
        <v>211</v>
      </c>
      <c r="X160" s="87" t="s">
        <v>463</v>
      </c>
      <c r="Y160" s="87">
        <v>2.5</v>
      </c>
      <c r="Z160" s="87">
        <v>1</v>
      </c>
      <c r="AA160" s="88">
        <f t="shared" si="39"/>
        <v>4000</v>
      </c>
      <c r="AB160" s="87" t="s">
        <v>334</v>
      </c>
      <c r="AC160" s="90" t="s">
        <v>301</v>
      </c>
      <c r="AD160" s="87">
        <v>0.9</v>
      </c>
      <c r="AE160" s="87">
        <v>1.5</v>
      </c>
      <c r="AF160" s="87">
        <f t="shared" si="40"/>
        <v>0.6</v>
      </c>
      <c r="AG160" s="87">
        <f t="shared" si="41"/>
        <v>0.375</v>
      </c>
      <c r="AH160" s="87">
        <f t="shared" si="42"/>
        <v>0.375</v>
      </c>
      <c r="AI160" s="153">
        <f t="shared" si="43"/>
        <v>0</v>
      </c>
      <c r="AJ160" s="2">
        <f t="shared" si="44"/>
        <v>0.63</v>
      </c>
    </row>
    <row r="161" spans="1:36" x14ac:dyDescent="0.3">
      <c r="A161" s="211">
        <v>27</v>
      </c>
      <c r="B161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61" s="2" t="str">
        <f t="shared" si="37"/>
        <v>E27I2</v>
      </c>
      <c r="D161" t="str">
        <f t="shared" si="38"/>
        <v>E27</v>
      </c>
      <c r="E161" s="87" t="s">
        <v>381</v>
      </c>
      <c r="F161" s="157">
        <v>2</v>
      </c>
      <c r="G161" s="87" t="s">
        <v>438</v>
      </c>
      <c r="H161" s="87" t="s">
        <v>509</v>
      </c>
      <c r="I161" s="87"/>
      <c r="J161" s="87"/>
      <c r="K161" s="87" t="s">
        <v>292</v>
      </c>
      <c r="L161" s="87" t="s">
        <v>37</v>
      </c>
      <c r="M161" s="87" t="s">
        <v>172</v>
      </c>
      <c r="N161" s="87">
        <v>8</v>
      </c>
      <c r="O161" s="87" t="s">
        <v>454</v>
      </c>
      <c r="P161" s="87">
        <v>70</v>
      </c>
      <c r="Q161" s="87">
        <v>90</v>
      </c>
      <c r="R161" s="94">
        <f t="shared" si="46"/>
        <v>0.22222222222222229</v>
      </c>
      <c r="S161" s="87" t="s">
        <v>37</v>
      </c>
      <c r="T161" s="87" t="s">
        <v>456</v>
      </c>
      <c r="U161" s="87" t="s">
        <v>9</v>
      </c>
      <c r="V161" s="87" t="s">
        <v>293</v>
      </c>
      <c r="W161" s="87" t="s">
        <v>211</v>
      </c>
      <c r="X161" s="87" t="s">
        <v>463</v>
      </c>
      <c r="Y161" s="87">
        <v>2.5</v>
      </c>
      <c r="Z161" s="87">
        <v>1</v>
      </c>
      <c r="AA161" s="88">
        <f t="shared" si="39"/>
        <v>4000</v>
      </c>
      <c r="AB161" s="87" t="s">
        <v>334</v>
      </c>
      <c r="AC161" s="90" t="s">
        <v>301</v>
      </c>
      <c r="AD161" s="87">
        <v>0.9</v>
      </c>
      <c r="AE161" s="87">
        <v>1.5</v>
      </c>
      <c r="AF161" s="87">
        <f t="shared" si="40"/>
        <v>0.6</v>
      </c>
      <c r="AG161" s="87">
        <f t="shared" si="41"/>
        <v>0.375</v>
      </c>
      <c r="AH161" s="87">
        <f t="shared" si="42"/>
        <v>0.375</v>
      </c>
      <c r="AI161" s="153">
        <f t="shared" si="43"/>
        <v>4.444444444444446E-2</v>
      </c>
      <c r="AJ161" s="2">
        <f t="shared" si="44"/>
        <v>0.60199999999999998</v>
      </c>
    </row>
    <row r="162" spans="1:36" x14ac:dyDescent="0.3">
      <c r="A162" s="211">
        <v>27</v>
      </c>
      <c r="B162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62" s="2" t="str">
        <f t="shared" ref="C162:C168" si="47">LEFT(E162,LEN(E162)-2)</f>
        <v>E27I3</v>
      </c>
      <c r="D162" t="str">
        <f t="shared" ref="D162:D168" si="48">LEFT(E162,LEN(E162)-4)</f>
        <v>E27</v>
      </c>
      <c r="E162" s="87" t="s">
        <v>382</v>
      </c>
      <c r="F162" s="157">
        <v>1</v>
      </c>
      <c r="G162" s="87" t="s">
        <v>291</v>
      </c>
      <c r="H162" s="87" t="s">
        <v>509</v>
      </c>
      <c r="I162" s="87"/>
      <c r="J162" s="87"/>
      <c r="K162" s="87" t="s">
        <v>292</v>
      </c>
      <c r="L162" s="87" t="s">
        <v>37</v>
      </c>
      <c r="M162" s="87" t="s">
        <v>172</v>
      </c>
      <c r="N162" s="87">
        <v>15</v>
      </c>
      <c r="O162" s="87" t="s">
        <v>453</v>
      </c>
      <c r="P162" s="87">
        <v>90</v>
      </c>
      <c r="Q162" s="87">
        <v>90</v>
      </c>
      <c r="R162" s="94">
        <f t="shared" si="46"/>
        <v>0</v>
      </c>
      <c r="S162" s="89"/>
      <c r="T162" s="89"/>
      <c r="U162" s="87" t="s">
        <v>9</v>
      </c>
      <c r="V162" s="87" t="s">
        <v>293</v>
      </c>
      <c r="W162" s="87" t="s">
        <v>211</v>
      </c>
      <c r="X162" s="87" t="s">
        <v>463</v>
      </c>
      <c r="Y162" s="87">
        <v>2</v>
      </c>
      <c r="Z162" s="87">
        <v>1.2</v>
      </c>
      <c r="AA162" s="88">
        <f t="shared" ref="AA162:AA168" si="49">(F162*10000)/(Y162*Z162)/F162</f>
        <v>4166.666666666667</v>
      </c>
      <c r="AB162" s="87" t="s">
        <v>334</v>
      </c>
      <c r="AC162" s="90" t="s">
        <v>301</v>
      </c>
      <c r="AD162" s="87">
        <v>0.9</v>
      </c>
      <c r="AE162" s="87">
        <v>1.5</v>
      </c>
      <c r="AF162" s="87">
        <f t="shared" ref="AF162:AF168" si="50">IF(AE162="NA","NA",AE162-AD162)</f>
        <v>0.6</v>
      </c>
      <c r="AG162" s="87">
        <f t="shared" ref="AG162:AG168" si="51">IF(OR(V162="CDR",V162="GS"),0.3*(Y162/2),IF(V162="TRP",0.3*(Y162/2),IF(V162="GOB",0.45,IF(V162="non",0.55,"NA"))))</f>
        <v>0.3</v>
      </c>
      <c r="AH162" s="87">
        <f t="shared" ref="AH162:AH168" si="52">IF(AG162&gt;0.4,AG162-(0.1*AG162*(AG162-0.4)/0.05),AG162)</f>
        <v>0.3</v>
      </c>
      <c r="AI162" s="153">
        <f t="shared" ref="AI162:AI168" si="53">R162/5</f>
        <v>0</v>
      </c>
      <c r="AJ162" s="2">
        <f t="shared" ref="AJ162:AJ168" si="54">IF(AF162="NA","NA",(2*AF162+AH162)*(1-AI162)/Y162)</f>
        <v>0.75</v>
      </c>
    </row>
    <row r="163" spans="1:36" x14ac:dyDescent="0.3">
      <c r="A163" s="211">
        <v>27</v>
      </c>
      <c r="B163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63" s="2" t="str">
        <f t="shared" si="47"/>
        <v>E27I3</v>
      </c>
      <c r="D163" t="str">
        <f t="shared" si="48"/>
        <v>E27</v>
      </c>
      <c r="E163" s="87" t="s">
        <v>383</v>
      </c>
      <c r="F163" s="157">
        <v>1</v>
      </c>
      <c r="G163" s="87" t="s">
        <v>442</v>
      </c>
      <c r="H163" s="87" t="s">
        <v>509</v>
      </c>
      <c r="I163" s="87"/>
      <c r="J163" s="87"/>
      <c r="K163" s="87" t="s">
        <v>292</v>
      </c>
      <c r="L163" s="87" t="s">
        <v>37</v>
      </c>
      <c r="M163" s="87" t="s">
        <v>172</v>
      </c>
      <c r="N163" s="87">
        <v>15</v>
      </c>
      <c r="O163" s="87" t="s">
        <v>453</v>
      </c>
      <c r="P163" s="87">
        <v>90</v>
      </c>
      <c r="Q163" s="87">
        <v>90</v>
      </c>
      <c r="R163" s="94">
        <f t="shared" si="46"/>
        <v>0</v>
      </c>
      <c r="S163" s="89"/>
      <c r="T163" s="89"/>
      <c r="U163" s="87" t="s">
        <v>9</v>
      </c>
      <c r="V163" s="87" t="s">
        <v>293</v>
      </c>
      <c r="W163" s="87" t="s">
        <v>211</v>
      </c>
      <c r="X163" s="87" t="s">
        <v>463</v>
      </c>
      <c r="Y163" s="87">
        <v>2.5</v>
      </c>
      <c r="Z163" s="87">
        <v>1</v>
      </c>
      <c r="AA163" s="88">
        <f t="shared" si="49"/>
        <v>4000</v>
      </c>
      <c r="AB163" s="87" t="s">
        <v>334</v>
      </c>
      <c r="AC163" s="90" t="s">
        <v>301</v>
      </c>
      <c r="AD163" s="87">
        <v>0.9</v>
      </c>
      <c r="AE163" s="87">
        <v>1.5</v>
      </c>
      <c r="AF163" s="87">
        <f t="shared" si="50"/>
        <v>0.6</v>
      </c>
      <c r="AG163" s="87">
        <f t="shared" si="51"/>
        <v>0.375</v>
      </c>
      <c r="AH163" s="87">
        <f t="shared" si="52"/>
        <v>0.375</v>
      </c>
      <c r="AI163" s="153">
        <f t="shared" si="53"/>
        <v>0</v>
      </c>
      <c r="AJ163" s="2">
        <f t="shared" si="54"/>
        <v>0.63</v>
      </c>
    </row>
    <row r="164" spans="1:36" x14ac:dyDescent="0.3">
      <c r="A164" s="211">
        <v>27</v>
      </c>
      <c r="B164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64" s="2" t="str">
        <f t="shared" si="47"/>
        <v>E27I3</v>
      </c>
      <c r="D164" t="str">
        <f t="shared" si="48"/>
        <v>E27</v>
      </c>
      <c r="E164" s="87" t="s">
        <v>384</v>
      </c>
      <c r="F164" s="157">
        <v>1</v>
      </c>
      <c r="G164" s="87" t="s">
        <v>440</v>
      </c>
      <c r="H164" s="87" t="s">
        <v>509</v>
      </c>
      <c r="I164" s="87"/>
      <c r="J164" s="87"/>
      <c r="K164" s="87" t="s">
        <v>292</v>
      </c>
      <c r="L164" s="87" t="s">
        <v>37</v>
      </c>
      <c r="M164" s="87" t="s">
        <v>172</v>
      </c>
      <c r="N164" s="87">
        <v>15</v>
      </c>
      <c r="O164" s="87" t="s">
        <v>453</v>
      </c>
      <c r="P164" s="87">
        <v>90</v>
      </c>
      <c r="Q164" s="87">
        <v>90</v>
      </c>
      <c r="R164" s="94">
        <f t="shared" si="46"/>
        <v>0</v>
      </c>
      <c r="S164" s="89"/>
      <c r="T164" s="89"/>
      <c r="U164" s="87" t="s">
        <v>9</v>
      </c>
      <c r="V164" s="87" t="s">
        <v>293</v>
      </c>
      <c r="W164" s="87" t="s">
        <v>211</v>
      </c>
      <c r="X164" s="87" t="s">
        <v>463</v>
      </c>
      <c r="Y164" s="87">
        <v>2</v>
      </c>
      <c r="Z164" s="87">
        <v>1.2</v>
      </c>
      <c r="AA164" s="88">
        <f t="shared" si="49"/>
        <v>4166.666666666667</v>
      </c>
      <c r="AB164" s="87" t="s">
        <v>334</v>
      </c>
      <c r="AC164" s="90" t="s">
        <v>301</v>
      </c>
      <c r="AD164" s="87">
        <v>0.9</v>
      </c>
      <c r="AE164" s="87">
        <v>1.5</v>
      </c>
      <c r="AF164" s="87">
        <f t="shared" si="50"/>
        <v>0.6</v>
      </c>
      <c r="AG164" s="87">
        <f t="shared" si="51"/>
        <v>0.3</v>
      </c>
      <c r="AH164" s="87">
        <f t="shared" si="52"/>
        <v>0.3</v>
      </c>
      <c r="AI164" s="153">
        <f t="shared" si="53"/>
        <v>0</v>
      </c>
      <c r="AJ164" s="2">
        <f t="shared" si="54"/>
        <v>0.75</v>
      </c>
    </row>
    <row r="165" spans="1:36" x14ac:dyDescent="0.3">
      <c r="A165" s="211">
        <v>27</v>
      </c>
      <c r="B165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65" s="2" t="str">
        <f t="shared" si="47"/>
        <v>E27I3</v>
      </c>
      <c r="D165" t="str">
        <f t="shared" si="48"/>
        <v>E27</v>
      </c>
      <c r="E165" s="87" t="s">
        <v>385</v>
      </c>
      <c r="F165" s="157">
        <v>1</v>
      </c>
      <c r="G165" s="87" t="s">
        <v>386</v>
      </c>
      <c r="H165" s="87" t="s">
        <v>509</v>
      </c>
      <c r="I165" s="87"/>
      <c r="J165" s="87"/>
      <c r="K165" s="87" t="s">
        <v>292</v>
      </c>
      <c r="L165" s="87" t="s">
        <v>37</v>
      </c>
      <c r="M165" s="87" t="s">
        <v>172</v>
      </c>
      <c r="N165" s="87">
        <v>7</v>
      </c>
      <c r="O165" s="87" t="s">
        <v>454</v>
      </c>
      <c r="P165" s="87">
        <v>90</v>
      </c>
      <c r="Q165" s="87">
        <v>90</v>
      </c>
      <c r="R165" s="94">
        <f t="shared" si="46"/>
        <v>0</v>
      </c>
      <c r="S165" s="89"/>
      <c r="T165" s="89"/>
      <c r="U165" s="87" t="s">
        <v>9</v>
      </c>
      <c r="V165" s="87" t="s">
        <v>293</v>
      </c>
      <c r="W165" s="87" t="s">
        <v>211</v>
      </c>
      <c r="X165" s="87" t="s">
        <v>463</v>
      </c>
      <c r="Y165" s="87">
        <v>2.5</v>
      </c>
      <c r="Z165" s="87">
        <v>1</v>
      </c>
      <c r="AA165" s="88">
        <f t="shared" si="49"/>
        <v>4000</v>
      </c>
      <c r="AB165" s="87" t="s">
        <v>334</v>
      </c>
      <c r="AC165" s="90" t="s">
        <v>301</v>
      </c>
      <c r="AD165" s="87">
        <v>0.9</v>
      </c>
      <c r="AE165" s="87">
        <v>1.5</v>
      </c>
      <c r="AF165" s="87">
        <f t="shared" si="50"/>
        <v>0.6</v>
      </c>
      <c r="AG165" s="87">
        <f t="shared" si="51"/>
        <v>0.375</v>
      </c>
      <c r="AH165" s="87">
        <f t="shared" si="52"/>
        <v>0.375</v>
      </c>
      <c r="AI165" s="153">
        <f t="shared" si="53"/>
        <v>0</v>
      </c>
      <c r="AJ165" s="2">
        <f t="shared" si="54"/>
        <v>0.63</v>
      </c>
    </row>
    <row r="166" spans="1:36" x14ac:dyDescent="0.3">
      <c r="A166" s="211">
        <v>27</v>
      </c>
      <c r="B166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66" s="2" t="str">
        <f t="shared" si="47"/>
        <v>E27I3</v>
      </c>
      <c r="D166" t="str">
        <f t="shared" si="48"/>
        <v>E27</v>
      </c>
      <c r="E166" s="87" t="s">
        <v>387</v>
      </c>
      <c r="F166" s="157">
        <v>1</v>
      </c>
      <c r="G166" s="87" t="s">
        <v>297</v>
      </c>
      <c r="H166" s="87" t="s">
        <v>509</v>
      </c>
      <c r="I166" s="87"/>
      <c r="J166" s="87"/>
      <c r="K166" s="87" t="s">
        <v>292</v>
      </c>
      <c r="L166" s="87" t="s">
        <v>37</v>
      </c>
      <c r="M166" s="87" t="s">
        <v>172</v>
      </c>
      <c r="N166" s="87">
        <v>7</v>
      </c>
      <c r="O166" s="87" t="s">
        <v>454</v>
      </c>
      <c r="P166" s="87">
        <v>90</v>
      </c>
      <c r="Q166" s="87">
        <v>90</v>
      </c>
      <c r="R166" s="94">
        <f t="shared" si="46"/>
        <v>0</v>
      </c>
      <c r="S166" s="89"/>
      <c r="T166" s="89"/>
      <c r="U166" s="87" t="s">
        <v>9</v>
      </c>
      <c r="V166" s="87" t="s">
        <v>293</v>
      </c>
      <c r="W166" s="87" t="s">
        <v>211</v>
      </c>
      <c r="X166" s="87" t="s">
        <v>463</v>
      </c>
      <c r="Y166" s="87">
        <v>2.5</v>
      </c>
      <c r="Z166" s="87">
        <v>1</v>
      </c>
      <c r="AA166" s="88">
        <f t="shared" si="49"/>
        <v>4000</v>
      </c>
      <c r="AB166" s="87" t="s">
        <v>334</v>
      </c>
      <c r="AC166" s="90" t="s">
        <v>301</v>
      </c>
      <c r="AD166" s="87">
        <v>0.9</v>
      </c>
      <c r="AE166" s="87">
        <v>1.5</v>
      </c>
      <c r="AF166" s="87">
        <f t="shared" si="50"/>
        <v>0.6</v>
      </c>
      <c r="AG166" s="87">
        <f t="shared" si="51"/>
        <v>0.375</v>
      </c>
      <c r="AH166" s="87">
        <f t="shared" si="52"/>
        <v>0.375</v>
      </c>
      <c r="AI166" s="153">
        <f t="shared" si="53"/>
        <v>0</v>
      </c>
      <c r="AJ166" s="2">
        <f t="shared" si="54"/>
        <v>0.63</v>
      </c>
    </row>
    <row r="167" spans="1:36" x14ac:dyDescent="0.3">
      <c r="A167" s="211">
        <v>28</v>
      </c>
      <c r="B167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67" s="2" t="str">
        <f t="shared" si="47"/>
        <v>E28I1</v>
      </c>
      <c r="D167" t="str">
        <f t="shared" si="48"/>
        <v>E28</v>
      </c>
      <c r="E167" s="87" t="s">
        <v>374</v>
      </c>
      <c r="F167" s="157">
        <v>10</v>
      </c>
      <c r="G167" s="89" t="s">
        <v>7</v>
      </c>
      <c r="H167" s="87" t="s">
        <v>509</v>
      </c>
      <c r="I167" s="87" t="s">
        <v>367</v>
      </c>
      <c r="J167" s="87"/>
      <c r="K167" s="87" t="s">
        <v>292</v>
      </c>
      <c r="L167" s="87" t="s">
        <v>177</v>
      </c>
      <c r="M167" s="87"/>
      <c r="N167" s="87">
        <v>15</v>
      </c>
      <c r="O167" s="87" t="s">
        <v>453</v>
      </c>
      <c r="P167" s="87">
        <v>77</v>
      </c>
      <c r="Q167" s="87">
        <v>85</v>
      </c>
      <c r="R167" s="94">
        <f t="shared" si="46"/>
        <v>9.4117647058823473E-2</v>
      </c>
      <c r="S167" s="87" t="s">
        <v>37</v>
      </c>
      <c r="T167" s="87" t="s">
        <v>455</v>
      </c>
      <c r="U167" s="87" t="s">
        <v>9</v>
      </c>
      <c r="V167" s="87" t="s">
        <v>460</v>
      </c>
      <c r="W167" s="87" t="s">
        <v>446</v>
      </c>
      <c r="X167" s="87" t="s">
        <v>4</v>
      </c>
      <c r="Y167" s="87">
        <v>2</v>
      </c>
      <c r="Z167" s="87">
        <v>1.1000000000000001</v>
      </c>
      <c r="AA167" s="88">
        <f t="shared" si="49"/>
        <v>4545.454545454545</v>
      </c>
      <c r="AB167" s="87" t="s">
        <v>313</v>
      </c>
      <c r="AC167" s="91" t="s">
        <v>422</v>
      </c>
      <c r="AD167" s="87">
        <v>0.8</v>
      </c>
      <c r="AE167" s="87">
        <v>1.8</v>
      </c>
      <c r="AF167" s="87">
        <f t="shared" si="50"/>
        <v>1</v>
      </c>
      <c r="AG167" s="87">
        <f t="shared" si="51"/>
        <v>0.3</v>
      </c>
      <c r="AH167" s="87">
        <f t="shared" si="52"/>
        <v>0.3</v>
      </c>
      <c r="AI167" s="153">
        <f t="shared" si="53"/>
        <v>1.8823529411764694E-2</v>
      </c>
      <c r="AJ167" s="2">
        <f t="shared" si="54"/>
        <v>1.1283529411764706</v>
      </c>
    </row>
    <row r="168" spans="1:36" x14ac:dyDescent="0.3">
      <c r="A168" s="211">
        <v>28</v>
      </c>
      <c r="B168" s="2" t="str">
        <f>IF(OR(Tableau3[[#This Row],[E-I]]="E12I1",Tableau3[[#This Row],[E-I]]="E12I2",Tableau3[[#This Row],[E-I]]="E17I2",Tableau3[[#This Row],[E-I]]="E27I1",Tableau3[[#This Row],[E-I]]="E27I2",Tableau3[[#This Row],[E-I]]="E27I3",Tableau3[[#This Row],[E-I]]="E28I1",Tableau3[[#This Row],[E-I]]="E28I2",Tableau3[[#This Row],[E-I]]="E2I1",Tableau3[[#This Row],[E-I]]="E6I1"),"1",IF(OR(Tableau3[[#This Row],[E-I]]="E13I1",Tableau3[[#This Row],[E-I]]="E13I2",Tableau3[[#This Row],[E-I]]="E16I1",Tableau3[[#This Row],[E-I]]="E1I1",Tableau3[[#This Row],[E-I]]="E21I1",Tableau3[[#This Row],[E-I]]="E21I2",Tableau3[[#This Row],[E-I]]="E21I3",Tableau3[[#This Row],[E-I]]="E9I1",Tableau3[[#This Row],[E-I]]="E9I2"),"2",IF(OR(Tableau3[[#This Row],[E-I]]="E10I1",Tableau3[[#This Row],[E-I]]="E10I2",Tableau3[[#This Row],[E-I]]="E10I3",Tableau3[[#This Row],[E-I]]="E14I1",Tableau3[[#This Row],[E-I]]="E14I2",Tableau3[[#This Row],[E-I]]="E19I1",Tableau3[[#This Row],[E-I]]="E19I2",Tableau3[[#This Row],[E-I]]="E24I1",Tableau3[[#This Row],[E-I]]="E24I2",Tableau3[[#This Row],[E-I]]="E7I1",Tableau3[[#This Row],[E-I]]="E7I2",Tableau3[[#This Row],[E-I]]="E8I2"),"3",IF(OR(Tableau3[[#This Row],[E-I]]="E15I1",Tableau3[[#This Row],[E-I]]="E17I1",Tableau3[[#This Row],[E-I]]="E18I1",Tableau3[[#This Row],[E-I]]="E20I1",Tableau3[[#This Row],[E-I]]="E22I1",Tableau3[[#This Row],[E-I]]="E25I1",Tableau3[[#This Row],[E-I]]="E25I2",Tableau3[[#This Row],[E-I]]="E26I1",Tableau3[[#This Row],[E-I]]="E5I1",Tableau3[[#This Row],[E-I]]="E8I1"),"4","5"))))</f>
        <v>1</v>
      </c>
      <c r="C168" s="2" t="str">
        <f t="shared" si="47"/>
        <v>E28I2</v>
      </c>
      <c r="D168" t="str">
        <f t="shared" si="48"/>
        <v>E28</v>
      </c>
      <c r="E168" s="87" t="s">
        <v>375</v>
      </c>
      <c r="F168" s="157">
        <v>10</v>
      </c>
      <c r="G168" s="89" t="s">
        <v>7</v>
      </c>
      <c r="H168" s="89" t="s">
        <v>7</v>
      </c>
      <c r="I168" s="89"/>
      <c r="J168" s="89"/>
      <c r="K168" s="87" t="s">
        <v>292</v>
      </c>
      <c r="L168" s="87" t="s">
        <v>177</v>
      </c>
      <c r="M168" s="87"/>
      <c r="N168" s="87">
        <v>15</v>
      </c>
      <c r="O168" s="87" t="s">
        <v>453</v>
      </c>
      <c r="P168" s="87">
        <v>77</v>
      </c>
      <c r="Q168" s="87">
        <v>85</v>
      </c>
      <c r="R168" s="94">
        <f t="shared" si="46"/>
        <v>9.4117647058823473E-2</v>
      </c>
      <c r="S168" s="87" t="s">
        <v>37</v>
      </c>
      <c r="T168" s="87" t="s">
        <v>455</v>
      </c>
      <c r="U168" s="87" t="s">
        <v>9</v>
      </c>
      <c r="V168" s="87" t="s">
        <v>460</v>
      </c>
      <c r="W168" s="87" t="s">
        <v>446</v>
      </c>
      <c r="X168" s="87" t="s">
        <v>4</v>
      </c>
      <c r="Y168" s="87">
        <v>2.5</v>
      </c>
      <c r="Z168" s="87">
        <v>0.9</v>
      </c>
      <c r="AA168" s="88">
        <f t="shared" si="49"/>
        <v>4444.4444444444443</v>
      </c>
      <c r="AB168" s="87" t="s">
        <v>313</v>
      </c>
      <c r="AC168" s="91" t="s">
        <v>422</v>
      </c>
      <c r="AD168" s="87">
        <v>0.8</v>
      </c>
      <c r="AE168" s="87">
        <v>1.8</v>
      </c>
      <c r="AF168" s="87">
        <f t="shared" si="50"/>
        <v>1</v>
      </c>
      <c r="AG168" s="87">
        <f t="shared" si="51"/>
        <v>0.375</v>
      </c>
      <c r="AH168" s="87">
        <f t="shared" si="52"/>
        <v>0.375</v>
      </c>
      <c r="AI168" s="153">
        <f t="shared" si="53"/>
        <v>1.8823529411764694E-2</v>
      </c>
      <c r="AJ168" s="2">
        <f t="shared" si="54"/>
        <v>0.93211764705882361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9538-880E-4FF5-8639-64469D1386C7}">
  <dimension ref="A1:O29"/>
  <sheetViews>
    <sheetView workbookViewId="0">
      <selection activeCell="C24" sqref="C24"/>
    </sheetView>
  </sheetViews>
  <sheetFormatPr baseColWidth="10" defaultRowHeight="14.4" x14ac:dyDescent="0.3"/>
  <cols>
    <col min="2" max="3" width="12.88671875" customWidth="1"/>
    <col min="5" max="5" width="16.6640625" customWidth="1"/>
    <col min="7" max="7" width="13.6640625" customWidth="1"/>
    <col min="8" max="8" width="12.6640625" customWidth="1"/>
    <col min="11" max="11" width="14.6640625" customWidth="1"/>
    <col min="13" max="13" width="14.109375" customWidth="1"/>
    <col min="15" max="15" width="18.33203125" customWidth="1"/>
  </cols>
  <sheetData>
    <row r="1" spans="1:15" x14ac:dyDescent="0.3">
      <c r="A1" t="s">
        <v>957</v>
      </c>
      <c r="B1" t="s">
        <v>958</v>
      </c>
      <c r="C1" t="s">
        <v>1066</v>
      </c>
      <c r="D1" t="s">
        <v>959</v>
      </c>
      <c r="E1" t="s">
        <v>960</v>
      </c>
      <c r="F1" t="s">
        <v>972</v>
      </c>
      <c r="G1" t="s">
        <v>961</v>
      </c>
      <c r="H1" t="s">
        <v>985</v>
      </c>
      <c r="I1" t="s">
        <v>962</v>
      </c>
      <c r="J1" t="s">
        <v>963</v>
      </c>
      <c r="K1" t="s">
        <v>970</v>
      </c>
      <c r="L1" t="s">
        <v>965</v>
      </c>
      <c r="M1" t="s">
        <v>997</v>
      </c>
      <c r="N1" t="s">
        <v>964</v>
      </c>
      <c r="O1" t="s">
        <v>990</v>
      </c>
    </row>
    <row r="2" spans="1:15" x14ac:dyDescent="0.3">
      <c r="A2">
        <v>1</v>
      </c>
      <c r="B2" t="s">
        <v>980</v>
      </c>
      <c r="C2">
        <v>2</v>
      </c>
      <c r="D2" t="s">
        <v>908</v>
      </c>
      <c r="E2" t="s">
        <v>982</v>
      </c>
      <c r="G2" t="s">
        <v>1002</v>
      </c>
      <c r="H2" t="s">
        <v>984</v>
      </c>
      <c r="I2" t="s">
        <v>953</v>
      </c>
      <c r="J2" s="188" t="s">
        <v>983</v>
      </c>
      <c r="K2" s="188" t="s">
        <v>984</v>
      </c>
      <c r="L2" t="s">
        <v>979</v>
      </c>
    </row>
    <row r="3" spans="1:15" x14ac:dyDescent="0.3">
      <c r="A3">
        <v>2</v>
      </c>
      <c r="B3" t="s">
        <v>981</v>
      </c>
      <c r="C3">
        <v>1</v>
      </c>
      <c r="D3" t="s">
        <v>932</v>
      </c>
      <c r="E3" t="s">
        <v>982</v>
      </c>
      <c r="F3" t="s">
        <v>971</v>
      </c>
      <c r="G3" t="s">
        <v>1002</v>
      </c>
      <c r="J3" s="188"/>
      <c r="K3" s="188" t="s">
        <v>977</v>
      </c>
      <c r="L3" t="s">
        <v>1004</v>
      </c>
    </row>
    <row r="4" spans="1:15" x14ac:dyDescent="0.3">
      <c r="A4">
        <v>3</v>
      </c>
      <c r="B4" s="188" t="s">
        <v>905</v>
      </c>
      <c r="C4" s="188">
        <v>5</v>
      </c>
      <c r="D4" t="s">
        <v>978</v>
      </c>
      <c r="E4" s="188" t="s">
        <v>982</v>
      </c>
      <c r="F4" s="188"/>
      <c r="G4" s="188" t="s">
        <v>286</v>
      </c>
      <c r="H4" s="188"/>
      <c r="I4" s="188"/>
      <c r="J4" s="188" t="s">
        <v>956</v>
      </c>
      <c r="K4" s="188" t="s">
        <v>977</v>
      </c>
      <c r="L4" t="s">
        <v>969</v>
      </c>
    </row>
    <row r="5" spans="1:15" x14ac:dyDescent="0.3">
      <c r="A5">
        <v>4</v>
      </c>
      <c r="B5" s="188" t="s">
        <v>986</v>
      </c>
      <c r="C5" s="188">
        <v>5</v>
      </c>
      <c r="D5" t="s">
        <v>987</v>
      </c>
      <c r="E5" s="188" t="s">
        <v>928</v>
      </c>
      <c r="F5" s="188"/>
      <c r="G5" s="188" t="s">
        <v>286</v>
      </c>
      <c r="H5" s="188"/>
      <c r="I5" s="188"/>
      <c r="J5" s="188"/>
      <c r="K5" s="188"/>
      <c r="L5" t="s">
        <v>988</v>
      </c>
    </row>
    <row r="6" spans="1:15" x14ac:dyDescent="0.3">
      <c r="A6">
        <v>5</v>
      </c>
      <c r="B6" t="s">
        <v>924</v>
      </c>
      <c r="C6">
        <v>4</v>
      </c>
      <c r="D6" t="s">
        <v>925</v>
      </c>
      <c r="E6" t="s">
        <v>906</v>
      </c>
      <c r="G6" t="s">
        <v>989</v>
      </c>
      <c r="J6" s="188" t="s">
        <v>954</v>
      </c>
      <c r="K6" s="188"/>
      <c r="L6" t="s">
        <v>251</v>
      </c>
    </row>
    <row r="7" spans="1:15" x14ac:dyDescent="0.3">
      <c r="A7">
        <v>6</v>
      </c>
      <c r="B7" t="s">
        <v>922</v>
      </c>
      <c r="C7">
        <v>1</v>
      </c>
      <c r="D7" t="s">
        <v>923</v>
      </c>
      <c r="E7" t="s">
        <v>906</v>
      </c>
      <c r="G7" t="s">
        <v>1002</v>
      </c>
      <c r="H7" t="s">
        <v>991</v>
      </c>
      <c r="I7" t="s">
        <v>953</v>
      </c>
      <c r="J7" s="188" t="s">
        <v>956</v>
      </c>
      <c r="K7" s="188"/>
      <c r="L7" t="s">
        <v>979</v>
      </c>
      <c r="O7" t="s">
        <v>993</v>
      </c>
    </row>
    <row r="8" spans="1:15" x14ac:dyDescent="0.3">
      <c r="A8">
        <v>7</v>
      </c>
      <c r="B8" t="s">
        <v>973</v>
      </c>
      <c r="C8">
        <v>3</v>
      </c>
      <c r="D8" t="s">
        <v>974</v>
      </c>
      <c r="E8" t="s">
        <v>975</v>
      </c>
      <c r="G8" t="s">
        <v>286</v>
      </c>
      <c r="J8" s="188" t="s">
        <v>956</v>
      </c>
      <c r="K8" s="188" t="s">
        <v>976</v>
      </c>
      <c r="L8" t="s">
        <v>969</v>
      </c>
    </row>
    <row r="9" spans="1:15" x14ac:dyDescent="0.3">
      <c r="A9">
        <v>8</v>
      </c>
      <c r="B9" t="s">
        <v>926</v>
      </c>
      <c r="C9">
        <v>4</v>
      </c>
      <c r="D9" t="s">
        <v>927</v>
      </c>
      <c r="E9" t="s">
        <v>928</v>
      </c>
      <c r="G9" t="s">
        <v>989</v>
      </c>
      <c r="J9" s="188" t="s">
        <v>954</v>
      </c>
      <c r="K9" s="188"/>
      <c r="L9" t="s">
        <v>251</v>
      </c>
      <c r="O9" t="s">
        <v>1001</v>
      </c>
    </row>
    <row r="10" spans="1:15" x14ac:dyDescent="0.3">
      <c r="A10">
        <v>9</v>
      </c>
      <c r="B10" t="s">
        <v>939</v>
      </c>
      <c r="C10">
        <v>2</v>
      </c>
      <c r="D10" t="s">
        <v>940</v>
      </c>
      <c r="E10" t="s">
        <v>915</v>
      </c>
      <c r="F10" t="s">
        <v>977</v>
      </c>
      <c r="G10" t="s">
        <v>282</v>
      </c>
      <c r="I10" t="s">
        <v>286</v>
      </c>
      <c r="J10" s="188" t="s">
        <v>956</v>
      </c>
      <c r="K10" s="188" t="s">
        <v>971</v>
      </c>
      <c r="L10" t="s">
        <v>995</v>
      </c>
      <c r="O10" t="s">
        <v>1000</v>
      </c>
    </row>
    <row r="11" spans="1:15" x14ac:dyDescent="0.3">
      <c r="A11">
        <v>10</v>
      </c>
      <c r="B11" t="s">
        <v>941</v>
      </c>
      <c r="C11">
        <v>3</v>
      </c>
      <c r="D11" t="s">
        <v>942</v>
      </c>
      <c r="E11" t="s">
        <v>915</v>
      </c>
      <c r="F11" t="s">
        <v>996</v>
      </c>
      <c r="G11" t="s">
        <v>282</v>
      </c>
      <c r="J11" s="188" t="s">
        <v>956</v>
      </c>
      <c r="K11" s="188" t="s">
        <v>977</v>
      </c>
      <c r="L11" t="s">
        <v>998</v>
      </c>
      <c r="M11" t="s">
        <v>984</v>
      </c>
      <c r="N11" t="s">
        <v>995</v>
      </c>
    </row>
    <row r="12" spans="1:15" x14ac:dyDescent="0.3">
      <c r="A12">
        <v>11</v>
      </c>
      <c r="B12" t="s">
        <v>936</v>
      </c>
      <c r="C12">
        <v>5</v>
      </c>
      <c r="D12" t="s">
        <v>937</v>
      </c>
      <c r="E12" t="s">
        <v>938</v>
      </c>
      <c r="G12" t="s">
        <v>989</v>
      </c>
      <c r="J12" s="188" t="s">
        <v>954</v>
      </c>
      <c r="K12" s="188"/>
      <c r="L12" t="s">
        <v>979</v>
      </c>
    </row>
    <row r="13" spans="1:15" x14ac:dyDescent="0.3">
      <c r="A13">
        <v>12</v>
      </c>
      <c r="B13" t="s">
        <v>951</v>
      </c>
      <c r="C13">
        <v>1</v>
      </c>
      <c r="D13" t="s">
        <v>952</v>
      </c>
      <c r="E13" s="188" t="s">
        <v>968</v>
      </c>
      <c r="F13" s="188" t="s">
        <v>971</v>
      </c>
      <c r="G13" t="s">
        <v>286</v>
      </c>
      <c r="J13" s="188" t="s">
        <v>956</v>
      </c>
      <c r="K13" s="188" t="s">
        <v>971</v>
      </c>
      <c r="L13" t="s">
        <v>969</v>
      </c>
    </row>
    <row r="14" spans="1:15" x14ac:dyDescent="0.3">
      <c r="A14">
        <v>13</v>
      </c>
      <c r="B14" t="s">
        <v>918</v>
      </c>
      <c r="C14">
        <v>2</v>
      </c>
      <c r="D14" t="s">
        <v>919</v>
      </c>
      <c r="E14" t="s">
        <v>915</v>
      </c>
      <c r="G14" t="s">
        <v>282</v>
      </c>
      <c r="J14" s="188" t="s">
        <v>956</v>
      </c>
      <c r="K14" s="188" t="s">
        <v>977</v>
      </c>
      <c r="L14" t="s">
        <v>995</v>
      </c>
    </row>
    <row r="15" spans="1:15" x14ac:dyDescent="0.3">
      <c r="A15">
        <v>14</v>
      </c>
      <c r="B15" t="s">
        <v>920</v>
      </c>
      <c r="C15">
        <v>3</v>
      </c>
      <c r="D15" t="s">
        <v>921</v>
      </c>
      <c r="E15" t="s">
        <v>915</v>
      </c>
      <c r="G15" t="s">
        <v>1003</v>
      </c>
      <c r="J15" s="188" t="s">
        <v>956</v>
      </c>
      <c r="K15" s="188"/>
      <c r="L15" t="s">
        <v>995</v>
      </c>
      <c r="N15" t="s">
        <v>283</v>
      </c>
    </row>
    <row r="16" spans="1:15" x14ac:dyDescent="0.3">
      <c r="A16">
        <v>15</v>
      </c>
      <c r="B16" t="s">
        <v>911</v>
      </c>
      <c r="C16">
        <v>4</v>
      </c>
      <c r="D16" t="s">
        <v>912</v>
      </c>
      <c r="E16" t="s">
        <v>906</v>
      </c>
      <c r="F16" t="s">
        <v>977</v>
      </c>
      <c r="G16" t="s">
        <v>953</v>
      </c>
      <c r="J16" s="188" t="s">
        <v>956</v>
      </c>
      <c r="K16" s="188"/>
      <c r="O16" t="s">
        <v>992</v>
      </c>
    </row>
    <row r="17" spans="1:14" x14ac:dyDescent="0.3">
      <c r="A17">
        <v>16</v>
      </c>
      <c r="B17" t="s">
        <v>909</v>
      </c>
      <c r="C17">
        <v>2</v>
      </c>
      <c r="D17" t="s">
        <v>910</v>
      </c>
      <c r="E17" t="s">
        <v>906</v>
      </c>
      <c r="F17" t="s">
        <v>991</v>
      </c>
      <c r="G17" t="s">
        <v>953</v>
      </c>
      <c r="J17" s="188" t="s">
        <v>956</v>
      </c>
      <c r="K17" s="188"/>
      <c r="L17" t="s">
        <v>251</v>
      </c>
    </row>
    <row r="18" spans="1:14" x14ac:dyDescent="0.3">
      <c r="A18">
        <v>17</v>
      </c>
      <c r="B18" s="188" t="s">
        <v>907</v>
      </c>
      <c r="C18" s="188">
        <v>4</v>
      </c>
      <c r="D18" s="188" t="s">
        <v>908</v>
      </c>
      <c r="E18" s="188" t="s">
        <v>906</v>
      </c>
      <c r="F18" s="188" t="s">
        <v>971</v>
      </c>
      <c r="G18" s="188" t="s">
        <v>1002</v>
      </c>
      <c r="H18" s="188"/>
      <c r="I18" s="188"/>
      <c r="J18" s="188" t="s">
        <v>956</v>
      </c>
      <c r="K18" s="188"/>
      <c r="L18" t="s">
        <v>979</v>
      </c>
    </row>
    <row r="19" spans="1:14" x14ac:dyDescent="0.3">
      <c r="A19">
        <v>18</v>
      </c>
      <c r="B19" s="188" t="s">
        <v>966</v>
      </c>
      <c r="C19" s="188">
        <v>4</v>
      </c>
      <c r="D19" s="188" t="s">
        <v>967</v>
      </c>
      <c r="E19" s="188" t="s">
        <v>968</v>
      </c>
      <c r="F19" s="188" t="s">
        <v>971</v>
      </c>
      <c r="G19" s="188" t="s">
        <v>286</v>
      </c>
      <c r="H19" s="188"/>
      <c r="I19" s="188"/>
      <c r="J19" s="188"/>
      <c r="K19" s="188" t="s">
        <v>971</v>
      </c>
      <c r="L19" t="s">
        <v>969</v>
      </c>
    </row>
    <row r="20" spans="1:14" x14ac:dyDescent="0.3">
      <c r="A20">
        <v>19</v>
      </c>
      <c r="B20" t="s">
        <v>949</v>
      </c>
      <c r="C20">
        <v>3</v>
      </c>
      <c r="D20" t="s">
        <v>950</v>
      </c>
      <c r="E20" t="s">
        <v>915</v>
      </c>
      <c r="G20" t="s">
        <v>282</v>
      </c>
      <c r="J20" s="188" t="s">
        <v>956</v>
      </c>
      <c r="K20" s="188" t="s">
        <v>971</v>
      </c>
      <c r="L20" t="s">
        <v>995</v>
      </c>
    </row>
    <row r="21" spans="1:14" x14ac:dyDescent="0.3">
      <c r="A21">
        <v>20</v>
      </c>
      <c r="B21" t="s">
        <v>947</v>
      </c>
      <c r="C21">
        <v>4</v>
      </c>
      <c r="D21" t="s">
        <v>948</v>
      </c>
      <c r="E21" t="s">
        <v>915</v>
      </c>
      <c r="G21" t="s">
        <v>953</v>
      </c>
      <c r="J21" s="188" t="s">
        <v>956</v>
      </c>
      <c r="K21" s="188"/>
    </row>
    <row r="22" spans="1:14" x14ac:dyDescent="0.3">
      <c r="A22">
        <v>21</v>
      </c>
      <c r="B22" t="s">
        <v>943</v>
      </c>
      <c r="C22">
        <v>2</v>
      </c>
      <c r="D22" t="s">
        <v>944</v>
      </c>
      <c r="E22" t="s">
        <v>915</v>
      </c>
      <c r="F22" t="s">
        <v>971</v>
      </c>
      <c r="G22" t="s">
        <v>282</v>
      </c>
      <c r="J22" s="188" t="s">
        <v>956</v>
      </c>
      <c r="K22" s="188" t="s">
        <v>971</v>
      </c>
      <c r="L22" t="s">
        <v>998</v>
      </c>
      <c r="M22" t="s">
        <v>971</v>
      </c>
      <c r="N22" t="s">
        <v>283</v>
      </c>
    </row>
    <row r="23" spans="1:14" x14ac:dyDescent="0.3">
      <c r="A23">
        <v>22</v>
      </c>
      <c r="B23" t="s">
        <v>929</v>
      </c>
      <c r="C23">
        <v>4</v>
      </c>
      <c r="D23" t="s">
        <v>930</v>
      </c>
      <c r="E23" t="s">
        <v>915</v>
      </c>
      <c r="G23" t="s">
        <v>989</v>
      </c>
      <c r="J23" s="188" t="s">
        <v>954</v>
      </c>
      <c r="K23" s="188"/>
      <c r="L23" t="s">
        <v>998</v>
      </c>
    </row>
    <row r="24" spans="1:14" x14ac:dyDescent="0.3">
      <c r="A24">
        <v>23</v>
      </c>
      <c r="B24" t="s">
        <v>945</v>
      </c>
      <c r="C24">
        <v>5</v>
      </c>
      <c r="D24" t="s">
        <v>946</v>
      </c>
      <c r="E24" t="s">
        <v>906</v>
      </c>
      <c r="G24" t="s">
        <v>955</v>
      </c>
      <c r="J24" s="188" t="s">
        <v>956</v>
      </c>
      <c r="K24" s="188" t="s">
        <v>977</v>
      </c>
      <c r="L24" t="s">
        <v>999</v>
      </c>
    </row>
    <row r="25" spans="1:14" x14ac:dyDescent="0.3">
      <c r="A25">
        <v>24</v>
      </c>
      <c r="B25" t="s">
        <v>916</v>
      </c>
      <c r="C25">
        <v>3</v>
      </c>
      <c r="D25" t="s">
        <v>917</v>
      </c>
      <c r="E25" t="s">
        <v>915</v>
      </c>
      <c r="F25" t="s">
        <v>994</v>
      </c>
      <c r="G25" t="s">
        <v>282</v>
      </c>
      <c r="I25" t="s">
        <v>286</v>
      </c>
      <c r="J25" s="188" t="s">
        <v>956</v>
      </c>
      <c r="K25" s="188"/>
      <c r="L25" t="s">
        <v>995</v>
      </c>
    </row>
    <row r="26" spans="1:14" x14ac:dyDescent="0.3">
      <c r="A26">
        <v>25</v>
      </c>
      <c r="B26" t="s">
        <v>913</v>
      </c>
      <c r="C26">
        <v>4</v>
      </c>
      <c r="D26" t="s">
        <v>914</v>
      </c>
      <c r="E26" t="s">
        <v>915</v>
      </c>
      <c r="G26" t="s">
        <v>989</v>
      </c>
      <c r="J26" s="188" t="s">
        <v>956</v>
      </c>
      <c r="K26" s="188"/>
    </row>
    <row r="27" spans="1:14" x14ac:dyDescent="0.3">
      <c r="A27">
        <v>26</v>
      </c>
      <c r="B27" t="s">
        <v>935</v>
      </c>
      <c r="C27">
        <v>4</v>
      </c>
      <c r="D27" t="s">
        <v>914</v>
      </c>
      <c r="E27" t="s">
        <v>906</v>
      </c>
      <c r="G27" t="s">
        <v>953</v>
      </c>
      <c r="J27" s="188" t="s">
        <v>956</v>
      </c>
      <c r="K27" s="188"/>
    </row>
    <row r="28" spans="1:14" x14ac:dyDescent="0.3">
      <c r="A28">
        <v>27</v>
      </c>
      <c r="B28" t="s">
        <v>933</v>
      </c>
      <c r="C28">
        <v>1</v>
      </c>
      <c r="D28" t="s">
        <v>934</v>
      </c>
      <c r="E28" s="188" t="s">
        <v>968</v>
      </c>
      <c r="F28" s="188" t="s">
        <v>977</v>
      </c>
      <c r="G28" t="s">
        <v>286</v>
      </c>
      <c r="J28" s="188" t="s">
        <v>956</v>
      </c>
      <c r="K28" s="188"/>
      <c r="L28" t="s">
        <v>969</v>
      </c>
    </row>
    <row r="29" spans="1:14" x14ac:dyDescent="0.3">
      <c r="A29">
        <v>28</v>
      </c>
      <c r="B29" t="s">
        <v>931</v>
      </c>
      <c r="C29">
        <v>1</v>
      </c>
      <c r="D29" t="s">
        <v>932</v>
      </c>
      <c r="E29" t="s">
        <v>928</v>
      </c>
      <c r="F29" t="s">
        <v>971</v>
      </c>
      <c r="G29" t="s">
        <v>286</v>
      </c>
      <c r="J29" s="188" t="s">
        <v>956</v>
      </c>
      <c r="K29" s="188"/>
      <c r="L29" t="s">
        <v>969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5CAA-37A9-45E7-B5B4-C1F4093A4047}">
  <dimension ref="A1:P54"/>
  <sheetViews>
    <sheetView workbookViewId="0">
      <selection activeCell="N10" sqref="N10"/>
    </sheetView>
  </sheetViews>
  <sheetFormatPr baseColWidth="10" defaultRowHeight="14.4" x14ac:dyDescent="0.3"/>
  <cols>
    <col min="1" max="2" width="11.44140625" customWidth="1"/>
    <col min="4" max="4" width="13.6640625" customWidth="1"/>
    <col min="11" max="11" width="12.33203125" customWidth="1"/>
    <col min="12" max="12" width="11.88671875" customWidth="1"/>
    <col min="13" max="13" width="16.6640625" customWidth="1"/>
    <col min="15" max="15" width="11.6640625" customWidth="1"/>
  </cols>
  <sheetData>
    <row r="1" spans="1:16" ht="15" thickBot="1" x14ac:dyDescent="0.35">
      <c r="A1" s="202" t="s">
        <v>1057</v>
      </c>
      <c r="B1" s="208"/>
      <c r="C1" s="199" t="s">
        <v>835</v>
      </c>
      <c r="D1" s="197" t="s">
        <v>837</v>
      </c>
      <c r="E1" s="197" t="s">
        <v>838</v>
      </c>
      <c r="F1" s="197" t="s">
        <v>840</v>
      </c>
      <c r="G1" s="197" t="s">
        <v>888</v>
      </c>
      <c r="H1" s="197" t="s">
        <v>850</v>
      </c>
      <c r="I1" s="197" t="s">
        <v>855</v>
      </c>
      <c r="J1" s="197" t="s">
        <v>859</v>
      </c>
      <c r="K1" s="197" t="s">
        <v>864</v>
      </c>
      <c r="L1" s="197" t="s">
        <v>869</v>
      </c>
      <c r="M1" s="197" t="s">
        <v>873</v>
      </c>
      <c r="N1" s="197" t="s">
        <v>897</v>
      </c>
      <c r="O1" s="197" t="s">
        <v>876</v>
      </c>
      <c r="P1" s="198" t="s">
        <v>880</v>
      </c>
    </row>
    <row r="2" spans="1:16" x14ac:dyDescent="0.3">
      <c r="A2" s="203" t="s">
        <v>1058</v>
      </c>
      <c r="B2" s="209"/>
      <c r="C2" s="189" t="s">
        <v>845</v>
      </c>
      <c r="D2" s="194" t="s">
        <v>885</v>
      </c>
      <c r="E2" s="195" t="s">
        <v>848</v>
      </c>
      <c r="F2" s="195" t="s">
        <v>879</v>
      </c>
      <c r="G2" s="195" t="s">
        <v>889</v>
      </c>
      <c r="H2" s="195" t="s">
        <v>851</v>
      </c>
      <c r="I2" s="195" t="s">
        <v>160</v>
      </c>
      <c r="J2" s="195" t="s">
        <v>860</v>
      </c>
      <c r="K2" s="195" t="s">
        <v>865</v>
      </c>
      <c r="L2" s="195" t="s">
        <v>870</v>
      </c>
      <c r="M2" s="195" t="s">
        <v>896</v>
      </c>
      <c r="N2" s="195" t="s">
        <v>40</v>
      </c>
      <c r="O2" s="195" t="s">
        <v>129</v>
      </c>
      <c r="P2" s="196" t="s">
        <v>881</v>
      </c>
    </row>
    <row r="3" spans="1:16" x14ac:dyDescent="0.3">
      <c r="A3" s="203" t="s">
        <v>1059</v>
      </c>
      <c r="B3" s="209"/>
      <c r="C3" s="200" t="s">
        <v>846</v>
      </c>
      <c r="D3" s="190" t="s">
        <v>884</v>
      </c>
      <c r="E3" s="174" t="s">
        <v>849</v>
      </c>
      <c r="F3" s="174" t="s">
        <v>878</v>
      </c>
      <c r="G3" s="174" t="s">
        <v>842</v>
      </c>
      <c r="H3" s="174" t="s">
        <v>852</v>
      </c>
      <c r="I3" s="174" t="s">
        <v>856</v>
      </c>
      <c r="J3" s="174" t="s">
        <v>861</v>
      </c>
      <c r="K3" s="174" t="s">
        <v>866</v>
      </c>
      <c r="L3" s="174" t="s">
        <v>871</v>
      </c>
      <c r="M3" s="174" t="s">
        <v>895</v>
      </c>
      <c r="N3" s="174" t="s">
        <v>875</v>
      </c>
      <c r="O3" s="174" t="s">
        <v>877</v>
      </c>
      <c r="P3" s="191" t="s">
        <v>882</v>
      </c>
    </row>
    <row r="4" spans="1:16" x14ac:dyDescent="0.3">
      <c r="A4" s="203" t="s">
        <v>1060</v>
      </c>
      <c r="B4" s="209"/>
      <c r="C4" s="200" t="s">
        <v>847</v>
      </c>
      <c r="D4" s="174" t="s">
        <v>839</v>
      </c>
      <c r="E4" s="174"/>
      <c r="F4" s="174"/>
      <c r="G4" s="174" t="s">
        <v>843</v>
      </c>
      <c r="H4" s="174" t="s">
        <v>853</v>
      </c>
      <c r="I4" s="174" t="s">
        <v>857</v>
      </c>
      <c r="J4" s="174" t="s">
        <v>862</v>
      </c>
      <c r="K4" s="174" t="s">
        <v>867</v>
      </c>
      <c r="L4" s="174" t="s">
        <v>872</v>
      </c>
      <c r="M4" s="174" t="s">
        <v>894</v>
      </c>
      <c r="N4" s="174"/>
      <c r="O4" s="174"/>
      <c r="P4" s="191"/>
    </row>
    <row r="5" spans="1:16" ht="15" thickBot="1" x14ac:dyDescent="0.35">
      <c r="A5" s="203" t="s">
        <v>1061</v>
      </c>
      <c r="B5" s="210"/>
      <c r="C5" s="201" t="s">
        <v>836</v>
      </c>
      <c r="D5" s="192"/>
      <c r="E5" s="192"/>
      <c r="F5" s="192"/>
      <c r="G5" s="192" t="s">
        <v>844</v>
      </c>
      <c r="H5" s="192" t="s">
        <v>854</v>
      </c>
      <c r="I5" s="192" t="s">
        <v>858</v>
      </c>
      <c r="J5" s="192" t="s">
        <v>863</v>
      </c>
      <c r="K5" s="192" t="s">
        <v>868</v>
      </c>
      <c r="L5" s="192"/>
      <c r="M5" s="192" t="s">
        <v>874</v>
      </c>
      <c r="N5" s="192"/>
      <c r="O5" s="192"/>
      <c r="P5" s="193"/>
    </row>
    <row r="9" spans="1:16" x14ac:dyDescent="0.3">
      <c r="A9" s="177" t="s">
        <v>898</v>
      </c>
      <c r="B9" s="177" t="s">
        <v>899</v>
      </c>
      <c r="C9" s="178" t="s">
        <v>835</v>
      </c>
      <c r="D9" s="178" t="s">
        <v>837</v>
      </c>
      <c r="E9" s="178" t="s">
        <v>838</v>
      </c>
      <c r="F9" s="178" t="s">
        <v>840</v>
      </c>
      <c r="G9" s="178" t="s">
        <v>841</v>
      </c>
      <c r="H9" s="178" t="s">
        <v>850</v>
      </c>
      <c r="I9" s="178" t="s">
        <v>855</v>
      </c>
      <c r="J9" s="178" t="s">
        <v>859</v>
      </c>
      <c r="K9" s="178" t="s">
        <v>864</v>
      </c>
      <c r="L9" s="178" t="s">
        <v>869</v>
      </c>
      <c r="M9" s="178" t="s">
        <v>873</v>
      </c>
      <c r="N9" s="178" t="s">
        <v>897</v>
      </c>
      <c r="O9" s="178" t="s">
        <v>876</v>
      </c>
      <c r="P9" s="179" t="s">
        <v>880</v>
      </c>
    </row>
    <row r="10" spans="1:16" x14ac:dyDescent="0.3">
      <c r="A10" s="175" t="s">
        <v>61</v>
      </c>
      <c r="B10" s="175">
        <v>1.1000000000000001</v>
      </c>
      <c r="C10" s="174" t="str">
        <f>IF(îlot!O2&gt;=6,typo!$C$4,IF(AND(îlot!O2&lt;6,îlot!O2&gt;=4),typo!$C$3,IF(AND(îlot!O2&lt;4,îlot!O2&gt;=1),typo!$C$2,typo!$C$5)))</f>
        <v>IR_intensif</v>
      </c>
      <c r="D10" s="174" t="str">
        <f>IF(îlot!Q2&gt;=0.8,typo!$D$2,IF(AND(îlot!Q2&lt;0.8,îlot!Q2&gt;0.5),typo!$D$3,IF(îlot!Q2&lt;=0.5,typo!$D$4,typo!$D$5)))</f>
        <v>&gt;80%IR</v>
      </c>
      <c r="E10" s="174" t="str">
        <f>IF(îlot!R2&gt;=25,typo!$E$3,typo!$E$2)</f>
        <v>IR_prof</v>
      </c>
      <c r="F10" s="174" t="str">
        <f>IF(îlot!S2="charrue",typo!$F$2,typo!$F$3)</f>
        <v>no_returnIR</v>
      </c>
      <c r="G10" s="174" t="str">
        <f>IF(îlot!CN2=0,typo!$G$2,IF(îlot!CN2=3,typo!$G$5,IF(îlot!CN2=2,typo!$G$3,IF(îlot!CN2=1,typo!$G$4,"error"))))</f>
        <v>R_mixte</v>
      </c>
      <c r="H10" s="174" t="str">
        <f>IF(îlot!EE2="permanent",typo!$H$3,IF(îlot!EE2="semi-permanent",typo!$H$4,IF(îlot!EE2="hivernal",typo!$H$5,typo!$H$2)))</f>
        <v>no_herb</v>
      </c>
      <c r="I10" s="174" t="str">
        <f>IF(îlot!EN2=0,typo!$I$5,IF(îlot!EN2=1,typo!$I$2,IF(îlot!EN2=3,typo!$I$3,typo!$I$4)))</f>
        <v>no_AM</v>
      </c>
      <c r="J10" s="174" t="str">
        <f>IF(îlot!FI2=0,typo!$J$5,IF(îlot!FI2=1,typo!$J$2,IF(îlot!FI2=2,typo!$J$3,typo!$J$4)))</f>
        <v>ferti_orga</v>
      </c>
      <c r="K10" s="174" t="str">
        <f>IF(OR(îlot!GJ2="bon",îlot!GJ2="moyen"),typo!$K$5,IF(îlot!GJ2="mauvais",typo!$K$4,IF(îlot!GJ2="tres_mauvais",typo!$K$3,typo!$K$2)))</f>
        <v>D_good</v>
      </c>
      <c r="L10" s="174" t="str">
        <f>IF(îlot!IA2="drain",typo!$L$2,IF(îlot!IA2="surface",typo!$L$3,typo!$L$4))</f>
        <v>S_surf</v>
      </c>
      <c r="M10" s="174" t="str">
        <f>IF(AND(îlot!HG2&lt;=200,îlot!HG2&gt;0),typo!$M$4,IF(AND(îlot!HG2&gt;200,îlot!HG2&lt;=400),typo!$M$3,IF(îlot!HG2&gt;400,typo!$M$2,typo!$M$5)))</f>
        <v>200-400mm</v>
      </c>
      <c r="N10" s="174" t="str">
        <f>IF(îlot!JZ2="oui",typo!$N$2,typo!$N$3)</f>
        <v>drain</v>
      </c>
      <c r="O10" s="174" t="str">
        <f>IF(îlot!JL2=0,typo!$O$3,typo!$O$2)</f>
        <v>no_irrig</v>
      </c>
      <c r="P10" s="176" t="str">
        <f>IF(OR(îlot!KI2="charrue",îlot!KL2="charrue",îlot!KO2="charrue",îlot!KR2="charrue"),typo!$P$2,typo!$P$3)</f>
        <v>no_returnsol</v>
      </c>
    </row>
    <row r="11" spans="1:16" x14ac:dyDescent="0.3">
      <c r="A11" s="175" t="s">
        <v>60</v>
      </c>
      <c r="B11" s="175">
        <v>2.1</v>
      </c>
      <c r="C11" s="174" t="str">
        <f>IF(îlot!O3&gt;=6,typo!$C$4,IF(AND(îlot!O3&lt;6,îlot!O3&gt;=4),typo!$C$3,IF(AND(îlot!O3&lt;4,îlot!O3&gt;=1),typo!$C$2,typo!$C$5)))</f>
        <v>IR_intensif</v>
      </c>
      <c r="D11" s="174" t="str">
        <f>IF(îlot!Q3&gt;=0.8,typo!$D$2,IF(AND(îlot!Q3&lt;0.8,îlot!Q3&gt;0.5),typo!$D$3,IF(îlot!Q3&lt;=0.5,typo!$D$4,typo!$D$5)))</f>
        <v>&gt;80%IR</v>
      </c>
      <c r="E11" s="174" t="str">
        <f>IF(îlot!R3&gt;=30,typo!$E$3,typo!$E$2)</f>
        <v>IR_superf</v>
      </c>
      <c r="F11" s="174" t="str">
        <f>IF(îlot!S3="charrue",typo!$F$2,typo!$F$3)</f>
        <v>no_returnIR</v>
      </c>
      <c r="G11" s="174" t="str">
        <f>IF(îlot!CN3=0,typo!$G$2,IF(îlot!CN3=3,typo!$G$5,IF(îlot!CN3=2,typo!$G$3,IF(îlot!CN3=1,typo!$G$4,"error"))))</f>
        <v>R_mixte</v>
      </c>
      <c r="H11" s="174" t="str">
        <f>IF(îlot!EE3="permanent",typo!$H$3,IF(îlot!EE3="semi-permanent",typo!$H$4,IF(îlot!EE3="hivernal",typo!$H$5,typo!$H$2)))</f>
        <v>H_hiver</v>
      </c>
      <c r="I11" s="174" t="str">
        <f>IF(îlot!EN3=0,typo!$I$5,IF(îlot!EN3=1,typo!$I$2,IF(îlot!EN3=3,typo!$I$3,typo!$I$4)))</f>
        <v>no_AM</v>
      </c>
      <c r="J11" s="174" t="str">
        <f>IF(îlot!FI3=0,typo!$J$5,IF(îlot!FI3=1,typo!$J$2,IF(îlot!FI3=2,typo!$J$3,typo!$J$4)))</f>
        <v>ferti_orga</v>
      </c>
      <c r="K11" s="174" t="str">
        <f>IF(OR(îlot!GJ3="bon",îlot!GJ3="moyen"),typo!$K$5,IF(îlot!GJ3="mauvais",typo!$K$4,IF(îlot!GJ3="tres_mauvais",typo!$K$3,typo!$K$2)))</f>
        <v>D_good</v>
      </c>
      <c r="L11" s="174" t="str">
        <f>IF(îlot!IA3="drain",typo!$L$2,IF(îlot!IA3="surface",typo!$L$3,typo!$L$4))</f>
        <v>S_drain</v>
      </c>
      <c r="M11" s="174" t="str">
        <f>IF(AND(îlot!HG3&lt;=200,îlot!HG3&gt;0),typo!$M$4,IF(AND(îlot!HG3&gt;200,îlot!HG3&lt;=400),typo!$M$3,IF(îlot!HG3&gt;400,typo!$M$2,typo!$M$5)))</f>
        <v>200-400mm</v>
      </c>
      <c r="N11" s="174" t="str">
        <f>IF(îlot!JZ3="oui",typo!$N$2,typo!$N$3)</f>
        <v>drain</v>
      </c>
      <c r="O11" s="174" t="str">
        <f>IF(îlot!JL3=0,typo!$O$3,typo!$O$2)</f>
        <v>no_irrig</v>
      </c>
      <c r="P11" s="176" t="str">
        <f>IF(OR(îlot!KI3="charrue",îlot!KL3="charrue",îlot!KO3="charrue",îlot!KR3="charrue"),typo!$P$2,typo!$P$3)</f>
        <v>no_returnsol</v>
      </c>
    </row>
    <row r="12" spans="1:16" x14ac:dyDescent="0.3">
      <c r="A12" s="175" t="s">
        <v>5</v>
      </c>
      <c r="B12" s="175">
        <v>3.2</v>
      </c>
      <c r="C12" s="174" t="str">
        <f>IF(îlot!O4&gt;=6,typo!$C$4,IF(AND(îlot!O4&lt;6,îlot!O4&gt;=4),typo!$C$3,IF(AND(îlot!O4&lt;4,îlot!O4&gt;=1),typo!$C$2,typo!$C$5)))</f>
        <v>IR_faible</v>
      </c>
      <c r="D12" s="174" t="str">
        <f>IF(îlot!Q4&gt;=0.8,typo!$D$2,IF(AND(îlot!Q4&lt;0.8,îlot!Q4&gt;0.5),typo!$D$3,IF(îlot!Q4&lt;=0.5,typo!$D$4,typo!$D$5)))</f>
        <v>&lt;50%IR</v>
      </c>
      <c r="E12" s="174" t="str">
        <f>IF(îlot!R4&gt;=25,typo!$E$3,typo!$E$2)</f>
        <v>IR_prof</v>
      </c>
      <c r="F12" s="174" t="str">
        <f>IF(îlot!S4="charrue",typo!$F$2,typo!$F$3)</f>
        <v>no_returnIR</v>
      </c>
      <c r="G12" s="174" t="str">
        <f>IF(îlot!CN4=0,typo!$G$2,IF(îlot!CN4=3,typo!$G$5,IF(îlot!CN4=2,typo!$G$3,IF(îlot!CN4=1,typo!$G$4,"error"))))</f>
        <v>R_meca</v>
      </c>
      <c r="H12" s="174" t="str">
        <f>IF(îlot!EE4="permanent",typo!$H$3,IF(îlot!EE4="semi-permanent",typo!$H$4,IF(îlot!EE4="hivernal",typo!$H$5,typo!$H$2)))</f>
        <v>H_perm</v>
      </c>
      <c r="I12" s="174" t="str">
        <f>IF(îlot!EN4=0,typo!$I$5,IF(îlot!EN4=1,typo!$I$2,IF(îlot!EN4=3,typo!$I$3,typo!$I$4)))</f>
        <v>no_AM</v>
      </c>
      <c r="J12" s="174" t="str">
        <f>IF(îlot!FI4=0,typo!$J$5,IF(îlot!FI4=1,typo!$J$2,IF(îlot!FI4=2,typo!$J$3,typo!$J$4)))</f>
        <v>ferti_orga</v>
      </c>
      <c r="K12" s="174" t="str">
        <f>IF(OR(îlot!GJ4="bon",îlot!GJ4="moyen"),typo!$K$5,IF(îlot!GJ4="mauvais",typo!$K$4,IF(îlot!GJ4="tres_mauvais",typo!$K$3,typo!$K$2)))</f>
        <v>D_good</v>
      </c>
      <c r="L12" s="174" t="str">
        <f>IF(îlot!IA4="drain",typo!$L$2,IF(îlot!IA4="surface",typo!$L$3,typo!$L$4))</f>
        <v>S_drain</v>
      </c>
      <c r="M12" s="174" t="str">
        <f>IF(AND(îlot!HG4&lt;=200,îlot!HG4&gt;0),typo!$M$4,IF(AND(îlot!HG4&gt;200,îlot!HG4&lt;=400),typo!$M$3,IF(îlot!HG4&gt;400,typo!$M$2,typo!$M$5)))</f>
        <v>&lt;200mm</v>
      </c>
      <c r="N12" s="174" t="str">
        <f>IF(îlot!JZ4="oui",typo!$N$2,typo!$N$3)</f>
        <v>drain</v>
      </c>
      <c r="O12" s="174" t="str">
        <f>IF(îlot!JL4=0,typo!$O$3,typo!$O$2)</f>
        <v>no_irrig</v>
      </c>
      <c r="P12" s="176" t="str">
        <f>IF(OR(îlot!KI4="charrue",îlot!KL4="charrue",îlot!KO4="charrue",îlot!KR4="charrue"),typo!$P$2,typo!$P$3)</f>
        <v>no_returnsol</v>
      </c>
    </row>
    <row r="13" spans="1:16" x14ac:dyDescent="0.3">
      <c r="A13" s="175" t="s">
        <v>59</v>
      </c>
      <c r="B13" s="175">
        <v>4.0999999999999996</v>
      </c>
      <c r="C13" s="174" t="str">
        <f>IF(îlot!O5&gt;=6,typo!$C$4,IF(AND(îlot!O5&lt;6,îlot!O5&gt;=4),typo!$C$3,IF(AND(îlot!O5&lt;4,îlot!O5&gt;=1),typo!$C$2,typo!$C$5)))</f>
        <v>IR_faible</v>
      </c>
      <c r="D13" s="174" t="str">
        <f>IF(îlot!Q5&gt;=0.8,typo!$D$2,IF(AND(îlot!Q5&lt;0.8,îlot!Q5&gt;0.5),typo!$D$3,IF(îlot!Q5&lt;=0.5,typo!$D$4,typo!$D$5)))</f>
        <v>&lt;50%IR</v>
      </c>
      <c r="E13" s="174" t="str">
        <f>IF(îlot!R5&gt;=25,typo!$E$3,typo!$E$2)</f>
        <v>IR_prof</v>
      </c>
      <c r="F13" s="174" t="str">
        <f>IF(îlot!S5="charrue",typo!$F$2,typo!$F$3)</f>
        <v>no_returnIR</v>
      </c>
      <c r="G13" s="174" t="str">
        <f>IF(îlot!CN5=0,typo!$G$2,IF(îlot!CN5=3,typo!$G$5,IF(îlot!CN5=2,typo!$G$3,IF(îlot!CN5=1,typo!$G$4,"error"))))</f>
        <v>R_meca</v>
      </c>
      <c r="H13" s="174" t="str">
        <f>IF(îlot!EE5="permanent",typo!$H$3,IF(îlot!EE5="semi-permanent",typo!$H$4,IF(îlot!EE5="hivernal",typo!$H$5,typo!$H$2)))</f>
        <v>H_perm</v>
      </c>
      <c r="I13" s="174" t="str">
        <f>IF(îlot!EN5=0,typo!$I$5,IF(îlot!EN5=1,typo!$I$2,IF(îlot!EN5=3,typo!$I$3,typo!$I$4)))</f>
        <v>no_AM</v>
      </c>
      <c r="J13" s="174" t="str">
        <f>IF(îlot!FI5=0,typo!$J$5,IF(îlot!FI5=1,typo!$J$2,IF(îlot!FI5=2,typo!$J$3,typo!$J$4)))</f>
        <v>ferti_orga</v>
      </c>
      <c r="K13" s="174" t="str">
        <f>IF(OR(îlot!GJ5="bon",îlot!GJ5="moyen"),typo!$K$5,IF(îlot!GJ5="mauvais",typo!$K$4,IF(îlot!GJ5="tres_mauvais",typo!$K$3,typo!$K$2)))</f>
        <v>D_good</v>
      </c>
      <c r="L13" s="174" t="str">
        <f>IF(îlot!IA5="drain",typo!$L$2,IF(îlot!IA5="surface",typo!$L$3,typo!$L$4))</f>
        <v>S_surf</v>
      </c>
      <c r="M13" s="174" t="str">
        <f>IF(AND(îlot!HG5&lt;=200,îlot!HG5&gt;0),typo!$M$4,IF(AND(îlot!HG5&gt;200,îlot!HG5&lt;=400),typo!$M$3,IF(îlot!HG5&gt;400,typo!$M$2,typo!$M$5)))</f>
        <v>200-400mm</v>
      </c>
      <c r="N13" s="174" t="str">
        <f>IF(îlot!JZ5="oui",typo!$N$2,typo!$N$3)</f>
        <v>no_drain</v>
      </c>
      <c r="O13" s="174" t="str">
        <f>IF(îlot!JL5=0,typo!$O$3,typo!$O$2)</f>
        <v>no_irrig</v>
      </c>
      <c r="P13" s="176" t="str">
        <f>IF(OR(îlot!KI5="charrue",îlot!KL5="charrue",îlot!KO5="charrue",îlot!KR5="charrue"),typo!$P$2,typo!$P$3)</f>
        <v>no_returnsol</v>
      </c>
    </row>
    <row r="14" spans="1:16" x14ac:dyDescent="0.3">
      <c r="A14" s="175" t="s">
        <v>58</v>
      </c>
      <c r="B14" s="175">
        <v>5.0999999999999996</v>
      </c>
      <c r="C14" s="174" t="str">
        <f>IF(îlot!O6&gt;=6,typo!$C$4,IF(AND(îlot!O6&lt;6,îlot!O6&gt;=4),typo!$C$3,IF(AND(îlot!O6&lt;4,îlot!O6&gt;=1),typo!$C$2,typo!$C$5)))</f>
        <v>IR_modere</v>
      </c>
      <c r="D14" s="174" t="str">
        <f>IF(îlot!Q6&gt;=0.8,typo!$D$2,IF(AND(îlot!Q6&lt;0.8,îlot!Q6&gt;0.5),typo!$D$3,IF(îlot!Q6&lt;=0.5,typo!$D$4,typo!$D$5)))</f>
        <v>&gt;80%IR</v>
      </c>
      <c r="E14" s="174" t="str">
        <f>IF(îlot!R6&gt;=25,typo!$E$3,typo!$E$2)</f>
        <v>IR_prof</v>
      </c>
      <c r="F14" s="174" t="str">
        <f>IF(îlot!S6="charrue",typo!$F$2,typo!$F$3)</f>
        <v>no_returnIR</v>
      </c>
      <c r="G14" s="174" t="str">
        <f>IF(îlot!CN6=0,typo!$G$2,IF(îlot!CN6=3,typo!$G$5,IF(îlot!CN6=2,typo!$G$3,IF(îlot!CN6=1,typo!$G$4,"error"))))</f>
        <v>R_meca</v>
      </c>
      <c r="H14" s="174" t="str">
        <f>IF(îlot!EE6="permanent",typo!$H$3,IF(îlot!EE6="semi-permanent",typo!$H$4,IF(îlot!EE6="hivernal",typo!$H$5,typo!$H$2)))</f>
        <v>H_hiver</v>
      </c>
      <c r="I14" s="174" t="str">
        <f>IF(îlot!EN6=0,typo!$I$5,IF(îlot!EN6=1,typo!$I$2,IF(îlot!EN6=3,typo!$I$3,typo!$I$4)))</f>
        <v>no_AM</v>
      </c>
      <c r="J14" s="174" t="str">
        <f>IF(îlot!FI6=0,typo!$J$5,IF(îlot!FI6=1,typo!$J$2,IF(îlot!FI6=2,typo!$J$3,typo!$J$4)))</f>
        <v>ferti_orga</v>
      </c>
      <c r="K14" s="174" t="str">
        <f>IF(OR(îlot!GJ6="bon",îlot!GJ6="moyen"),typo!$K$5,IF(îlot!GJ6="mauvais",typo!$K$4,IF(îlot!GJ6="tres_mauvais",typo!$K$3,typo!$K$2)))</f>
        <v>D_good</v>
      </c>
      <c r="L14" s="174" t="str">
        <f>IF(îlot!IA6="drain",typo!$L$2,IF(îlot!IA6="surface",typo!$L$3,typo!$L$4))</f>
        <v>no_sub</v>
      </c>
      <c r="M14" s="174" t="str">
        <f>IF(AND(îlot!HG6&lt;=200,îlot!HG6&gt;0),typo!$M$4,IF(AND(îlot!HG6&gt;200,îlot!HG6&lt;=400),typo!$M$3,IF(îlot!HG6&gt;400,typo!$M$2,typo!$M$5)))</f>
        <v>0mm</v>
      </c>
      <c r="N14" s="174" t="str">
        <f>IF(îlot!JZ6="oui",typo!$N$2,typo!$N$3)</f>
        <v>drain</v>
      </c>
      <c r="O14" s="174" t="str">
        <f>IF(îlot!JL6=0,typo!$O$3,typo!$O$2)</f>
        <v>irrig</v>
      </c>
      <c r="P14" s="176" t="str">
        <f>IF(OR(îlot!KI6="charrue",îlot!KL6="charrue",îlot!KO6="charrue",îlot!KR6="charrue"),typo!$P$2,typo!$P$3)</f>
        <v>no_returnsol</v>
      </c>
    </row>
    <row r="15" spans="1:16" x14ac:dyDescent="0.3">
      <c r="A15" s="175" t="s">
        <v>57</v>
      </c>
      <c r="B15" s="175">
        <v>6.1</v>
      </c>
      <c r="C15" s="174" t="str">
        <f>IF(îlot!O7&gt;=6,typo!$C$4,IF(AND(îlot!O7&lt;6,îlot!O7&gt;=4),typo!$C$3,IF(AND(îlot!O7&lt;4,îlot!O7&gt;=1),typo!$C$2,typo!$C$5)))</f>
        <v>IR_modere</v>
      </c>
      <c r="D15" s="174" t="str">
        <f>IF(îlot!Q7&gt;=0.8,typo!$D$2,IF(AND(îlot!Q7&lt;0.8,îlot!Q7&gt;0.5),typo!$D$3,IF(îlot!Q7&lt;=0.5,typo!$D$4,typo!$D$5)))</f>
        <v>&gt;80%IR</v>
      </c>
      <c r="E15" s="174" t="str">
        <f>IF(îlot!R7&gt;=25,typo!$E$3,typo!$E$2)</f>
        <v>IR_prof</v>
      </c>
      <c r="F15" s="174" t="str">
        <f>IF(îlot!S7="charrue",typo!$F$2,typo!$F$3)</f>
        <v>no_returnIR</v>
      </c>
      <c r="G15" s="174" t="str">
        <f>IF(îlot!CN7=0,typo!$G$2,IF(îlot!CN7=3,typo!$G$5,IF(îlot!CN7=2,typo!$G$3,IF(îlot!CN7=1,typo!$G$4,"error"))))</f>
        <v>R_mixte</v>
      </c>
      <c r="H15" s="174" t="str">
        <f>IF(îlot!EE7="permanent",typo!$H$3,IF(îlot!EE7="semi-permanent",typo!$H$4,IF(îlot!EE7="hivernal",typo!$H$5,typo!$H$2)))</f>
        <v>H_hiver</v>
      </c>
      <c r="I15" s="174" t="str">
        <f>IF(îlot!EN7=0,typo!$I$5,IF(îlot!EN7=1,typo!$I$2,IF(îlot!EN7=3,typo!$I$3,typo!$I$4)))</f>
        <v>gypse</v>
      </c>
      <c r="J15" s="174" t="str">
        <f>IF(îlot!FI7=0,typo!$J$5,IF(îlot!FI7=1,typo!$J$2,IF(îlot!FI7=2,typo!$J$3,typo!$J$4)))</f>
        <v>ferti_mixte</v>
      </c>
      <c r="K15" s="174" t="str">
        <f>IF(OR(îlot!GJ7="bon",îlot!GJ7="moyen"),typo!$K$5,IF(îlot!GJ7="mauvais",typo!$K$4,IF(îlot!GJ7="tres_mauvais",typo!$K$3,typo!$K$2)))</f>
        <v>D_good</v>
      </c>
      <c r="L15" s="174" t="str">
        <f>IF(îlot!IA7="drain",typo!$L$2,IF(îlot!IA7="surface",typo!$L$3,typo!$L$4))</f>
        <v>S_drain</v>
      </c>
      <c r="M15" s="174" t="str">
        <f>IF(AND(îlot!HG7&lt;=200,îlot!HG7&gt;0),typo!$M$4,IF(AND(îlot!HG7&gt;200,îlot!HG7&lt;=400),typo!$M$3,IF(îlot!HG7&gt;400,typo!$M$2,typo!$M$5)))</f>
        <v>200-400mm</v>
      </c>
      <c r="N15" s="174" t="str">
        <f>IF(îlot!JZ7="oui",typo!$N$2,typo!$N$3)</f>
        <v>drain</v>
      </c>
      <c r="O15" s="174" t="str">
        <f>IF(îlot!JL7=0,typo!$O$3,typo!$O$2)</f>
        <v>no_irrig</v>
      </c>
      <c r="P15" s="176" t="str">
        <f>IF(OR(îlot!KI7="charrue",îlot!KL7="charrue",îlot!KO7="charrue",îlot!KR7="charrue"),typo!$P$2,typo!$P$3)</f>
        <v>returnsol</v>
      </c>
    </row>
    <row r="16" spans="1:16" x14ac:dyDescent="0.3">
      <c r="A16" s="175" t="s">
        <v>55</v>
      </c>
      <c r="B16" s="175">
        <v>7.1</v>
      </c>
      <c r="C16" s="174" t="str">
        <f>IF(îlot!O8&gt;=6,typo!$C$4,IF(AND(îlot!O8&lt;6,îlot!O8&gt;=4),typo!$C$3,IF(AND(îlot!O8&lt;4,îlot!O8&gt;=1),typo!$C$2,typo!$C$5)))</f>
        <v>IR_intensif</v>
      </c>
      <c r="D16" s="174" t="str">
        <f>IF(îlot!Q8&gt;=0.8,typo!$D$2,IF(AND(îlot!Q8&lt;0.8,îlot!Q8&gt;0.5),typo!$D$3,IF(îlot!Q8&lt;=0.5,typo!$D$4,typo!$D$5)))</f>
        <v>&gt;80%IR</v>
      </c>
      <c r="E16" s="174" t="str">
        <f>IF(îlot!R8&gt;=25,typo!$E$3,typo!$E$2)</f>
        <v>IR_prof</v>
      </c>
      <c r="F16" s="174" t="str">
        <f>IF(îlot!S8="charrue",typo!$F$2,typo!$F$3)</f>
        <v>no_returnIR</v>
      </c>
      <c r="G16" s="174" t="str">
        <f>IF(îlot!CN8=0,typo!$G$2,IF(îlot!CN8=3,typo!$G$5,IF(îlot!CN8=2,typo!$G$3,IF(îlot!CN8=1,typo!$G$4,"error"))))</f>
        <v>R_meca</v>
      </c>
      <c r="H16" s="174" t="str">
        <f>IF(îlot!EE8="permanent",typo!$H$3,IF(îlot!EE8="semi-permanent",typo!$H$4,IF(îlot!EE8="hivernal",typo!$H$5,typo!$H$2)))</f>
        <v>H_hiver</v>
      </c>
      <c r="I16" s="174" t="str">
        <f>IF(îlot!EN8=0,typo!$I$5,IF(îlot!EN8=1,typo!$I$2,IF(îlot!EN8=3,typo!$I$3,typo!$I$4)))</f>
        <v>no_AM</v>
      </c>
      <c r="J16" s="174" t="str">
        <f>IF(îlot!FI8=0,typo!$J$5,IF(îlot!FI8=1,typo!$J$2,IF(îlot!FI8=2,typo!$J$3,typo!$J$4)))</f>
        <v>ferti_mine</v>
      </c>
      <c r="K16" s="174" t="str">
        <f>IF(OR(îlot!GJ8="bon",îlot!GJ8="moyen"),typo!$K$5,IF(îlot!GJ8="mauvais",typo!$K$4,IF(îlot!GJ8="tres_mauvais",typo!$K$3,typo!$K$2)))</f>
        <v>no_ditch</v>
      </c>
      <c r="L16" s="174" t="str">
        <f>IF(îlot!IA8="drain",typo!$L$2,IF(îlot!IA8="surface",typo!$L$3,typo!$L$4))</f>
        <v>S_surf</v>
      </c>
      <c r="M16" s="174" t="str">
        <f>IF(AND(îlot!HG8&lt;=200,îlot!HG8&gt;0),typo!$M$4,IF(AND(îlot!HG8&gt;200,îlot!HG8&lt;=400),typo!$M$3,IF(îlot!HG8&gt;400,typo!$M$2,typo!$M$5)))</f>
        <v>&lt;200mm</v>
      </c>
      <c r="N16" s="174" t="str">
        <f>IF(îlot!JZ8="oui",typo!$N$2,typo!$N$3)</f>
        <v>drain</v>
      </c>
      <c r="O16" s="174" t="str">
        <f>IF(îlot!JL8=0,typo!$O$3,typo!$O$2)</f>
        <v>no_irrig</v>
      </c>
      <c r="P16" s="176" t="str">
        <f>IF(OR(îlot!KI8="charrue",îlot!KL8="charrue",îlot!KO8="charrue",îlot!KR8="charrue"),typo!$P$2,typo!$P$3)</f>
        <v>returnsol</v>
      </c>
    </row>
    <row r="17" spans="1:16" x14ac:dyDescent="0.3">
      <c r="A17" s="175" t="s">
        <v>56</v>
      </c>
      <c r="B17" s="175">
        <v>7.2</v>
      </c>
      <c r="C17" s="174" t="str">
        <f>IF(îlot!O9&gt;=6,typo!$C$4,IF(AND(îlot!O9&lt;6,îlot!O9&gt;=4),typo!$C$3,IF(AND(îlot!O9&lt;4,îlot!O9&gt;=1),typo!$C$2,typo!$C$5)))</f>
        <v>IR_intensif</v>
      </c>
      <c r="D17" s="174" t="str">
        <f>IF(îlot!Q9&gt;=0.8,typo!$D$2,IF(AND(îlot!Q9&lt;0.8,îlot!Q9&gt;0.5),typo!$D$3,IF(îlot!Q9&lt;=0.5,typo!$D$4,typo!$D$5)))</f>
        <v>&gt;80%IR</v>
      </c>
      <c r="E17" s="174" t="str">
        <f>IF(îlot!R9&gt;=25,typo!$E$3,typo!$E$2)</f>
        <v>IR_prof</v>
      </c>
      <c r="F17" s="174" t="str">
        <f>IF(îlot!S9="charrue",typo!$F$2,typo!$F$3)</f>
        <v>no_returnIR</v>
      </c>
      <c r="G17" s="174" t="str">
        <f>IF(îlot!CN9=0,typo!$G$2,IF(îlot!CN9=3,typo!$G$5,IF(îlot!CN9=2,typo!$G$3,IF(îlot!CN9=1,typo!$G$4,"error"))))</f>
        <v>R_meca</v>
      </c>
      <c r="H17" s="174" t="str">
        <f>IF(îlot!EE9="permanent",typo!$H$3,IF(îlot!EE9="semi-permanent",typo!$H$4,IF(îlot!EE9="hivernal",typo!$H$5,typo!$H$2)))</f>
        <v>H_hiver</v>
      </c>
      <c r="I17" s="174" t="str">
        <f>IF(îlot!EN9=0,typo!$I$5,IF(îlot!EN9=1,typo!$I$2,IF(îlot!EN9=3,typo!$I$3,typo!$I$4)))</f>
        <v>no_AM</v>
      </c>
      <c r="J17" s="174" t="str">
        <f>IF(îlot!FI9=0,typo!$J$5,IF(îlot!FI9=1,typo!$J$2,IF(îlot!FI9=2,typo!$J$3,typo!$J$4)))</f>
        <v>ferti_mine</v>
      </c>
      <c r="K17" s="174" t="str">
        <f>IF(OR(îlot!GJ9="bon",îlot!GJ9="moyen"),typo!$K$5,IF(îlot!GJ9="mauvais",typo!$K$4,IF(îlot!GJ9="tres_mauvais",typo!$K$3,typo!$K$2)))</f>
        <v>D_good</v>
      </c>
      <c r="L17" s="174" t="str">
        <f>IF(îlot!IA9="drain",typo!$L$2,IF(îlot!IA9="surface",typo!$L$3,typo!$L$4))</f>
        <v>S_surf</v>
      </c>
      <c r="M17" s="174" t="str">
        <f>IF(AND(îlot!HG9&lt;=200,îlot!HG9&gt;0),typo!$M$4,IF(AND(îlot!HG9&gt;200,îlot!HG9&lt;=400),typo!$M$3,IF(îlot!HG9&gt;400,typo!$M$2,typo!$M$5)))</f>
        <v>&lt;200mm</v>
      </c>
      <c r="N17" s="174" t="str">
        <f>IF(îlot!JZ9="oui",typo!$N$2,typo!$N$3)</f>
        <v>no_drain</v>
      </c>
      <c r="O17" s="174" t="str">
        <f>IF(îlot!JL9=0,typo!$O$3,typo!$O$2)</f>
        <v>no_irrig</v>
      </c>
      <c r="P17" s="176" t="str">
        <f>IF(OR(îlot!KI9="charrue",îlot!KL9="charrue",îlot!KO9="charrue",îlot!KR9="charrue"),typo!$P$2,typo!$P$3)</f>
        <v>returnsol</v>
      </c>
    </row>
    <row r="18" spans="1:16" x14ac:dyDescent="0.3">
      <c r="A18" s="175" t="s">
        <v>53</v>
      </c>
      <c r="B18" s="175">
        <v>8.1</v>
      </c>
      <c r="C18" s="174" t="str">
        <f>IF(îlot!O10&gt;=6,typo!$C$4,IF(AND(îlot!O10&lt;6,îlot!O10&gt;=4),typo!$C$3,IF(AND(îlot!O10&lt;4,îlot!O10&gt;=1),typo!$C$2,typo!$C$5)))</f>
        <v>IR_faible</v>
      </c>
      <c r="D18" s="174" t="str">
        <f>IF(îlot!Q10&gt;=0.8,typo!$D$2,IF(AND(îlot!Q10&lt;0.8,îlot!Q10&gt;0.5),typo!$D$3,IF(îlot!Q10&lt;=0.5,typo!$D$4,typo!$D$5)))</f>
        <v>&gt;80%IR</v>
      </c>
      <c r="E18" s="174" t="str">
        <f>IF(îlot!R10&gt;=25,typo!$E$3,typo!$E$2)</f>
        <v>IR_prof</v>
      </c>
      <c r="F18" s="174" t="str">
        <f>IF(îlot!S10="charrue",typo!$F$2,typo!$F$3)</f>
        <v>no_returnIR</v>
      </c>
      <c r="G18" s="174" t="str">
        <f>IF(îlot!CN10=0,typo!$G$2,IF(îlot!CN10=3,typo!$G$5,IF(îlot!CN10=2,typo!$G$3,IF(îlot!CN10=1,typo!$G$4,"error"))))</f>
        <v>R_mixte</v>
      </c>
      <c r="H18" s="174" t="str">
        <f>IF(îlot!EE10="permanent",typo!$H$3,IF(îlot!EE10="semi-permanent",typo!$H$4,IF(îlot!EE10="hivernal",typo!$H$5,typo!$H$2)))</f>
        <v>H_hiver</v>
      </c>
      <c r="I18" s="174" t="str">
        <f>IF(îlot!EN10=0,typo!$I$5,IF(îlot!EN10=1,typo!$I$2,IF(îlot!EN10=3,typo!$I$3,typo!$I$4)))</f>
        <v>no_AM</v>
      </c>
      <c r="J18" s="174" t="str">
        <f>IF(îlot!FI10=0,typo!$J$5,IF(îlot!FI10=1,typo!$J$2,IF(îlot!FI10=2,typo!$J$3,typo!$J$4)))</f>
        <v>ferti_orga</v>
      </c>
      <c r="K18" s="174" t="str">
        <f>IF(OR(îlot!GJ10="bon",îlot!GJ10="moyen"),typo!$K$5,IF(îlot!GJ10="mauvais",typo!$K$4,IF(îlot!GJ10="tres_mauvais",typo!$K$3,typo!$K$2)))</f>
        <v>D_good</v>
      </c>
      <c r="L18" s="174" t="str">
        <f>IF(îlot!IA10="drain",typo!$L$2,IF(îlot!IA10="surface",typo!$L$3,typo!$L$4))</f>
        <v>no_sub</v>
      </c>
      <c r="M18" s="174" t="str">
        <f>IF(AND(îlot!HG10&lt;=200,îlot!HG10&gt;0),typo!$M$4,IF(AND(îlot!HG10&gt;200,îlot!HG10&lt;=400),typo!$M$3,IF(îlot!HG10&gt;400,typo!$M$2,typo!$M$5)))</f>
        <v>0mm</v>
      </c>
      <c r="N18" s="174" t="str">
        <f>IF(îlot!JZ10="oui",typo!$N$2,typo!$N$3)</f>
        <v>no_drain</v>
      </c>
      <c r="O18" s="174" t="str">
        <f>IF(îlot!JL10=0,typo!$O$3,typo!$O$2)</f>
        <v>no_irrig</v>
      </c>
      <c r="P18" s="176" t="str">
        <f>IF(OR(îlot!KI10="charrue",îlot!KL10="charrue",îlot!KO10="charrue",îlot!KR10="charrue"),typo!$P$2,typo!$P$3)</f>
        <v>no_returnsol</v>
      </c>
    </row>
    <row r="19" spans="1:16" x14ac:dyDescent="0.3">
      <c r="A19" s="175" t="s">
        <v>54</v>
      </c>
      <c r="B19" s="175">
        <v>8.1999999999999993</v>
      </c>
      <c r="C19" s="174" t="str">
        <f>IF(îlot!O11&gt;=6,typo!$C$4,IF(AND(îlot!O11&lt;6,îlot!O11&gt;=4),typo!$C$3,IF(AND(îlot!O11&lt;4,îlot!O11&gt;=1),typo!$C$2,typo!$C$5)))</f>
        <v>IR_faible</v>
      </c>
      <c r="D19" s="174" t="str">
        <f>IF(îlot!Q11&gt;=0.8,typo!$D$2,IF(AND(îlot!Q11&lt;0.8,îlot!Q11&gt;0.5),typo!$D$3,IF(îlot!Q11&lt;=0.5,typo!$D$4,typo!$D$5)))</f>
        <v>&gt;80%IR</v>
      </c>
      <c r="E19" s="174" t="str">
        <f>IF(îlot!R11&gt;=25,typo!$E$3,typo!$E$2)</f>
        <v>IR_prof</v>
      </c>
      <c r="F19" s="174" t="str">
        <f>IF(îlot!S11="charrue",typo!$F$2,typo!$F$3)</f>
        <v>no_returnIR</v>
      </c>
      <c r="G19" s="174" t="str">
        <f>IF(îlot!CN11=0,typo!$G$2,IF(îlot!CN11=3,typo!$G$5,IF(îlot!CN11=2,typo!$G$3,IF(îlot!CN11=1,typo!$G$4,"error"))))</f>
        <v>R_mixte</v>
      </c>
      <c r="H19" s="174" t="str">
        <f>IF(îlot!EE11="permanent",typo!$H$3,IF(îlot!EE11="semi-permanent",typo!$H$4,IF(îlot!EE11="hivernal",typo!$H$5,typo!$H$2)))</f>
        <v>H_hiver</v>
      </c>
      <c r="I19" s="174" t="str">
        <f>IF(îlot!EN11=0,typo!$I$5,IF(îlot!EN11=1,typo!$I$2,IF(îlot!EN11=3,typo!$I$3,typo!$I$4)))</f>
        <v>no_AM</v>
      </c>
      <c r="J19" s="174" t="str">
        <f>IF(îlot!FI11=0,typo!$J$5,IF(îlot!FI11=1,typo!$J$2,IF(îlot!FI11=2,typo!$J$3,typo!$J$4)))</f>
        <v>ferti_orga</v>
      </c>
      <c r="K19" s="174" t="str">
        <f>IF(OR(îlot!GJ11="bon",îlot!GJ11="moyen"),typo!$K$5,IF(îlot!GJ11="mauvais",typo!$K$4,IF(îlot!GJ11="tres_mauvais",typo!$K$3,typo!$K$2)))</f>
        <v>D_good</v>
      </c>
      <c r="L19" s="174" t="str">
        <f>IF(îlot!IA11="drain",typo!$L$2,IF(îlot!IA11="surface",typo!$L$3,typo!$L$4))</f>
        <v>S_surf</v>
      </c>
      <c r="M19" s="174" t="str">
        <f>IF(AND(îlot!HG11&lt;=200,îlot!HG11&gt;0),typo!$M$4,IF(AND(îlot!HG11&gt;200,îlot!HG11&lt;=400),typo!$M$3,IF(îlot!HG11&gt;400,typo!$M$2,typo!$M$5)))</f>
        <v>&lt;200mm</v>
      </c>
      <c r="N19" s="174" t="str">
        <f>IF(îlot!JZ11="oui",typo!$N$2,typo!$N$3)</f>
        <v>no_drain</v>
      </c>
      <c r="O19" s="174" t="str">
        <f>IF(îlot!JL11=0,typo!$O$3,typo!$O$2)</f>
        <v>no_irrig</v>
      </c>
      <c r="P19" s="176" t="str">
        <f>IF(OR(îlot!KI11="charrue",îlot!KL11="charrue",îlot!KO11="charrue",îlot!KR11="charrue"),typo!$P$2,typo!$P$3)</f>
        <v>returnsol</v>
      </c>
    </row>
    <row r="20" spans="1:16" x14ac:dyDescent="0.3">
      <c r="A20" s="175" t="s">
        <v>51</v>
      </c>
      <c r="B20" s="175">
        <v>9.1</v>
      </c>
      <c r="C20" s="174" t="str">
        <f>IF(îlot!O12&gt;=6,typo!$C$4,IF(AND(îlot!O12&lt;6,îlot!O12&gt;=4),typo!$C$3,IF(AND(îlot!O12&lt;4,îlot!O12&gt;=1),typo!$C$2,typo!$C$5)))</f>
        <v>IR_intensif</v>
      </c>
      <c r="D20" s="174" t="str">
        <f>IF(îlot!Q12&gt;=0.8,typo!$D$2,IF(AND(îlot!Q12&lt;0.8,îlot!Q12&gt;0.5),typo!$D$3,IF(îlot!Q12&lt;=0.5,typo!$D$4,typo!$D$5)))</f>
        <v>&gt;80%IR</v>
      </c>
      <c r="E20" s="174" t="str">
        <f>IF(îlot!R12&gt;=25,typo!$E$3,typo!$E$2)</f>
        <v>IR_prof</v>
      </c>
      <c r="F20" s="174" t="str">
        <f>IF(îlot!S12="charrue",typo!$F$2,typo!$F$3)</f>
        <v>no_returnIR</v>
      </c>
      <c r="G20" s="174" t="str">
        <f>IF(îlot!CN12=0,typo!$G$2,IF(îlot!CN12=3,typo!$G$5,IF(îlot!CN12=2,typo!$G$3,IF(îlot!CN12=1,typo!$G$4,"error"))))</f>
        <v>R_mixte</v>
      </c>
      <c r="H20" s="174" t="str">
        <f>IF(îlot!EE12="permanent",typo!$H$3,IF(îlot!EE12="semi-permanent",typo!$H$4,IF(îlot!EE12="hivernal",typo!$H$5,typo!$H$2)))</f>
        <v>no_herb</v>
      </c>
      <c r="I20" s="174" t="str">
        <f>IF(îlot!EN12=0,typo!$I$5,IF(îlot!EN12=1,typo!$I$2,IF(îlot!EN12=3,typo!$I$3,typo!$I$4)))</f>
        <v>gypse</v>
      </c>
      <c r="J20" s="174" t="str">
        <f>IF(îlot!FI12=0,typo!$J$5,IF(îlot!FI12=1,typo!$J$2,IF(îlot!FI12=2,typo!$J$3,typo!$J$4)))</f>
        <v>ferti_orga</v>
      </c>
      <c r="K20" s="174" t="str">
        <f>IF(OR(îlot!GJ12="bon",îlot!GJ12="moyen"),typo!$K$5,IF(îlot!GJ12="mauvais",typo!$K$4,IF(îlot!GJ12="tres_mauvais",typo!$K$3,typo!$K$2)))</f>
        <v>D_bad</v>
      </c>
      <c r="L20" s="174" t="str">
        <f>IF(îlot!IA12="drain",typo!$L$2,IF(îlot!IA12="surface",typo!$L$3,typo!$L$4))</f>
        <v>S_surf</v>
      </c>
      <c r="M20" s="174" t="str">
        <f>IF(AND(îlot!HG12&lt;=200,îlot!HG12&gt;0),typo!$M$4,IF(AND(îlot!HG12&gt;200,îlot!HG12&lt;=400),typo!$M$3,IF(îlot!HG12&gt;400,typo!$M$2,typo!$M$5)))</f>
        <v>200-400mm</v>
      </c>
      <c r="N20" s="174" t="str">
        <f>IF(îlot!JZ12="oui",typo!$N$2,typo!$N$3)</f>
        <v>no_drain</v>
      </c>
      <c r="O20" s="174" t="str">
        <f>IF(îlot!JL12=0,typo!$O$3,typo!$O$2)</f>
        <v>irrig</v>
      </c>
      <c r="P20" s="176" t="str">
        <f>IF(OR(îlot!KI12="charrue",îlot!KL12="charrue",îlot!KO12="charrue",îlot!KR12="charrue"),typo!$P$2,typo!$P$3)</f>
        <v>returnsol</v>
      </c>
    </row>
    <row r="21" spans="1:16" x14ac:dyDescent="0.3">
      <c r="A21" s="175" t="s">
        <v>52</v>
      </c>
      <c r="B21" s="175">
        <v>9.1999999999999993</v>
      </c>
      <c r="C21" s="174" t="str">
        <f>IF(îlot!O13&gt;=6,typo!$C$4,IF(AND(îlot!O13&lt;6,îlot!O13&gt;=4),typo!$C$3,IF(AND(îlot!O13&lt;4,îlot!O13&gt;=1),typo!$C$2,typo!$C$5)))</f>
        <v>IR_intensif</v>
      </c>
      <c r="D21" s="174" t="str">
        <f>IF(îlot!Q13&gt;=0.8,typo!$D$2,IF(AND(îlot!Q13&lt;0.8,îlot!Q13&gt;0.5),typo!$D$3,IF(îlot!Q13&lt;=0.5,typo!$D$4,typo!$D$5)))</f>
        <v>&gt;80%IR</v>
      </c>
      <c r="E21" s="174" t="str">
        <f>IF(îlot!R13&gt;=25,typo!$E$3,typo!$E$2)</f>
        <v>IR_prof</v>
      </c>
      <c r="F21" s="174" t="str">
        <f>IF(îlot!S13="charrue",typo!$F$2,typo!$F$3)</f>
        <v>no_returnIR</v>
      </c>
      <c r="G21" s="174" t="str">
        <f>IF(îlot!CN13=0,typo!$G$2,IF(îlot!CN13=3,typo!$G$5,IF(îlot!CN13=2,typo!$G$3,IF(îlot!CN13=1,typo!$G$4,"error"))))</f>
        <v>R_mixte</v>
      </c>
      <c r="H21" s="174" t="str">
        <f>IF(îlot!EE13="permanent",typo!$H$3,IF(îlot!EE13="semi-permanent",typo!$H$4,IF(îlot!EE13="hivernal",typo!$H$5,typo!$H$2)))</f>
        <v>no_herb</v>
      </c>
      <c r="I21" s="174" t="str">
        <f>IF(îlot!EN13=0,typo!$I$5,IF(îlot!EN13=1,typo!$I$2,IF(îlot!EN13=3,typo!$I$3,typo!$I$4)))</f>
        <v>gypse</v>
      </c>
      <c r="J21" s="174" t="str">
        <f>IF(îlot!FI13=0,typo!$J$5,IF(îlot!FI13=1,typo!$J$2,IF(îlot!FI13=2,typo!$J$3,typo!$J$4)))</f>
        <v>ferti_orga</v>
      </c>
      <c r="K21" s="174" t="str">
        <f>IF(OR(îlot!GJ13="bon",îlot!GJ13="moyen"),typo!$K$5,IF(îlot!GJ13="mauvais",typo!$K$4,IF(îlot!GJ13="tres_mauvais",typo!$K$3,typo!$K$2)))</f>
        <v>D_bad</v>
      </c>
      <c r="L21" s="174" t="str">
        <f>IF(îlot!IA13="drain",typo!$L$2,IF(îlot!IA13="surface",typo!$L$3,typo!$L$4))</f>
        <v>S_surf</v>
      </c>
      <c r="M21" s="174" t="str">
        <f>IF(AND(îlot!HG13&lt;=200,îlot!HG13&gt;0),typo!$M$4,IF(AND(îlot!HG13&gt;200,îlot!HG13&lt;=400),typo!$M$3,IF(îlot!HG13&gt;400,typo!$M$2,typo!$M$5)))</f>
        <v>200-400mm</v>
      </c>
      <c r="N21" s="174" t="str">
        <f>IF(îlot!JZ13="oui",typo!$N$2,typo!$N$3)</f>
        <v>no_drain</v>
      </c>
      <c r="O21" s="174" t="str">
        <f>IF(îlot!JL13=0,typo!$O$3,typo!$O$2)</f>
        <v>irrig</v>
      </c>
      <c r="P21" s="176" t="str">
        <f>IF(OR(îlot!KI13="charrue",îlot!KL13="charrue",îlot!KO13="charrue",îlot!KR13="charrue"),typo!$P$2,typo!$P$3)</f>
        <v>returnsol</v>
      </c>
    </row>
    <row r="22" spans="1:16" x14ac:dyDescent="0.3">
      <c r="A22" s="175" t="s">
        <v>48</v>
      </c>
      <c r="B22" s="175">
        <v>10.1</v>
      </c>
      <c r="C22" s="174" t="str">
        <f>IF(îlot!O14&gt;=6,typo!$C$4,IF(AND(îlot!O14&lt;6,îlot!O14&gt;=4),typo!$C$3,IF(AND(îlot!O14&lt;4,îlot!O14&gt;=1),typo!$C$2,typo!$C$5)))</f>
        <v>IR_modere</v>
      </c>
      <c r="D22" s="174" t="str">
        <f>IF(îlot!Q14&gt;=0.8,typo!$D$2,IF(AND(îlot!Q14&lt;0.8,îlot!Q14&gt;0.5),typo!$D$3,IF(îlot!Q14&lt;=0.5,typo!$D$4,typo!$D$5)))</f>
        <v>&gt;80%IR</v>
      </c>
      <c r="E22" s="174" t="str">
        <f>IF(îlot!R14&gt;=25,typo!$E$3,typo!$E$2)</f>
        <v>IR_prof</v>
      </c>
      <c r="F22" s="174" t="str">
        <f>IF(îlot!S14="charrue",typo!$F$2,typo!$F$3)</f>
        <v>no_returnIR</v>
      </c>
      <c r="G22" s="174" t="str">
        <f>IF(îlot!CN14=0,typo!$G$2,IF(îlot!CN14=3,typo!$G$5,IF(îlot!CN14=2,typo!$G$3,IF(îlot!CN14=1,typo!$G$4,"error"))))</f>
        <v>R_chimi</v>
      </c>
      <c r="H22" s="174" t="str">
        <f>IF(îlot!EE14="permanent",typo!$H$3,IF(îlot!EE14="semi-permanent",typo!$H$4,IF(îlot!EE14="hivernal",typo!$H$5,typo!$H$2)))</f>
        <v>H_hiver</v>
      </c>
      <c r="I22" s="174" t="str">
        <f>IF(îlot!EN14=0,typo!$I$5,IF(îlot!EN14=1,typo!$I$2,IF(îlot!EN14=3,typo!$I$3,typo!$I$4)))</f>
        <v>no_AM</v>
      </c>
      <c r="J22" s="174" t="str">
        <f>IF(îlot!FI14=0,typo!$J$5,IF(îlot!FI14=1,typo!$J$2,IF(îlot!FI14=2,typo!$J$3,typo!$J$4)))</f>
        <v>ferti_orga</v>
      </c>
      <c r="K22" s="174" t="str">
        <f>IF(OR(îlot!GJ14="bon",îlot!GJ14="moyen"),typo!$K$5,IF(îlot!GJ14="mauvais",typo!$K$4,IF(îlot!GJ14="tres_mauvais",typo!$K$3,typo!$K$2)))</f>
        <v>D_good</v>
      </c>
      <c r="L22" s="174" t="str">
        <f>IF(îlot!IA14="drain",typo!$L$2,IF(îlot!IA14="surface",typo!$L$3,typo!$L$4))</f>
        <v>S_surf</v>
      </c>
      <c r="M22" s="174" t="str">
        <f>IF(AND(îlot!HG14&lt;=200,îlot!HG14&gt;0),typo!$M$4,IF(AND(îlot!HG14&gt;200,îlot!HG14&lt;=400),typo!$M$3,IF(îlot!HG14&gt;400,typo!$M$2,typo!$M$5)))</f>
        <v>&lt;200mm</v>
      </c>
      <c r="N22" s="174" t="str">
        <f>IF(îlot!JZ14="oui",typo!$N$2,typo!$N$3)</f>
        <v>no_drain</v>
      </c>
      <c r="O22" s="174" t="str">
        <f>IF(îlot!JL14=0,typo!$O$3,typo!$O$2)</f>
        <v>no_irrig</v>
      </c>
      <c r="P22" s="176" t="str">
        <f>IF(OR(îlot!KI14="charrue",îlot!KL14="charrue",îlot!KO14="charrue",îlot!KR14="charrue"),typo!$P$2,typo!$P$3)</f>
        <v>no_returnsol</v>
      </c>
    </row>
    <row r="23" spans="1:16" x14ac:dyDescent="0.3">
      <c r="A23" s="175" t="s">
        <v>49</v>
      </c>
      <c r="B23" s="175">
        <v>10.199999999999999</v>
      </c>
      <c r="C23" s="174" t="str">
        <f>IF(îlot!O15&gt;=6,typo!$C$4,IF(AND(îlot!O15&lt;6,îlot!O15&gt;=4),typo!$C$3,IF(AND(îlot!O15&lt;4,îlot!O15&gt;=1),typo!$C$2,typo!$C$5)))</f>
        <v>IR_modere</v>
      </c>
      <c r="D23" s="174" t="str">
        <f>IF(îlot!Q15&gt;=0.8,typo!$D$2,IF(AND(îlot!Q15&lt;0.8,îlot!Q15&gt;0.5),typo!$D$3,IF(îlot!Q15&lt;=0.5,typo!$D$4,typo!$D$5)))</f>
        <v>&gt;80%IR</v>
      </c>
      <c r="E23" s="174" t="str">
        <f>IF(îlot!R15&gt;=25,typo!$E$3,typo!$E$2)</f>
        <v>IR_prof</v>
      </c>
      <c r="F23" s="174" t="str">
        <f>IF(îlot!S15="charrue",typo!$F$2,typo!$F$3)</f>
        <v>no_returnIR</v>
      </c>
      <c r="G23" s="174" t="str">
        <f>IF(îlot!CN15=0,typo!$G$2,IF(îlot!CN15=3,typo!$G$5,IF(îlot!CN15=2,typo!$G$3,IF(îlot!CN15=1,typo!$G$4,"error"))))</f>
        <v>R_chimi</v>
      </c>
      <c r="H23" s="174" t="str">
        <f>IF(îlot!EE15="permanent",typo!$H$3,IF(îlot!EE15="semi-permanent",typo!$H$4,IF(îlot!EE15="hivernal",typo!$H$5,typo!$H$2)))</f>
        <v>H_hiver</v>
      </c>
      <c r="I23" s="174" t="str">
        <f>IF(îlot!EN15=0,typo!$I$5,IF(îlot!EN15=1,typo!$I$2,IF(îlot!EN15=3,typo!$I$3,typo!$I$4)))</f>
        <v>no_AM</v>
      </c>
      <c r="J23" s="174" t="str">
        <f>IF(îlot!FI15=0,typo!$J$5,IF(îlot!FI15=1,typo!$J$2,IF(îlot!FI15=2,typo!$J$3,typo!$J$4)))</f>
        <v>ferti_orga</v>
      </c>
      <c r="K23" s="174" t="str">
        <f>IF(OR(îlot!GJ15="bon",îlot!GJ15="moyen"),typo!$K$5,IF(îlot!GJ15="mauvais",typo!$K$4,IF(îlot!GJ15="tres_mauvais",typo!$K$3,typo!$K$2)))</f>
        <v>D_good</v>
      </c>
      <c r="L23" s="174" t="str">
        <f>IF(îlot!IA15="drain",typo!$L$2,IF(îlot!IA15="surface",typo!$L$3,typo!$L$4))</f>
        <v>S_surf</v>
      </c>
      <c r="M23" s="174" t="str">
        <f>IF(AND(îlot!HG15&lt;=200,îlot!HG15&gt;0),typo!$M$4,IF(AND(îlot!HG15&gt;200,îlot!HG15&lt;=400),typo!$M$3,IF(îlot!HG15&gt;400,typo!$M$2,typo!$M$5)))</f>
        <v>&lt;200mm</v>
      </c>
      <c r="N23" s="174" t="str">
        <f>IF(îlot!JZ15="oui",typo!$N$2,typo!$N$3)</f>
        <v>no_drain</v>
      </c>
      <c r="O23" s="174" t="str">
        <f>IF(îlot!JL15=0,typo!$O$3,typo!$O$2)</f>
        <v>no_irrig</v>
      </c>
      <c r="P23" s="176" t="str">
        <f>IF(OR(îlot!KI15="charrue",îlot!KL15="charrue",îlot!KO15="charrue",îlot!KR15="charrue"),typo!$P$2,typo!$P$3)</f>
        <v>no_returnsol</v>
      </c>
    </row>
    <row r="24" spans="1:16" x14ac:dyDescent="0.3">
      <c r="A24" s="175" t="s">
        <v>50</v>
      </c>
      <c r="B24" s="175">
        <v>10.3</v>
      </c>
      <c r="C24" s="174" t="str">
        <f>IF(îlot!O16&gt;=6,typo!$C$4,IF(AND(îlot!O16&lt;6,îlot!O16&gt;=4),typo!$C$3,IF(AND(îlot!O16&lt;4,îlot!O16&gt;=1),typo!$C$2,typo!$C$5)))</f>
        <v>IR_modere</v>
      </c>
      <c r="D24" s="174" t="str">
        <f>IF(îlot!Q16&gt;=0.8,typo!$D$2,IF(AND(îlot!Q16&lt;0.8,îlot!Q16&gt;0.5),typo!$D$3,IF(îlot!Q16&lt;=0.5,typo!$D$4,typo!$D$5)))</f>
        <v>&gt;80%IR</v>
      </c>
      <c r="E24" s="174" t="str">
        <f>IF(îlot!R16&gt;=25,typo!$E$3,typo!$E$2)</f>
        <v>IR_prof</v>
      </c>
      <c r="F24" s="174" t="str">
        <f>IF(îlot!S16="charrue",typo!$F$2,typo!$F$3)</f>
        <v>no_returnIR</v>
      </c>
      <c r="G24" s="174" t="str">
        <f>IF(îlot!CN16=0,typo!$G$2,IF(îlot!CN16=3,typo!$G$5,IF(îlot!CN16=2,typo!$G$3,IF(îlot!CN16=1,typo!$G$4,"error"))))</f>
        <v>R_chimi</v>
      </c>
      <c r="H24" s="174" t="str">
        <f>IF(îlot!EE16="permanent",typo!$H$3,IF(îlot!EE16="semi-permanent",typo!$H$4,IF(îlot!EE16="hivernal",typo!$H$5,typo!$H$2)))</f>
        <v>H_hiver</v>
      </c>
      <c r="I24" s="174" t="str">
        <f>IF(îlot!EN16=0,typo!$I$5,IF(îlot!EN16=1,typo!$I$2,IF(îlot!EN16=3,typo!$I$3,typo!$I$4)))</f>
        <v>no_AM</v>
      </c>
      <c r="J24" s="174" t="str">
        <f>IF(îlot!FI16=0,typo!$J$5,IF(îlot!FI16=1,typo!$J$2,IF(îlot!FI16=2,typo!$J$3,typo!$J$4)))</f>
        <v>ferti_orga</v>
      </c>
      <c r="K24" s="174" t="str">
        <f>IF(OR(îlot!GJ16="bon",îlot!GJ16="moyen"),typo!$K$5,IF(îlot!GJ16="mauvais",typo!$K$4,IF(îlot!GJ16="tres_mauvais",typo!$K$3,typo!$K$2)))</f>
        <v>D_good</v>
      </c>
      <c r="L24" s="174" t="str">
        <f>IF(îlot!IA16="drain",typo!$L$2,IF(îlot!IA16="surface",typo!$L$3,typo!$L$4))</f>
        <v>S_surf</v>
      </c>
      <c r="M24" s="174" t="str">
        <f>IF(AND(îlot!HG16&lt;=200,îlot!HG16&gt;0),typo!$M$4,IF(AND(îlot!HG16&gt;200,îlot!HG16&lt;=400),typo!$M$3,IF(îlot!HG16&gt;400,typo!$M$2,typo!$M$5)))</f>
        <v>&lt;200mm</v>
      </c>
      <c r="N24" s="174" t="str">
        <f>IF(îlot!JZ16="oui",typo!$N$2,typo!$N$3)</f>
        <v>no_drain</v>
      </c>
      <c r="O24" s="174" t="str">
        <f>IF(îlot!JL16=0,typo!$O$3,typo!$O$2)</f>
        <v>no_irrig</v>
      </c>
      <c r="P24" s="176" t="str">
        <f>IF(OR(îlot!KI16="charrue",îlot!KL16="charrue",îlot!KO16="charrue",îlot!KR16="charrue"),typo!$P$2,typo!$P$3)</f>
        <v>no_returnsol</v>
      </c>
    </row>
    <row r="25" spans="1:16" x14ac:dyDescent="0.3">
      <c r="A25" s="175" t="s">
        <v>62</v>
      </c>
      <c r="B25" s="175">
        <v>11.1</v>
      </c>
      <c r="C25" s="174" t="str">
        <f>IF(îlot!O17&gt;=6,typo!$C$4,IF(AND(îlot!O17&lt;6,îlot!O17&gt;=4),typo!$C$3,IF(AND(îlot!O17&lt;4,îlot!O17&gt;=1),typo!$C$2,typo!$C$5)))</f>
        <v>IR_faible</v>
      </c>
      <c r="D25" s="174" t="str">
        <f>IF(îlot!Q17&gt;=0.8,typo!$D$2,IF(AND(îlot!Q17&lt;0.8,îlot!Q17&gt;0.5),typo!$D$3,IF(îlot!Q17&lt;=0.5,typo!$D$4,typo!$D$5)))</f>
        <v>50-80%IR</v>
      </c>
      <c r="E25" s="174" t="str">
        <f>IF(îlot!R17&gt;=25,typo!$E$3,typo!$E$2)</f>
        <v>IR_prof</v>
      </c>
      <c r="F25" s="174" t="str">
        <f>IF(îlot!S17="charrue",typo!$F$2,typo!$F$3)</f>
        <v>no_returnIR</v>
      </c>
      <c r="G25" s="174" t="str">
        <f>IF(îlot!CN17=0,typo!$G$2,IF(îlot!CN17=3,typo!$G$5,IF(îlot!CN17=2,typo!$G$3,IF(îlot!CN17=1,typo!$G$4,"error"))))</f>
        <v>R_meca</v>
      </c>
      <c r="H25" s="174" t="str">
        <f>IF(îlot!EE17="permanent",typo!$H$3,IF(îlot!EE17="semi-permanent",typo!$H$4,IF(îlot!EE17="hivernal",typo!$H$5,typo!$H$2)))</f>
        <v>H_perm</v>
      </c>
      <c r="I25" s="174" t="str">
        <f>IF(îlot!EN17=0,typo!$I$5,IF(îlot!EN17=1,typo!$I$2,IF(îlot!EN17=3,typo!$I$3,typo!$I$4)))</f>
        <v>AM_orga</v>
      </c>
      <c r="J25" s="174" t="str">
        <f>IF(îlot!FI17=0,typo!$J$5,IF(îlot!FI17=1,typo!$J$2,IF(îlot!FI17=2,typo!$J$3,typo!$J$4)))</f>
        <v>ferti_orga</v>
      </c>
      <c r="K25" s="174" t="str">
        <f>IF(OR(îlot!GJ17="bon",îlot!GJ17="moyen"),typo!$K$5,IF(îlot!GJ17="mauvais",typo!$K$4,IF(îlot!GJ17="tres_mauvais",typo!$K$3,typo!$K$2)))</f>
        <v>D_good</v>
      </c>
      <c r="L25" s="174" t="str">
        <f>IF(îlot!IA17="drain",typo!$L$2,IF(îlot!IA17="surface",typo!$L$3,typo!$L$4))</f>
        <v>S_drain</v>
      </c>
      <c r="M25" s="174" t="str">
        <f>IF(AND(îlot!HG17&lt;=200,îlot!HG17&gt;0),typo!$M$4,IF(AND(îlot!HG17&gt;200,îlot!HG17&lt;=400),typo!$M$3,IF(îlot!HG17&gt;400,typo!$M$2,typo!$M$5)))</f>
        <v>&lt;200mm</v>
      </c>
      <c r="N25" s="174" t="str">
        <f>IF(îlot!JZ17="oui",typo!$N$2,typo!$N$3)</f>
        <v>drain</v>
      </c>
      <c r="O25" s="174" t="str">
        <f>IF(îlot!JL17=0,typo!$O$3,typo!$O$2)</f>
        <v>irrig</v>
      </c>
      <c r="P25" s="176" t="str">
        <f>IF(OR(îlot!KI17="charrue",îlot!KL17="charrue",îlot!KO17="charrue",îlot!KR17="charrue"),typo!$P$2,typo!$P$3)</f>
        <v>no_returnsol</v>
      </c>
    </row>
    <row r="26" spans="1:16" x14ac:dyDescent="0.3">
      <c r="A26" s="175" t="s">
        <v>173</v>
      </c>
      <c r="B26" s="175">
        <v>12.1</v>
      </c>
      <c r="C26" s="174" t="str">
        <f>IF(îlot!O18&gt;=6,typo!$C$4,IF(AND(îlot!O18&lt;6,îlot!O18&gt;=4),typo!$C$3,IF(AND(îlot!O18&lt;4,îlot!O18&gt;=1),typo!$C$2,typo!$C$5)))</f>
        <v>IR_modere</v>
      </c>
      <c r="D26" s="174" t="str">
        <f>IF(îlot!Q18&gt;=0.8,typo!$D$2,IF(AND(îlot!Q18&lt;0.8,îlot!Q18&gt;0.5),typo!$D$3,IF(îlot!Q18&lt;=0.5,typo!$D$4,typo!$D$5)))</f>
        <v>&gt;80%IR</v>
      </c>
      <c r="E26" s="174" t="str">
        <f>IF(îlot!R18&gt;=25,typo!$E$3,typo!$E$2)</f>
        <v>IR_prof</v>
      </c>
      <c r="F26" s="174" t="str">
        <f>IF(îlot!S18="charrue",typo!$F$2,typo!$F$3)</f>
        <v>no_returnIR</v>
      </c>
      <c r="G26" s="174" t="str">
        <f>IF(îlot!CN18=0,typo!$G$2,IF(îlot!CN18=3,typo!$G$5,IF(îlot!CN18=2,typo!$G$3,IF(îlot!CN18=1,typo!$G$4,"error"))))</f>
        <v>R_mixte</v>
      </c>
      <c r="H26" s="174" t="str">
        <f>IF(îlot!EE18="permanent",typo!$H$3,IF(îlot!EE18="semi-permanent",typo!$H$4,IF(îlot!EE18="hivernal",typo!$H$5,typo!$H$2)))</f>
        <v>H_hiver</v>
      </c>
      <c r="I26" s="174" t="str">
        <f>IF(îlot!EN18=0,typo!$I$5,IF(îlot!EN18=1,typo!$I$2,IF(îlot!EN18=3,typo!$I$3,typo!$I$4)))</f>
        <v>gypse</v>
      </c>
      <c r="J26" s="174" t="str">
        <f>IF(îlot!FI18=0,typo!$J$5,IF(îlot!FI18=1,typo!$J$2,IF(îlot!FI18=2,typo!$J$3,typo!$J$4)))</f>
        <v>ferti_orga</v>
      </c>
      <c r="K26" s="174" t="str">
        <f>IF(OR(îlot!GJ18="bon",îlot!GJ18="moyen"),typo!$K$5,IF(îlot!GJ18="mauvais",typo!$K$4,IF(îlot!GJ18="tres_mauvais",typo!$K$3,typo!$K$2)))</f>
        <v>D_good</v>
      </c>
      <c r="L26" s="174" t="str">
        <f>IF(îlot!IA18="drain",typo!$L$2,IF(îlot!IA18="surface",typo!$L$3,typo!$L$4))</f>
        <v>S_drain</v>
      </c>
      <c r="M26" s="174" t="str">
        <f>IF(AND(îlot!HG18&lt;=200,îlot!HG18&gt;0),typo!$M$4,IF(AND(îlot!HG18&gt;200,îlot!HG18&lt;=400),typo!$M$3,IF(îlot!HG18&gt;400,typo!$M$2,typo!$M$5)))</f>
        <v>&lt;200mm</v>
      </c>
      <c r="N26" s="174" t="str">
        <f>IF(îlot!JZ18="oui",typo!$N$2,typo!$N$3)</f>
        <v>drain</v>
      </c>
      <c r="O26" s="174" t="str">
        <f>IF(îlot!JL18=0,typo!$O$3,typo!$O$2)</f>
        <v>no_irrig</v>
      </c>
      <c r="P26" s="176" t="str">
        <f>IF(OR(îlot!KI18="charrue",îlot!KL18="charrue",îlot!KO18="charrue",îlot!KR18="charrue"),typo!$P$2,typo!$P$3)</f>
        <v>no_returnsol</v>
      </c>
    </row>
    <row r="27" spans="1:16" x14ac:dyDescent="0.3">
      <c r="A27" s="175" t="s">
        <v>63</v>
      </c>
      <c r="B27" s="175">
        <v>12.2</v>
      </c>
      <c r="C27" s="174" t="str">
        <f>IF(îlot!O19&gt;=6,typo!$C$4,IF(AND(îlot!O19&lt;6,îlot!O19&gt;=4),typo!$C$3,IF(AND(îlot!O19&lt;4,îlot!O19&gt;=1),typo!$C$2,typo!$C$5)))</f>
        <v>IR_modere</v>
      </c>
      <c r="D27" s="174" t="str">
        <f>IF(îlot!Q19&gt;=0.8,typo!$D$2,IF(AND(îlot!Q19&lt;0.8,îlot!Q19&gt;0.5),typo!$D$3,IF(îlot!Q19&lt;=0.5,typo!$D$4,typo!$D$5)))</f>
        <v>&gt;80%IR</v>
      </c>
      <c r="E27" s="174" t="str">
        <f>IF(îlot!R19&gt;=25,typo!$E$3,typo!$E$2)</f>
        <v>IR_prof</v>
      </c>
      <c r="F27" s="174" t="str">
        <f>IF(îlot!S19="charrue",typo!$F$2,typo!$F$3)</f>
        <v>no_returnIR</v>
      </c>
      <c r="G27" s="174" t="str">
        <f>IF(îlot!CN19=0,typo!$G$2,IF(îlot!CN19=3,typo!$G$5,IF(îlot!CN19=2,typo!$G$3,IF(îlot!CN19=1,typo!$G$4,"error"))))</f>
        <v>R_mixte</v>
      </c>
      <c r="H27" s="174" t="str">
        <f>IF(îlot!EE19="permanent",typo!$H$3,IF(îlot!EE19="semi-permanent",typo!$H$4,IF(îlot!EE19="hivernal",typo!$H$5,typo!$H$2)))</f>
        <v>H_hiver</v>
      </c>
      <c r="I27" s="174" t="str">
        <f>IF(îlot!EN19=0,typo!$I$5,IF(îlot!EN19=1,typo!$I$2,IF(îlot!EN19=3,typo!$I$3,typo!$I$4)))</f>
        <v>AM_orga</v>
      </c>
      <c r="J27" s="174" t="str">
        <f>IF(îlot!FI19=0,typo!$J$5,IF(îlot!FI19=1,typo!$J$2,IF(îlot!FI19=2,typo!$J$3,typo!$J$4)))</f>
        <v>ferti_orga</v>
      </c>
      <c r="K27" s="174" t="str">
        <f>IF(OR(îlot!GJ19="bon",îlot!GJ19="moyen"),typo!$K$5,IF(îlot!GJ19="mauvais",typo!$K$4,IF(îlot!GJ19="tres_mauvais",typo!$K$3,typo!$K$2)))</f>
        <v>D_good</v>
      </c>
      <c r="L27" s="174" t="str">
        <f>IF(îlot!IA19="drain",typo!$L$2,IF(îlot!IA19="surface",typo!$L$3,typo!$L$4))</f>
        <v>S_surf</v>
      </c>
      <c r="M27" s="174" t="str">
        <f>IF(AND(îlot!HG19&lt;=200,îlot!HG19&gt;0),typo!$M$4,IF(AND(îlot!HG19&gt;200,îlot!HG19&lt;=400),typo!$M$3,IF(îlot!HG19&gt;400,typo!$M$2,typo!$M$5)))</f>
        <v>&lt;200mm</v>
      </c>
      <c r="N27" s="174" t="str">
        <f>IF(îlot!JZ19="oui",typo!$N$2,typo!$N$3)</f>
        <v>drain</v>
      </c>
      <c r="O27" s="174" t="str">
        <f>IF(îlot!JL19=0,typo!$O$3,typo!$O$2)</f>
        <v>no_irrig</v>
      </c>
      <c r="P27" s="176" t="str">
        <f>IF(OR(îlot!KI19="charrue",îlot!KL19="charrue",îlot!KO19="charrue",îlot!KR19="charrue"),typo!$P$2,typo!$P$3)</f>
        <v>no_returnsol</v>
      </c>
    </row>
    <row r="28" spans="1:16" x14ac:dyDescent="0.3">
      <c r="A28" s="175" t="s">
        <v>64</v>
      </c>
      <c r="B28" s="175">
        <v>13.1</v>
      </c>
      <c r="C28" s="174" t="str">
        <f>IF(îlot!O20&gt;=6,typo!$C$4,IF(AND(îlot!O20&lt;6,îlot!O20&gt;=4),typo!$C$3,IF(AND(îlot!O20&lt;4,îlot!O20&gt;=1),typo!$C$2,typo!$C$5)))</f>
        <v>IR_intensif</v>
      </c>
      <c r="D28" s="174" t="str">
        <f>IF(îlot!Q20&gt;=0.8,typo!$D$2,IF(AND(îlot!Q20&lt;0.8,îlot!Q20&gt;0.5),typo!$D$3,IF(îlot!Q20&lt;=0.5,typo!$D$4,typo!$D$5)))</f>
        <v>&gt;80%IR</v>
      </c>
      <c r="E28" s="174" t="str">
        <f>IF(îlot!R20&gt;=25,typo!$E$3,typo!$E$2)</f>
        <v>IR_prof</v>
      </c>
      <c r="F28" s="174" t="str">
        <f>IF(îlot!S20="charrue",typo!$F$2,typo!$F$3)</f>
        <v>no_returnIR</v>
      </c>
      <c r="G28" s="174" t="str">
        <f>IF(îlot!CN20=0,typo!$G$2,IF(îlot!CN20=3,typo!$G$5,IF(îlot!CN20=2,typo!$G$3,IF(îlot!CN20=1,typo!$G$4,"error"))))</f>
        <v>R_mixte</v>
      </c>
      <c r="H28" s="174" t="str">
        <f>IF(îlot!EE20="permanent",typo!$H$3,IF(îlot!EE20="semi-permanent",typo!$H$4,IF(îlot!EE20="hivernal",typo!$H$5,typo!$H$2)))</f>
        <v>H_hiver</v>
      </c>
      <c r="I28" s="174" t="str">
        <f>IF(îlot!EN20=0,typo!$I$5,IF(îlot!EN20=1,typo!$I$2,IF(îlot!EN20=3,typo!$I$3,typo!$I$4)))</f>
        <v>no_AM</v>
      </c>
      <c r="J28" s="174" t="str">
        <f>IF(îlot!FI20=0,typo!$J$5,IF(îlot!FI20=1,typo!$J$2,IF(îlot!FI20=2,typo!$J$3,typo!$J$4)))</f>
        <v>ferti_mine</v>
      </c>
      <c r="K28" s="174" t="str">
        <f>IF(OR(îlot!GJ20="bon",îlot!GJ20="moyen"),typo!$K$5,IF(îlot!GJ20="mauvais",typo!$K$4,IF(îlot!GJ20="tres_mauvais",typo!$K$3,typo!$K$2)))</f>
        <v>D_bad</v>
      </c>
      <c r="L28" s="174" t="str">
        <f>IF(îlot!IA20="drain",typo!$L$2,IF(îlot!IA20="surface",typo!$L$3,typo!$L$4))</f>
        <v>S_surf</v>
      </c>
      <c r="M28" s="174" t="str">
        <f>IF(AND(îlot!HG20&lt;=200,îlot!HG20&gt;0),typo!$M$4,IF(AND(îlot!HG20&gt;200,îlot!HG20&lt;=400),typo!$M$3,IF(îlot!HG20&gt;400,typo!$M$2,typo!$M$5)))</f>
        <v>&lt;200mm</v>
      </c>
      <c r="N28" s="174" t="str">
        <f>IF(îlot!JZ20="oui",typo!$N$2,typo!$N$3)</f>
        <v>no_drain</v>
      </c>
      <c r="O28" s="174" t="str">
        <f>IF(îlot!JL20=0,typo!$O$3,typo!$O$2)</f>
        <v>no_irrig</v>
      </c>
      <c r="P28" s="176" t="str">
        <f>IF(OR(îlot!KI20="charrue",îlot!KL20="charrue",îlot!KO20="charrue",îlot!KR20="charrue"),typo!$P$2,typo!$P$3)</f>
        <v>returnsol</v>
      </c>
    </row>
    <row r="29" spans="1:16" x14ac:dyDescent="0.3">
      <c r="A29" s="175" t="s">
        <v>65</v>
      </c>
      <c r="B29" s="175">
        <v>13.2</v>
      </c>
      <c r="C29" s="174" t="str">
        <f>IF(îlot!O21&gt;=6,typo!$C$4,IF(AND(îlot!O21&lt;6,îlot!O21&gt;=4),typo!$C$3,IF(AND(îlot!O21&lt;4,îlot!O21&gt;=1),typo!$C$2,typo!$C$5)))</f>
        <v>IR_intensif</v>
      </c>
      <c r="D29" s="174" t="str">
        <f>IF(îlot!Q21&gt;=0.8,typo!$D$2,IF(AND(îlot!Q21&lt;0.8,îlot!Q21&gt;0.5),typo!$D$3,IF(îlot!Q21&lt;=0.5,typo!$D$4,typo!$D$5)))</f>
        <v>&gt;80%IR</v>
      </c>
      <c r="E29" s="174" t="str">
        <f>IF(îlot!R21&gt;=25,typo!$E$3,typo!$E$2)</f>
        <v>IR_prof</v>
      </c>
      <c r="F29" s="174" t="str">
        <f>IF(îlot!S21="charrue",typo!$F$2,typo!$F$3)</f>
        <v>no_returnIR</v>
      </c>
      <c r="G29" s="174" t="str">
        <f>IF(îlot!CN21=0,typo!$G$2,IF(îlot!CN21=3,typo!$G$5,IF(îlot!CN21=2,typo!$G$3,IF(îlot!CN21=1,typo!$G$4,"error"))))</f>
        <v>R_mixte</v>
      </c>
      <c r="H29" s="174" t="str">
        <f>IF(îlot!EE21="permanent",typo!$H$3,IF(îlot!EE21="semi-permanent",typo!$H$4,IF(îlot!EE21="hivernal",typo!$H$5,typo!$H$2)))</f>
        <v>H_hiver</v>
      </c>
      <c r="I29" s="174" t="str">
        <f>IF(îlot!EN21=0,typo!$I$5,IF(îlot!EN21=1,typo!$I$2,IF(îlot!EN21=3,typo!$I$3,typo!$I$4)))</f>
        <v>no_AM</v>
      </c>
      <c r="J29" s="174" t="str">
        <f>IF(îlot!FI21=0,typo!$J$5,IF(îlot!FI21=1,typo!$J$2,IF(îlot!FI21=2,typo!$J$3,typo!$J$4)))</f>
        <v>ferti_mine</v>
      </c>
      <c r="K29" s="174" t="str">
        <f>IF(OR(îlot!GJ21="bon",îlot!GJ21="moyen"),typo!$K$5,IF(îlot!GJ21="mauvais",typo!$K$4,IF(îlot!GJ21="tres_mauvais",typo!$K$3,typo!$K$2)))</f>
        <v>D_bad</v>
      </c>
      <c r="L29" s="174" t="str">
        <f>IF(îlot!IA21="drain",typo!$L$2,IF(îlot!IA21="surface",typo!$L$3,typo!$L$4))</f>
        <v>S_surf</v>
      </c>
      <c r="M29" s="174" t="str">
        <f>IF(AND(îlot!HG21&lt;=200,îlot!HG21&gt;0),typo!$M$4,IF(AND(îlot!HG21&gt;200,îlot!HG21&lt;=400),typo!$M$3,IF(îlot!HG21&gt;400,typo!$M$2,typo!$M$5)))</f>
        <v>&lt;200mm</v>
      </c>
      <c r="N29" s="174" t="str">
        <f>IF(îlot!JZ21="oui",typo!$N$2,typo!$N$3)</f>
        <v>no_drain</v>
      </c>
      <c r="O29" s="174" t="str">
        <f>IF(îlot!JL21=0,typo!$O$3,typo!$O$2)</f>
        <v>no_irrig</v>
      </c>
      <c r="P29" s="176" t="str">
        <f>IF(OR(îlot!KI21="charrue",îlot!KL21="charrue",îlot!KO21="charrue",îlot!KR21="charrue"),typo!$P$2,typo!$P$3)</f>
        <v>returnsol</v>
      </c>
    </row>
    <row r="30" spans="1:16" x14ac:dyDescent="0.3">
      <c r="A30" s="175" t="s">
        <v>66</v>
      </c>
      <c r="B30" s="175">
        <v>14.1</v>
      </c>
      <c r="C30" s="174" t="str">
        <f>IF(îlot!O22&gt;=6,typo!$C$4,IF(AND(îlot!O22&lt;6,îlot!O22&gt;=4),typo!$C$3,IF(AND(îlot!O22&lt;4,îlot!O22&gt;=1),typo!$C$2,typo!$C$5)))</f>
        <v>IR_faible</v>
      </c>
      <c r="D30" s="174" t="str">
        <f>IF(îlot!Q22&gt;=0.8,typo!$D$2,IF(AND(îlot!Q22&lt;0.8,îlot!Q22&gt;0.5),typo!$D$3,IF(îlot!Q22&lt;=0.5,typo!$D$4,typo!$D$5)))</f>
        <v>&gt;80%IR</v>
      </c>
      <c r="E30" s="174" t="str">
        <f>IF(îlot!R22&gt;=25,typo!$E$3,typo!$E$2)</f>
        <v>IR_superf</v>
      </c>
      <c r="F30" s="174" t="str">
        <f>IF(îlot!S22="charrue",typo!$F$2,typo!$F$3)</f>
        <v>no_returnIR</v>
      </c>
      <c r="G30" s="174" t="str">
        <f>IF(îlot!CN22=0,typo!$G$2,IF(îlot!CN22=3,typo!$G$5,IF(îlot!CN22=2,typo!$G$3,IF(îlot!CN22=1,typo!$G$4,"error"))))</f>
        <v>R_chimi</v>
      </c>
      <c r="H30" s="174" t="str">
        <f>IF(îlot!EE22="permanent",typo!$H$3,IF(îlot!EE22="semi-permanent",typo!$H$4,IF(îlot!EE22="hivernal",typo!$H$5,typo!$H$2)))</f>
        <v>H_hiver</v>
      </c>
      <c r="I30" s="174" t="str">
        <f>IF(îlot!EN22=0,typo!$I$5,IF(îlot!EN22=1,typo!$I$2,IF(îlot!EN22=3,typo!$I$3,typo!$I$4)))</f>
        <v>gypse</v>
      </c>
      <c r="J30" s="174" t="str">
        <f>IF(îlot!FI22=0,typo!$J$5,IF(îlot!FI22=1,typo!$J$2,IF(îlot!FI22=2,typo!$J$3,typo!$J$4)))</f>
        <v>ferti_mine</v>
      </c>
      <c r="K30" s="174" t="str">
        <f>IF(OR(îlot!GJ22="bon",îlot!GJ22="moyen"),typo!$K$5,IF(îlot!GJ22="mauvais",typo!$K$4,IF(îlot!GJ22="tres_mauvais",typo!$K$3,typo!$K$2)))</f>
        <v>D_good</v>
      </c>
      <c r="L30" s="174" t="str">
        <f>IF(îlot!IA22="drain",typo!$L$2,IF(îlot!IA22="surface",typo!$L$3,typo!$L$4))</f>
        <v>S_surf</v>
      </c>
      <c r="M30" s="174" t="str">
        <f>IF(AND(îlot!HG22&lt;=200,îlot!HG22&gt;0),typo!$M$4,IF(AND(îlot!HG22&gt;200,îlot!HG22&lt;=400),typo!$M$3,IF(îlot!HG22&gt;400,typo!$M$2,typo!$M$5)))</f>
        <v>&lt;200mm</v>
      </c>
      <c r="N30" s="174" t="str">
        <f>IF(îlot!JZ22="oui",typo!$N$2,typo!$N$3)</f>
        <v>drain</v>
      </c>
      <c r="O30" s="174" t="str">
        <f>IF(îlot!JL22=0,typo!$O$3,typo!$O$2)</f>
        <v>no_irrig</v>
      </c>
      <c r="P30" s="176" t="str">
        <f>IF(OR(îlot!KI22="charrue",îlot!KL22="charrue",îlot!KO22="charrue",îlot!KR22="charrue"),typo!$P$2,typo!$P$3)</f>
        <v>returnsol</v>
      </c>
    </row>
    <row r="31" spans="1:16" x14ac:dyDescent="0.3">
      <c r="A31" s="175" t="s">
        <v>67</v>
      </c>
      <c r="B31" s="175">
        <v>14.2</v>
      </c>
      <c r="C31" s="174" t="str">
        <f>IF(îlot!O23&gt;=6,typo!$C$4,IF(AND(îlot!O23&lt;6,îlot!O23&gt;=4),typo!$C$3,IF(AND(îlot!O23&lt;4,îlot!O23&gt;=1),typo!$C$2,typo!$C$5)))</f>
        <v>IR_faible</v>
      </c>
      <c r="D31" s="174" t="str">
        <f>IF(îlot!Q23&gt;=0.8,typo!$D$2,IF(AND(îlot!Q23&lt;0.8,îlot!Q23&gt;0.5),typo!$D$3,IF(îlot!Q23&lt;=0.5,typo!$D$4,typo!$D$5)))</f>
        <v>&gt;80%IR</v>
      </c>
      <c r="E31" s="174" t="str">
        <f>IF(îlot!R23&gt;=25,typo!$E$3,typo!$E$2)</f>
        <v>IR_superf</v>
      </c>
      <c r="F31" s="174" t="str">
        <f>IF(îlot!S23="charrue",typo!$F$2,typo!$F$3)</f>
        <v>no_returnIR</v>
      </c>
      <c r="G31" s="174" t="str">
        <f>IF(îlot!CN23=0,typo!$G$2,IF(îlot!CN23=3,typo!$G$5,IF(îlot!CN23=2,typo!$G$3,IF(îlot!CN23=1,typo!$G$4,"error"))))</f>
        <v>R_chimi</v>
      </c>
      <c r="H31" s="174" t="str">
        <f>IF(îlot!EE23="permanent",typo!$H$3,IF(îlot!EE23="semi-permanent",typo!$H$4,IF(îlot!EE23="hivernal",typo!$H$5,typo!$H$2)))</f>
        <v>H_hiver</v>
      </c>
      <c r="I31" s="174" t="str">
        <f>IF(îlot!EN23=0,typo!$I$5,IF(îlot!EN23=1,typo!$I$2,IF(îlot!EN23=3,typo!$I$3,typo!$I$4)))</f>
        <v>AM_orga</v>
      </c>
      <c r="J31" s="174" t="str">
        <f>IF(îlot!FI23=0,typo!$J$5,IF(îlot!FI23=1,typo!$J$2,IF(îlot!FI23=2,typo!$J$3,typo!$J$4)))</f>
        <v>ferti_mine</v>
      </c>
      <c r="K31" s="174" t="str">
        <f>IF(OR(îlot!GJ23="bon",îlot!GJ23="moyen"),typo!$K$5,IF(îlot!GJ23="mauvais",typo!$K$4,IF(îlot!GJ23="tres_mauvais",typo!$K$3,typo!$K$2)))</f>
        <v>D_good</v>
      </c>
      <c r="L31" s="174" t="str">
        <f>IF(îlot!IA23="drain",typo!$L$2,IF(îlot!IA23="surface",typo!$L$3,typo!$L$4))</f>
        <v>S_surf</v>
      </c>
      <c r="M31" s="174" t="str">
        <f>IF(AND(îlot!HG23&lt;=200,îlot!HG23&gt;0),typo!$M$4,IF(AND(îlot!HG23&gt;200,îlot!HG23&lt;=400),typo!$M$3,IF(îlot!HG23&gt;400,typo!$M$2,typo!$M$5)))</f>
        <v>&lt;200mm</v>
      </c>
      <c r="N31" s="174" t="str">
        <f>IF(îlot!JZ23="oui",typo!$N$2,typo!$N$3)</f>
        <v>no_drain</v>
      </c>
      <c r="O31" s="174" t="str">
        <f>IF(îlot!JL23=0,typo!$O$3,typo!$O$2)</f>
        <v>irrig</v>
      </c>
      <c r="P31" s="176" t="str">
        <f>IF(OR(îlot!KI23="charrue",îlot!KL23="charrue",îlot!KO23="charrue",îlot!KR23="charrue"),typo!$P$2,typo!$P$3)</f>
        <v>returnsol</v>
      </c>
    </row>
    <row r="32" spans="1:16" x14ac:dyDescent="0.3">
      <c r="A32" s="175" t="s">
        <v>70</v>
      </c>
      <c r="B32" s="175">
        <v>15.1</v>
      </c>
      <c r="C32" s="174" t="str">
        <f>IF(îlot!O24&gt;=6,typo!$C$4,IF(AND(îlot!O24&lt;6,îlot!O24&gt;=4),typo!$C$3,IF(AND(îlot!O24&lt;4,îlot!O24&gt;=1),typo!$C$2,typo!$C$5)))</f>
        <v>IR_intensif</v>
      </c>
      <c r="D32" s="174" t="str">
        <f>IF(îlot!Q24&gt;=0.8,typo!$D$2,IF(AND(îlot!Q24&lt;0.8,îlot!Q24&gt;0.5),typo!$D$3,IF(îlot!Q24&lt;=0.5,typo!$D$4,typo!$D$5)))</f>
        <v>&gt;80%IR</v>
      </c>
      <c r="E32" s="174" t="str">
        <f>IF(îlot!R24&gt;=25,typo!$E$3,typo!$E$2)</f>
        <v>IR_prof</v>
      </c>
      <c r="F32" s="174" t="str">
        <f>IF(îlot!S24="charrue",typo!$F$2,typo!$F$3)</f>
        <v>no_returnIR</v>
      </c>
      <c r="G32" s="174" t="str">
        <f>IF(îlot!CN24=0,typo!$G$2,IF(îlot!CN24=3,typo!$G$5,IF(îlot!CN24=2,typo!$G$3,IF(îlot!CN24=1,typo!$G$4,"error"))))</f>
        <v>R_mixte</v>
      </c>
      <c r="H32" s="174" t="str">
        <f>IF(îlot!EE24="permanent",typo!$H$3,IF(îlot!EE24="semi-permanent",typo!$H$4,IF(îlot!EE24="hivernal",typo!$H$5,typo!$H$2)))</f>
        <v>no_herb</v>
      </c>
      <c r="I32" s="174" t="str">
        <f>IF(îlot!EN24=0,typo!$I$5,IF(îlot!EN24=1,typo!$I$2,IF(îlot!EN24=3,typo!$I$3,typo!$I$4)))</f>
        <v>AM_orga</v>
      </c>
      <c r="J32" s="174" t="str">
        <f>IF(îlot!FI24=0,typo!$J$5,IF(îlot!FI24=1,typo!$J$2,IF(îlot!FI24=2,typo!$J$3,typo!$J$4)))</f>
        <v>ferti_mixte</v>
      </c>
      <c r="K32" s="174" t="str">
        <f>IF(OR(îlot!GJ24="bon",îlot!GJ24="moyen"),typo!$K$5,IF(îlot!GJ24="mauvais",typo!$K$4,IF(îlot!GJ24="tres_mauvais",typo!$K$3,typo!$K$2)))</f>
        <v>D_notused</v>
      </c>
      <c r="L32" s="174" t="str">
        <f>IF(îlot!IA24="drain",typo!$L$2,IF(îlot!IA24="surface",typo!$L$3,typo!$L$4))</f>
        <v>no_sub</v>
      </c>
      <c r="M32" s="174" t="str">
        <f>IF(AND(îlot!HG24&lt;=200,îlot!HG24&gt;0),typo!$M$4,IF(AND(îlot!HG24&gt;200,îlot!HG24&lt;=400),typo!$M$3,IF(îlot!HG24&gt;400,typo!$M$2,typo!$M$5)))</f>
        <v>0mm</v>
      </c>
      <c r="N32" s="174" t="str">
        <f>IF(îlot!JZ24="oui",typo!$N$2,typo!$N$3)</f>
        <v>no_drain</v>
      </c>
      <c r="O32" s="174" t="str">
        <f>IF(îlot!JL24=0,typo!$O$3,typo!$O$2)</f>
        <v>irrig</v>
      </c>
      <c r="P32" s="176" t="str">
        <f>IF(OR(îlot!KI24="charrue",îlot!KL24="charrue",îlot!KO24="charrue",îlot!KR24="charrue"),typo!$P$2,typo!$P$3)</f>
        <v>no_returnsol</v>
      </c>
    </row>
    <row r="33" spans="1:16" x14ac:dyDescent="0.3">
      <c r="A33" s="175" t="s">
        <v>71</v>
      </c>
      <c r="B33" s="175">
        <v>16.100000000000001</v>
      </c>
      <c r="C33" s="174" t="str">
        <f>IF(îlot!O25&gt;=6,typo!$C$4,IF(AND(îlot!O25&lt;6,îlot!O25&gt;=4),typo!$C$3,IF(AND(îlot!O25&lt;4,îlot!O25&gt;=1),typo!$C$2,typo!$C$5)))</f>
        <v>IR_intensif</v>
      </c>
      <c r="D33" s="174" t="str">
        <f>IF(îlot!Q25&gt;=0.8,typo!$D$2,IF(AND(îlot!Q25&lt;0.8,îlot!Q25&gt;0.5),typo!$D$3,IF(îlot!Q25&lt;=0.5,typo!$D$4,typo!$D$5)))</f>
        <v>&gt;80%IR</v>
      </c>
      <c r="E33" s="174" t="str">
        <f>IF(îlot!R25&gt;=25,typo!$E$3,typo!$E$2)</f>
        <v>IR_prof</v>
      </c>
      <c r="F33" s="174" t="str">
        <f>IF(îlot!S25="charrue",typo!$F$2,typo!$F$3)</f>
        <v>no_returnIR</v>
      </c>
      <c r="G33" s="174" t="str">
        <f>IF(îlot!CN25=0,typo!$G$2,IF(îlot!CN25=3,typo!$G$5,IF(îlot!CN25=2,typo!$G$3,IF(îlot!CN25=1,typo!$G$4,"error"))))</f>
        <v>R_mixte</v>
      </c>
      <c r="H33" s="174" t="str">
        <f>IF(îlot!EE25="permanent",typo!$H$3,IF(îlot!EE25="semi-permanent",typo!$H$4,IF(îlot!EE25="hivernal",typo!$H$5,typo!$H$2)))</f>
        <v>no_herb</v>
      </c>
      <c r="I33" s="174" t="str">
        <f>IF(îlot!EN25=0,typo!$I$5,IF(îlot!EN25=1,typo!$I$2,IF(îlot!EN25=3,typo!$I$3,typo!$I$4)))</f>
        <v>no_AM</v>
      </c>
      <c r="J33" s="174" t="str">
        <f>IF(îlot!FI25=0,typo!$J$5,IF(îlot!FI25=1,typo!$J$2,IF(îlot!FI25=2,typo!$J$3,typo!$J$4)))</f>
        <v>ferti_mixte</v>
      </c>
      <c r="K33" s="174" t="str">
        <f>IF(OR(îlot!GJ25="bon",îlot!GJ25="moyen"),typo!$K$5,IF(îlot!GJ25="mauvais",typo!$K$4,IF(îlot!GJ25="tres_mauvais",typo!$K$3,typo!$K$2)))</f>
        <v>D_bad</v>
      </c>
      <c r="L33" s="174" t="str">
        <f>IF(îlot!IA25="drain",typo!$L$2,IF(îlot!IA25="surface",typo!$L$3,typo!$L$4))</f>
        <v>S_surf</v>
      </c>
      <c r="M33" s="174" t="str">
        <f>IF(AND(îlot!HG25&lt;=200,îlot!HG25&gt;0),typo!$M$4,IF(AND(îlot!HG25&gt;200,îlot!HG25&lt;=400),typo!$M$3,IF(îlot!HG25&gt;400,typo!$M$2,typo!$M$5)))</f>
        <v>&gt;400mm</v>
      </c>
      <c r="N33" s="174" t="str">
        <f>IF(îlot!JZ25="oui",typo!$N$2,typo!$N$3)</f>
        <v>no_drain</v>
      </c>
      <c r="O33" s="174" t="str">
        <f>IF(îlot!JL25=0,typo!$O$3,typo!$O$2)</f>
        <v>irrig</v>
      </c>
      <c r="P33" s="176" t="str">
        <f>IF(OR(îlot!KI25="charrue",îlot!KL25="charrue",îlot!KO25="charrue",îlot!KR25="charrue"),typo!$P$2,typo!$P$3)</f>
        <v>no_returnsol</v>
      </c>
    </row>
    <row r="34" spans="1:16" x14ac:dyDescent="0.3">
      <c r="A34" s="175" t="s">
        <v>68</v>
      </c>
      <c r="B34" s="175">
        <v>17.100000000000001</v>
      </c>
      <c r="C34" s="174" t="str">
        <f>IF(îlot!O26&gt;=6,typo!$C$4,IF(AND(îlot!O26&lt;6,îlot!O26&gt;=4),typo!$C$3,IF(AND(îlot!O26&lt;4,îlot!O26&gt;=1),typo!$C$2,typo!$C$5)))</f>
        <v>IR_intensif</v>
      </c>
      <c r="D34" s="174" t="str">
        <f>IF(îlot!Q26&gt;=0.8,typo!$D$2,IF(AND(îlot!Q26&lt;0.8,îlot!Q26&gt;0.5),typo!$D$3,IF(îlot!Q26&lt;=0.5,typo!$D$4,typo!$D$5)))</f>
        <v>&gt;80%IR</v>
      </c>
      <c r="E34" s="174" t="str">
        <f>IF(îlot!R26&gt;=25,typo!$E$3,typo!$E$2)</f>
        <v>IR_prof</v>
      </c>
      <c r="F34" s="174" t="str">
        <f>IF(îlot!S26="charrue",typo!$F$2,typo!$F$3)</f>
        <v>returnIR</v>
      </c>
      <c r="G34" s="174" t="str">
        <f>IF(îlot!CN26=0,typo!$G$2,IF(îlot!CN26=3,typo!$G$5,IF(îlot!CN26=2,typo!$G$3,IF(îlot!CN26=1,typo!$G$4,"error"))))</f>
        <v>R_meca</v>
      </c>
      <c r="H34" s="174" t="str">
        <f>IF(îlot!EE26="permanent",typo!$H$3,IF(îlot!EE26="semi-permanent",typo!$H$4,IF(îlot!EE26="hivernal",typo!$H$5,typo!$H$2)))</f>
        <v>no_herb</v>
      </c>
      <c r="I34" s="174" t="str">
        <f>IF(îlot!EN26=0,typo!$I$5,IF(îlot!EN26=1,typo!$I$2,IF(îlot!EN26=3,typo!$I$3,typo!$I$4)))</f>
        <v>no_AM</v>
      </c>
      <c r="J34" s="174" t="str">
        <f>IF(îlot!FI26=0,typo!$J$5,IF(îlot!FI26=1,typo!$J$2,IF(îlot!FI26=2,typo!$J$3,typo!$J$4)))</f>
        <v>ferti_mine</v>
      </c>
      <c r="K34" s="174" t="str">
        <f>IF(OR(îlot!GJ26="bon",îlot!GJ26="moyen"),typo!$K$5,IF(îlot!GJ26="mauvais",typo!$K$4,IF(îlot!GJ26="tres_mauvais",typo!$K$3,typo!$K$2)))</f>
        <v>D_good</v>
      </c>
      <c r="L34" s="174" t="str">
        <f>IF(îlot!IA26="drain",typo!$L$2,IF(îlot!IA26="surface",typo!$L$3,typo!$L$4))</f>
        <v>no_sub</v>
      </c>
      <c r="M34" s="174" t="str">
        <f>IF(AND(îlot!HG26&lt;=200,îlot!HG26&gt;0),typo!$M$4,IF(AND(îlot!HG26&gt;200,îlot!HG26&lt;=400),typo!$M$3,IF(îlot!HG26&gt;400,typo!$M$2,typo!$M$5)))</f>
        <v>0mm</v>
      </c>
      <c r="N34" s="174" t="str">
        <f>IF(îlot!JZ26="oui",typo!$N$2,typo!$N$3)</f>
        <v>no_drain</v>
      </c>
      <c r="O34" s="174" t="str">
        <f>IF(îlot!JL26=0,typo!$O$3,typo!$O$2)</f>
        <v>no_irrig</v>
      </c>
      <c r="P34" s="176" t="str">
        <f>IF(OR(îlot!KI26="charrue",îlot!KL26="charrue",îlot!KO26="charrue",îlot!KR26="charrue"),typo!$P$2,typo!$P$3)</f>
        <v>no_returnsol</v>
      </c>
    </row>
    <row r="35" spans="1:16" x14ac:dyDescent="0.3">
      <c r="A35" s="175" t="s">
        <v>69</v>
      </c>
      <c r="B35" s="175">
        <v>17.2</v>
      </c>
      <c r="C35" s="174" t="str">
        <f>IF(îlot!O27&gt;=6,typo!$C$4,IF(AND(îlot!O27&lt;6,îlot!O27&gt;=4),typo!$C$3,IF(AND(îlot!O27&lt;4,îlot!O27&gt;=1),typo!$C$2,typo!$C$5)))</f>
        <v>IR_intensif</v>
      </c>
      <c r="D35" s="174" t="str">
        <f>IF(îlot!Q27&gt;=0.8,typo!$D$2,IF(AND(îlot!Q27&lt;0.8,îlot!Q27&gt;0.5),typo!$D$3,IF(îlot!Q27&lt;=0.5,typo!$D$4,typo!$D$5)))</f>
        <v>&gt;80%IR</v>
      </c>
      <c r="E35" s="174" t="str">
        <f>IF(îlot!R27&gt;=25,typo!$E$3,typo!$E$2)</f>
        <v>IR_prof</v>
      </c>
      <c r="F35" s="174" t="str">
        <f>IF(îlot!S27="charrue",typo!$F$2,typo!$F$3)</f>
        <v>returnIR</v>
      </c>
      <c r="G35" s="174" t="str">
        <f>IF(îlot!CN27=0,typo!$G$2,IF(îlot!CN27=3,typo!$G$5,IF(îlot!CN27=2,typo!$G$3,IF(îlot!CN27=1,typo!$G$4,"error"))))</f>
        <v>R_meca</v>
      </c>
      <c r="H35" s="174" t="str">
        <f>IF(îlot!EE27="permanent",typo!$H$3,IF(îlot!EE27="semi-permanent",typo!$H$4,IF(îlot!EE27="hivernal",typo!$H$5,typo!$H$2)))</f>
        <v>no_herb</v>
      </c>
      <c r="I35" s="174" t="str">
        <f>IF(îlot!EN27=0,typo!$I$5,IF(îlot!EN27=1,typo!$I$2,IF(îlot!EN27=3,typo!$I$3,typo!$I$4)))</f>
        <v>no_AM</v>
      </c>
      <c r="J35" s="174" t="str">
        <f>IF(îlot!FI27=0,typo!$J$5,IF(îlot!FI27=1,typo!$J$2,IF(îlot!FI27=2,typo!$J$3,typo!$J$4)))</f>
        <v>ferti_mine</v>
      </c>
      <c r="K35" s="174" t="str">
        <f>IF(OR(îlot!GJ27="bon",îlot!GJ27="moyen"),typo!$K$5,IF(îlot!GJ27="mauvais",typo!$K$4,IF(îlot!GJ27="tres_mauvais",typo!$K$3,typo!$K$2)))</f>
        <v>D_good</v>
      </c>
      <c r="L35" s="174" t="str">
        <f>IF(îlot!IA27="drain",typo!$L$2,IF(îlot!IA27="surface",typo!$L$3,typo!$L$4))</f>
        <v>S_drain</v>
      </c>
      <c r="M35" s="174" t="str">
        <f>IF(AND(îlot!HG27&lt;=200,îlot!HG27&gt;0),typo!$M$4,IF(AND(îlot!HG27&gt;200,îlot!HG27&lt;=400),typo!$M$3,IF(îlot!HG27&gt;400,typo!$M$2,typo!$M$5)))</f>
        <v>&lt;200mm</v>
      </c>
      <c r="N35" s="174" t="str">
        <f>IF(îlot!JZ27="oui",typo!$N$2,typo!$N$3)</f>
        <v>drain</v>
      </c>
      <c r="O35" s="174" t="str">
        <f>IF(îlot!JL27=0,typo!$O$3,typo!$O$2)</f>
        <v>no_irrig</v>
      </c>
      <c r="P35" s="176" t="str">
        <f>IF(OR(îlot!KI27="charrue",îlot!KL27="charrue",îlot!KO27="charrue",îlot!KR27="charrue"),typo!$P$2,typo!$P$3)</f>
        <v>no_returnsol</v>
      </c>
    </row>
    <row r="36" spans="1:16" x14ac:dyDescent="0.3">
      <c r="A36" s="175" t="s">
        <v>513</v>
      </c>
      <c r="B36" s="175">
        <v>18.100000000000001</v>
      </c>
      <c r="C36" s="174" t="str">
        <f>IF(îlot!O28&gt;=6,typo!$C$4,IF(AND(îlot!O28&lt;6,îlot!O28&gt;=4),typo!$C$3,IF(AND(îlot!O28&lt;4,îlot!O28&gt;=1),typo!$C$2,typo!$C$5)))</f>
        <v>IR_modere</v>
      </c>
      <c r="D36" s="174" t="str">
        <f>IF(îlot!Q28&gt;=0.8,typo!$D$2,IF(AND(îlot!Q28&lt;0.8,îlot!Q28&gt;0.5),typo!$D$3,IF(îlot!Q28&lt;=0.5,typo!$D$4,typo!$D$5)))</f>
        <v>&gt;80%IR</v>
      </c>
      <c r="E36" s="174" t="str">
        <f>IF(îlot!R28&gt;=25,typo!$E$3,typo!$E$2)</f>
        <v>IR_superf</v>
      </c>
      <c r="F36" s="174" t="str">
        <f>IF(îlot!S28="charrue",typo!$F$2,typo!$F$3)</f>
        <v>no_returnIR</v>
      </c>
      <c r="G36" s="174" t="str">
        <f>IF(îlot!CN28=0,typo!$G$2,IF(îlot!CN28=3,typo!$G$5,IF(îlot!CN28=2,typo!$G$3,IF(îlot!CN28=1,typo!$G$4,"error"))))</f>
        <v>R_chimi</v>
      </c>
      <c r="H36" s="174" t="str">
        <f>IF(îlot!EE28="permanent",typo!$H$3,IF(îlot!EE28="semi-permanent",typo!$H$4,IF(îlot!EE28="hivernal",typo!$H$5,typo!$H$2)))</f>
        <v>H_hiver</v>
      </c>
      <c r="I36" s="174" t="str">
        <f>IF(îlot!EN28=0,typo!$I$5,IF(îlot!EN28=1,typo!$I$2,IF(îlot!EN28=3,typo!$I$3,typo!$I$4)))</f>
        <v>no_AM</v>
      </c>
      <c r="J36" s="174" t="str">
        <f>IF(îlot!FI28=0,typo!$J$5,IF(îlot!FI28=1,typo!$J$2,IF(îlot!FI28=2,typo!$J$3,typo!$J$4)))</f>
        <v>ferti_mixte</v>
      </c>
      <c r="K36" s="174" t="str">
        <f>IF(OR(îlot!GJ28="bon",îlot!GJ28="moyen"),typo!$K$5,IF(îlot!GJ28="mauvais",typo!$K$4,IF(îlot!GJ28="tres_mauvais",typo!$K$3,typo!$K$2)))</f>
        <v>D_good</v>
      </c>
      <c r="L36" s="174" t="str">
        <f>IF(îlot!IA28="drain",typo!$L$2,IF(îlot!IA28="surface",typo!$L$3,typo!$L$4))</f>
        <v>no_sub</v>
      </c>
      <c r="M36" s="174" t="str">
        <f>IF(AND(îlot!HG28&lt;=200,îlot!HG28&gt;0),typo!$M$4,IF(AND(îlot!HG28&gt;200,îlot!HG28&lt;=400),typo!$M$3,IF(îlot!HG28&gt;400,typo!$M$2,typo!$M$5)))</f>
        <v>0mm</v>
      </c>
      <c r="N36" s="174" t="str">
        <f>IF(îlot!JZ28="oui",typo!$N$2,typo!$N$3)</f>
        <v>no_drain</v>
      </c>
      <c r="O36" s="174" t="str">
        <f>IF(îlot!JL28=0,typo!$O$3,typo!$O$2)</f>
        <v>irrig</v>
      </c>
      <c r="P36" s="176" t="str">
        <f>IF(OR(îlot!KI28="charrue",îlot!KL28="charrue",îlot!KO28="charrue",îlot!KR28="charrue"),typo!$P$2,typo!$P$3)</f>
        <v>returnsol</v>
      </c>
    </row>
    <row r="37" spans="1:16" x14ac:dyDescent="0.3">
      <c r="A37" s="175" t="s">
        <v>88</v>
      </c>
      <c r="B37" s="175">
        <v>19.100000000000001</v>
      </c>
      <c r="C37" s="174" t="str">
        <f>IF(îlot!O29&gt;=6,typo!$C$4,IF(AND(îlot!O29&lt;6,îlot!O29&gt;=4),typo!$C$3,IF(AND(îlot!O29&lt;4,îlot!O29&gt;=1),typo!$C$2,typo!$C$5)))</f>
        <v>IR_faible</v>
      </c>
      <c r="D37" s="174" t="str">
        <f>IF(îlot!Q29&gt;=0.8,typo!$D$2,IF(AND(îlot!Q29&lt;0.8,îlot!Q29&gt;0.5),typo!$D$3,IF(îlot!Q29&lt;=0.5,typo!$D$4,typo!$D$5)))</f>
        <v>&gt;80%IR</v>
      </c>
      <c r="E37" s="174" t="str">
        <f>IF(îlot!R29&gt;=25,typo!$E$3,typo!$E$2)</f>
        <v>IR_prof</v>
      </c>
      <c r="F37" s="174" t="str">
        <f>IF(îlot!S29="charrue",typo!$F$2,typo!$F$3)</f>
        <v>no_returnIR</v>
      </c>
      <c r="G37" s="174" t="str">
        <f>IF(îlot!CN29=0,typo!$G$2,IF(îlot!CN29=3,typo!$G$5,IF(îlot!CN29=2,typo!$G$3,IF(îlot!CN29=1,typo!$G$4,"error"))))</f>
        <v>R_mixte</v>
      </c>
      <c r="H37" s="174" t="str">
        <f>IF(îlot!EE29="permanent",typo!$H$3,IF(îlot!EE29="semi-permanent",typo!$H$4,IF(îlot!EE29="hivernal",typo!$H$5,typo!$H$2)))</f>
        <v>H_hiver</v>
      </c>
      <c r="I37" s="174" t="str">
        <f>IF(îlot!EN29=0,typo!$I$5,IF(îlot!EN29=1,typo!$I$2,IF(îlot!EN29=3,typo!$I$3,typo!$I$4)))</f>
        <v>no_AM</v>
      </c>
      <c r="J37" s="174" t="str">
        <f>IF(îlot!FI29=0,typo!$J$5,IF(îlot!FI29=1,typo!$J$2,IF(îlot!FI29=2,typo!$J$3,typo!$J$4)))</f>
        <v>no_ferti</v>
      </c>
      <c r="K37" s="174" t="str">
        <f>IF(OR(îlot!GJ29="bon",îlot!GJ29="moyen"),typo!$K$5,IF(îlot!GJ29="mauvais",typo!$K$4,IF(îlot!GJ29="tres_mauvais",typo!$K$3,typo!$K$2)))</f>
        <v>D_good</v>
      </c>
      <c r="L37" s="174" t="str">
        <f>IF(îlot!IA29="drain",typo!$L$2,IF(îlot!IA29="surface",typo!$L$3,typo!$L$4))</f>
        <v>S_surf</v>
      </c>
      <c r="M37" s="174" t="str">
        <f>IF(AND(îlot!HG29&lt;=200,îlot!HG29&gt;0),typo!$M$4,IF(AND(îlot!HG29&gt;200,îlot!HG29&lt;=400),typo!$M$3,IF(îlot!HG29&gt;400,typo!$M$2,typo!$M$5)))</f>
        <v>&lt;200mm</v>
      </c>
      <c r="N37" s="174" t="str">
        <f>IF(îlot!JZ29="oui",typo!$N$2,typo!$N$3)</f>
        <v>no_drain</v>
      </c>
      <c r="O37" s="174" t="str">
        <f>IF(îlot!JL29=0,typo!$O$3,typo!$O$2)</f>
        <v>no_irrig</v>
      </c>
      <c r="P37" s="176" t="str">
        <f>IF(OR(îlot!KI29="charrue",îlot!KL29="charrue",îlot!KO29="charrue",îlot!KR29="charrue"),typo!$P$2,typo!$P$3)</f>
        <v>no_returnsol</v>
      </c>
    </row>
    <row r="38" spans="1:16" x14ac:dyDescent="0.3">
      <c r="A38" s="175" t="s">
        <v>89</v>
      </c>
      <c r="B38" s="175">
        <v>19.2</v>
      </c>
      <c r="C38" s="174" t="str">
        <f>IF(îlot!O30&gt;=6,typo!$C$4,IF(AND(îlot!O30&lt;6,îlot!O30&gt;=4),typo!$C$3,IF(AND(îlot!O30&lt;4,îlot!O30&gt;=1),typo!$C$2,typo!$C$5)))</f>
        <v>IR_faible</v>
      </c>
      <c r="D38" s="174" t="str">
        <f>IF(îlot!Q30&gt;=0.8,typo!$D$2,IF(AND(îlot!Q30&lt;0.8,îlot!Q30&gt;0.5),typo!$D$3,IF(îlot!Q30&lt;=0.5,typo!$D$4,typo!$D$5)))</f>
        <v>&gt;80%IR</v>
      </c>
      <c r="E38" s="174" t="str">
        <f>IF(îlot!R30&gt;=25,typo!$E$3,typo!$E$2)</f>
        <v>IR_prof</v>
      </c>
      <c r="F38" s="174" t="str">
        <f>IF(îlot!S30="charrue",typo!$F$2,typo!$F$3)</f>
        <v>no_returnIR</v>
      </c>
      <c r="G38" s="174" t="str">
        <f>IF(îlot!CN30=0,typo!$G$2,IF(îlot!CN30=3,typo!$G$5,IF(îlot!CN30=2,typo!$G$3,IF(îlot!CN30=1,typo!$G$4,"error"))))</f>
        <v>R_mixte</v>
      </c>
      <c r="H38" s="174" t="str">
        <f>IF(îlot!EE30="permanent",typo!$H$3,IF(îlot!EE30="semi-permanent",typo!$H$4,IF(îlot!EE30="hivernal",typo!$H$5,typo!$H$2)))</f>
        <v>H_hiver</v>
      </c>
      <c r="I38" s="174" t="str">
        <f>IF(îlot!EN30=0,typo!$I$5,IF(îlot!EN30=1,typo!$I$2,IF(îlot!EN30=3,typo!$I$3,typo!$I$4)))</f>
        <v>no_AM</v>
      </c>
      <c r="J38" s="174" t="str">
        <f>IF(îlot!FI30=0,typo!$J$5,IF(îlot!FI30=1,typo!$J$2,IF(îlot!FI30=2,typo!$J$3,typo!$J$4)))</f>
        <v>no_ferti</v>
      </c>
      <c r="K38" s="174" t="str">
        <f>IF(OR(îlot!GJ30="bon",îlot!GJ30="moyen"),typo!$K$5,IF(îlot!GJ30="mauvais",typo!$K$4,IF(îlot!GJ30="tres_mauvais",typo!$K$3,typo!$K$2)))</f>
        <v>D_good</v>
      </c>
      <c r="L38" s="174" t="str">
        <f>IF(îlot!IA30="drain",typo!$L$2,IF(îlot!IA30="surface",typo!$L$3,typo!$L$4))</f>
        <v>S_surf</v>
      </c>
      <c r="M38" s="174" t="str">
        <f>IF(AND(îlot!HG30&lt;=200,îlot!HG30&gt;0),typo!$M$4,IF(AND(îlot!HG30&gt;200,îlot!HG30&lt;=400),typo!$M$3,IF(îlot!HG30&gt;400,typo!$M$2,typo!$M$5)))</f>
        <v>&lt;200mm</v>
      </c>
      <c r="N38" s="174" t="str">
        <f>IF(îlot!JZ30="oui",typo!$N$2,typo!$N$3)</f>
        <v>no_drain</v>
      </c>
      <c r="O38" s="174" t="str">
        <f>IF(îlot!JL30=0,typo!$O$3,typo!$O$2)</f>
        <v>no_irrig</v>
      </c>
      <c r="P38" s="176" t="str">
        <f>IF(OR(îlot!KI30="charrue",îlot!KL30="charrue",îlot!KO30="charrue",îlot!KR30="charrue"),typo!$P$2,typo!$P$3)</f>
        <v>no_returnsol</v>
      </c>
    </row>
    <row r="39" spans="1:16" x14ac:dyDescent="0.3">
      <c r="A39" s="175" t="s">
        <v>87</v>
      </c>
      <c r="B39" s="175">
        <v>20.100000000000001</v>
      </c>
      <c r="C39" s="174" t="str">
        <f>IF(îlot!O31&gt;=6,typo!$C$4,IF(AND(îlot!O31&lt;6,îlot!O31&gt;=4),typo!$C$3,IF(AND(îlot!O31&lt;4,îlot!O31&gt;=1),typo!$C$2,typo!$C$5)))</f>
        <v>IR_modere</v>
      </c>
      <c r="D39" s="174" t="str">
        <f>IF(îlot!Q31&gt;=0.8,typo!$D$2,IF(AND(îlot!Q31&lt;0.8,îlot!Q31&gt;0.5),typo!$D$3,IF(îlot!Q31&lt;=0.5,typo!$D$4,typo!$D$5)))</f>
        <v>&gt;80%IR</v>
      </c>
      <c r="E39" s="174" t="str">
        <f>IF(îlot!R31&gt;=25,typo!$E$3,typo!$E$2)</f>
        <v>IR_prof</v>
      </c>
      <c r="F39" s="174" t="str">
        <f>IF(îlot!S31="charrue",typo!$F$2,typo!$F$3)</f>
        <v>no_returnIR</v>
      </c>
      <c r="G39" s="174" t="str">
        <f>IF(îlot!CN31=0,typo!$G$2,IF(îlot!CN31=3,typo!$G$5,IF(îlot!CN31=2,typo!$G$3,IF(îlot!CN31=1,typo!$G$4,"error"))))</f>
        <v>R_chimi</v>
      </c>
      <c r="H39" s="174" t="str">
        <f>IF(îlot!EE31="permanent",typo!$H$3,IF(îlot!EE31="semi-permanent",typo!$H$4,IF(îlot!EE31="hivernal",typo!$H$5,typo!$H$2)))</f>
        <v>H_hiver</v>
      </c>
      <c r="I39" s="174" t="str">
        <f>IF(îlot!EN31=0,typo!$I$5,IF(îlot!EN31=1,typo!$I$2,IF(îlot!EN31=3,typo!$I$3,typo!$I$4)))</f>
        <v>no_AM</v>
      </c>
      <c r="J39" s="174" t="str">
        <f>IF(îlot!FI31=0,typo!$J$5,IF(îlot!FI31=1,typo!$J$2,IF(îlot!FI31=2,typo!$J$3,typo!$J$4)))</f>
        <v>ferti_orga</v>
      </c>
      <c r="K39" s="174" t="str">
        <f>IF(OR(îlot!GJ31="bon",îlot!GJ31="moyen"),typo!$K$5,IF(îlot!GJ31="mauvais",typo!$K$4,IF(îlot!GJ31="tres_mauvais",typo!$K$3,typo!$K$2)))</f>
        <v>D_notused</v>
      </c>
      <c r="L39" s="174" t="str">
        <f>IF(îlot!IA31="drain",typo!$L$2,IF(îlot!IA31="surface",typo!$L$3,typo!$L$4))</f>
        <v>no_sub</v>
      </c>
      <c r="M39" s="174" t="str">
        <f>IF(AND(îlot!HG31&lt;=200,îlot!HG31&gt;0),typo!$M$4,IF(AND(îlot!HG31&gt;200,îlot!HG31&lt;=400),typo!$M$3,IF(îlot!HG31&gt;400,typo!$M$2,typo!$M$5)))</f>
        <v>0mm</v>
      </c>
      <c r="N39" s="174" t="str">
        <f>IF(îlot!JZ31="oui",typo!$N$2,typo!$N$3)</f>
        <v>no_drain</v>
      </c>
      <c r="O39" s="174" t="str">
        <f>IF(îlot!JL31=0,typo!$O$3,typo!$O$2)</f>
        <v>no_irrig</v>
      </c>
      <c r="P39" s="176" t="str">
        <f>IF(OR(îlot!KI31="charrue",îlot!KL31="charrue",îlot!KO31="charrue",îlot!KR31="charrue"),typo!$P$2,typo!$P$3)</f>
        <v>returnsol</v>
      </c>
    </row>
    <row r="40" spans="1:16" x14ac:dyDescent="0.3">
      <c r="A40" s="175" t="s">
        <v>83</v>
      </c>
      <c r="B40" s="175">
        <v>21.1</v>
      </c>
      <c r="C40" s="174" t="str">
        <f>IF(îlot!O32&gt;=6,typo!$C$4,IF(AND(îlot!O32&lt;6,îlot!O32&gt;=4),typo!$C$3,IF(AND(îlot!O32&lt;4,îlot!O32&gt;=1),typo!$C$2,typo!$C$5)))</f>
        <v>IR_intensif</v>
      </c>
      <c r="D40" s="174" t="str">
        <f>IF(îlot!Q32&gt;=0.8,typo!$D$2,IF(AND(îlot!Q32&lt;0.8,îlot!Q32&gt;0.5),typo!$D$3,IF(îlot!Q32&lt;=0.5,typo!$D$4,typo!$D$5)))</f>
        <v>&gt;80%IR</v>
      </c>
      <c r="E40" s="174" t="str">
        <f>IF(îlot!R32&gt;=25,typo!$E$3,typo!$E$2)</f>
        <v>IR_prof</v>
      </c>
      <c r="F40" s="174" t="str">
        <f>IF(îlot!S32="charrue",typo!$F$2,typo!$F$3)</f>
        <v>no_returnIR</v>
      </c>
      <c r="G40" s="174" t="str">
        <f>IF(îlot!CN32=0,typo!$G$2,IF(îlot!CN32=3,typo!$G$5,IF(îlot!CN32=2,typo!$G$3,IF(îlot!CN32=1,typo!$G$4,"error"))))</f>
        <v>R_mixte</v>
      </c>
      <c r="H40" s="174" t="str">
        <f>IF(îlot!EE32="permanent",typo!$H$3,IF(îlot!EE32="semi-permanent",typo!$H$4,IF(îlot!EE32="hivernal",typo!$H$5,typo!$H$2)))</f>
        <v>no_herb</v>
      </c>
      <c r="I40" s="174" t="str">
        <f>IF(îlot!EN32=0,typo!$I$5,IF(îlot!EN32=1,typo!$I$2,IF(îlot!EN32=3,typo!$I$3,typo!$I$4)))</f>
        <v>no_AM</v>
      </c>
      <c r="J40" s="174" t="str">
        <f>IF(îlot!FI32=0,typo!$J$5,IF(îlot!FI32=1,typo!$J$2,IF(îlot!FI32=2,typo!$J$3,typo!$J$4)))</f>
        <v>ferti_mine</v>
      </c>
      <c r="K40" s="174" t="str">
        <f>IF(OR(îlot!GJ32="bon",îlot!GJ32="moyen"),typo!$K$5,IF(îlot!GJ32="mauvais",typo!$K$4,IF(îlot!GJ32="tres_mauvais",typo!$K$3,typo!$K$2)))</f>
        <v>D_good</v>
      </c>
      <c r="L40" s="174" t="str">
        <f>IF(îlot!IA32="drain",typo!$L$2,IF(îlot!IA32="surface",typo!$L$3,typo!$L$4))</f>
        <v>S_surf</v>
      </c>
      <c r="M40" s="174" t="str">
        <f>IF(AND(îlot!HG32&lt;=200,îlot!HG32&gt;0),typo!$M$4,IF(AND(îlot!HG32&gt;200,îlot!HG32&lt;=400),typo!$M$3,IF(îlot!HG32&gt;400,typo!$M$2,typo!$M$5)))</f>
        <v>200-400mm</v>
      </c>
      <c r="N40" s="174" t="str">
        <f>IF(îlot!JZ32="oui",typo!$N$2,typo!$N$3)</f>
        <v>no_drain</v>
      </c>
      <c r="O40" s="174" t="str">
        <f>IF(îlot!JL32=0,typo!$O$3,typo!$O$2)</f>
        <v>no_irrig</v>
      </c>
      <c r="P40" s="176" t="str">
        <f>IF(OR(îlot!KI32="charrue",îlot!KL32="charrue",îlot!KO32="charrue",îlot!KR32="charrue"),typo!$P$2,typo!$P$3)</f>
        <v>no_returnsol</v>
      </c>
    </row>
    <row r="41" spans="1:16" x14ac:dyDescent="0.3">
      <c r="A41" s="175" t="s">
        <v>84</v>
      </c>
      <c r="B41" s="175">
        <v>21.2</v>
      </c>
      <c r="C41" s="174" t="str">
        <f>IF(îlot!O33&gt;=6,typo!$C$4,IF(AND(îlot!O33&lt;6,îlot!O33&gt;=4),typo!$C$3,IF(AND(îlot!O33&lt;4,îlot!O33&gt;=1),typo!$C$2,typo!$C$5)))</f>
        <v>IR_intensif</v>
      </c>
      <c r="D41" s="174" t="str">
        <f>IF(îlot!Q33&gt;=0.8,typo!$D$2,IF(AND(îlot!Q33&lt;0.8,îlot!Q33&gt;0.5),typo!$D$3,IF(îlot!Q33&lt;=0.5,typo!$D$4,typo!$D$5)))</f>
        <v>&gt;80%IR</v>
      </c>
      <c r="E41" s="174" t="str">
        <f>IF(îlot!R33&gt;=25,typo!$E$3,typo!$E$2)</f>
        <v>IR_prof</v>
      </c>
      <c r="F41" s="174" t="str">
        <f>IF(îlot!S33="charrue",typo!$F$2,typo!$F$3)</f>
        <v>no_returnIR</v>
      </c>
      <c r="G41" s="174" t="str">
        <f>IF(îlot!CN33=0,typo!$G$2,IF(îlot!CN33=3,typo!$G$5,IF(îlot!CN33=2,typo!$G$3,IF(îlot!CN33=1,typo!$G$4,"error"))))</f>
        <v>R_mixte</v>
      </c>
      <c r="H41" s="174" t="str">
        <f>IF(îlot!EE33="permanent",typo!$H$3,IF(îlot!EE33="semi-permanent",typo!$H$4,IF(îlot!EE33="hivernal",typo!$H$5,typo!$H$2)))</f>
        <v>no_herb</v>
      </c>
      <c r="I41" s="174" t="str">
        <f>IF(îlot!EN33=0,typo!$I$5,IF(îlot!EN33=1,typo!$I$2,IF(îlot!EN33=3,typo!$I$3,typo!$I$4)))</f>
        <v>no_AM</v>
      </c>
      <c r="J41" s="174" t="str">
        <f>IF(îlot!FI33=0,typo!$J$5,IF(îlot!FI33=1,typo!$J$2,IF(îlot!FI33=2,typo!$J$3,typo!$J$4)))</f>
        <v>ferti_mine</v>
      </c>
      <c r="K41" s="174" t="str">
        <f>IF(OR(îlot!GJ33="bon",îlot!GJ33="moyen"),typo!$K$5,IF(îlot!GJ33="mauvais",typo!$K$4,IF(îlot!GJ33="tres_mauvais",typo!$K$3,typo!$K$2)))</f>
        <v>D_good</v>
      </c>
      <c r="L41" s="174" t="str">
        <f>IF(îlot!IA33="drain",typo!$L$2,IF(îlot!IA33="surface",typo!$L$3,typo!$L$4))</f>
        <v>S_surf</v>
      </c>
      <c r="M41" s="174" t="str">
        <f>IF(AND(îlot!HG33&lt;=200,îlot!HG33&gt;0),typo!$M$4,IF(AND(îlot!HG33&gt;200,îlot!HG33&lt;=400),typo!$M$3,IF(îlot!HG33&gt;400,typo!$M$2,typo!$M$5)))</f>
        <v>200-400mm</v>
      </c>
      <c r="N41" s="174" t="str">
        <f>IF(îlot!JZ33="oui",typo!$N$2,typo!$N$3)</f>
        <v>no_drain</v>
      </c>
      <c r="O41" s="174" t="str">
        <f>IF(îlot!JL33=0,typo!$O$3,typo!$O$2)</f>
        <v>no_irrig</v>
      </c>
      <c r="P41" s="176" t="str">
        <f>IF(OR(îlot!KI33="charrue",îlot!KL33="charrue",îlot!KO33="charrue",îlot!KR33="charrue"),typo!$P$2,typo!$P$3)</f>
        <v>no_returnsol</v>
      </c>
    </row>
    <row r="42" spans="1:16" x14ac:dyDescent="0.3">
      <c r="A42" s="175" t="s">
        <v>85</v>
      </c>
      <c r="B42" s="175">
        <v>21.3</v>
      </c>
      <c r="C42" s="174" t="str">
        <f>IF(îlot!O34&gt;=6,typo!$C$4,IF(AND(îlot!O34&lt;6,îlot!O34&gt;=4),typo!$C$3,IF(AND(îlot!O34&lt;4,îlot!O34&gt;=1),typo!$C$2,typo!$C$5)))</f>
        <v>IR_intensif</v>
      </c>
      <c r="D42" s="174" t="str">
        <f>IF(îlot!Q34&gt;=0.8,typo!$D$2,IF(AND(îlot!Q34&lt;0.8,îlot!Q34&gt;0.5),typo!$D$3,IF(îlot!Q34&lt;=0.5,typo!$D$4,typo!$D$5)))</f>
        <v>&gt;80%IR</v>
      </c>
      <c r="E42" s="174" t="str">
        <f>IF(îlot!R34&gt;=25,typo!$E$3,typo!$E$2)</f>
        <v>IR_prof</v>
      </c>
      <c r="F42" s="174" t="str">
        <f>IF(îlot!S34="charrue",typo!$F$2,typo!$F$3)</f>
        <v>no_returnIR</v>
      </c>
      <c r="G42" s="174" t="str">
        <f>IF(îlot!CN34=0,typo!$G$2,IF(îlot!CN34=3,typo!$G$5,IF(îlot!CN34=2,typo!$G$3,IF(îlot!CN34=1,typo!$G$4,"error"))))</f>
        <v>R_mixte</v>
      </c>
      <c r="H42" s="174" t="str">
        <f>IF(îlot!EE34="permanent",typo!$H$3,IF(îlot!EE34="semi-permanent",typo!$H$4,IF(îlot!EE34="hivernal",typo!$H$5,typo!$H$2)))</f>
        <v>no_herb</v>
      </c>
      <c r="I42" s="174" t="str">
        <f>IF(îlot!EN34=0,typo!$I$5,IF(îlot!EN34=1,typo!$I$2,IF(îlot!EN34=3,typo!$I$3,typo!$I$4)))</f>
        <v>no_AM</v>
      </c>
      <c r="J42" s="174" t="str">
        <f>IF(îlot!FI34=0,typo!$J$5,IF(îlot!FI34=1,typo!$J$2,IF(îlot!FI34=2,typo!$J$3,typo!$J$4)))</f>
        <v>ferti_mine</v>
      </c>
      <c r="K42" s="174" t="str">
        <f>IF(OR(îlot!GJ34="bon",îlot!GJ34="moyen"),typo!$K$5,IF(îlot!GJ34="mauvais",typo!$K$4,IF(îlot!GJ34="tres_mauvais",typo!$K$3,typo!$K$2)))</f>
        <v>D_good</v>
      </c>
      <c r="L42" s="174" t="str">
        <f>IF(îlot!IA34="drain",typo!$L$2,IF(îlot!IA34="surface",typo!$L$3,typo!$L$4))</f>
        <v>S_surf</v>
      </c>
      <c r="M42" s="174" t="str">
        <f>IF(AND(îlot!HG34&lt;=200,îlot!HG34&gt;0),typo!$M$4,IF(AND(îlot!HG34&gt;200,îlot!HG34&lt;=400),typo!$M$3,IF(îlot!HG34&gt;400,typo!$M$2,typo!$M$5)))</f>
        <v>200-400mm</v>
      </c>
      <c r="N42" s="174" t="str">
        <f>IF(îlot!JZ34="oui",typo!$N$2,typo!$N$3)</f>
        <v>no_drain</v>
      </c>
      <c r="O42" s="174" t="str">
        <f>IF(îlot!JL34=0,typo!$O$3,typo!$O$2)</f>
        <v>no_irrig</v>
      </c>
      <c r="P42" s="176" t="str">
        <f>IF(OR(îlot!KI34="charrue",îlot!KL34="charrue",îlot!KO34="charrue",îlot!KR34="charrue"),typo!$P$2,typo!$P$3)</f>
        <v>no_returnsol</v>
      </c>
    </row>
    <row r="43" spans="1:16" x14ac:dyDescent="0.3">
      <c r="A43" s="175" t="s">
        <v>76</v>
      </c>
      <c r="B43" s="175">
        <v>22.1</v>
      </c>
      <c r="C43" s="174" t="str">
        <f>IF(îlot!O35&gt;=6,typo!$C$4,IF(AND(îlot!O35&lt;6,îlot!O35&gt;=4),typo!$C$3,IF(AND(îlot!O35&lt;4,îlot!O35&gt;=1),typo!$C$2,typo!$C$5)))</f>
        <v>IR_modere</v>
      </c>
      <c r="D43" s="174" t="str">
        <f>IF(îlot!Q35&gt;=0.8,typo!$D$2,IF(AND(îlot!Q35&lt;0.8,îlot!Q35&gt;0.5),typo!$D$3,IF(îlot!Q35&lt;=0.5,typo!$D$4,typo!$D$5)))</f>
        <v>&gt;80%IR</v>
      </c>
      <c r="E43" s="174" t="str">
        <f>IF(îlot!R35&gt;=25,typo!$E$3,typo!$E$2)</f>
        <v>IR_prof</v>
      </c>
      <c r="F43" s="174" t="str">
        <f>IF(îlot!S35="charrue",typo!$F$2,typo!$F$3)</f>
        <v>no_returnIR</v>
      </c>
      <c r="G43" s="174" t="str">
        <f>IF(îlot!CN35=0,typo!$G$2,IF(îlot!CN35=3,typo!$G$5,IF(îlot!CN35=2,typo!$G$3,IF(îlot!CN35=1,typo!$G$4,"error"))))</f>
        <v>R_mixte</v>
      </c>
      <c r="H43" s="174" t="str">
        <f>IF(îlot!EE35="permanent",typo!$H$3,IF(îlot!EE35="semi-permanent",typo!$H$4,IF(îlot!EE35="hivernal",typo!$H$5,typo!$H$2)))</f>
        <v>H_hiver</v>
      </c>
      <c r="I43" s="174" t="str">
        <f>IF(îlot!EN35=0,typo!$I$5,IF(îlot!EN35=1,typo!$I$2,IF(îlot!EN35=3,typo!$I$3,typo!$I$4)))</f>
        <v>AM_orga</v>
      </c>
      <c r="J43" s="174" t="str">
        <f>IF(îlot!FI35=0,typo!$J$5,IF(îlot!FI35=1,typo!$J$2,IF(îlot!FI35=2,typo!$J$3,typo!$J$4)))</f>
        <v>ferti_mine</v>
      </c>
      <c r="K43" s="174" t="str">
        <f>IF(OR(îlot!GJ35="bon",îlot!GJ35="moyen"),typo!$K$5,IF(îlot!GJ35="mauvais",typo!$K$4,IF(îlot!GJ35="tres_mauvais",typo!$K$3,typo!$K$2)))</f>
        <v>D_good</v>
      </c>
      <c r="L43" s="174" t="str">
        <f>IF(îlot!IA35="drain",typo!$L$2,IF(îlot!IA35="surface",typo!$L$3,typo!$L$4))</f>
        <v>no_sub</v>
      </c>
      <c r="M43" s="174" t="str">
        <f>IF(AND(îlot!HG35&lt;=200,îlot!HG35&gt;0),typo!$M$4,IF(AND(îlot!HG35&gt;200,îlot!HG35&lt;=400),typo!$M$3,IF(îlot!HG35&gt;400,typo!$M$2,typo!$M$5)))</f>
        <v>0mm</v>
      </c>
      <c r="N43" s="174" t="str">
        <f>IF(îlot!JZ35="oui",typo!$N$2,typo!$N$3)</f>
        <v>no_drain</v>
      </c>
      <c r="O43" s="174" t="str">
        <f>IF(îlot!JL35=0,typo!$O$3,typo!$O$2)</f>
        <v>no_irrig</v>
      </c>
      <c r="P43" s="176" t="str">
        <f>IF(OR(îlot!KI35="charrue",îlot!KL35="charrue",îlot!KO35="charrue",îlot!KR35="charrue"),typo!$P$2,typo!$P$3)</f>
        <v>no_returnsol</v>
      </c>
    </row>
    <row r="44" spans="1:16" x14ac:dyDescent="0.3">
      <c r="A44" s="175" t="s">
        <v>86</v>
      </c>
      <c r="B44" s="175">
        <v>23.1</v>
      </c>
      <c r="C44" s="174" t="str">
        <f>IF(îlot!O36&gt;=6,typo!$C$4,IF(AND(îlot!O36&lt;6,îlot!O36&gt;=4),typo!$C$3,IF(AND(îlot!O36&lt;4,îlot!O36&gt;=1),typo!$C$2,typo!$C$5)))</f>
        <v>IR_faible</v>
      </c>
      <c r="D44" s="174" t="str">
        <f>IF(îlot!Q36&gt;=0.8,typo!$D$2,IF(AND(îlot!Q36&lt;0.8,îlot!Q36&gt;0.5),typo!$D$3,IF(îlot!Q36&lt;=0.5,typo!$D$4,typo!$D$5)))</f>
        <v>50-80%IR</v>
      </c>
      <c r="E44" s="174" t="str">
        <f>IF(îlot!R36&gt;=25,typo!$E$3,typo!$E$2)</f>
        <v>IR_prof</v>
      </c>
      <c r="F44" s="174" t="str">
        <f>IF(îlot!S36="charrue",typo!$F$2,typo!$F$3)</f>
        <v>no_returnIR</v>
      </c>
      <c r="G44" s="174" t="str">
        <f>IF(îlot!CN36=0,typo!$G$2,IF(îlot!CN36=3,typo!$G$5,IF(îlot!CN36=2,typo!$G$3,IF(îlot!CN36=1,typo!$G$4,"error"))))</f>
        <v>R_chimi</v>
      </c>
      <c r="H44" s="174" t="str">
        <f>IF(îlot!EE36="permanent",typo!$H$3,IF(îlot!EE36="semi-permanent",typo!$H$4,IF(îlot!EE36="hivernal",typo!$H$5,typo!$H$2)))</f>
        <v>H_perm</v>
      </c>
      <c r="I44" s="174" t="str">
        <f>IF(îlot!EN36=0,typo!$I$5,IF(îlot!EN36=1,typo!$I$2,IF(îlot!EN36=3,typo!$I$3,typo!$I$4)))</f>
        <v>no_AM</v>
      </c>
      <c r="J44" s="174" t="str">
        <f>IF(îlot!FI36=0,typo!$J$5,IF(îlot!FI36=1,typo!$J$2,IF(îlot!FI36=2,typo!$J$3,typo!$J$4)))</f>
        <v>ferti_orga</v>
      </c>
      <c r="K44" s="174" t="str">
        <f>IF(OR(îlot!GJ36="bon",îlot!GJ36="moyen"),typo!$K$5,IF(îlot!GJ36="mauvais",typo!$K$4,IF(îlot!GJ36="tres_mauvais",typo!$K$3,typo!$K$2)))</f>
        <v>D_good</v>
      </c>
      <c r="L44" s="174" t="str">
        <f>IF(îlot!IA36="drain",typo!$L$2,IF(îlot!IA36="surface",typo!$L$3,typo!$L$4))</f>
        <v>S_drain</v>
      </c>
      <c r="M44" s="174" t="str">
        <f>IF(AND(îlot!HG36&lt;=200,îlot!HG36&gt;0),typo!$M$4,IF(AND(îlot!HG36&gt;200,îlot!HG36&lt;=400),typo!$M$3,IF(îlot!HG36&gt;400,typo!$M$2,typo!$M$5)))</f>
        <v>&lt;200mm</v>
      </c>
      <c r="N44" s="174" t="str">
        <f>IF(îlot!JZ36="oui",typo!$N$2,typo!$N$3)</f>
        <v>drain</v>
      </c>
      <c r="O44" s="174" t="str">
        <f>IF(îlot!JL36=0,typo!$O$3,typo!$O$2)</f>
        <v>no_irrig</v>
      </c>
      <c r="P44" s="176" t="str">
        <f>IF(OR(îlot!KI36="charrue",îlot!KL36="charrue",îlot!KO36="charrue",îlot!KR36="charrue"),typo!$P$2,typo!$P$3)</f>
        <v>returnsol</v>
      </c>
    </row>
    <row r="45" spans="1:16" x14ac:dyDescent="0.3">
      <c r="A45" s="175" t="s">
        <v>72</v>
      </c>
      <c r="B45" s="175">
        <v>24.1</v>
      </c>
      <c r="C45" s="174" t="str">
        <f>IF(îlot!O37&gt;=6,typo!$C$4,IF(AND(îlot!O37&lt;6,îlot!O37&gt;=4),typo!$C$3,IF(AND(îlot!O37&lt;4,îlot!O37&gt;=1),typo!$C$2,typo!$C$5)))</f>
        <v>IR_modere</v>
      </c>
      <c r="D45" s="174" t="str">
        <f>IF(îlot!Q37&gt;=0.8,typo!$D$2,IF(AND(îlot!Q37&lt;0.8,îlot!Q37&gt;0.5),typo!$D$3,IF(îlot!Q37&lt;=0.5,typo!$D$4,typo!$D$5)))</f>
        <v>&gt;80%IR</v>
      </c>
      <c r="E45" s="174" t="str">
        <f>IF(îlot!R37&gt;=25,typo!$E$3,typo!$E$2)</f>
        <v>IR_prof</v>
      </c>
      <c r="F45" s="174" t="str">
        <f>IF(îlot!S37="charrue",typo!$F$2,typo!$F$3)</f>
        <v>returnIR</v>
      </c>
      <c r="G45" s="174" t="str">
        <f>IF(îlot!CN37=0,typo!$G$2,IF(îlot!CN37=3,typo!$G$5,IF(îlot!CN37=2,typo!$G$3,IF(îlot!CN37=1,typo!$G$4,"error"))))</f>
        <v>R_chimi</v>
      </c>
      <c r="H45" s="174" t="str">
        <f>IF(îlot!EE37="permanent",typo!$H$3,IF(îlot!EE37="semi-permanent",typo!$H$4,IF(îlot!EE37="hivernal",typo!$H$5,typo!$H$2)))</f>
        <v>H_hiver</v>
      </c>
      <c r="I45" s="174" t="str">
        <f>IF(îlot!EN37=0,typo!$I$5,IF(îlot!EN37=1,typo!$I$2,IF(îlot!EN37=3,typo!$I$3,typo!$I$4)))</f>
        <v>no_AM</v>
      </c>
      <c r="J45" s="174" t="str">
        <f>IF(îlot!FI37=0,typo!$J$5,IF(îlot!FI37=1,typo!$J$2,IF(îlot!FI37=2,typo!$J$3,typo!$J$4)))</f>
        <v>ferti_mixte</v>
      </c>
      <c r="K45" s="174" t="str">
        <f>IF(OR(îlot!GJ37="bon",îlot!GJ37="moyen"),typo!$K$5,IF(îlot!GJ37="mauvais",typo!$K$4,IF(îlot!GJ37="tres_mauvais",typo!$K$3,typo!$K$2)))</f>
        <v>D_good</v>
      </c>
      <c r="L45" s="174" t="str">
        <f>IF(îlot!IA37="drain",typo!$L$2,IF(îlot!IA37="surface",typo!$L$3,typo!$L$4))</f>
        <v>S_surf</v>
      </c>
      <c r="M45" s="174" t="str">
        <f>IF(AND(îlot!HG37&lt;=200,îlot!HG37&gt;0),typo!$M$4,IF(AND(îlot!HG37&gt;200,îlot!HG37&lt;=400),typo!$M$3,IF(îlot!HG37&gt;400,typo!$M$2,typo!$M$5)))</f>
        <v>&lt;200mm</v>
      </c>
      <c r="N45" s="174" t="str">
        <f>IF(îlot!JZ37="oui",typo!$N$2,typo!$N$3)</f>
        <v>no_drain</v>
      </c>
      <c r="O45" s="174" t="str">
        <f>IF(îlot!JL37=0,typo!$O$3,typo!$O$2)</f>
        <v>no_irrig</v>
      </c>
      <c r="P45" s="176" t="str">
        <f>IF(OR(îlot!KI37="charrue",îlot!KL37="charrue",îlot!KO37="charrue",îlot!KR37="charrue"),typo!$P$2,typo!$P$3)</f>
        <v>returnsol</v>
      </c>
    </row>
    <row r="46" spans="1:16" x14ac:dyDescent="0.3">
      <c r="A46" s="175" t="s">
        <v>73</v>
      </c>
      <c r="B46" s="175">
        <v>24.2</v>
      </c>
      <c r="C46" s="174" t="str">
        <f>IF(îlot!O38&gt;=6,typo!$C$4,IF(AND(îlot!O38&lt;6,îlot!O38&gt;=4),typo!$C$3,IF(AND(îlot!O38&lt;4,îlot!O38&gt;=1),typo!$C$2,typo!$C$5)))</f>
        <v>IR_modere</v>
      </c>
      <c r="D46" s="174" t="str">
        <f>IF(îlot!Q38&gt;=0.8,typo!$D$2,IF(AND(îlot!Q38&lt;0.8,îlot!Q38&gt;0.5),typo!$D$3,IF(îlot!Q38&lt;=0.5,typo!$D$4,typo!$D$5)))</f>
        <v>&gt;80%IR</v>
      </c>
      <c r="E46" s="174" t="str">
        <f>IF(îlot!R38&gt;=25,typo!$E$3,typo!$E$2)</f>
        <v>IR_prof</v>
      </c>
      <c r="F46" s="174" t="str">
        <f>IF(îlot!S38="charrue",typo!$F$2,typo!$F$3)</f>
        <v>returnIR</v>
      </c>
      <c r="G46" s="174" t="str">
        <f>IF(îlot!CN38=0,typo!$G$2,IF(îlot!CN38=3,typo!$G$5,IF(îlot!CN38=2,typo!$G$3,IF(îlot!CN38=1,typo!$G$4,"error"))))</f>
        <v>R_chimi</v>
      </c>
      <c r="H46" s="174" t="str">
        <f>IF(îlot!EE38="permanent",typo!$H$3,IF(îlot!EE38="semi-permanent",typo!$H$4,IF(îlot!EE38="hivernal",typo!$H$5,typo!$H$2)))</f>
        <v>H_hiver</v>
      </c>
      <c r="I46" s="174" t="str">
        <f>IF(îlot!EN38=0,typo!$I$5,IF(îlot!EN38=1,typo!$I$2,IF(îlot!EN38=3,typo!$I$3,typo!$I$4)))</f>
        <v>no_AM</v>
      </c>
      <c r="J46" s="174" t="str">
        <f>IF(îlot!FI38=0,typo!$J$5,IF(îlot!FI38=1,typo!$J$2,IF(îlot!FI38=2,typo!$J$3,typo!$J$4)))</f>
        <v>ferti_mixte</v>
      </c>
      <c r="K46" s="174" t="str">
        <f>IF(OR(îlot!GJ38="bon",îlot!GJ38="moyen"),typo!$K$5,IF(îlot!GJ38="mauvais",typo!$K$4,IF(îlot!GJ38="tres_mauvais",typo!$K$3,typo!$K$2)))</f>
        <v>D_good</v>
      </c>
      <c r="L46" s="174" t="str">
        <f>IF(îlot!IA38="drain",typo!$L$2,IF(îlot!IA38="surface",typo!$L$3,typo!$L$4))</f>
        <v>S_surf</v>
      </c>
      <c r="M46" s="174" t="str">
        <f>IF(AND(îlot!HG38&lt;=200,îlot!HG38&gt;0),typo!$M$4,IF(AND(îlot!HG38&gt;200,îlot!HG38&lt;=400),typo!$M$3,IF(îlot!HG38&gt;400,typo!$M$2,typo!$M$5)))</f>
        <v>&lt;200mm</v>
      </c>
      <c r="N46" s="174" t="str">
        <f>IF(îlot!JZ38="oui",typo!$N$2,typo!$N$3)</f>
        <v>no_drain</v>
      </c>
      <c r="O46" s="174" t="str">
        <f>IF(îlot!JL38=0,typo!$O$3,typo!$O$2)</f>
        <v>no_irrig</v>
      </c>
      <c r="P46" s="176" t="str">
        <f>IF(OR(îlot!KI38="charrue",îlot!KL38="charrue",îlot!KO38="charrue",îlot!KR38="charrue"),typo!$P$2,typo!$P$3)</f>
        <v>returnsol</v>
      </c>
    </row>
    <row r="47" spans="1:16" x14ac:dyDescent="0.3">
      <c r="A47" s="175" t="s">
        <v>74</v>
      </c>
      <c r="B47" s="175">
        <v>25.1</v>
      </c>
      <c r="C47" s="174" t="str">
        <f>IF(îlot!O39&gt;=6,typo!$C$4,IF(AND(îlot!O39&lt;6,îlot!O39&gt;=4),typo!$C$3,IF(AND(îlot!O39&lt;4,îlot!O39&gt;=1),typo!$C$2,typo!$C$5)))</f>
        <v>IR_modere</v>
      </c>
      <c r="D47" s="174" t="str">
        <f>IF(îlot!Q39&gt;=0.8,typo!$D$2,IF(AND(îlot!Q39&lt;0.8,îlot!Q39&gt;0.5),typo!$D$3,IF(îlot!Q39&lt;=0.5,typo!$D$4,typo!$D$5)))</f>
        <v>&gt;80%IR</v>
      </c>
      <c r="E47" s="174" t="str">
        <f>IF(îlot!R39&gt;=25,typo!$E$3,typo!$E$2)</f>
        <v>IR_prof</v>
      </c>
      <c r="F47" s="174" t="str">
        <f>IF(îlot!S39="charrue",typo!$F$2,typo!$F$3)</f>
        <v>no_returnIR</v>
      </c>
      <c r="G47" s="174" t="str">
        <f>IF(îlot!CN39=0,typo!$G$2,IF(îlot!CN39=3,typo!$G$5,IF(îlot!CN39=2,typo!$G$3,IF(îlot!CN39=1,typo!$G$4,"error"))))</f>
        <v>R_chimi</v>
      </c>
      <c r="H47" s="174" t="str">
        <f>IF(îlot!EE39="permanent",typo!$H$3,IF(îlot!EE39="semi-permanent",typo!$H$4,IF(îlot!EE39="hivernal",typo!$H$5,typo!$H$2)))</f>
        <v>H_hiver</v>
      </c>
      <c r="I47" s="174" t="str">
        <f>IF(îlot!EN39=0,typo!$I$5,IF(îlot!EN39=1,typo!$I$2,IF(îlot!EN39=3,typo!$I$3,typo!$I$4)))</f>
        <v>no_AM</v>
      </c>
      <c r="J47" s="174" t="str">
        <f>IF(îlot!FI39=0,typo!$J$5,IF(îlot!FI39=1,typo!$J$2,IF(îlot!FI39=2,typo!$J$3,typo!$J$4)))</f>
        <v>ferti_orga</v>
      </c>
      <c r="K47" s="174" t="str">
        <f>IF(OR(îlot!GJ39="bon",îlot!GJ39="moyen"),typo!$K$5,IF(îlot!GJ39="mauvais",typo!$K$4,IF(îlot!GJ39="tres_mauvais",typo!$K$3,typo!$K$2)))</f>
        <v>D_good</v>
      </c>
      <c r="L47" s="174" t="str">
        <f>IF(îlot!IA39="drain",typo!$L$2,IF(îlot!IA39="surface",typo!$L$3,typo!$L$4))</f>
        <v>no_sub</v>
      </c>
      <c r="M47" s="174" t="str">
        <f>IF(AND(îlot!HG39&lt;=200,îlot!HG39&gt;0),typo!$M$4,IF(AND(îlot!HG39&gt;200,îlot!HG39&lt;=400),typo!$M$3,IF(îlot!HG39&gt;400,typo!$M$2,typo!$M$5)))</f>
        <v>0mm</v>
      </c>
      <c r="N47" s="174" t="str">
        <f>IF(îlot!JZ39="oui",typo!$N$2,typo!$N$3)</f>
        <v>no_drain</v>
      </c>
      <c r="O47" s="174" t="str">
        <f>IF(îlot!JL39=0,typo!$O$3,typo!$O$2)</f>
        <v>irrig</v>
      </c>
      <c r="P47" s="176" t="str">
        <f>IF(OR(îlot!KI39="charrue",îlot!KL39="charrue",îlot!KO39="charrue",îlot!KR39="charrue"),typo!$P$2,typo!$P$3)</f>
        <v>returnsol</v>
      </c>
    </row>
    <row r="48" spans="1:16" x14ac:dyDescent="0.3">
      <c r="A48" s="175" t="s">
        <v>75</v>
      </c>
      <c r="B48" s="175">
        <v>25.2</v>
      </c>
      <c r="C48" s="174" t="str">
        <f>IF(îlot!O40&gt;=6,typo!$C$4,IF(AND(îlot!O40&lt;6,îlot!O40&gt;=4),typo!$C$3,IF(AND(îlot!O40&lt;4,îlot!O40&gt;=1),typo!$C$2,typo!$C$5)))</f>
        <v>IR_modere</v>
      </c>
      <c r="D48" s="174" t="str">
        <f>IF(îlot!Q40&gt;=0.8,typo!$D$2,IF(AND(îlot!Q40&lt;0.8,îlot!Q40&gt;0.5),typo!$D$3,IF(îlot!Q40&lt;=0.5,typo!$D$4,typo!$D$5)))</f>
        <v>&gt;80%IR</v>
      </c>
      <c r="E48" s="174" t="str">
        <f>IF(îlot!R40&gt;=25,typo!$E$3,typo!$E$2)</f>
        <v>IR_prof</v>
      </c>
      <c r="F48" s="174" t="str">
        <f>IF(îlot!S40="charrue",typo!$F$2,typo!$F$3)</f>
        <v>no_returnIR</v>
      </c>
      <c r="G48" s="174" t="str">
        <f>IF(îlot!CN40=0,typo!$G$2,IF(îlot!CN40=3,typo!$G$5,IF(îlot!CN40=2,typo!$G$3,IF(îlot!CN40=1,typo!$G$4,"error"))))</f>
        <v>R_chimi</v>
      </c>
      <c r="H48" s="174" t="str">
        <f>IF(îlot!EE40="permanent",typo!$H$3,IF(îlot!EE40="semi-permanent",typo!$H$4,IF(îlot!EE40="hivernal",typo!$H$5,typo!$H$2)))</f>
        <v>H_hiver</v>
      </c>
      <c r="I48" s="174" t="str">
        <f>IF(îlot!EN40=0,typo!$I$5,IF(îlot!EN40=1,typo!$I$2,IF(îlot!EN40=3,typo!$I$3,typo!$I$4)))</f>
        <v>no_AM</v>
      </c>
      <c r="J48" s="174" t="str">
        <f>IF(îlot!FI40=0,typo!$J$5,IF(îlot!FI40=1,typo!$J$2,IF(îlot!FI40=2,typo!$J$3,typo!$J$4)))</f>
        <v>ferti_orga</v>
      </c>
      <c r="K48" s="174" t="str">
        <f>IF(OR(îlot!GJ40="bon",îlot!GJ40="moyen"),typo!$K$5,IF(îlot!GJ40="mauvais",typo!$K$4,IF(îlot!GJ40="tres_mauvais",typo!$K$3,typo!$K$2)))</f>
        <v>D_good</v>
      </c>
      <c r="L48" s="174" t="str">
        <f>IF(îlot!IA40="drain",typo!$L$2,IF(îlot!IA40="surface",typo!$L$3,typo!$L$4))</f>
        <v>no_sub</v>
      </c>
      <c r="M48" s="174" t="str">
        <f>IF(AND(îlot!HG40&lt;=200,îlot!HG40&gt;0),typo!$M$4,IF(AND(îlot!HG40&gt;200,îlot!HG40&lt;=400),typo!$M$3,IF(îlot!HG40&gt;400,typo!$M$2,typo!$M$5)))</f>
        <v>0mm</v>
      </c>
      <c r="N48" s="174" t="str">
        <f>IF(îlot!JZ40="oui",typo!$N$2,typo!$N$3)</f>
        <v>no_drain</v>
      </c>
      <c r="O48" s="174" t="str">
        <f>IF(îlot!JL40=0,typo!$O$3,typo!$O$2)</f>
        <v>irrig</v>
      </c>
      <c r="P48" s="176" t="str">
        <f>IF(OR(îlot!KI40="charrue",îlot!KL40="charrue",îlot!KO40="charrue",îlot!KR40="charrue"),typo!$P$2,typo!$P$3)</f>
        <v>returnsol</v>
      </c>
    </row>
    <row r="49" spans="1:16" x14ac:dyDescent="0.3">
      <c r="A49" s="175" t="s">
        <v>82</v>
      </c>
      <c r="B49" s="175">
        <v>26.1</v>
      </c>
      <c r="C49" s="174" t="str">
        <f>IF(îlot!O41&gt;=6,typo!$C$4,IF(AND(îlot!O41&lt;6,îlot!O41&gt;=4),typo!$C$3,IF(AND(îlot!O41&lt;4,îlot!O41&gt;=1),typo!$C$2,typo!$C$5)))</f>
        <v>IR_modere</v>
      </c>
      <c r="D49" s="174" t="str">
        <f>IF(îlot!Q41&gt;=0.8,typo!$D$2,IF(AND(îlot!Q41&lt;0.8,îlot!Q41&gt;0.5),typo!$D$3,IF(îlot!Q41&lt;=0.5,typo!$D$4,typo!$D$5)))</f>
        <v>&gt;80%IR</v>
      </c>
      <c r="E49" s="174" t="str">
        <f>IF(îlot!R41&gt;=25,typo!$E$3,typo!$E$2)</f>
        <v>IR_prof</v>
      </c>
      <c r="F49" s="174" t="str">
        <f>IF(îlot!S41="charrue",typo!$F$2,typo!$F$3)</f>
        <v>no_returnIR</v>
      </c>
      <c r="G49" s="174" t="str">
        <f>IF(îlot!CN41=0,typo!$G$2,IF(îlot!CN41=3,typo!$G$5,IF(îlot!CN41=2,typo!$G$3,IF(îlot!CN41=1,typo!$G$4,"error"))))</f>
        <v>R_chimi</v>
      </c>
      <c r="H49" s="174" t="str">
        <f>IF(îlot!EE41="permanent",typo!$H$3,IF(îlot!EE41="semi-permanent",typo!$H$4,IF(îlot!EE41="hivernal",typo!$H$5,typo!$H$2)))</f>
        <v>H_hiver</v>
      </c>
      <c r="I49" s="174" t="str">
        <f>IF(îlot!EN41=0,typo!$I$5,IF(îlot!EN41=1,typo!$I$2,IF(îlot!EN41=3,typo!$I$3,typo!$I$4)))</f>
        <v>no_AM</v>
      </c>
      <c r="J49" s="174" t="str">
        <f>IF(îlot!FI41=0,typo!$J$5,IF(îlot!FI41=1,typo!$J$2,IF(îlot!FI41=2,typo!$J$3,typo!$J$4)))</f>
        <v>ferti_orga</v>
      </c>
      <c r="K49" s="174" t="str">
        <f>IF(OR(îlot!GJ41="bon",îlot!GJ41="moyen"),typo!$K$5,IF(îlot!GJ41="mauvais",typo!$K$4,IF(îlot!GJ41="tres_mauvais",typo!$K$3,typo!$K$2)))</f>
        <v>no_ditch</v>
      </c>
      <c r="L49" s="174" t="str">
        <f>IF(îlot!IA41="drain",typo!$L$2,IF(îlot!IA41="surface",typo!$L$3,typo!$L$4))</f>
        <v>no_sub</v>
      </c>
      <c r="M49" s="174" t="str">
        <f>IF(AND(îlot!HG41&lt;=200,îlot!HG41&gt;0),typo!$M$4,IF(AND(îlot!HG41&gt;200,îlot!HG41&lt;=400),typo!$M$3,IF(îlot!HG41&gt;400,typo!$M$2,typo!$M$5)))</f>
        <v>0mm</v>
      </c>
      <c r="N49" s="174" t="str">
        <f>IF(îlot!JZ41="oui",typo!$N$2,typo!$N$3)</f>
        <v>no_drain</v>
      </c>
      <c r="O49" s="174" t="str">
        <f>IF(îlot!JL41=0,typo!$O$3,typo!$O$2)</f>
        <v>no_irrig</v>
      </c>
      <c r="P49" s="176" t="str">
        <f>IF(OR(îlot!KI41="charrue",îlot!KL41="charrue",îlot!KO41="charrue",îlot!KR41="charrue"),typo!$P$2,typo!$P$3)</f>
        <v>no_returnsol</v>
      </c>
    </row>
    <row r="50" spans="1:16" x14ac:dyDescent="0.3">
      <c r="A50" s="175" t="s">
        <v>79</v>
      </c>
      <c r="B50" s="175">
        <v>27.1</v>
      </c>
      <c r="C50" s="174" t="str">
        <f>IF(îlot!O42&gt;=6,typo!$C$4,IF(AND(îlot!O42&lt;6,îlot!O42&gt;=4),typo!$C$3,IF(AND(îlot!O42&lt;4,îlot!O42&gt;=1),typo!$C$2,typo!$C$5)))</f>
        <v>IR_intensif</v>
      </c>
      <c r="D50" s="174" t="str">
        <f>IF(îlot!Q42&gt;=0.8,typo!$D$2,IF(AND(îlot!Q42&lt;0.8,îlot!Q42&gt;0.5),typo!$D$3,IF(îlot!Q42&lt;=0.5,typo!$D$4,typo!$D$5)))</f>
        <v>&gt;80%IR</v>
      </c>
      <c r="E50" s="174" t="str">
        <f>IF(îlot!R42&gt;=25,typo!$E$3,typo!$E$2)</f>
        <v>IR_prof</v>
      </c>
      <c r="F50" s="174" t="str">
        <f>IF(îlot!S42="charrue",typo!$F$2,typo!$F$3)</f>
        <v>no_returnIR</v>
      </c>
      <c r="G50" s="174" t="str">
        <f>IF(îlot!CN42=0,typo!$G$2,IF(îlot!CN42=3,typo!$G$5,IF(îlot!CN42=2,typo!$G$3,IF(îlot!CN42=1,typo!$G$4,"error"))))</f>
        <v>R_mixte</v>
      </c>
      <c r="H50" s="174" t="str">
        <f>IF(îlot!EE42="permanent",typo!$H$3,IF(îlot!EE42="semi-permanent",typo!$H$4,IF(îlot!EE42="hivernal",typo!$H$5,typo!$H$2)))</f>
        <v>H_hiver</v>
      </c>
      <c r="I50" s="174" t="str">
        <f>IF(îlot!EN42=0,typo!$I$5,IF(îlot!EN42=1,typo!$I$2,IF(îlot!EN42=3,typo!$I$3,typo!$I$4)))</f>
        <v>no_AM</v>
      </c>
      <c r="J50" s="174" t="str">
        <f>IF(îlot!FI42=0,typo!$J$5,IF(îlot!FI42=1,typo!$J$2,IF(îlot!FI42=2,typo!$J$3,typo!$J$4)))</f>
        <v>ferti_mine</v>
      </c>
      <c r="K50" s="174" t="str">
        <f>IF(OR(îlot!GJ42="bon",îlot!GJ42="moyen"),typo!$K$5,IF(îlot!GJ42="mauvais",typo!$K$4,IF(îlot!GJ42="tres_mauvais",typo!$K$3,typo!$K$2)))</f>
        <v>D_good</v>
      </c>
      <c r="L50" s="174" t="str">
        <f>IF(îlot!IA42="drain",typo!$L$2,IF(îlot!IA42="surface",typo!$L$3,typo!$L$4))</f>
        <v>S_drain</v>
      </c>
      <c r="M50" s="174" t="str">
        <f>IF(AND(îlot!HG42&lt;=200,îlot!HG42&gt;0),typo!$M$4,IF(AND(îlot!HG42&gt;200,îlot!HG42&lt;=400),typo!$M$3,IF(îlot!HG42&gt;400,typo!$M$2,typo!$M$5)))</f>
        <v>200-400mm</v>
      </c>
      <c r="N50" s="174" t="str">
        <f>IF(îlot!JZ42="oui",typo!$N$2,typo!$N$3)</f>
        <v>drain</v>
      </c>
      <c r="O50" s="174" t="str">
        <f>IF(îlot!JL42=0,typo!$O$3,typo!$O$2)</f>
        <v>no_irrig</v>
      </c>
      <c r="P50" s="176" t="str">
        <f>IF(OR(îlot!KI42="charrue",îlot!KL42="charrue",îlot!KO42="charrue",îlot!KR42="charrue"),typo!$P$2,typo!$P$3)</f>
        <v>no_returnsol</v>
      </c>
    </row>
    <row r="51" spans="1:16" x14ac:dyDescent="0.3">
      <c r="A51" s="175" t="s">
        <v>80</v>
      </c>
      <c r="B51" s="175">
        <v>27.2</v>
      </c>
      <c r="C51" s="174" t="str">
        <f>IF(îlot!O43&gt;=6,typo!$C$4,IF(AND(îlot!O43&lt;6,îlot!O43&gt;=4),typo!$C$3,IF(AND(îlot!O43&lt;4,îlot!O43&gt;=1),typo!$C$2,typo!$C$5)))</f>
        <v>IR_intensif</v>
      </c>
      <c r="D51" s="174" t="str">
        <f>IF(îlot!Q43&gt;=0.8,typo!$D$2,IF(AND(îlot!Q43&lt;0.8,îlot!Q43&gt;0.5),typo!$D$3,IF(îlot!Q43&lt;=0.5,typo!$D$4,typo!$D$5)))</f>
        <v>&gt;80%IR</v>
      </c>
      <c r="E51" s="174" t="str">
        <f>IF(îlot!R43&gt;=25,typo!$E$3,typo!$E$2)</f>
        <v>IR_prof</v>
      </c>
      <c r="F51" s="174" t="str">
        <f>IF(îlot!S43="charrue",typo!$F$2,typo!$F$3)</f>
        <v>no_returnIR</v>
      </c>
      <c r="G51" s="174" t="str">
        <f>IF(îlot!CN43=0,typo!$G$2,IF(îlot!CN43=3,typo!$G$5,IF(îlot!CN43=2,typo!$G$3,IF(îlot!CN43=1,typo!$G$4,"error"))))</f>
        <v>R_mixte</v>
      </c>
      <c r="H51" s="174" t="str">
        <f>IF(îlot!EE43="permanent",typo!$H$3,IF(îlot!EE43="semi-permanent",typo!$H$4,IF(îlot!EE43="hivernal",typo!$H$5,typo!$H$2)))</f>
        <v>H_hiver</v>
      </c>
      <c r="I51" s="174" t="str">
        <f>IF(îlot!EN43=0,typo!$I$5,IF(îlot!EN43=1,typo!$I$2,IF(îlot!EN43=3,typo!$I$3,typo!$I$4)))</f>
        <v>gypse</v>
      </c>
      <c r="J51" s="174" t="str">
        <f>IF(îlot!FI43=0,typo!$J$5,IF(îlot!FI43=1,typo!$J$2,IF(îlot!FI43=2,typo!$J$3,typo!$J$4)))</f>
        <v>ferti_mine</v>
      </c>
      <c r="K51" s="174" t="str">
        <f>IF(OR(îlot!GJ43="bon",îlot!GJ43="moyen"),typo!$K$5,IF(îlot!GJ43="mauvais",typo!$K$4,IF(îlot!GJ43="tres_mauvais",typo!$K$3,typo!$K$2)))</f>
        <v>D_good</v>
      </c>
      <c r="L51" s="174" t="str">
        <f>IF(îlot!IA43="drain",typo!$L$2,IF(îlot!IA43="surface",typo!$L$3,typo!$L$4))</f>
        <v>S_drain</v>
      </c>
      <c r="M51" s="174" t="str">
        <f>IF(AND(îlot!HG43&lt;=200,îlot!HG43&gt;0),typo!$M$4,IF(AND(îlot!HG43&gt;200,îlot!HG43&lt;=400),typo!$M$3,IF(îlot!HG43&gt;400,typo!$M$2,typo!$M$5)))</f>
        <v>200-400mm</v>
      </c>
      <c r="N51" s="174" t="str">
        <f>IF(îlot!JZ43="oui",typo!$N$2,typo!$N$3)</f>
        <v>drain</v>
      </c>
      <c r="O51" s="174" t="str">
        <f>IF(îlot!JL43=0,typo!$O$3,typo!$O$2)</f>
        <v>no_irrig</v>
      </c>
      <c r="P51" s="176" t="str">
        <f>IF(OR(îlot!KI43="charrue",îlot!KL43="charrue",îlot!KO43="charrue",îlot!KR43="charrue"),typo!$P$2,typo!$P$3)</f>
        <v>no_returnsol</v>
      </c>
    </row>
    <row r="52" spans="1:16" x14ac:dyDescent="0.3">
      <c r="A52" s="175" t="s">
        <v>81</v>
      </c>
      <c r="B52" s="175">
        <v>27.3</v>
      </c>
      <c r="C52" s="174" t="str">
        <f>IF(îlot!O44&gt;=6,typo!$C$4,IF(AND(îlot!O44&lt;6,îlot!O44&gt;=4),typo!$C$3,IF(AND(îlot!O44&lt;4,îlot!O44&gt;=1),typo!$C$2,typo!$C$5)))</f>
        <v>IR_intensif</v>
      </c>
      <c r="D52" s="174" t="str">
        <f>IF(îlot!Q44&gt;=0.8,typo!$D$2,IF(AND(îlot!Q44&lt;0.8,îlot!Q44&gt;0.5),typo!$D$3,IF(îlot!Q44&lt;=0.5,typo!$D$4,typo!$D$5)))</f>
        <v>&gt;80%IR</v>
      </c>
      <c r="E52" s="174" t="str">
        <f>IF(îlot!R44&gt;=25,typo!$E$3,typo!$E$2)</f>
        <v>IR_prof</v>
      </c>
      <c r="F52" s="174" t="str">
        <f>IF(îlot!S44="charrue",typo!$F$2,typo!$F$3)</f>
        <v>no_returnIR</v>
      </c>
      <c r="G52" s="174" t="str">
        <f>IF(îlot!CN44=0,typo!$G$2,IF(îlot!CN44=3,typo!$G$5,IF(îlot!CN44=2,typo!$G$3,IF(îlot!CN44=1,typo!$G$4,"error"))))</f>
        <v>R_mixte</v>
      </c>
      <c r="H52" s="174" t="str">
        <f>IF(îlot!EE44="permanent",typo!$H$3,IF(îlot!EE44="semi-permanent",typo!$H$4,IF(îlot!EE44="hivernal",typo!$H$5,typo!$H$2)))</f>
        <v>H_hiver</v>
      </c>
      <c r="I52" s="174" t="str">
        <f>IF(îlot!EN44=0,typo!$I$5,IF(îlot!EN44=1,typo!$I$2,IF(îlot!EN44=3,typo!$I$3,typo!$I$4)))</f>
        <v>no_AM</v>
      </c>
      <c r="J52" s="174" t="str">
        <f>IF(îlot!FI44=0,typo!$J$5,IF(îlot!FI44=1,typo!$J$2,IF(îlot!FI44=2,typo!$J$3,typo!$J$4)))</f>
        <v>ferti_mine</v>
      </c>
      <c r="K52" s="174" t="str">
        <f>IF(OR(îlot!GJ44="bon",îlot!GJ44="moyen"),typo!$K$5,IF(îlot!GJ44="mauvais",typo!$K$4,IF(îlot!GJ44="tres_mauvais",typo!$K$3,typo!$K$2)))</f>
        <v>D_good</v>
      </c>
      <c r="L52" s="174" t="str">
        <f>IF(îlot!IA44="drain",typo!$L$2,IF(îlot!IA44="surface",typo!$L$3,typo!$L$4))</f>
        <v>S_drain</v>
      </c>
      <c r="M52" s="174" t="str">
        <f>IF(AND(îlot!HG44&lt;=200,îlot!HG44&gt;0),typo!$M$4,IF(AND(îlot!HG44&gt;200,îlot!HG44&lt;=400),typo!$M$3,IF(îlot!HG44&gt;400,typo!$M$2,typo!$M$5)))</f>
        <v>200-400mm</v>
      </c>
      <c r="N52" s="174" t="str">
        <f>IF(îlot!JZ44="oui",typo!$N$2,typo!$N$3)</f>
        <v>drain</v>
      </c>
      <c r="O52" s="174" t="str">
        <f>IF(îlot!JL44=0,typo!$O$3,typo!$O$2)</f>
        <v>no_irrig</v>
      </c>
      <c r="P52" s="176" t="str">
        <f>IF(OR(îlot!KI44="charrue",îlot!KL44="charrue",îlot!KO44="charrue",îlot!KR44="charrue"),typo!$P$2,typo!$P$3)</f>
        <v>no_returnsol</v>
      </c>
    </row>
    <row r="53" spans="1:16" x14ac:dyDescent="0.3">
      <c r="A53" s="175" t="s">
        <v>77</v>
      </c>
      <c r="B53" s="175">
        <v>28.1</v>
      </c>
      <c r="C53" s="174" t="str">
        <f>IF(îlot!O45&gt;=6,typo!$C$4,IF(AND(îlot!O45&lt;6,îlot!O45&gt;=4),typo!$C$3,IF(AND(îlot!O45&lt;4,îlot!O45&gt;=1),typo!$C$2,typo!$C$5)))</f>
        <v>IR_modere</v>
      </c>
      <c r="D53" s="174" t="str">
        <f>IF(îlot!Q45&gt;=0.8,typo!$D$2,IF(AND(îlot!Q45&lt;0.8,îlot!Q45&gt;0.5),typo!$D$3,IF(îlot!Q45&lt;=0.5,typo!$D$4,typo!$D$5)))</f>
        <v>&gt;80%IR</v>
      </c>
      <c r="E53" s="174" t="str">
        <f>IF(îlot!R45&gt;=25,typo!$E$3,typo!$E$2)</f>
        <v>IR_prof</v>
      </c>
      <c r="F53" s="174" t="str">
        <f>IF(îlot!S45="charrue",typo!$F$2,typo!$F$3)</f>
        <v>no_returnIR</v>
      </c>
      <c r="G53" s="174" t="str">
        <f>IF(îlot!CN45=0,typo!$G$2,IF(îlot!CN45=3,typo!$G$5,IF(îlot!CN45=2,typo!$G$3,IF(îlot!CN45=1,typo!$G$4,"error"))))</f>
        <v>R_mixte</v>
      </c>
      <c r="H53" s="174" t="str">
        <f>IF(îlot!EE45="permanent",typo!$H$3,IF(îlot!EE45="semi-permanent",typo!$H$4,IF(îlot!EE45="hivernal",typo!$H$5,typo!$H$2)))</f>
        <v>H_hiver</v>
      </c>
      <c r="I53" s="174" t="str">
        <f>IF(îlot!EN45=0,typo!$I$5,IF(îlot!EN45=1,typo!$I$2,IF(îlot!EN45=3,typo!$I$3,typo!$I$4)))</f>
        <v>AM_orga</v>
      </c>
      <c r="J53" s="174" t="str">
        <f>IF(îlot!FI45=0,typo!$J$5,IF(îlot!FI45=1,typo!$J$2,IF(îlot!FI45=2,typo!$J$3,typo!$J$4)))</f>
        <v>ferti_orga</v>
      </c>
      <c r="K53" s="174" t="str">
        <f>IF(OR(îlot!GJ45="bon",îlot!GJ45="moyen"),typo!$K$5,IF(îlot!GJ45="mauvais",typo!$K$4,IF(îlot!GJ45="tres_mauvais",typo!$K$3,typo!$K$2)))</f>
        <v>D_good</v>
      </c>
      <c r="L53" s="174" t="str">
        <f>IF(îlot!IA45="drain",typo!$L$2,IF(îlot!IA45="surface",typo!$L$3,typo!$L$4))</f>
        <v>S_drain</v>
      </c>
      <c r="M53" s="174" t="str">
        <f>IF(AND(îlot!HG45&lt;=200,îlot!HG45&gt;0),typo!$M$4,IF(AND(îlot!HG45&gt;200,îlot!HG45&lt;=400),typo!$M$3,IF(îlot!HG45&gt;400,typo!$M$2,typo!$M$5)))</f>
        <v>&gt;400mm</v>
      </c>
      <c r="N53" s="174" t="str">
        <f>IF(îlot!JZ45="oui",typo!$N$2,typo!$N$3)</f>
        <v>drain</v>
      </c>
      <c r="O53" s="174" t="str">
        <f>IF(îlot!JL45=0,typo!$O$3,typo!$O$2)</f>
        <v>no_irrig</v>
      </c>
      <c r="P53" s="176" t="str">
        <f>IF(OR(îlot!KI45="charrue",îlot!KL45="charrue",îlot!KO45="charrue",îlot!KR45="charrue"),typo!$P$2,typo!$P$3)</f>
        <v>no_returnsol</v>
      </c>
    </row>
    <row r="54" spans="1:16" x14ac:dyDescent="0.3">
      <c r="A54" s="180" t="s">
        <v>78</v>
      </c>
      <c r="B54" s="180">
        <v>28.2</v>
      </c>
      <c r="C54" s="174" t="str">
        <f>IF(îlot!O46&gt;=6,typo!$C$4,IF(AND(îlot!O46&lt;6,îlot!O46&gt;=4),typo!$C$3,IF(AND(îlot!O46&lt;4,îlot!O46&gt;=1),typo!$C$2,typo!$C$5)))</f>
        <v>IR_modere</v>
      </c>
      <c r="D54" s="174" t="str">
        <f>IF(îlot!Q46&gt;=0.8,typo!$D$2,IF(AND(îlot!Q46&lt;0.8,îlot!Q46&gt;0.5),typo!$D$3,IF(îlot!Q46&lt;=0.5,typo!$D$4,typo!$D$5)))</f>
        <v>&gt;80%IR</v>
      </c>
      <c r="E54" s="174" t="str">
        <f>IF(îlot!R46&gt;=25,typo!$E$3,typo!$E$2)</f>
        <v>IR_prof</v>
      </c>
      <c r="F54" s="174" t="str">
        <f>IF(îlot!S46="charrue",typo!$F$2,typo!$F$3)</f>
        <v>no_returnIR</v>
      </c>
      <c r="G54" s="174" t="str">
        <f>IF(îlot!CN46=0,typo!$G$2,IF(îlot!CN46=3,typo!$G$5,IF(îlot!CN46=2,typo!$G$3,IF(îlot!CN46=1,typo!$G$4,"error"))))</f>
        <v>R_mixte</v>
      </c>
      <c r="H54" s="174" t="str">
        <f>IF(îlot!EE46="permanent",typo!$H$3,IF(îlot!EE46="semi-permanent",typo!$H$4,IF(îlot!EE46="hivernal",typo!$H$5,typo!$H$2)))</f>
        <v>H_hiver</v>
      </c>
      <c r="I54" s="174" t="str">
        <f>IF(îlot!EN46=0,typo!$I$5,IF(îlot!EN46=1,typo!$I$2,IF(îlot!EN46=3,typo!$I$3,typo!$I$4)))</f>
        <v>AM_orga</v>
      </c>
      <c r="J54" s="174" t="str">
        <f>IF(îlot!FI46=0,typo!$J$5,IF(îlot!FI46=1,typo!$J$2,IF(îlot!FI46=2,typo!$J$3,typo!$J$4)))</f>
        <v>ferti_orga</v>
      </c>
      <c r="K54" s="174" t="str">
        <f>IF(OR(îlot!GJ46="bon",îlot!GJ46="moyen"),typo!$K$5,IF(îlot!GJ46="mauvais",typo!$K$4,IF(îlot!GJ46="tres_mauvais",typo!$K$3,typo!$K$2)))</f>
        <v>D_good</v>
      </c>
      <c r="L54" s="174" t="str">
        <f>IF(îlot!IA46="drain",typo!$L$2,IF(îlot!IA46="surface",typo!$L$3,typo!$L$4))</f>
        <v>S_drain</v>
      </c>
      <c r="M54" s="174" t="str">
        <f>IF(AND(îlot!HG46&lt;=200,îlot!HG46&gt;0),typo!$M$4,IF(AND(îlot!HG46&gt;200,îlot!HG46&lt;=400),typo!$M$3,IF(îlot!HG46&gt;400,typo!$M$2,typo!$M$5)))</f>
        <v>&gt;400mm</v>
      </c>
      <c r="N54" s="174" t="str">
        <f>IF(îlot!JZ46="oui",typo!$N$2,typo!$N$3)</f>
        <v>drain</v>
      </c>
      <c r="O54" s="174" t="str">
        <f>IF(îlot!JL46=0,typo!$O$3,typo!$O$2)</f>
        <v>no_irrig</v>
      </c>
      <c r="P54" s="176" t="str">
        <f>IF(OR(îlot!KI46="charrue",îlot!KL46="charrue",îlot!KO46="charrue",îlot!KR46="charrue"),typo!$P$2,typo!$P$3)</f>
        <v>no_returnsol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C066-4BC4-43F3-B0AC-2E6C7B2EB6F1}">
  <dimension ref="A1:D190"/>
  <sheetViews>
    <sheetView workbookViewId="0">
      <selection activeCell="C38" sqref="C38"/>
    </sheetView>
  </sheetViews>
  <sheetFormatPr baseColWidth="10" defaultRowHeight="14.4" x14ac:dyDescent="0.3"/>
  <cols>
    <col min="1" max="1" width="27.77734375" customWidth="1"/>
    <col min="2" max="2" width="13.33203125" customWidth="1"/>
    <col min="3" max="3" width="67.109375" customWidth="1"/>
  </cols>
  <sheetData>
    <row r="1" spans="1:3" x14ac:dyDescent="0.3">
      <c r="A1" s="250" t="s">
        <v>1290</v>
      </c>
      <c r="B1" s="239" t="s">
        <v>1246</v>
      </c>
      <c r="C1" s="239" t="s">
        <v>1247</v>
      </c>
    </row>
    <row r="2" spans="1:3" x14ac:dyDescent="0.3">
      <c r="A2" s="251" t="s">
        <v>1227</v>
      </c>
      <c r="B2" s="216" t="s">
        <v>820</v>
      </c>
      <c r="C2" s="217" t="s">
        <v>1074</v>
      </c>
    </row>
    <row r="3" spans="1:3" x14ac:dyDescent="0.3">
      <c r="A3" s="251"/>
      <c r="B3" s="216" t="s">
        <v>1073</v>
      </c>
      <c r="C3" s="217" t="s">
        <v>1075</v>
      </c>
    </row>
    <row r="4" spans="1:3" x14ac:dyDescent="0.3">
      <c r="A4" s="251"/>
      <c r="B4" s="218" t="s">
        <v>529</v>
      </c>
      <c r="C4" s="217" t="s">
        <v>1076</v>
      </c>
    </row>
    <row r="5" spans="1:3" x14ac:dyDescent="0.3">
      <c r="A5" s="251"/>
      <c r="B5" s="218" t="s">
        <v>821</v>
      </c>
      <c r="C5" s="217" t="s">
        <v>1077</v>
      </c>
    </row>
    <row r="6" spans="1:3" x14ac:dyDescent="0.3">
      <c r="A6" s="251"/>
      <c r="B6" s="218" t="s">
        <v>519</v>
      </c>
      <c r="C6" s="217" t="s">
        <v>221</v>
      </c>
    </row>
    <row r="7" spans="1:3" x14ac:dyDescent="0.3">
      <c r="A7" s="251"/>
      <c r="B7" s="218" t="s">
        <v>520</v>
      </c>
      <c r="C7" s="217" t="s">
        <v>1078</v>
      </c>
    </row>
    <row r="8" spans="1:3" x14ac:dyDescent="0.3">
      <c r="A8" s="251"/>
      <c r="B8" s="218" t="s">
        <v>530</v>
      </c>
      <c r="C8" s="217" t="s">
        <v>1248</v>
      </c>
    </row>
    <row r="9" spans="1:3" x14ac:dyDescent="0.3">
      <c r="A9" s="251"/>
      <c r="B9" s="218" t="s">
        <v>1062</v>
      </c>
      <c r="C9" s="217" t="s">
        <v>1079</v>
      </c>
    </row>
    <row r="10" spans="1:3" x14ac:dyDescent="0.3">
      <c r="A10" s="251"/>
      <c r="B10" s="218" t="s">
        <v>526</v>
      </c>
      <c r="C10" s="217" t="s">
        <v>1080</v>
      </c>
    </row>
    <row r="11" spans="1:3" x14ac:dyDescent="0.3">
      <c r="A11" s="251"/>
      <c r="B11" s="218" t="s">
        <v>531</v>
      </c>
      <c r="C11" s="217" t="s">
        <v>1081</v>
      </c>
    </row>
    <row r="12" spans="1:3" x14ac:dyDescent="0.3">
      <c r="A12" s="251"/>
      <c r="B12" s="218" t="s">
        <v>527</v>
      </c>
      <c r="C12" s="217" t="s">
        <v>1082</v>
      </c>
    </row>
    <row r="13" spans="1:3" x14ac:dyDescent="0.3">
      <c r="A13" s="251"/>
      <c r="B13" s="218" t="s">
        <v>528</v>
      </c>
      <c r="C13" s="217" t="s">
        <v>1083</v>
      </c>
    </row>
    <row r="14" spans="1:3" x14ac:dyDescent="0.3">
      <c r="A14" s="251"/>
      <c r="B14" s="218" t="s">
        <v>532</v>
      </c>
      <c r="C14" s="217" t="s">
        <v>1084</v>
      </c>
    </row>
    <row r="15" spans="1:3" x14ac:dyDescent="0.3">
      <c r="A15" s="251"/>
      <c r="B15" s="218" t="s">
        <v>533</v>
      </c>
      <c r="C15" s="217" t="s">
        <v>1086</v>
      </c>
    </row>
    <row r="16" spans="1:3" ht="14.4" customHeight="1" x14ac:dyDescent="0.3">
      <c r="A16" s="252" t="s">
        <v>1228</v>
      </c>
      <c r="B16" s="219" t="s">
        <v>883</v>
      </c>
      <c r="C16" s="8" t="s">
        <v>1085</v>
      </c>
    </row>
    <row r="17" spans="1:3" x14ac:dyDescent="0.3">
      <c r="A17" s="252"/>
      <c r="B17" s="219" t="s">
        <v>904</v>
      </c>
      <c r="C17" s="8" t="s">
        <v>1085</v>
      </c>
    </row>
    <row r="18" spans="1:3" x14ac:dyDescent="0.3">
      <c r="A18" s="252"/>
      <c r="B18" s="219" t="s">
        <v>886</v>
      </c>
      <c r="C18" s="8" t="s">
        <v>1085</v>
      </c>
    </row>
    <row r="19" spans="1:3" x14ac:dyDescent="0.3">
      <c r="A19" s="252"/>
      <c r="B19" s="219" t="s">
        <v>887</v>
      </c>
      <c r="C19" s="8" t="s">
        <v>1085</v>
      </c>
    </row>
    <row r="20" spans="1:3" x14ac:dyDescent="0.3">
      <c r="A20" s="252"/>
      <c r="B20" s="220" t="s">
        <v>534</v>
      </c>
      <c r="C20" s="8" t="s">
        <v>1229</v>
      </c>
    </row>
    <row r="21" spans="1:3" x14ac:dyDescent="0.3">
      <c r="A21" s="252"/>
      <c r="B21" s="219" t="s">
        <v>521</v>
      </c>
      <c r="C21" s="8" t="s">
        <v>1231</v>
      </c>
    </row>
    <row r="22" spans="1:3" x14ac:dyDescent="0.3">
      <c r="A22" s="252"/>
      <c r="B22" s="220" t="s">
        <v>535</v>
      </c>
      <c r="C22" s="8" t="s">
        <v>1232</v>
      </c>
    </row>
    <row r="23" spans="1:3" x14ac:dyDescent="0.3">
      <c r="A23" s="252"/>
      <c r="B23" s="220" t="s">
        <v>536</v>
      </c>
      <c r="C23" s="8" t="s">
        <v>1087</v>
      </c>
    </row>
    <row r="24" spans="1:3" x14ac:dyDescent="0.3">
      <c r="A24" s="252"/>
      <c r="B24" s="220" t="s">
        <v>522</v>
      </c>
      <c r="C24" s="8" t="s">
        <v>1088</v>
      </c>
    </row>
    <row r="25" spans="1:3" x14ac:dyDescent="0.3">
      <c r="A25" s="252"/>
      <c r="B25" s="220" t="s">
        <v>523</v>
      </c>
      <c r="C25" s="8" t="s">
        <v>1230</v>
      </c>
    </row>
    <row r="26" spans="1:3" x14ac:dyDescent="0.3">
      <c r="A26" s="252"/>
      <c r="B26" s="220" t="s">
        <v>537</v>
      </c>
      <c r="C26" s="8" t="s">
        <v>1090</v>
      </c>
    </row>
    <row r="27" spans="1:3" x14ac:dyDescent="0.3">
      <c r="A27" s="252"/>
      <c r="B27" s="220" t="s">
        <v>538</v>
      </c>
      <c r="C27" s="8" t="s">
        <v>1091</v>
      </c>
    </row>
    <row r="28" spans="1:3" x14ac:dyDescent="0.3">
      <c r="A28" s="252"/>
      <c r="B28" s="220" t="s">
        <v>539</v>
      </c>
      <c r="C28" s="8" t="s">
        <v>1092</v>
      </c>
    </row>
    <row r="29" spans="1:3" x14ac:dyDescent="0.3">
      <c r="A29" s="252"/>
      <c r="B29" s="220" t="s">
        <v>540</v>
      </c>
      <c r="C29" s="8" t="s">
        <v>1093</v>
      </c>
    </row>
    <row r="30" spans="1:3" x14ac:dyDescent="0.3">
      <c r="A30" s="252"/>
      <c r="B30" s="220" t="s">
        <v>541</v>
      </c>
      <c r="C30" s="8" t="s">
        <v>1095</v>
      </c>
    </row>
    <row r="31" spans="1:3" x14ac:dyDescent="0.3">
      <c r="A31" s="252"/>
      <c r="B31" s="220" t="s">
        <v>542</v>
      </c>
      <c r="C31" s="8" t="s">
        <v>1094</v>
      </c>
    </row>
    <row r="32" spans="1:3" x14ac:dyDescent="0.3">
      <c r="A32" s="252"/>
      <c r="B32" s="220" t="s">
        <v>543</v>
      </c>
      <c r="C32" s="8" t="s">
        <v>1096</v>
      </c>
    </row>
    <row r="33" spans="1:4" x14ac:dyDescent="0.3">
      <c r="A33" s="252"/>
      <c r="B33" s="220" t="s">
        <v>544</v>
      </c>
      <c r="C33" s="8" t="s">
        <v>1097</v>
      </c>
    </row>
    <row r="34" spans="1:4" x14ac:dyDescent="0.3">
      <c r="A34" s="252"/>
      <c r="B34" s="220" t="s">
        <v>545</v>
      </c>
      <c r="C34" s="8" t="s">
        <v>1098</v>
      </c>
    </row>
    <row r="35" spans="1:4" x14ac:dyDescent="0.3">
      <c r="A35" s="252"/>
      <c r="B35" s="220" t="s">
        <v>546</v>
      </c>
      <c r="C35" s="8" t="s">
        <v>1099</v>
      </c>
    </row>
    <row r="36" spans="1:4" x14ac:dyDescent="0.3">
      <c r="A36" s="252"/>
      <c r="B36" s="220" t="s">
        <v>547</v>
      </c>
      <c r="C36" s="8" t="s">
        <v>1100</v>
      </c>
    </row>
    <row r="37" spans="1:4" x14ac:dyDescent="0.3">
      <c r="A37" s="252"/>
      <c r="B37" s="220" t="s">
        <v>1233</v>
      </c>
      <c r="C37" s="8" t="s">
        <v>1291</v>
      </c>
    </row>
    <row r="38" spans="1:4" x14ac:dyDescent="0.3">
      <c r="A38" s="253" t="s">
        <v>1235</v>
      </c>
      <c r="B38" s="221" t="s">
        <v>499</v>
      </c>
      <c r="C38" s="30" t="s">
        <v>1085</v>
      </c>
    </row>
    <row r="39" spans="1:4" x14ac:dyDescent="0.3">
      <c r="A39" s="253"/>
      <c r="B39" s="221" t="s">
        <v>899</v>
      </c>
      <c r="C39" s="30" t="s">
        <v>1085</v>
      </c>
    </row>
    <row r="40" spans="1:4" x14ac:dyDescent="0.3">
      <c r="A40" s="253"/>
      <c r="B40" s="222" t="s">
        <v>602</v>
      </c>
      <c r="C40" s="30" t="s">
        <v>1101</v>
      </c>
    </row>
    <row r="41" spans="1:4" x14ac:dyDescent="0.3">
      <c r="A41" s="253"/>
      <c r="B41" s="222" t="s">
        <v>603</v>
      </c>
      <c r="C41" s="30" t="s">
        <v>1102</v>
      </c>
    </row>
    <row r="42" spans="1:4" x14ac:dyDescent="0.3">
      <c r="A42" s="253"/>
      <c r="B42" s="222" t="s">
        <v>604</v>
      </c>
      <c r="C42" s="30" t="s">
        <v>1103</v>
      </c>
    </row>
    <row r="43" spans="1:4" x14ac:dyDescent="0.3">
      <c r="A43" s="253"/>
      <c r="B43" s="222" t="s">
        <v>605</v>
      </c>
      <c r="C43" s="30" t="s">
        <v>1105</v>
      </c>
      <c r="D43" t="s">
        <v>1104</v>
      </c>
    </row>
    <row r="44" spans="1:4" x14ac:dyDescent="0.3">
      <c r="A44" s="253"/>
      <c r="B44" s="222" t="s">
        <v>606</v>
      </c>
      <c r="C44" s="30" t="s">
        <v>1088</v>
      </c>
    </row>
    <row r="45" spans="1:4" x14ac:dyDescent="0.3">
      <c r="A45" s="253"/>
      <c r="B45" s="222" t="s">
        <v>607</v>
      </c>
      <c r="C45" s="30" t="s">
        <v>1106</v>
      </c>
    </row>
    <row r="46" spans="1:4" x14ac:dyDescent="0.3">
      <c r="A46" s="253"/>
      <c r="B46" s="222" t="s">
        <v>608</v>
      </c>
      <c r="C46" s="30" t="s">
        <v>1089</v>
      </c>
    </row>
    <row r="47" spans="1:4" x14ac:dyDescent="0.3">
      <c r="A47" s="253"/>
      <c r="B47" s="222" t="s">
        <v>609</v>
      </c>
      <c r="C47" s="30" t="s">
        <v>1090</v>
      </c>
    </row>
    <row r="48" spans="1:4" x14ac:dyDescent="0.3">
      <c r="A48" s="253"/>
      <c r="B48" s="222" t="s">
        <v>610</v>
      </c>
      <c r="C48" s="30" t="s">
        <v>1091</v>
      </c>
    </row>
    <row r="49" spans="1:3" x14ac:dyDescent="0.3">
      <c r="A49" s="253"/>
      <c r="B49" s="222" t="s">
        <v>611</v>
      </c>
      <c r="C49" s="30" t="s">
        <v>1092</v>
      </c>
    </row>
    <row r="50" spans="1:3" x14ac:dyDescent="0.3">
      <c r="A50" s="253"/>
      <c r="B50" s="222" t="s">
        <v>612</v>
      </c>
      <c r="C50" s="30" t="s">
        <v>1093</v>
      </c>
    </row>
    <row r="51" spans="1:3" x14ac:dyDescent="0.3">
      <c r="A51" s="253"/>
      <c r="B51" s="222" t="s">
        <v>613</v>
      </c>
      <c r="C51" s="30" t="s">
        <v>1095</v>
      </c>
    </row>
    <row r="52" spans="1:3" x14ac:dyDescent="0.3">
      <c r="A52" s="253"/>
      <c r="B52" s="222" t="s">
        <v>614</v>
      </c>
      <c r="C52" s="30" t="s">
        <v>1094</v>
      </c>
    </row>
    <row r="53" spans="1:3" x14ac:dyDescent="0.3">
      <c r="A53" s="253"/>
      <c r="B53" s="222" t="s">
        <v>615</v>
      </c>
      <c r="C53" s="30" t="s">
        <v>1098</v>
      </c>
    </row>
    <row r="54" spans="1:3" x14ac:dyDescent="0.3">
      <c r="A54" s="253"/>
      <c r="B54" s="222" t="s">
        <v>1234</v>
      </c>
      <c r="C54" s="30"/>
    </row>
    <row r="55" spans="1:3" x14ac:dyDescent="0.3">
      <c r="A55" s="254" t="s">
        <v>1236</v>
      </c>
      <c r="B55" s="223" t="s">
        <v>627</v>
      </c>
      <c r="C55" s="44" t="s">
        <v>1088</v>
      </c>
    </row>
    <row r="56" spans="1:3" x14ac:dyDescent="0.3">
      <c r="A56" s="254"/>
      <c r="B56" s="223" t="s">
        <v>628</v>
      </c>
      <c r="C56" s="44" t="s">
        <v>1107</v>
      </c>
    </row>
    <row r="57" spans="1:3" x14ac:dyDescent="0.3">
      <c r="A57" s="254"/>
      <c r="B57" s="223" t="s">
        <v>629</v>
      </c>
      <c r="C57" s="44" t="s">
        <v>1108</v>
      </c>
    </row>
    <row r="58" spans="1:3" x14ac:dyDescent="0.3">
      <c r="A58" s="254"/>
      <c r="B58" s="223" t="s">
        <v>630</v>
      </c>
      <c r="C58" s="44" t="s">
        <v>1109</v>
      </c>
    </row>
    <row r="59" spans="1:3" x14ac:dyDescent="0.3">
      <c r="A59" s="254"/>
      <c r="B59" s="223" t="s">
        <v>631</v>
      </c>
      <c r="C59" s="44" t="s">
        <v>1110</v>
      </c>
    </row>
    <row r="60" spans="1:3" x14ac:dyDescent="0.3">
      <c r="A60" s="254"/>
      <c r="B60" s="223" t="s">
        <v>632</v>
      </c>
      <c r="C60" s="44" t="s">
        <v>1111</v>
      </c>
    </row>
    <row r="61" spans="1:3" x14ac:dyDescent="0.3">
      <c r="A61" s="254"/>
      <c r="B61" s="223" t="s">
        <v>633</v>
      </c>
      <c r="C61" s="44" t="s">
        <v>1112</v>
      </c>
    </row>
    <row r="62" spans="1:3" x14ac:dyDescent="0.3">
      <c r="A62" s="254"/>
      <c r="B62" s="223" t="s">
        <v>634</v>
      </c>
      <c r="C62" s="44" t="s">
        <v>1113</v>
      </c>
    </row>
    <row r="63" spans="1:3" x14ac:dyDescent="0.3">
      <c r="A63" s="254"/>
      <c r="B63" s="223" t="s">
        <v>635</v>
      </c>
      <c r="C63" s="44" t="s">
        <v>1114</v>
      </c>
    </row>
    <row r="64" spans="1:3" x14ac:dyDescent="0.3">
      <c r="A64" s="254"/>
      <c r="B64" s="223" t="s">
        <v>636</v>
      </c>
      <c r="C64" s="44" t="s">
        <v>1115</v>
      </c>
    </row>
    <row r="65" spans="1:3" x14ac:dyDescent="0.3">
      <c r="A65" s="254"/>
      <c r="B65" s="223" t="s">
        <v>637</v>
      </c>
      <c r="C65" s="44" t="s">
        <v>1116</v>
      </c>
    </row>
    <row r="66" spans="1:3" x14ac:dyDescent="0.3">
      <c r="A66" s="254"/>
      <c r="B66" s="223" t="s">
        <v>638</v>
      </c>
      <c r="C66" s="44" t="s">
        <v>1117</v>
      </c>
    </row>
    <row r="67" spans="1:3" x14ac:dyDescent="0.3">
      <c r="A67" s="254"/>
      <c r="B67" s="223" t="s">
        <v>639</v>
      </c>
      <c r="C67" s="44" t="s">
        <v>1118</v>
      </c>
    </row>
    <row r="68" spans="1:3" x14ac:dyDescent="0.3">
      <c r="A68" s="254"/>
      <c r="B68" s="223" t="s">
        <v>640</v>
      </c>
      <c r="C68" s="44" t="s">
        <v>1119</v>
      </c>
    </row>
    <row r="69" spans="1:3" x14ac:dyDescent="0.3">
      <c r="A69" s="254"/>
      <c r="B69" s="223" t="s">
        <v>641</v>
      </c>
      <c r="C69" s="44" t="s">
        <v>1120</v>
      </c>
    </row>
    <row r="70" spans="1:3" x14ac:dyDescent="0.3">
      <c r="A70" s="255" t="s">
        <v>1237</v>
      </c>
      <c r="B70" s="224" t="s">
        <v>642</v>
      </c>
      <c r="C70" s="225" t="s">
        <v>1121</v>
      </c>
    </row>
    <row r="71" spans="1:3" x14ac:dyDescent="0.3">
      <c r="A71" s="255"/>
      <c r="B71" s="224" t="s">
        <v>643</v>
      </c>
      <c r="C71" s="225" t="s">
        <v>1122</v>
      </c>
    </row>
    <row r="72" spans="1:3" x14ac:dyDescent="0.3">
      <c r="A72" s="255"/>
      <c r="B72" s="226" t="s">
        <v>644</v>
      </c>
      <c r="C72" s="225" t="s">
        <v>1123</v>
      </c>
    </row>
    <row r="73" spans="1:3" x14ac:dyDescent="0.3">
      <c r="A73" s="255"/>
      <c r="B73" s="224" t="s">
        <v>648</v>
      </c>
      <c r="C73" s="225" t="s">
        <v>1124</v>
      </c>
    </row>
    <row r="74" spans="1:3" x14ac:dyDescent="0.3">
      <c r="A74" s="255"/>
      <c r="B74" s="224" t="s">
        <v>649</v>
      </c>
      <c r="C74" s="225" t="s">
        <v>1125</v>
      </c>
    </row>
    <row r="75" spans="1:3" x14ac:dyDescent="0.3">
      <c r="A75" s="255"/>
      <c r="B75" s="224" t="s">
        <v>650</v>
      </c>
      <c r="C75" s="225" t="s">
        <v>1126</v>
      </c>
    </row>
    <row r="76" spans="1:3" x14ac:dyDescent="0.3">
      <c r="A76" s="257" t="s">
        <v>1238</v>
      </c>
      <c r="B76" s="227" t="s">
        <v>890</v>
      </c>
      <c r="C76" s="41" t="s">
        <v>1085</v>
      </c>
    </row>
    <row r="77" spans="1:3" x14ac:dyDescent="0.3">
      <c r="A77" s="257"/>
      <c r="B77" s="227" t="s">
        <v>651</v>
      </c>
      <c r="C77" s="41" t="s">
        <v>1127</v>
      </c>
    </row>
    <row r="78" spans="1:3" x14ac:dyDescent="0.3">
      <c r="A78" s="257"/>
      <c r="B78" s="227" t="s">
        <v>652</v>
      </c>
      <c r="C78" s="41" t="s">
        <v>1122</v>
      </c>
    </row>
    <row r="79" spans="1:3" x14ac:dyDescent="0.3">
      <c r="A79" s="257"/>
      <c r="B79" s="227" t="s">
        <v>653</v>
      </c>
      <c r="C79" s="41" t="s">
        <v>1128</v>
      </c>
    </row>
    <row r="80" spans="1:3" x14ac:dyDescent="0.3">
      <c r="A80" s="257"/>
      <c r="B80" s="227" t="s">
        <v>654</v>
      </c>
      <c r="C80" s="41" t="s">
        <v>1129</v>
      </c>
    </row>
    <row r="81" spans="1:3" x14ac:dyDescent="0.3">
      <c r="A81" s="257"/>
      <c r="B81" s="227" t="s">
        <v>655</v>
      </c>
      <c r="C81" s="41" t="s">
        <v>1130</v>
      </c>
    </row>
    <row r="82" spans="1:3" x14ac:dyDescent="0.3">
      <c r="A82" s="257"/>
      <c r="B82" s="227" t="s">
        <v>656</v>
      </c>
      <c r="C82" s="41" t="s">
        <v>1131</v>
      </c>
    </row>
    <row r="83" spans="1:3" x14ac:dyDescent="0.3">
      <c r="A83" s="257"/>
      <c r="B83" s="227" t="s">
        <v>657</v>
      </c>
      <c r="C83" s="41" t="s">
        <v>1132</v>
      </c>
    </row>
    <row r="84" spans="1:3" x14ac:dyDescent="0.3">
      <c r="A84" s="257"/>
      <c r="B84" s="227" t="s">
        <v>658</v>
      </c>
      <c r="C84" s="41" t="s">
        <v>1085</v>
      </c>
    </row>
    <row r="85" spans="1:3" x14ac:dyDescent="0.3">
      <c r="A85" s="257"/>
      <c r="B85" s="227" t="s">
        <v>659</v>
      </c>
      <c r="C85" s="41" t="s">
        <v>1133</v>
      </c>
    </row>
    <row r="86" spans="1:3" x14ac:dyDescent="0.3">
      <c r="A86" s="257"/>
      <c r="B86" s="227" t="s">
        <v>660</v>
      </c>
      <c r="C86" s="41" t="s">
        <v>1134</v>
      </c>
    </row>
    <row r="87" spans="1:3" x14ac:dyDescent="0.3">
      <c r="A87" s="257"/>
      <c r="B87" s="227" t="s">
        <v>661</v>
      </c>
      <c r="C87" s="41" t="s">
        <v>1135</v>
      </c>
    </row>
    <row r="88" spans="1:3" x14ac:dyDescent="0.3">
      <c r="A88" s="257"/>
      <c r="B88" s="227" t="s">
        <v>1233</v>
      </c>
      <c r="C88" s="41"/>
    </row>
    <row r="89" spans="1:3" x14ac:dyDescent="0.3">
      <c r="A89" s="258" t="s">
        <v>1239</v>
      </c>
      <c r="B89" s="228" t="s">
        <v>891</v>
      </c>
      <c r="C89" s="213" t="s">
        <v>1085</v>
      </c>
    </row>
    <row r="90" spans="1:3" x14ac:dyDescent="0.3">
      <c r="A90" s="258"/>
      <c r="B90" s="229" t="s">
        <v>671</v>
      </c>
      <c r="C90" s="213" t="s">
        <v>1136</v>
      </c>
    </row>
    <row r="91" spans="1:3" x14ac:dyDescent="0.3">
      <c r="A91" s="258"/>
      <c r="B91" s="229" t="s">
        <v>672</v>
      </c>
      <c r="C91" s="213" t="s">
        <v>1137</v>
      </c>
    </row>
    <row r="92" spans="1:3" x14ac:dyDescent="0.3">
      <c r="A92" s="258"/>
      <c r="B92" s="229" t="s">
        <v>673</v>
      </c>
      <c r="C92" s="213" t="s">
        <v>1138</v>
      </c>
    </row>
    <row r="93" spans="1:3" x14ac:dyDescent="0.3">
      <c r="A93" s="258"/>
      <c r="B93" s="229" t="s">
        <v>674</v>
      </c>
      <c r="C93" s="213" t="s">
        <v>1139</v>
      </c>
    </row>
    <row r="94" spans="1:3" x14ac:dyDescent="0.3">
      <c r="A94" s="258"/>
      <c r="B94" s="229" t="s">
        <v>675</v>
      </c>
      <c r="C94" s="213" t="s">
        <v>1140</v>
      </c>
    </row>
    <row r="95" spans="1:3" x14ac:dyDescent="0.3">
      <c r="A95" s="258"/>
      <c r="B95" s="229" t="s">
        <v>676</v>
      </c>
      <c r="C95" s="213" t="s">
        <v>1130</v>
      </c>
    </row>
    <row r="96" spans="1:3" x14ac:dyDescent="0.3">
      <c r="A96" s="258"/>
      <c r="B96" s="229" t="s">
        <v>677</v>
      </c>
      <c r="C96" s="213" t="s">
        <v>1141</v>
      </c>
    </row>
    <row r="97" spans="1:3" x14ac:dyDescent="0.3">
      <c r="A97" s="258"/>
      <c r="B97" s="229" t="s">
        <v>678</v>
      </c>
      <c r="C97" s="213" t="s">
        <v>1132</v>
      </c>
    </row>
    <row r="98" spans="1:3" x14ac:dyDescent="0.3">
      <c r="A98" s="258"/>
      <c r="B98" s="229" t="s">
        <v>679</v>
      </c>
      <c r="C98" s="213" t="s">
        <v>1142</v>
      </c>
    </row>
    <row r="99" spans="1:3" x14ac:dyDescent="0.3">
      <c r="A99" s="258"/>
      <c r="B99" s="229" t="s">
        <v>680</v>
      </c>
      <c r="C99" s="213" t="s">
        <v>1143</v>
      </c>
    </row>
    <row r="100" spans="1:3" x14ac:dyDescent="0.3">
      <c r="A100" s="258"/>
      <c r="B100" s="229" t="s">
        <v>681</v>
      </c>
      <c r="C100" s="213" t="s">
        <v>1144</v>
      </c>
    </row>
    <row r="101" spans="1:3" x14ac:dyDescent="0.3">
      <c r="A101" s="258"/>
      <c r="B101" s="229" t="s">
        <v>682</v>
      </c>
      <c r="C101" s="213" t="s">
        <v>1145</v>
      </c>
    </row>
    <row r="102" spans="1:3" x14ac:dyDescent="0.3">
      <c r="A102" s="258"/>
      <c r="B102" s="229" t="s">
        <v>683</v>
      </c>
      <c r="C102" s="213" t="s">
        <v>1146</v>
      </c>
    </row>
    <row r="103" spans="1:3" x14ac:dyDescent="0.3">
      <c r="A103" s="258"/>
      <c r="B103" s="229" t="s">
        <v>1233</v>
      </c>
      <c r="C103" s="213"/>
    </row>
    <row r="104" spans="1:3" x14ac:dyDescent="0.3">
      <c r="A104" s="259" t="s">
        <v>1240</v>
      </c>
      <c r="B104" s="230" t="s">
        <v>694</v>
      </c>
      <c r="C104" s="70" t="s">
        <v>1085</v>
      </c>
    </row>
    <row r="105" spans="1:3" x14ac:dyDescent="0.3">
      <c r="A105" s="259"/>
      <c r="B105" s="230" t="s">
        <v>695</v>
      </c>
      <c r="C105" s="70" t="s">
        <v>1147</v>
      </c>
    </row>
    <row r="106" spans="1:3" x14ac:dyDescent="0.3">
      <c r="A106" s="259"/>
      <c r="B106" s="230" t="s">
        <v>696</v>
      </c>
      <c r="C106" s="70" t="s">
        <v>1148</v>
      </c>
    </row>
    <row r="107" spans="1:3" x14ac:dyDescent="0.3">
      <c r="A107" s="259"/>
      <c r="B107" s="230" t="s">
        <v>697</v>
      </c>
      <c r="C107" s="70" t="s">
        <v>1149</v>
      </c>
    </row>
    <row r="108" spans="1:3" x14ac:dyDescent="0.3">
      <c r="A108" s="259"/>
      <c r="B108" s="230" t="s">
        <v>698</v>
      </c>
      <c r="C108" s="70" t="s">
        <v>1150</v>
      </c>
    </row>
    <row r="109" spans="1:3" x14ac:dyDescent="0.3">
      <c r="A109" s="259"/>
      <c r="B109" s="230" t="s">
        <v>699</v>
      </c>
      <c r="C109" s="70" t="s">
        <v>1151</v>
      </c>
    </row>
    <row r="110" spans="1:3" x14ac:dyDescent="0.3">
      <c r="A110" s="259"/>
      <c r="B110" s="230" t="s">
        <v>700</v>
      </c>
      <c r="C110" s="70" t="s">
        <v>1152</v>
      </c>
    </row>
    <row r="111" spans="1:3" x14ac:dyDescent="0.3">
      <c r="A111" s="259"/>
      <c r="B111" s="230" t="s">
        <v>701</v>
      </c>
      <c r="C111" s="70" t="s">
        <v>1153</v>
      </c>
    </row>
    <row r="112" spans="1:3" x14ac:dyDescent="0.3">
      <c r="A112" s="259"/>
      <c r="B112" s="230" t="s">
        <v>702</v>
      </c>
      <c r="C112" s="70" t="s">
        <v>1154</v>
      </c>
    </row>
    <row r="113" spans="1:3" x14ac:dyDescent="0.3">
      <c r="A113" s="259"/>
      <c r="B113" s="230" t="s">
        <v>703</v>
      </c>
      <c r="C113" s="70" t="s">
        <v>1158</v>
      </c>
    </row>
    <row r="114" spans="1:3" x14ac:dyDescent="0.3">
      <c r="A114" s="259"/>
      <c r="B114" s="230" t="s">
        <v>704</v>
      </c>
      <c r="C114" s="70" t="s">
        <v>1159</v>
      </c>
    </row>
    <row r="115" spans="1:3" x14ac:dyDescent="0.3">
      <c r="A115" s="259"/>
      <c r="B115" s="230" t="s">
        <v>705</v>
      </c>
      <c r="C115" s="70" t="s">
        <v>1155</v>
      </c>
    </row>
    <row r="116" spans="1:3" x14ac:dyDescent="0.3">
      <c r="A116" s="259"/>
      <c r="B116" s="230" t="s">
        <v>706</v>
      </c>
      <c r="C116" s="70" t="s">
        <v>1156</v>
      </c>
    </row>
    <row r="117" spans="1:3" x14ac:dyDescent="0.3">
      <c r="A117" s="259"/>
      <c r="B117" s="230" t="s">
        <v>707</v>
      </c>
      <c r="C117" s="70" t="s">
        <v>1157</v>
      </c>
    </row>
    <row r="118" spans="1:3" x14ac:dyDescent="0.3">
      <c r="A118" s="259"/>
      <c r="B118" s="230" t="s">
        <v>716</v>
      </c>
      <c r="C118" s="70" t="s">
        <v>1160</v>
      </c>
    </row>
    <row r="119" spans="1:3" x14ac:dyDescent="0.3">
      <c r="A119" s="259"/>
      <c r="B119" s="230" t="s">
        <v>717</v>
      </c>
      <c r="C119" s="70" t="s">
        <v>1161</v>
      </c>
    </row>
    <row r="120" spans="1:3" x14ac:dyDescent="0.3">
      <c r="A120" s="259"/>
      <c r="B120" s="230" t="s">
        <v>718</v>
      </c>
      <c r="C120" s="70" t="s">
        <v>1162</v>
      </c>
    </row>
    <row r="121" spans="1:3" x14ac:dyDescent="0.3">
      <c r="A121" s="260" t="s">
        <v>1241</v>
      </c>
      <c r="B121" s="231" t="s">
        <v>901</v>
      </c>
      <c r="C121" s="232" t="s">
        <v>1085</v>
      </c>
    </row>
    <row r="122" spans="1:3" x14ac:dyDescent="0.3">
      <c r="A122" s="260"/>
      <c r="B122" s="233" t="s">
        <v>893</v>
      </c>
      <c r="C122" s="232" t="s">
        <v>1085</v>
      </c>
    </row>
    <row r="123" spans="1:3" x14ac:dyDescent="0.3">
      <c r="A123" s="260"/>
      <c r="B123" s="231" t="s">
        <v>719</v>
      </c>
      <c r="C123" s="232" t="s">
        <v>1163</v>
      </c>
    </row>
    <row r="124" spans="1:3" x14ac:dyDescent="0.3">
      <c r="A124" s="260"/>
      <c r="B124" s="231" t="s">
        <v>720</v>
      </c>
      <c r="C124" s="232" t="s">
        <v>1164</v>
      </c>
    </row>
    <row r="125" spans="1:3" x14ac:dyDescent="0.3">
      <c r="A125" s="260"/>
      <c r="B125" s="231" t="s">
        <v>721</v>
      </c>
      <c r="C125" s="232" t="s">
        <v>1165</v>
      </c>
    </row>
    <row r="126" spans="1:3" x14ac:dyDescent="0.3">
      <c r="A126" s="260"/>
      <c r="B126" s="231" t="s">
        <v>722</v>
      </c>
      <c r="C126" s="232" t="s">
        <v>1166</v>
      </c>
    </row>
    <row r="127" spans="1:3" x14ac:dyDescent="0.3">
      <c r="A127" s="260"/>
      <c r="B127" s="231" t="s">
        <v>723</v>
      </c>
      <c r="C127" s="232" t="s">
        <v>1167</v>
      </c>
    </row>
    <row r="128" spans="1:3" x14ac:dyDescent="0.3">
      <c r="A128" s="260"/>
      <c r="B128" s="231" t="s">
        <v>724</v>
      </c>
      <c r="C128" s="232" t="s">
        <v>1168</v>
      </c>
    </row>
    <row r="129" spans="1:3" x14ac:dyDescent="0.3">
      <c r="A129" s="260"/>
      <c r="B129" s="231" t="s">
        <v>725</v>
      </c>
      <c r="C129" s="232" t="s">
        <v>1169</v>
      </c>
    </row>
    <row r="130" spans="1:3" x14ac:dyDescent="0.3">
      <c r="A130" s="260"/>
      <c r="B130" s="231" t="s">
        <v>726</v>
      </c>
      <c r="C130" s="232" t="s">
        <v>1170</v>
      </c>
    </row>
    <row r="131" spans="1:3" x14ac:dyDescent="0.3">
      <c r="A131" s="260"/>
      <c r="B131" s="231" t="s">
        <v>727</v>
      </c>
      <c r="C131" s="232" t="s">
        <v>1171</v>
      </c>
    </row>
    <row r="132" spans="1:3" x14ac:dyDescent="0.3">
      <c r="A132" s="260"/>
      <c r="B132" s="231" t="s">
        <v>728</v>
      </c>
      <c r="C132" s="232" t="s">
        <v>1172</v>
      </c>
    </row>
    <row r="133" spans="1:3" x14ac:dyDescent="0.3">
      <c r="A133" s="260"/>
      <c r="B133" s="231" t="s">
        <v>729</v>
      </c>
      <c r="C133" s="232" t="s">
        <v>1173</v>
      </c>
    </row>
    <row r="134" spans="1:3" x14ac:dyDescent="0.3">
      <c r="A134" s="260"/>
      <c r="B134" s="231" t="s">
        <v>730</v>
      </c>
      <c r="C134" s="232" t="s">
        <v>1174</v>
      </c>
    </row>
    <row r="135" spans="1:3" x14ac:dyDescent="0.3">
      <c r="A135" s="260"/>
      <c r="B135" s="231" t="s">
        <v>731</v>
      </c>
      <c r="C135" s="232" t="s">
        <v>1175</v>
      </c>
    </row>
    <row r="136" spans="1:3" x14ac:dyDescent="0.3">
      <c r="A136" s="260"/>
      <c r="B136" s="231" t="s">
        <v>732</v>
      </c>
      <c r="C136" s="232" t="s">
        <v>1176</v>
      </c>
    </row>
    <row r="137" spans="1:3" x14ac:dyDescent="0.3">
      <c r="A137" s="260"/>
      <c r="B137" s="231" t="s">
        <v>733</v>
      </c>
      <c r="C137" s="232" t="s">
        <v>1177</v>
      </c>
    </row>
    <row r="138" spans="1:3" x14ac:dyDescent="0.3">
      <c r="A138" s="260"/>
      <c r="B138" s="231" t="s">
        <v>734</v>
      </c>
      <c r="C138" s="232" t="s">
        <v>1178</v>
      </c>
    </row>
    <row r="139" spans="1:3" x14ac:dyDescent="0.3">
      <c r="A139" s="260"/>
      <c r="B139" s="231" t="s">
        <v>735</v>
      </c>
      <c r="C139" s="232" t="s">
        <v>1179</v>
      </c>
    </row>
    <row r="140" spans="1:3" x14ac:dyDescent="0.3">
      <c r="A140" s="260"/>
      <c r="B140" s="231" t="s">
        <v>736</v>
      </c>
      <c r="C140" s="232" t="s">
        <v>1085</v>
      </c>
    </row>
    <row r="141" spans="1:3" x14ac:dyDescent="0.3">
      <c r="A141" s="260"/>
      <c r="B141" s="231" t="s">
        <v>737</v>
      </c>
      <c r="C141" s="232" t="s">
        <v>1180</v>
      </c>
    </row>
    <row r="142" spans="1:3" x14ac:dyDescent="0.3">
      <c r="A142" s="260"/>
      <c r="B142" s="231" t="s">
        <v>738</v>
      </c>
      <c r="C142" s="232" t="s">
        <v>1181</v>
      </c>
    </row>
    <row r="143" spans="1:3" x14ac:dyDescent="0.3">
      <c r="A143" s="260"/>
      <c r="B143" s="231" t="s">
        <v>739</v>
      </c>
      <c r="C143" s="232" t="s">
        <v>1182</v>
      </c>
    </row>
    <row r="144" spans="1:3" x14ac:dyDescent="0.3">
      <c r="A144" s="260"/>
      <c r="B144" s="231" t="s">
        <v>740</v>
      </c>
      <c r="C144" s="232" t="s">
        <v>1183</v>
      </c>
    </row>
    <row r="145" spans="1:3" x14ac:dyDescent="0.3">
      <c r="A145" s="260"/>
      <c r="B145" s="231" t="s">
        <v>741</v>
      </c>
      <c r="C145" s="232" t="s">
        <v>1185</v>
      </c>
    </row>
    <row r="146" spans="1:3" x14ac:dyDescent="0.3">
      <c r="A146" s="260"/>
      <c r="B146" s="231" t="s">
        <v>742</v>
      </c>
      <c r="C146" s="232" t="s">
        <v>1184</v>
      </c>
    </row>
    <row r="147" spans="1:3" x14ac:dyDescent="0.3">
      <c r="A147" s="260"/>
      <c r="B147" s="231" t="s">
        <v>743</v>
      </c>
      <c r="C147" s="232" t="s">
        <v>1186</v>
      </c>
    </row>
    <row r="148" spans="1:3" x14ac:dyDescent="0.3">
      <c r="A148" s="260"/>
      <c r="B148" s="231" t="s">
        <v>744</v>
      </c>
      <c r="C148" s="232" t="s">
        <v>1187</v>
      </c>
    </row>
    <row r="149" spans="1:3" x14ac:dyDescent="0.3">
      <c r="A149" s="260"/>
      <c r="B149" s="231" t="s">
        <v>745</v>
      </c>
      <c r="C149" s="232" t="s">
        <v>1188</v>
      </c>
    </row>
    <row r="150" spans="1:3" x14ac:dyDescent="0.3">
      <c r="A150" s="260"/>
      <c r="B150" s="231" t="s">
        <v>746</v>
      </c>
      <c r="C150" s="232" t="s">
        <v>1189</v>
      </c>
    </row>
    <row r="151" spans="1:3" x14ac:dyDescent="0.3">
      <c r="A151" s="260"/>
      <c r="B151" s="231" t="s">
        <v>747</v>
      </c>
      <c r="C151" s="232" t="s">
        <v>1190</v>
      </c>
    </row>
    <row r="152" spans="1:3" x14ac:dyDescent="0.3">
      <c r="A152" s="260"/>
      <c r="B152" s="231" t="s">
        <v>1233</v>
      </c>
      <c r="C152" s="232"/>
    </row>
    <row r="153" spans="1:3" x14ac:dyDescent="0.3">
      <c r="A153" s="261" t="s">
        <v>1242</v>
      </c>
      <c r="B153" s="234" t="s">
        <v>774</v>
      </c>
      <c r="C153" s="235" t="s">
        <v>1191</v>
      </c>
    </row>
    <row r="154" spans="1:3" x14ac:dyDescent="0.3">
      <c r="A154" s="261"/>
      <c r="B154" s="234" t="s">
        <v>775</v>
      </c>
      <c r="C154" s="235" t="s">
        <v>1192</v>
      </c>
    </row>
    <row r="155" spans="1:3" x14ac:dyDescent="0.3">
      <c r="A155" s="261"/>
      <c r="B155" s="234" t="s">
        <v>776</v>
      </c>
      <c r="C155" s="235" t="s">
        <v>1193</v>
      </c>
    </row>
    <row r="156" spans="1:3" x14ac:dyDescent="0.3">
      <c r="A156" s="261"/>
      <c r="B156" s="234" t="s">
        <v>777</v>
      </c>
      <c r="C156" s="235" t="s">
        <v>1194</v>
      </c>
    </row>
    <row r="157" spans="1:3" x14ac:dyDescent="0.3">
      <c r="A157" s="261"/>
      <c r="B157" s="234" t="s">
        <v>778</v>
      </c>
      <c r="C157" s="235" t="s">
        <v>1195</v>
      </c>
    </row>
    <row r="158" spans="1:3" x14ac:dyDescent="0.3">
      <c r="A158" s="261"/>
      <c r="B158" s="234" t="s">
        <v>779</v>
      </c>
      <c r="C158" s="235" t="s">
        <v>1196</v>
      </c>
    </row>
    <row r="159" spans="1:3" x14ac:dyDescent="0.3">
      <c r="A159" s="261"/>
      <c r="B159" s="234" t="s">
        <v>780</v>
      </c>
      <c r="C159" s="235" t="s">
        <v>1171</v>
      </c>
    </row>
    <row r="160" spans="1:3" x14ac:dyDescent="0.3">
      <c r="A160" s="261"/>
      <c r="B160" s="234" t="s">
        <v>781</v>
      </c>
      <c r="C160" s="235" t="s">
        <v>1197</v>
      </c>
    </row>
    <row r="161" spans="1:3" x14ac:dyDescent="0.3">
      <c r="A161" s="261"/>
      <c r="B161" s="234" t="s">
        <v>782</v>
      </c>
      <c r="C161" s="235" t="s">
        <v>1198</v>
      </c>
    </row>
    <row r="162" spans="1:3" x14ac:dyDescent="0.3">
      <c r="A162" s="261"/>
      <c r="B162" s="234" t="s">
        <v>783</v>
      </c>
      <c r="C162" s="235" t="s">
        <v>1199</v>
      </c>
    </row>
    <row r="163" spans="1:3" x14ac:dyDescent="0.3">
      <c r="A163" s="261"/>
      <c r="B163" s="234" t="s">
        <v>784</v>
      </c>
      <c r="C163" s="235" t="s">
        <v>1200</v>
      </c>
    </row>
    <row r="164" spans="1:3" x14ac:dyDescent="0.3">
      <c r="A164" s="261"/>
      <c r="B164" s="234" t="s">
        <v>785</v>
      </c>
      <c r="C164" s="235" t="s">
        <v>1201</v>
      </c>
    </row>
    <row r="165" spans="1:3" x14ac:dyDescent="0.3">
      <c r="A165" s="261"/>
      <c r="B165" s="234" t="s">
        <v>786</v>
      </c>
      <c r="C165" s="235" t="s">
        <v>1202</v>
      </c>
    </row>
    <row r="166" spans="1:3" x14ac:dyDescent="0.3">
      <c r="A166" s="262" t="s">
        <v>1243</v>
      </c>
      <c r="B166" s="236" t="s">
        <v>787</v>
      </c>
      <c r="C166" s="237" t="s">
        <v>1203</v>
      </c>
    </row>
    <row r="167" spans="1:3" x14ac:dyDescent="0.3">
      <c r="A167" s="262"/>
      <c r="B167" s="236" t="s">
        <v>788</v>
      </c>
      <c r="C167" s="237" t="s">
        <v>1204</v>
      </c>
    </row>
    <row r="168" spans="1:3" x14ac:dyDescent="0.3">
      <c r="A168" s="262"/>
      <c r="B168" s="236" t="s">
        <v>789</v>
      </c>
      <c r="C168" s="237" t="s">
        <v>1205</v>
      </c>
    </row>
    <row r="169" spans="1:3" x14ac:dyDescent="0.3">
      <c r="A169" s="262"/>
      <c r="B169" s="236" t="s">
        <v>790</v>
      </c>
      <c r="C169" s="237" t="s">
        <v>1206</v>
      </c>
    </row>
    <row r="170" spans="1:3" x14ac:dyDescent="0.3">
      <c r="A170" s="262"/>
      <c r="B170" s="236" t="s">
        <v>791</v>
      </c>
      <c r="C170" s="237" t="s">
        <v>1207</v>
      </c>
    </row>
    <row r="171" spans="1:3" x14ac:dyDescent="0.3">
      <c r="A171" s="262"/>
      <c r="B171" s="236" t="s">
        <v>792</v>
      </c>
      <c r="C171" s="237" t="s">
        <v>1208</v>
      </c>
    </row>
    <row r="172" spans="1:3" x14ac:dyDescent="0.3">
      <c r="A172" s="262"/>
      <c r="B172" s="236" t="s">
        <v>793</v>
      </c>
      <c r="C172" s="237" t="s">
        <v>1209</v>
      </c>
    </row>
    <row r="173" spans="1:3" x14ac:dyDescent="0.3">
      <c r="A173" s="262"/>
      <c r="B173" s="236" t="s">
        <v>794</v>
      </c>
      <c r="C173" s="237" t="s">
        <v>1210</v>
      </c>
    </row>
    <row r="174" spans="1:3" x14ac:dyDescent="0.3">
      <c r="A174" s="262"/>
      <c r="B174" s="236" t="s">
        <v>795</v>
      </c>
      <c r="C174" s="237" t="s">
        <v>1211</v>
      </c>
    </row>
    <row r="175" spans="1:3" ht="14.4" customHeight="1" x14ac:dyDescent="0.3">
      <c r="A175" s="254" t="s">
        <v>1244</v>
      </c>
      <c r="B175" s="223" t="s">
        <v>796</v>
      </c>
      <c r="C175" s="44" t="s">
        <v>1212</v>
      </c>
    </row>
    <row r="176" spans="1:3" x14ac:dyDescent="0.3">
      <c r="A176" s="254"/>
      <c r="B176" s="223" t="s">
        <v>797</v>
      </c>
      <c r="C176" s="44" t="s">
        <v>1213</v>
      </c>
    </row>
    <row r="177" spans="1:3" x14ac:dyDescent="0.3">
      <c r="A177" s="254"/>
      <c r="B177" s="223" t="s">
        <v>798</v>
      </c>
      <c r="C177" s="44" t="s">
        <v>1214</v>
      </c>
    </row>
    <row r="178" spans="1:3" x14ac:dyDescent="0.3">
      <c r="A178" s="254"/>
      <c r="B178" s="223" t="s">
        <v>1233</v>
      </c>
      <c r="C178" s="44"/>
    </row>
    <row r="179" spans="1:3" x14ac:dyDescent="0.3">
      <c r="A179" s="254"/>
      <c r="B179" s="223" t="s">
        <v>808</v>
      </c>
      <c r="C179" s="44" t="s">
        <v>1215</v>
      </c>
    </row>
    <row r="180" spans="1:3" x14ac:dyDescent="0.3">
      <c r="A180" s="254"/>
      <c r="B180" s="223" t="s">
        <v>809</v>
      </c>
      <c r="C180" s="44" t="s">
        <v>1216</v>
      </c>
    </row>
    <row r="181" spans="1:3" x14ac:dyDescent="0.3">
      <c r="A181" s="254"/>
      <c r="B181" s="223" t="s">
        <v>810</v>
      </c>
      <c r="C181" s="44" t="s">
        <v>1217</v>
      </c>
    </row>
    <row r="182" spans="1:3" x14ac:dyDescent="0.3">
      <c r="A182" s="254"/>
      <c r="B182" s="223" t="s">
        <v>811</v>
      </c>
      <c r="C182" s="44" t="s">
        <v>1218</v>
      </c>
    </row>
    <row r="183" spans="1:3" x14ac:dyDescent="0.3">
      <c r="A183" s="256" t="s">
        <v>1245</v>
      </c>
      <c r="B183" s="238" t="s">
        <v>812</v>
      </c>
      <c r="C183" s="49" t="s">
        <v>1219</v>
      </c>
    </row>
    <row r="184" spans="1:3" x14ac:dyDescent="0.3">
      <c r="A184" s="256"/>
      <c r="B184" s="238" t="s">
        <v>813</v>
      </c>
      <c r="C184" s="49" t="s">
        <v>1220</v>
      </c>
    </row>
    <row r="185" spans="1:3" x14ac:dyDescent="0.3">
      <c r="A185" s="256"/>
      <c r="B185" s="238" t="s">
        <v>814</v>
      </c>
      <c r="C185" s="49" t="s">
        <v>1221</v>
      </c>
    </row>
    <row r="186" spans="1:3" x14ac:dyDescent="0.3">
      <c r="A186" s="256"/>
      <c r="B186" s="238" t="s">
        <v>815</v>
      </c>
      <c r="C186" s="49" t="s">
        <v>1222</v>
      </c>
    </row>
    <row r="187" spans="1:3" x14ac:dyDescent="0.3">
      <c r="A187" s="256"/>
      <c r="B187" s="238" t="s">
        <v>816</v>
      </c>
      <c r="C187" s="49" t="s">
        <v>1223</v>
      </c>
    </row>
    <row r="188" spans="1:3" x14ac:dyDescent="0.3">
      <c r="A188" s="256"/>
      <c r="B188" s="238" t="s">
        <v>817</v>
      </c>
      <c r="C188" s="49" t="s">
        <v>1224</v>
      </c>
    </row>
    <row r="189" spans="1:3" x14ac:dyDescent="0.3">
      <c r="A189" s="256"/>
      <c r="B189" s="238" t="s">
        <v>818</v>
      </c>
      <c r="C189" s="49" t="s">
        <v>1225</v>
      </c>
    </row>
    <row r="190" spans="1:3" x14ac:dyDescent="0.3">
      <c r="A190" s="256"/>
      <c r="B190" s="238" t="s">
        <v>819</v>
      </c>
      <c r="C190" s="49" t="s">
        <v>1226</v>
      </c>
    </row>
  </sheetData>
  <mergeCells count="13">
    <mergeCell ref="A175:A182"/>
    <mergeCell ref="A183:A190"/>
    <mergeCell ref="A76:A88"/>
    <mergeCell ref="A89:A103"/>
    <mergeCell ref="A104:A120"/>
    <mergeCell ref="A121:A152"/>
    <mergeCell ref="A153:A165"/>
    <mergeCell ref="A166:A174"/>
    <mergeCell ref="A2:A15"/>
    <mergeCell ref="A16:A37"/>
    <mergeCell ref="A38:A54"/>
    <mergeCell ref="A55:A69"/>
    <mergeCell ref="A70:A7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AEC3-6F40-43FA-8C3F-AF3F39040E12}">
  <dimension ref="A1:C37"/>
  <sheetViews>
    <sheetView workbookViewId="0">
      <selection activeCell="E20" sqref="E20"/>
    </sheetView>
  </sheetViews>
  <sheetFormatPr baseColWidth="10" defaultRowHeight="14.4" x14ac:dyDescent="0.3"/>
  <cols>
    <col min="1" max="1" width="16.5546875" style="215" customWidth="1"/>
    <col min="3" max="3" width="63.21875" customWidth="1"/>
  </cols>
  <sheetData>
    <row r="1" spans="1:3" x14ac:dyDescent="0.3">
      <c r="A1" s="250" t="s">
        <v>1289</v>
      </c>
      <c r="B1" s="239" t="s">
        <v>1246</v>
      </c>
      <c r="C1" s="239" t="s">
        <v>1247</v>
      </c>
    </row>
    <row r="2" spans="1:3" x14ac:dyDescent="0.3">
      <c r="A2" s="251" t="s">
        <v>1287</v>
      </c>
      <c r="B2" s="240" t="s">
        <v>1067</v>
      </c>
      <c r="C2" s="217" t="s">
        <v>1250</v>
      </c>
    </row>
    <row r="3" spans="1:3" x14ac:dyDescent="0.3">
      <c r="A3" s="251"/>
      <c r="B3" s="241" t="s">
        <v>1066</v>
      </c>
      <c r="C3" s="217" t="s">
        <v>1249</v>
      </c>
    </row>
    <row r="4" spans="1:3" x14ac:dyDescent="0.3">
      <c r="A4" s="251"/>
      <c r="B4" s="241" t="s">
        <v>1063</v>
      </c>
      <c r="C4" s="217" t="s">
        <v>1251</v>
      </c>
    </row>
    <row r="5" spans="1:3" x14ac:dyDescent="0.3">
      <c r="A5" s="251"/>
      <c r="B5" s="242" t="s">
        <v>218</v>
      </c>
      <c r="C5" s="217" t="s">
        <v>958</v>
      </c>
    </row>
    <row r="6" spans="1:3" x14ac:dyDescent="0.3">
      <c r="A6" s="251"/>
      <c r="B6" s="242" t="s">
        <v>437</v>
      </c>
      <c r="C6" s="217" t="s">
        <v>1252</v>
      </c>
    </row>
    <row r="7" spans="1:3" x14ac:dyDescent="0.3">
      <c r="A7" s="251"/>
      <c r="B7" s="242" t="s">
        <v>3</v>
      </c>
      <c r="C7" s="217" t="s">
        <v>1253</v>
      </c>
    </row>
    <row r="8" spans="1:3" x14ac:dyDescent="0.3">
      <c r="A8" s="253" t="s">
        <v>1286</v>
      </c>
      <c r="B8" s="249" t="s">
        <v>41</v>
      </c>
      <c r="C8" s="30" t="s">
        <v>1254</v>
      </c>
    </row>
    <row r="9" spans="1:3" x14ac:dyDescent="0.3">
      <c r="A9" s="253"/>
      <c r="B9" s="249" t="s">
        <v>506</v>
      </c>
      <c r="C9" s="30" t="s">
        <v>1255</v>
      </c>
    </row>
    <row r="10" spans="1:3" x14ac:dyDescent="0.3">
      <c r="A10" s="253"/>
      <c r="B10" s="249" t="s">
        <v>507</v>
      </c>
      <c r="C10" s="30" t="s">
        <v>1256</v>
      </c>
    </row>
    <row r="11" spans="1:3" x14ac:dyDescent="0.3">
      <c r="A11" s="253"/>
      <c r="B11" s="249" t="s">
        <v>508</v>
      </c>
      <c r="C11" s="30" t="s">
        <v>1257</v>
      </c>
    </row>
    <row r="12" spans="1:3" x14ac:dyDescent="0.3">
      <c r="A12" s="253"/>
      <c r="B12" s="249" t="s">
        <v>144</v>
      </c>
      <c r="C12" s="30" t="s">
        <v>1259</v>
      </c>
    </row>
    <row r="13" spans="1:3" x14ac:dyDescent="0.3">
      <c r="A13" s="253"/>
      <c r="B13" s="249" t="s">
        <v>473</v>
      </c>
      <c r="C13" s="30" t="s">
        <v>1258</v>
      </c>
    </row>
    <row r="14" spans="1:3" x14ac:dyDescent="0.3">
      <c r="A14" s="253"/>
      <c r="B14" s="249" t="s">
        <v>474</v>
      </c>
      <c r="C14" s="30" t="s">
        <v>1260</v>
      </c>
    </row>
    <row r="15" spans="1:3" x14ac:dyDescent="0.3">
      <c r="A15" s="253"/>
      <c r="B15" s="249" t="s">
        <v>1</v>
      </c>
      <c r="C15" s="30" t="s">
        <v>1261</v>
      </c>
    </row>
    <row r="16" spans="1:3" x14ac:dyDescent="0.3">
      <c r="A16" s="253"/>
      <c r="B16" s="249" t="s">
        <v>42</v>
      </c>
      <c r="C16" s="30" t="s">
        <v>1262</v>
      </c>
    </row>
    <row r="17" spans="1:3" x14ac:dyDescent="0.3">
      <c r="A17" s="263" t="s">
        <v>207</v>
      </c>
      <c r="B17" s="243" t="s">
        <v>472</v>
      </c>
      <c r="C17" s="72" t="s">
        <v>1263</v>
      </c>
    </row>
    <row r="18" spans="1:3" x14ac:dyDescent="0.3">
      <c r="A18" s="263"/>
      <c r="B18" s="243" t="s">
        <v>471</v>
      </c>
      <c r="C18" s="72" t="s">
        <v>1264</v>
      </c>
    </row>
    <row r="19" spans="1:3" x14ac:dyDescent="0.3">
      <c r="A19" s="263"/>
      <c r="B19" s="243" t="s">
        <v>470</v>
      </c>
      <c r="C19" s="72" t="s">
        <v>1265</v>
      </c>
    </row>
    <row r="20" spans="1:3" x14ac:dyDescent="0.3">
      <c r="A20" s="263"/>
      <c r="B20" s="243" t="s">
        <v>457</v>
      </c>
      <c r="C20" s="72" t="s">
        <v>1266</v>
      </c>
    </row>
    <row r="21" spans="1:3" x14ac:dyDescent="0.3">
      <c r="A21" s="263"/>
      <c r="B21" s="243" t="s">
        <v>458</v>
      </c>
      <c r="C21" s="72" t="s">
        <v>1267</v>
      </c>
    </row>
    <row r="22" spans="1:3" x14ac:dyDescent="0.3">
      <c r="A22" s="252" t="s">
        <v>1285</v>
      </c>
      <c r="B22" s="244" t="s">
        <v>43</v>
      </c>
      <c r="C22" s="8" t="s">
        <v>1268</v>
      </c>
    </row>
    <row r="23" spans="1:3" x14ac:dyDescent="0.3">
      <c r="A23" s="252"/>
      <c r="B23" s="244" t="s">
        <v>44</v>
      </c>
      <c r="C23" s="8" t="s">
        <v>1269</v>
      </c>
    </row>
    <row r="24" spans="1:3" x14ac:dyDescent="0.3">
      <c r="A24" s="252"/>
      <c r="B24" s="244" t="s">
        <v>504</v>
      </c>
      <c r="C24" s="8" t="s">
        <v>1270</v>
      </c>
    </row>
    <row r="25" spans="1:3" x14ac:dyDescent="0.3">
      <c r="A25" s="252"/>
      <c r="B25" s="244" t="s">
        <v>505</v>
      </c>
      <c r="C25" s="8" t="s">
        <v>1271</v>
      </c>
    </row>
    <row r="26" spans="1:3" x14ac:dyDescent="0.3">
      <c r="A26" s="259" t="s">
        <v>1284</v>
      </c>
      <c r="B26" s="245" t="s">
        <v>45</v>
      </c>
      <c r="C26" s="70" t="s">
        <v>1272</v>
      </c>
    </row>
    <row r="27" spans="1:3" x14ac:dyDescent="0.3">
      <c r="A27" s="259"/>
      <c r="B27" s="245" t="s">
        <v>46</v>
      </c>
      <c r="C27" s="70" t="s">
        <v>1273</v>
      </c>
    </row>
    <row r="28" spans="1:3" x14ac:dyDescent="0.3">
      <c r="A28" s="259"/>
      <c r="B28" s="245" t="s">
        <v>469</v>
      </c>
      <c r="C28" s="70" t="s">
        <v>1274</v>
      </c>
    </row>
    <row r="29" spans="1:3" x14ac:dyDescent="0.3">
      <c r="A29" s="259"/>
      <c r="B29" s="245" t="s">
        <v>47</v>
      </c>
      <c r="C29" s="70" t="s">
        <v>1275</v>
      </c>
    </row>
    <row r="30" spans="1:3" x14ac:dyDescent="0.3">
      <c r="A30" s="255" t="s">
        <v>1283</v>
      </c>
      <c r="B30" s="246" t="s">
        <v>468</v>
      </c>
      <c r="C30" s="225" t="s">
        <v>1288</v>
      </c>
    </row>
    <row r="31" spans="1:3" x14ac:dyDescent="0.3">
      <c r="A31" s="255"/>
      <c r="B31" s="247" t="s">
        <v>467</v>
      </c>
      <c r="C31" s="225" t="s">
        <v>1276</v>
      </c>
    </row>
    <row r="32" spans="1:3" x14ac:dyDescent="0.3">
      <c r="A32" s="255"/>
      <c r="B32" s="247" t="s">
        <v>466</v>
      </c>
      <c r="C32" s="225" t="s">
        <v>1277</v>
      </c>
    </row>
    <row r="33" spans="1:3" x14ac:dyDescent="0.3">
      <c r="A33" s="255"/>
      <c r="B33" s="247" t="s">
        <v>502</v>
      </c>
      <c r="C33" s="225" t="s">
        <v>1278</v>
      </c>
    </row>
    <row r="34" spans="1:3" x14ac:dyDescent="0.3">
      <c r="A34" s="255"/>
      <c r="B34" s="247" t="s">
        <v>465</v>
      </c>
      <c r="C34" s="225" t="s">
        <v>1279</v>
      </c>
    </row>
    <row r="35" spans="1:3" x14ac:dyDescent="0.3">
      <c r="A35" s="255"/>
      <c r="B35" s="247" t="s">
        <v>501</v>
      </c>
      <c r="C35" s="225" t="s">
        <v>1280</v>
      </c>
    </row>
    <row r="36" spans="1:3" x14ac:dyDescent="0.3">
      <c r="A36" s="255"/>
      <c r="B36" s="247" t="s">
        <v>503</v>
      </c>
      <c r="C36" s="225" t="s">
        <v>1281</v>
      </c>
    </row>
    <row r="37" spans="1:3" x14ac:dyDescent="0.3">
      <c r="A37" s="255"/>
      <c r="B37" s="248" t="s">
        <v>500</v>
      </c>
      <c r="C37" s="225" t="s">
        <v>1282</v>
      </c>
    </row>
  </sheetData>
  <mergeCells count="6">
    <mergeCell ref="A2:A7"/>
    <mergeCell ref="A22:A25"/>
    <mergeCell ref="A26:A29"/>
    <mergeCell ref="A30:A37"/>
    <mergeCell ref="A17:A21"/>
    <mergeCell ref="A8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îlot</vt:lpstr>
      <vt:lpstr>parcelle</vt:lpstr>
      <vt:lpstr>exploitation</vt:lpstr>
      <vt:lpstr>typo</vt:lpstr>
      <vt:lpstr>info 1</vt:lpstr>
      <vt:lpstr>info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cp:lastPrinted>2020-09-24T08:37:23Z</cp:lastPrinted>
  <dcterms:created xsi:type="dcterms:W3CDTF">2020-09-14T08:55:12Z</dcterms:created>
  <dcterms:modified xsi:type="dcterms:W3CDTF">2021-01-04T12:31:42Z</dcterms:modified>
</cp:coreProperties>
</file>