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mdom\Documents\"/>
    </mc:Choice>
  </mc:AlternateContent>
  <xr:revisionPtr revIDLastSave="0" documentId="13_ncr:1_{93070D3F-5D60-45EB-8284-C4DF53C963D7}" xr6:coauthVersionLast="45" xr6:coauthVersionMax="45" xr10:uidLastSave="{00000000-0000-0000-0000-000000000000}"/>
  <bookViews>
    <workbookView xWindow="-120" yWindow="-120" windowWidth="29040" windowHeight="15840" xr2:uid="{5359C2AC-A7B2-42CA-AE7F-D6676BE6CB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C17" i="1"/>
  <c r="C15" i="1"/>
  <c r="C13" i="1"/>
  <c r="C11" i="1"/>
  <c r="C9" i="1"/>
  <c r="C7" i="1"/>
  <c r="C5" i="1"/>
  <c r="C3" i="1"/>
  <c r="C4" i="1"/>
  <c r="C16" i="1"/>
  <c r="C8" i="1"/>
  <c r="C6" i="1"/>
  <c r="C18" i="1"/>
  <c r="C14" i="1"/>
  <c r="C10" i="1"/>
  <c r="C12" i="1"/>
  <c r="C2" i="1"/>
  <c r="P40" i="1" l="1"/>
  <c r="P39" i="1"/>
  <c r="P38" i="1"/>
  <c r="P37" i="1"/>
  <c r="P36" i="1"/>
  <c r="P35" i="1"/>
  <c r="P34" i="1"/>
  <c r="P33" i="1"/>
  <c r="P32" i="1"/>
  <c r="D19" i="1"/>
  <c r="D17" i="1"/>
  <c r="D15" i="1"/>
  <c r="D13" i="1"/>
  <c r="D11" i="1"/>
  <c r="D9" i="1"/>
  <c r="D7" i="1"/>
  <c r="D5" i="1"/>
  <c r="D3" i="1"/>
  <c r="D12" i="1"/>
  <c r="D4" i="1"/>
  <c r="D16" i="1"/>
  <c r="D8" i="1"/>
  <c r="D6" i="1"/>
  <c r="D18" i="1"/>
  <c r="D10" i="1"/>
  <c r="D14" i="1"/>
  <c r="D2" i="1"/>
  <c r="E4" i="1" l="1"/>
  <c r="K4" i="1" l="1"/>
  <c r="J4" i="1" s="1"/>
  <c r="K8" i="1"/>
  <c r="J8" i="1" s="1"/>
  <c r="I8" i="1" s="1"/>
  <c r="H8" i="1" l="1"/>
  <c r="I9" i="1"/>
  <c r="F5" i="1"/>
  <c r="I4" i="1"/>
  <c r="E5" i="1" s="1"/>
  <c r="S2" i="1"/>
  <c r="R2" i="1" s="1"/>
  <c r="H4" i="1" l="1"/>
  <c r="G8" i="1"/>
  <c r="H9" i="1"/>
  <c r="Q2" i="1"/>
  <c r="P2" i="1" s="1"/>
  <c r="T4" i="1"/>
  <c r="T16" i="1"/>
  <c r="S16" i="1" s="1"/>
  <c r="T8" i="1"/>
  <c r="S8" i="1" s="1"/>
  <c r="T6" i="1"/>
  <c r="S6" i="1" s="1"/>
  <c r="T18" i="1"/>
  <c r="S18" i="1" s="1"/>
  <c r="T14" i="1"/>
  <c r="S14" i="1" s="1"/>
  <c r="T10" i="1"/>
  <c r="S10" i="1" s="1"/>
  <c r="T12" i="1"/>
  <c r="S12" i="1" s="1"/>
  <c r="T2" i="1"/>
  <c r="P3" i="1" l="1"/>
  <c r="F8" i="1"/>
  <c r="G9" i="1"/>
  <c r="S4" i="1"/>
  <c r="G4" i="1"/>
  <c r="G5" i="1" s="1"/>
  <c r="H5" i="1"/>
  <c r="R8" i="1"/>
  <c r="R10" i="1"/>
  <c r="R14" i="1"/>
  <c r="R16" i="1"/>
  <c r="R12" i="1"/>
  <c r="R18" i="1"/>
  <c r="R6" i="1"/>
  <c r="U10" i="1"/>
  <c r="U2" i="1"/>
  <c r="Q3" i="1" s="1"/>
  <c r="U4" i="1"/>
  <c r="U16" i="1"/>
  <c r="U8" i="1"/>
  <c r="U6" i="1"/>
  <c r="U18" i="1"/>
  <c r="U14" i="1"/>
  <c r="U12" i="1"/>
  <c r="R4" i="1" l="1"/>
  <c r="E8" i="1"/>
  <c r="E9" i="1" s="1"/>
  <c r="F9" i="1"/>
  <c r="O2" i="1"/>
  <c r="N2" i="1" s="1"/>
  <c r="M2" i="1" s="1"/>
  <c r="Q18" i="1"/>
  <c r="P18" i="1" s="1"/>
  <c r="P19" i="1" s="1"/>
  <c r="Q10" i="1"/>
  <c r="P10" i="1" s="1"/>
  <c r="P11" i="1" s="1"/>
  <c r="Q4" i="1"/>
  <c r="P4" i="1" s="1"/>
  <c r="P5" i="1" s="1"/>
  <c r="Q16" i="1"/>
  <c r="P16" i="1" s="1"/>
  <c r="P17" i="1" s="1"/>
  <c r="Q14" i="1"/>
  <c r="P14" i="1" s="1"/>
  <c r="P15" i="1" s="1"/>
  <c r="Q12" i="1"/>
  <c r="P12" i="1" s="1"/>
  <c r="P13" i="1" s="1"/>
  <c r="Q6" i="1"/>
  <c r="P6" i="1" s="1"/>
  <c r="P7" i="1" s="1"/>
  <c r="Q8" i="1"/>
  <c r="V4" i="1"/>
  <c r="R5" i="1" s="1"/>
  <c r="V16" i="1"/>
  <c r="R17" i="1" s="1"/>
  <c r="V8" i="1"/>
  <c r="V9" i="1" s="1"/>
  <c r="V6" i="1"/>
  <c r="R7" i="1" s="1"/>
  <c r="V18" i="1"/>
  <c r="R19" i="1" s="1"/>
  <c r="V14" i="1"/>
  <c r="R15" i="1" s="1"/>
  <c r="V10" i="1"/>
  <c r="R11" i="1" s="1"/>
  <c r="V12" i="1"/>
  <c r="R13" i="1" s="1"/>
  <c r="V2" i="1"/>
  <c r="M9" i="1" l="1"/>
  <c r="P8" i="1"/>
  <c r="P9" i="1" s="1"/>
  <c r="L2" i="1"/>
  <c r="M3" i="1"/>
  <c r="N3" i="1"/>
  <c r="O3" i="1"/>
  <c r="Q13" i="1"/>
  <c r="R3" i="1"/>
  <c r="Q15" i="1"/>
  <c r="Q17" i="1"/>
  <c r="Q19" i="1"/>
  <c r="R9" i="1"/>
  <c r="Q11" i="1"/>
  <c r="L9" i="1"/>
  <c r="Q9" i="1"/>
  <c r="Q7" i="1"/>
  <c r="L5" i="1"/>
  <c r="Q5" i="1"/>
  <c r="W4" i="1"/>
  <c r="W16" i="1"/>
  <c r="S17" i="1" s="1"/>
  <c r="W8" i="1"/>
  <c r="W6" i="1"/>
  <c r="S7" i="1" s="1"/>
  <c r="W18" i="1"/>
  <c r="S19" i="1" s="1"/>
  <c r="W14" i="1"/>
  <c r="S15" i="1" s="1"/>
  <c r="W10" i="1"/>
  <c r="S11" i="1" s="1"/>
  <c r="W12" i="1"/>
  <c r="S13" i="1" s="1"/>
  <c r="W2" i="1"/>
  <c r="S3" i="1" s="1"/>
  <c r="S9" i="1" l="1"/>
  <c r="S5" i="1"/>
  <c r="K2" i="1"/>
  <c r="L3" i="1"/>
  <c r="O8" i="1"/>
  <c r="O14" i="1"/>
  <c r="N14" i="1" s="1"/>
  <c r="M14" i="1" s="1"/>
  <c r="O18" i="1"/>
  <c r="N18" i="1" s="1"/>
  <c r="M18" i="1" s="1"/>
  <c r="O12" i="1"/>
  <c r="N12" i="1" s="1"/>
  <c r="M12" i="1" s="1"/>
  <c r="O10" i="1"/>
  <c r="N10" i="1" s="1"/>
  <c r="M10" i="1" s="1"/>
  <c r="O4" i="1"/>
  <c r="O6" i="1"/>
  <c r="N6" i="1" s="1"/>
  <c r="M6" i="1" s="1"/>
  <c r="O16" i="1"/>
  <c r="N16" i="1" s="1"/>
  <c r="M16" i="1" s="1"/>
  <c r="X4" i="1"/>
  <c r="T5" i="1" s="1"/>
  <c r="X16" i="1"/>
  <c r="T17" i="1" s="1"/>
  <c r="X8" i="1"/>
  <c r="T9" i="1" s="1"/>
  <c r="X6" i="1"/>
  <c r="T7" i="1" s="1"/>
  <c r="X18" i="1"/>
  <c r="T19" i="1" s="1"/>
  <c r="X14" i="1"/>
  <c r="T15" i="1" s="1"/>
  <c r="X10" i="1"/>
  <c r="T11" i="1" s="1"/>
  <c r="X12" i="1"/>
  <c r="T13" i="1" s="1"/>
  <c r="X2" i="1"/>
  <c r="T3" i="1" s="1"/>
  <c r="L14" i="1" l="1"/>
  <c r="M15" i="1"/>
  <c r="L10" i="1"/>
  <c r="M11" i="1"/>
  <c r="N8" i="1"/>
  <c r="J9" i="1" s="1"/>
  <c r="K9" i="1"/>
  <c r="L16" i="1"/>
  <c r="M17" i="1"/>
  <c r="L12" i="1"/>
  <c r="M13" i="1"/>
  <c r="N4" i="1"/>
  <c r="K5" i="1"/>
  <c r="J2" i="1"/>
  <c r="I2" i="1" s="1"/>
  <c r="K3" i="1"/>
  <c r="L6" i="1"/>
  <c r="M7" i="1"/>
  <c r="L18" i="1"/>
  <c r="M19" i="1"/>
  <c r="N13" i="1"/>
  <c r="N5" i="1"/>
  <c r="N15" i="1"/>
  <c r="N7" i="1"/>
  <c r="N11" i="1"/>
  <c r="N9" i="1"/>
  <c r="N17" i="1"/>
  <c r="N19" i="1"/>
  <c r="O17" i="1"/>
  <c r="O13" i="1"/>
  <c r="O7" i="1"/>
  <c r="O5" i="1"/>
  <c r="O15" i="1"/>
  <c r="O19" i="1"/>
  <c r="O11" i="1"/>
  <c r="O9" i="1"/>
  <c r="Y18" i="1"/>
  <c r="U19" i="1" s="1"/>
  <c r="Y16" i="1"/>
  <c r="U17" i="1" s="1"/>
  <c r="Y14" i="1"/>
  <c r="U15" i="1" s="1"/>
  <c r="Y12" i="1"/>
  <c r="U13" i="1" s="1"/>
  <c r="Y10" i="1"/>
  <c r="U11" i="1" s="1"/>
  <c r="Y8" i="1"/>
  <c r="U9" i="1" s="1"/>
  <c r="Y6" i="1"/>
  <c r="U7" i="1" s="1"/>
  <c r="Y4" i="1"/>
  <c r="U5" i="1" s="1"/>
  <c r="Y2" i="1"/>
  <c r="U3" i="1" s="1"/>
  <c r="H2" i="1" l="1"/>
  <c r="Q28" i="1"/>
  <c r="I3" i="1"/>
  <c r="K16" i="1"/>
  <c r="L17" i="1"/>
  <c r="J3" i="1"/>
  <c r="K6" i="1"/>
  <c r="L7" i="1"/>
  <c r="J5" i="1"/>
  <c r="M4" i="1"/>
  <c r="K10" i="1"/>
  <c r="L11" i="1"/>
  <c r="K18" i="1"/>
  <c r="L19" i="1"/>
  <c r="K12" i="1"/>
  <c r="L13" i="1"/>
  <c r="K14" i="1"/>
  <c r="L15" i="1"/>
  <c r="Z4" i="1"/>
  <c r="V5" i="1" s="1"/>
  <c r="Z16" i="1"/>
  <c r="V17" i="1" s="1"/>
  <c r="Z6" i="1"/>
  <c r="V7" i="1" s="1"/>
  <c r="Z18" i="1"/>
  <c r="V19" i="1" s="1"/>
  <c r="Z14" i="1"/>
  <c r="V15" i="1" s="1"/>
  <c r="Z10" i="1"/>
  <c r="V11" i="1" s="1"/>
  <c r="Z12" i="1"/>
  <c r="V13" i="1" s="1"/>
  <c r="Z2" i="1"/>
  <c r="V3" i="1" s="1"/>
  <c r="M5" i="1" l="1"/>
  <c r="I5" i="1"/>
  <c r="G2" i="1"/>
  <c r="H3" i="1"/>
  <c r="J16" i="1"/>
  <c r="I16" i="1" s="1"/>
  <c r="K17" i="1"/>
  <c r="J12" i="1"/>
  <c r="I12" i="1" s="1"/>
  <c r="K13" i="1"/>
  <c r="J10" i="1"/>
  <c r="I10" i="1" s="1"/>
  <c r="K11" i="1"/>
  <c r="J6" i="1"/>
  <c r="I6" i="1" s="1"/>
  <c r="K7" i="1"/>
  <c r="J18" i="1"/>
  <c r="I18" i="1" s="1"/>
  <c r="K19" i="1"/>
  <c r="J14" i="1"/>
  <c r="I14" i="1" s="1"/>
  <c r="K15" i="1"/>
  <c r="AA4" i="1"/>
  <c r="W5" i="1" s="1"/>
  <c r="AA16" i="1"/>
  <c r="W17" i="1" s="1"/>
  <c r="AA8" i="1"/>
  <c r="W9" i="1" s="1"/>
  <c r="AA6" i="1"/>
  <c r="W7" i="1" s="1"/>
  <c r="AA18" i="1"/>
  <c r="W19" i="1" s="1"/>
  <c r="AA14" i="1"/>
  <c r="W15" i="1" s="1"/>
  <c r="AA10" i="1"/>
  <c r="W11" i="1" s="1"/>
  <c r="AA12" i="1"/>
  <c r="W13" i="1" s="1"/>
  <c r="AA2" i="1"/>
  <c r="W3" i="1" s="1"/>
  <c r="H14" i="1" l="1"/>
  <c r="I15" i="1"/>
  <c r="H16" i="1"/>
  <c r="I17" i="1"/>
  <c r="H12" i="1"/>
  <c r="I13" i="1"/>
  <c r="H18" i="1"/>
  <c r="I19" i="1"/>
  <c r="H6" i="1"/>
  <c r="I7" i="1"/>
  <c r="F2" i="1"/>
  <c r="G3" i="1"/>
  <c r="H10" i="1"/>
  <c r="I11" i="1"/>
  <c r="J11" i="1"/>
  <c r="J7" i="1"/>
  <c r="J13" i="1"/>
  <c r="J15" i="1"/>
  <c r="J19" i="1"/>
  <c r="J17" i="1"/>
  <c r="AB4" i="1"/>
  <c r="AB16" i="1"/>
  <c r="AB8" i="1"/>
  <c r="AB6" i="1"/>
  <c r="AB18" i="1"/>
  <c r="AB14" i="1"/>
  <c r="AB10" i="1"/>
  <c r="AB12" i="1"/>
  <c r="E2" i="1" l="1"/>
  <c r="E3" i="1" s="1"/>
  <c r="H19" i="1"/>
  <c r="G18" i="1"/>
  <c r="G12" i="1"/>
  <c r="H13" i="1"/>
  <c r="G16" i="1"/>
  <c r="H17" i="1"/>
  <c r="G10" i="1"/>
  <c r="H11" i="1"/>
  <c r="F3" i="1"/>
  <c r="H7" i="1"/>
  <c r="G6" i="1"/>
  <c r="G14" i="1"/>
  <c r="H15" i="1"/>
  <c r="X11" i="1"/>
  <c r="X19" i="1"/>
  <c r="X13" i="1"/>
  <c r="X15" i="1"/>
  <c r="X7" i="1"/>
  <c r="X9" i="1"/>
  <c r="X17" i="1"/>
  <c r="X5" i="1"/>
  <c r="AB2" i="1"/>
  <c r="F10" i="1" l="1"/>
  <c r="G11" i="1"/>
  <c r="F14" i="1"/>
  <c r="G15" i="1"/>
  <c r="F12" i="1"/>
  <c r="G13" i="1"/>
  <c r="F16" i="1"/>
  <c r="G17" i="1"/>
  <c r="F6" i="1"/>
  <c r="G7" i="1"/>
  <c r="F18" i="1"/>
  <c r="G19" i="1"/>
  <c r="X3" i="1"/>
  <c r="AC4" i="1"/>
  <c r="AC16" i="1"/>
  <c r="AC8" i="1"/>
  <c r="AC6" i="1"/>
  <c r="AC18" i="1"/>
  <c r="AC14" i="1"/>
  <c r="AC10" i="1"/>
  <c r="AC12" i="1"/>
  <c r="AC2" i="1"/>
  <c r="E14" i="1" l="1"/>
  <c r="E15" i="1" s="1"/>
  <c r="E12" i="1"/>
  <c r="E13" i="1" s="1"/>
  <c r="E16" i="1"/>
  <c r="E17" i="1" s="1"/>
  <c r="E18" i="1"/>
  <c r="E19" i="1" s="1"/>
  <c r="E6" i="1"/>
  <c r="E7" i="1" s="1"/>
  <c r="E10" i="1"/>
  <c r="E11" i="1" s="1"/>
  <c r="F15" i="1"/>
  <c r="F17" i="1"/>
  <c r="F13" i="1"/>
  <c r="F19" i="1"/>
  <c r="F7" i="1"/>
  <c r="F11" i="1"/>
  <c r="Y11" i="1"/>
  <c r="Y3" i="1"/>
  <c r="Y5" i="1"/>
  <c r="Y13" i="1"/>
  <c r="Y15" i="1"/>
  <c r="Y19" i="1"/>
  <c r="Y7" i="1"/>
  <c r="Y9" i="1"/>
  <c r="Y17" i="1"/>
  <c r="AD2" i="1"/>
  <c r="Z3" i="1" s="1"/>
  <c r="AD5" i="1" l="1"/>
  <c r="AE4" i="1" l="1"/>
  <c r="AE16" i="1"/>
  <c r="AE8" i="1"/>
  <c r="AE6" i="1"/>
  <c r="AE18" i="1"/>
  <c r="AE14" i="1"/>
  <c r="AE10" i="1"/>
  <c r="AE12" i="1"/>
  <c r="AE2" i="1"/>
  <c r="AA15" i="1" l="1"/>
  <c r="AD14" i="1"/>
  <c r="Z15" i="1" s="1"/>
  <c r="AA9" i="1"/>
  <c r="AD8" i="1"/>
  <c r="Z9" i="1" s="1"/>
  <c r="AA19" i="1"/>
  <c r="AD18" i="1"/>
  <c r="Z19" i="1" s="1"/>
  <c r="AA3" i="1"/>
  <c r="AA11" i="1"/>
  <c r="AD10" i="1"/>
  <c r="Z11" i="1" s="1"/>
  <c r="AA7" i="1"/>
  <c r="AD6" i="1"/>
  <c r="Z7" i="1" s="1"/>
  <c r="AA17" i="1"/>
  <c r="AD16" i="1"/>
  <c r="Z17" i="1" s="1"/>
  <c r="AA5" i="1"/>
  <c r="AD4" i="1"/>
  <c r="Z5" i="1" s="1"/>
  <c r="AA13" i="1"/>
  <c r="AD12" i="1"/>
  <c r="Z13" i="1" s="1"/>
  <c r="AF16" i="1"/>
  <c r="AB17" i="1" s="1"/>
  <c r="AF4" i="1"/>
  <c r="AB5" i="1" s="1"/>
  <c r="AF8" i="1"/>
  <c r="AB9" i="1" s="1"/>
  <c r="AF6" i="1"/>
  <c r="AB7" i="1" s="1"/>
  <c r="AF18" i="1"/>
  <c r="AB19" i="1" s="1"/>
  <c r="AF14" i="1"/>
  <c r="AB15" i="1" s="1"/>
  <c r="AF10" i="1"/>
  <c r="AB11" i="1" s="1"/>
  <c r="AF12" i="1"/>
  <c r="AB13" i="1" s="1"/>
  <c r="AF2" i="1"/>
  <c r="AB3" i="1" s="1"/>
  <c r="AG4" i="1" l="1"/>
  <c r="AC5" i="1" s="1"/>
  <c r="AG16" i="1"/>
  <c r="AC17" i="1" s="1"/>
  <c r="AG8" i="1"/>
  <c r="AC9" i="1" s="1"/>
  <c r="AG6" i="1"/>
  <c r="AC7" i="1" s="1"/>
  <c r="AG18" i="1"/>
  <c r="AC19" i="1" s="1"/>
  <c r="AG14" i="1"/>
  <c r="AC15" i="1" s="1"/>
  <c r="AG10" i="1"/>
  <c r="AC11" i="1" s="1"/>
  <c r="AG12" i="1"/>
  <c r="AC13" i="1" s="1"/>
  <c r="AG2" i="1"/>
  <c r="AC3" i="1" s="1"/>
  <c r="AH4" i="1" l="1"/>
  <c r="AH16" i="1"/>
  <c r="AD17" i="1" s="1"/>
  <c r="AH8" i="1"/>
  <c r="AD9" i="1" s="1"/>
  <c r="AH6" i="1"/>
  <c r="AD7" i="1" s="1"/>
  <c r="AH18" i="1"/>
  <c r="AD19" i="1" s="1"/>
  <c r="AH14" i="1"/>
  <c r="AD15" i="1" s="1"/>
  <c r="AH10" i="1"/>
  <c r="AD11" i="1" s="1"/>
  <c r="AH12" i="1"/>
  <c r="AD13" i="1" s="1"/>
  <c r="AH2" i="1"/>
  <c r="AD3" i="1" s="1"/>
  <c r="AI4" i="1" l="1"/>
  <c r="AE5" i="1" s="1"/>
  <c r="AI16" i="1"/>
  <c r="AE17" i="1" s="1"/>
  <c r="AI8" i="1"/>
  <c r="AE9" i="1" s="1"/>
  <c r="AI6" i="1"/>
  <c r="AE7" i="1" s="1"/>
  <c r="AI18" i="1"/>
  <c r="AE19" i="1" s="1"/>
  <c r="AI14" i="1"/>
  <c r="AE15" i="1" s="1"/>
  <c r="AI10" i="1"/>
  <c r="AE11" i="1" s="1"/>
  <c r="AI12" i="1"/>
  <c r="AE13" i="1" s="1"/>
  <c r="AI2" i="1"/>
  <c r="AE3" i="1" s="1"/>
  <c r="AJ16" i="1" l="1"/>
  <c r="AF17" i="1" s="1"/>
  <c r="AJ18" i="1"/>
  <c r="AF19" i="1" s="1"/>
  <c r="AJ14" i="1"/>
  <c r="AF15" i="1" s="1"/>
  <c r="AJ12" i="1"/>
  <c r="AF13" i="1" s="1"/>
  <c r="AJ10" i="1"/>
  <c r="AF11" i="1" s="1"/>
  <c r="AJ8" i="1"/>
  <c r="AJ6" i="1"/>
  <c r="AF7" i="1" s="1"/>
  <c r="AJ4" i="1"/>
  <c r="AJ2" i="1"/>
  <c r="AF3" i="1" s="1"/>
  <c r="AJ5" i="1" l="1"/>
  <c r="AF5" i="1"/>
  <c r="AJ9" i="1"/>
  <c r="AF9" i="1"/>
  <c r="AK10" i="1"/>
  <c r="AG11" i="1" s="1"/>
  <c r="AL10" i="1"/>
  <c r="AH11" i="1" s="1"/>
  <c r="AK18" i="1"/>
  <c r="AG19" i="1" s="1"/>
  <c r="AK16" i="1"/>
  <c r="AG17" i="1" s="1"/>
  <c r="AK14" i="1"/>
  <c r="AG15" i="1" s="1"/>
  <c r="AK12" i="1"/>
  <c r="AG13" i="1" s="1"/>
  <c r="AK8" i="1"/>
  <c r="AG9" i="1" s="1"/>
  <c r="AK6" i="1"/>
  <c r="AG7" i="1" s="1"/>
  <c r="AK4" i="1"/>
  <c r="AG5" i="1" s="1"/>
  <c r="AK2" i="1"/>
  <c r="AG3" i="1" s="1"/>
  <c r="AL3" i="1" l="1"/>
  <c r="AL2" i="1"/>
  <c r="AH3" i="1" s="1"/>
  <c r="AL19" i="1" l="1"/>
  <c r="AL17" i="1"/>
  <c r="AL15" i="1"/>
  <c r="AL13" i="1"/>
  <c r="AL11" i="1"/>
  <c r="AL9" i="1"/>
  <c r="AL7" i="1"/>
  <c r="AL5" i="1"/>
  <c r="AL16" i="1"/>
  <c r="AH17" i="1" s="1"/>
  <c r="AL14" i="1"/>
  <c r="AH15" i="1" s="1"/>
  <c r="AL18" i="1"/>
  <c r="AH19" i="1" s="1"/>
  <c r="AL12" i="1"/>
  <c r="AH13" i="1" s="1"/>
  <c r="AL8" i="1"/>
  <c r="AH9" i="1" s="1"/>
  <c r="AL6" i="1"/>
  <c r="AH7" i="1" s="1"/>
  <c r="AL4" i="1"/>
  <c r="AH5" i="1" s="1"/>
  <c r="AM18" i="1" l="1"/>
  <c r="AI19" i="1" s="1"/>
  <c r="AM16" i="1"/>
  <c r="AI17" i="1" s="1"/>
  <c r="AM14" i="1"/>
  <c r="AI15" i="1" s="1"/>
  <c r="AM12" i="1"/>
  <c r="AM10" i="1"/>
  <c r="AI11" i="1" s="1"/>
  <c r="AM8" i="1"/>
  <c r="AI9" i="1" s="1"/>
  <c r="AM6" i="1"/>
  <c r="AI7" i="1" s="1"/>
  <c r="AM4" i="1"/>
  <c r="AM2" i="1"/>
  <c r="AI5" i="1" l="1"/>
  <c r="AI13" i="1"/>
  <c r="AI3" i="1"/>
  <c r="AN5" i="1"/>
  <c r="AN16" i="1"/>
  <c r="AJ17" i="1" s="1"/>
  <c r="AN6" i="1"/>
  <c r="AJ7" i="1" s="1"/>
  <c r="AN18" i="1"/>
  <c r="AN14" i="1"/>
  <c r="AJ15" i="1" s="1"/>
  <c r="AN10" i="1"/>
  <c r="AJ11" i="1" s="1"/>
  <c r="AN12" i="1"/>
  <c r="AJ13" i="1" s="1"/>
  <c r="AN2" i="1"/>
  <c r="AJ19" i="1" l="1"/>
  <c r="AJ3" i="1"/>
  <c r="AO14" i="1"/>
  <c r="AO4" i="1"/>
  <c r="AO16" i="1"/>
  <c r="AO8" i="1"/>
  <c r="AO6" i="1"/>
  <c r="AO18" i="1"/>
  <c r="AO10" i="1"/>
  <c r="AO12" i="1"/>
  <c r="AO2" i="1"/>
  <c r="AK13" i="1" l="1"/>
  <c r="AK11" i="1"/>
  <c r="AK19" i="1"/>
  <c r="AK7" i="1"/>
  <c r="AK9" i="1"/>
  <c r="AK17" i="1"/>
  <c r="AK5" i="1"/>
  <c r="AK3" i="1"/>
  <c r="AK15" i="1"/>
  <c r="AP4" i="1"/>
  <c r="AP5" i="1" s="1"/>
  <c r="AP16" i="1"/>
  <c r="AP8" i="1"/>
  <c r="AP6" i="1"/>
  <c r="AP18" i="1"/>
  <c r="AP14" i="1"/>
  <c r="AP10" i="1"/>
  <c r="AP12" i="1"/>
  <c r="AP2" i="1"/>
  <c r="AQ3" i="1" l="1"/>
  <c r="AQ4" i="1"/>
  <c r="AQ16" i="1"/>
  <c r="AM17" i="1" s="1"/>
  <c r="AQ8" i="1"/>
  <c r="AM9" i="1" s="1"/>
  <c r="AQ6" i="1"/>
  <c r="AM7" i="1" s="1"/>
  <c r="AQ18" i="1"/>
  <c r="AM19" i="1" s="1"/>
  <c r="AQ14" i="1"/>
  <c r="AM15" i="1" s="1"/>
  <c r="AQ10" i="1"/>
  <c r="AM11" i="1" s="1"/>
  <c r="AQ12" i="1"/>
  <c r="AQ2" i="1"/>
  <c r="AM13" i="1" l="1"/>
  <c r="AM3" i="1"/>
  <c r="AM5" i="1"/>
  <c r="AR5" i="1"/>
  <c r="AR16" i="1"/>
  <c r="AN17" i="1" s="1"/>
  <c r="AR8" i="1"/>
  <c r="AN9" i="1" s="1"/>
  <c r="AR6" i="1"/>
  <c r="AR7" i="1" s="1"/>
  <c r="AR18" i="1"/>
  <c r="AN19" i="1" s="1"/>
  <c r="AR14" i="1"/>
  <c r="AN15" i="1" s="1"/>
  <c r="AR10" i="1"/>
  <c r="AN11" i="1" s="1"/>
  <c r="AR12" i="1"/>
  <c r="AR2" i="1"/>
  <c r="AR15" i="1" l="1"/>
  <c r="AR19" i="1"/>
  <c r="AN3" i="1"/>
  <c r="AR11" i="1"/>
  <c r="AR17" i="1"/>
  <c r="AN13" i="1"/>
  <c r="AR9" i="1"/>
  <c r="AN7" i="1"/>
  <c r="AR13" i="1"/>
  <c r="AS3" i="1"/>
  <c r="AS4" i="1"/>
  <c r="AO5" i="1" s="1"/>
  <c r="AS16" i="1"/>
  <c r="AO17" i="1" s="1"/>
  <c r="AS8" i="1"/>
  <c r="AO9" i="1" s="1"/>
  <c r="AS6" i="1"/>
  <c r="AO7" i="1" s="1"/>
  <c r="AS18" i="1"/>
  <c r="AO19" i="1" s="1"/>
  <c r="AS14" i="1"/>
  <c r="AO15" i="1" s="1"/>
  <c r="AS10" i="1" l="1"/>
  <c r="AS12" i="1"/>
  <c r="AS2" i="1"/>
  <c r="AO3" i="1" s="1"/>
  <c r="AO11" i="1" l="1"/>
  <c r="AO13" i="1"/>
  <c r="AT14" i="1"/>
  <c r="AP15" i="1" s="1"/>
  <c r="AT8" i="1"/>
  <c r="AP9" i="1" s="1"/>
  <c r="AT6" i="1"/>
  <c r="AP7" i="1" s="1"/>
  <c r="AT18" i="1"/>
  <c r="AP19" i="1" s="1"/>
  <c r="AT16" i="1"/>
  <c r="AP17" i="1" s="1"/>
  <c r="AT10" i="1"/>
  <c r="AP11" i="1" s="1"/>
  <c r="AT12" i="1"/>
  <c r="AP13" i="1" s="1"/>
  <c r="AT2" i="1"/>
  <c r="AP3" i="1" s="1"/>
  <c r="AU19" i="1" l="1"/>
  <c r="AU17" i="1"/>
  <c r="AU15" i="1"/>
  <c r="AU13" i="1"/>
  <c r="AU11" i="1"/>
  <c r="AU9" i="1"/>
  <c r="AU7" i="1"/>
  <c r="AU5" i="1"/>
  <c r="AU3" i="1"/>
  <c r="AU10" i="1"/>
  <c r="AQ11" i="1" s="1"/>
  <c r="AU2" i="1"/>
  <c r="AU4" i="1"/>
  <c r="AQ5" i="1" s="1"/>
  <c r="AU16" i="1"/>
  <c r="AQ17" i="1" s="1"/>
  <c r="AU8" i="1"/>
  <c r="AQ9" i="1" s="1"/>
  <c r="AU6" i="1"/>
  <c r="AQ7" i="1" s="1"/>
  <c r="AU18" i="1"/>
  <c r="AQ19" i="1" s="1"/>
  <c r="AU14" i="1"/>
  <c r="AQ15" i="1" s="1"/>
  <c r="AU12" i="1"/>
  <c r="AQ13" i="1" s="1"/>
  <c r="AV2" i="1" l="1"/>
  <c r="AR3" i="1" s="1"/>
  <c r="AW2" i="1"/>
  <c r="AV3" i="1" l="1"/>
  <c r="AW3" i="1"/>
  <c r="AW4" i="1"/>
  <c r="AW16" i="1"/>
  <c r="AW8" i="1"/>
  <c r="AW6" i="1"/>
  <c r="AW18" i="1"/>
  <c r="AW14" i="1"/>
  <c r="AW10" i="1"/>
  <c r="AW12" i="1"/>
  <c r="AS19" i="1" l="1"/>
  <c r="AS7" i="1"/>
  <c r="AS9" i="1"/>
  <c r="AS5" i="1"/>
  <c r="AW5" i="1"/>
  <c r="AS17" i="1"/>
  <c r="AS13" i="1"/>
  <c r="AS11" i="1"/>
  <c r="AS15" i="1"/>
  <c r="AX19" i="1"/>
  <c r="AX17" i="1"/>
  <c r="AX15" i="1"/>
  <c r="AX13" i="1"/>
  <c r="AX11" i="1"/>
  <c r="AX9" i="1"/>
  <c r="AX7" i="1"/>
  <c r="AX5" i="1"/>
  <c r="AX3" i="1"/>
  <c r="AX4" i="1"/>
  <c r="AT5" i="1" s="1"/>
  <c r="AX16" i="1"/>
  <c r="AT17" i="1" s="1"/>
  <c r="AX8" i="1"/>
  <c r="AT9" i="1" s="1"/>
  <c r="AX18" i="1"/>
  <c r="AT19" i="1" s="1"/>
  <c r="AX6" i="1"/>
  <c r="AT7" i="1" s="1"/>
  <c r="AX14" i="1"/>
  <c r="AT15" i="1" s="1"/>
  <c r="AX10" i="1"/>
  <c r="AT11" i="1" s="1"/>
  <c r="AX12" i="1"/>
  <c r="AT13" i="1" s="1"/>
  <c r="AX2" i="1"/>
  <c r="AT3" i="1" s="1"/>
  <c r="AY19" i="1" l="1"/>
  <c r="AY17" i="1"/>
  <c r="AY15" i="1"/>
  <c r="AY13" i="1"/>
  <c r="AY11" i="1"/>
  <c r="AY9" i="1"/>
  <c r="AY7" i="1"/>
  <c r="AY5" i="1"/>
  <c r="AY3" i="1"/>
  <c r="AY14" i="1"/>
  <c r="AY16" i="1"/>
  <c r="AY4" i="1"/>
  <c r="AY18" i="1"/>
  <c r="AY6" i="1"/>
  <c r="AY10" i="1"/>
  <c r="AY12" i="1"/>
  <c r="AZ19" i="1" l="1"/>
  <c r="AZ17" i="1"/>
  <c r="AZ15" i="1"/>
  <c r="AZ13" i="1"/>
  <c r="AZ11" i="1"/>
  <c r="AZ9" i="1"/>
  <c r="AZ7" i="1"/>
  <c r="AZ5" i="1"/>
  <c r="AZ3" i="1"/>
  <c r="AZ10" i="1"/>
  <c r="AV11" i="1" s="1"/>
  <c r="AZ16" i="1"/>
  <c r="AV17" i="1" s="1"/>
  <c r="AZ4" i="1"/>
  <c r="AV5" i="1" s="1"/>
  <c r="AZ8" i="1"/>
  <c r="AV9" i="1" s="1"/>
  <c r="AZ18" i="1"/>
  <c r="AV19" i="1" s="1"/>
  <c r="AZ6" i="1"/>
  <c r="AV7" i="1" s="1"/>
  <c r="AZ14" i="1"/>
  <c r="AV15" i="1" s="1"/>
  <c r="AZ12" i="1"/>
  <c r="AV13" i="1" s="1"/>
  <c r="BA19" i="1" l="1"/>
  <c r="BA17" i="1"/>
  <c r="BA15" i="1"/>
  <c r="BA13" i="1"/>
  <c r="BA11" i="1"/>
  <c r="BA9" i="1"/>
  <c r="BA7" i="1"/>
  <c r="BA5" i="1"/>
  <c r="BA3" i="1"/>
  <c r="BA16" i="1"/>
  <c r="BA8" i="1"/>
  <c r="BA18" i="1"/>
  <c r="BA6" i="1"/>
  <c r="BA14" i="1"/>
  <c r="BA10" i="1"/>
  <c r="BA12" i="1"/>
  <c r="AW13" i="1" l="1"/>
  <c r="AW11" i="1"/>
  <c r="AW15" i="1"/>
  <c r="AW7" i="1"/>
  <c r="AW19" i="1"/>
  <c r="AW9" i="1"/>
  <c r="AW17" i="1"/>
  <c r="BB19" i="1"/>
  <c r="BB17" i="1"/>
  <c r="BB15" i="1"/>
  <c r="BB13" i="1"/>
  <c r="BB11" i="1"/>
  <c r="BB9" i="1"/>
  <c r="BB7" i="1"/>
  <c r="BB5" i="1"/>
  <c r="BB3" i="1"/>
  <c r="BC19" i="1" l="1"/>
  <c r="BC17" i="1"/>
  <c r="BC15" i="1"/>
  <c r="BC13" i="1"/>
  <c r="BC11" i="1"/>
  <c r="BC9" i="1"/>
  <c r="BC7" i="1"/>
  <c r="BC5" i="1"/>
  <c r="BC3" i="1"/>
  <c r="BC16" i="1"/>
  <c r="BC8" i="1"/>
  <c r="BC18" i="1"/>
  <c r="BC6" i="1"/>
  <c r="BC14" i="1"/>
  <c r="BC10" i="1"/>
  <c r="BC12" i="1"/>
  <c r="BC2" i="1"/>
  <c r="BD19" i="1" l="1"/>
  <c r="BD17" i="1"/>
  <c r="BD15" i="1"/>
  <c r="BD13" i="1"/>
  <c r="BD11" i="1"/>
  <c r="BD9" i="1"/>
  <c r="BD7" i="1"/>
  <c r="BD5" i="1"/>
  <c r="BD3" i="1"/>
  <c r="BD16" i="1"/>
  <c r="BD4" i="1"/>
  <c r="BD8" i="1"/>
  <c r="BD18" i="1"/>
  <c r="BD6" i="1"/>
  <c r="BD14" i="1"/>
  <c r="BD10" i="1"/>
  <c r="BD12" i="1"/>
  <c r="BD2" i="1"/>
  <c r="BE19" i="1" l="1"/>
  <c r="BE17" i="1"/>
  <c r="BE15" i="1"/>
  <c r="BE13" i="1"/>
  <c r="BE11" i="1"/>
  <c r="BE9" i="1"/>
  <c r="BE7" i="1"/>
  <c r="BE5" i="1"/>
  <c r="BE3" i="1"/>
  <c r="BE8" i="1"/>
  <c r="BE16" i="1"/>
  <c r="BE18" i="1"/>
  <c r="BE6" i="1"/>
  <c r="BE14" i="1"/>
  <c r="BE10" i="1"/>
  <c r="BE12" i="1"/>
  <c r="BE2" i="1"/>
  <c r="BF19" i="1" l="1"/>
  <c r="BF17" i="1"/>
  <c r="BF15" i="1"/>
  <c r="BF13" i="1"/>
  <c r="BF11" i="1"/>
  <c r="BF9" i="1"/>
  <c r="BF7" i="1"/>
  <c r="BF5" i="1"/>
  <c r="BF3" i="1"/>
  <c r="BF16" i="1"/>
  <c r="BF4" i="1"/>
  <c r="BF8" i="1"/>
  <c r="BF18" i="1"/>
  <c r="BF6" i="1"/>
  <c r="BF14" i="1"/>
  <c r="BF10" i="1"/>
  <c r="BF12" i="1"/>
  <c r="BF2" i="1"/>
  <c r="BG19" i="1" l="1"/>
  <c r="BG17" i="1"/>
  <c r="BG15" i="1"/>
  <c r="BG13" i="1"/>
  <c r="BG11" i="1"/>
  <c r="BG9" i="1"/>
  <c r="BG7" i="1"/>
  <c r="BG5" i="1"/>
  <c r="BG4" i="1"/>
  <c r="BG3" i="1"/>
  <c r="BG16" i="1"/>
  <c r="BG14" i="1"/>
  <c r="BG18" i="1"/>
  <c r="BG12" i="1"/>
  <c r="BG10" i="1"/>
  <c r="BG8" i="1"/>
  <c r="BG2" i="1"/>
  <c r="BH19" i="1" l="1"/>
  <c r="BH18" i="1"/>
  <c r="BH17" i="1"/>
  <c r="BH15" i="1"/>
  <c r="BH13" i="1"/>
  <c r="BH11" i="1"/>
  <c r="BH9" i="1"/>
  <c r="BH7" i="1"/>
  <c r="BH5" i="1"/>
  <c r="BH3" i="1"/>
  <c r="BH16" i="1"/>
  <c r="BH14" i="1"/>
  <c r="BH12" i="1"/>
  <c r="BH4" i="1"/>
  <c r="BH2" i="1"/>
  <c r="BI19" i="1"/>
  <c r="BI17" i="1"/>
  <c r="BI15" i="1"/>
  <c r="BI13" i="1"/>
  <c r="BI11" i="1"/>
  <c r="BI9" i="1"/>
  <c r="BI7" i="1"/>
  <c r="BI5" i="1"/>
  <c r="BI3" i="1"/>
  <c r="BJ19" i="1" l="1"/>
  <c r="BJ17" i="1"/>
  <c r="BJ15" i="1"/>
  <c r="BJ13" i="1"/>
  <c r="BJ11" i="1"/>
  <c r="BJ9" i="1"/>
  <c r="BJ7" i="1"/>
  <c r="BJ5" i="1"/>
  <c r="BJ3" i="1"/>
  <c r="BJ2" i="1"/>
  <c r="BJ16" i="1"/>
  <c r="BJ4" i="1"/>
  <c r="BJ8" i="1"/>
  <c r="BJ18" i="1"/>
  <c r="BJ6" i="1"/>
  <c r="BJ14" i="1"/>
  <c r="BJ10" i="1"/>
  <c r="BJ12" i="1"/>
  <c r="BK19" i="1" l="1"/>
  <c r="BK17" i="1"/>
  <c r="BK15" i="1"/>
  <c r="BK13" i="1"/>
  <c r="BK11" i="1"/>
  <c r="BK9" i="1"/>
  <c r="BK7" i="1"/>
  <c r="BK5" i="1"/>
  <c r="BK3" i="1"/>
  <c r="BK2" i="1"/>
  <c r="BK16" i="1"/>
  <c r="BK8" i="1"/>
  <c r="BK18" i="1"/>
  <c r="BK14" i="1"/>
  <c r="BK10" i="1"/>
  <c r="BK12" i="1"/>
  <c r="BL19" i="1"/>
  <c r="BL17" i="1"/>
  <c r="BL15" i="1"/>
  <c r="BL13" i="1"/>
  <c r="BL11" i="1"/>
  <c r="BL9" i="1"/>
  <c r="BL7" i="1"/>
  <c r="BL3" i="1"/>
  <c r="BL5" i="1"/>
  <c r="BM19" i="1" l="1"/>
  <c r="BM17" i="1"/>
  <c r="BM15" i="1"/>
  <c r="BM13" i="1"/>
  <c r="BM11" i="1"/>
  <c r="BM9" i="1"/>
  <c r="BM7" i="1"/>
  <c r="BM3" i="1"/>
  <c r="BM5" i="1"/>
  <c r="BM16" i="1"/>
  <c r="BM8" i="1"/>
  <c r="BM18" i="1"/>
  <c r="BM6" i="1"/>
  <c r="BM14" i="1"/>
  <c r="BM10" i="1"/>
  <c r="BM12" i="1"/>
  <c r="BM2" i="1"/>
  <c r="BN19" i="1" l="1"/>
  <c r="BN17" i="1"/>
  <c r="BN15" i="1"/>
  <c r="BN13" i="1"/>
  <c r="BN11" i="1"/>
  <c r="BN9" i="1"/>
  <c r="BN7" i="1"/>
  <c r="BN5" i="1"/>
  <c r="BN16" i="1"/>
  <c r="BN4" i="1"/>
  <c r="BN8" i="1"/>
  <c r="BN6" i="1"/>
  <c r="BN14" i="1"/>
  <c r="BN10" i="1"/>
  <c r="BN12" i="1"/>
  <c r="BN3" i="1"/>
  <c r="BO19" i="1" l="1"/>
  <c r="BO17" i="1"/>
  <c r="BO15" i="1"/>
  <c r="BO13" i="1"/>
  <c r="BO11" i="1"/>
  <c r="BO9" i="1"/>
  <c r="BO7" i="1"/>
  <c r="BO5" i="1"/>
  <c r="BO3" i="1"/>
  <c r="BO16" i="1"/>
  <c r="BO4" i="1"/>
  <c r="BO18" i="1"/>
  <c r="BO14" i="1"/>
  <c r="BO10" i="1"/>
  <c r="BO12" i="1"/>
  <c r="BP19" i="1" l="1"/>
  <c r="BP17" i="1"/>
  <c r="BP15" i="1"/>
  <c r="BP13" i="1"/>
  <c r="BP11" i="1"/>
  <c r="BP9" i="1"/>
  <c r="BP7" i="1"/>
  <c r="BP5" i="1"/>
  <c r="BP3" i="1"/>
  <c r="BP14" i="1"/>
  <c r="BP10" i="1"/>
  <c r="BP12" i="1"/>
  <c r="BP2" i="1"/>
  <c r="BQ19" i="1" l="1"/>
  <c r="BQ17" i="1"/>
  <c r="BQ15" i="1"/>
  <c r="BQ13" i="1"/>
  <c r="BQ11" i="1"/>
  <c r="BQ9" i="1"/>
  <c r="BQ7" i="1"/>
  <c r="BQ5" i="1"/>
  <c r="BQ3" i="1"/>
  <c r="BR19" i="1" l="1"/>
  <c r="BR17" i="1"/>
  <c r="BR15" i="1"/>
  <c r="BR13" i="1"/>
  <c r="BR11" i="1"/>
  <c r="BR9" i="1"/>
  <c r="BR7" i="1"/>
  <c r="BR5" i="1"/>
  <c r="BR3" i="1"/>
  <c r="BR16" i="1"/>
  <c r="BR4" i="1"/>
  <c r="BR8" i="1"/>
  <c r="BR18" i="1"/>
  <c r="BR6" i="1"/>
  <c r="BR14" i="1"/>
  <c r="BR10" i="1"/>
  <c r="BR12" i="1"/>
  <c r="BS19" i="1" l="1"/>
  <c r="BS17" i="1"/>
  <c r="BS15" i="1"/>
  <c r="BS13" i="1"/>
  <c r="BS11" i="1"/>
  <c r="BS9" i="1"/>
  <c r="BS7" i="1"/>
  <c r="BS5" i="1"/>
  <c r="BS3" i="1"/>
  <c r="BT19" i="1" l="1"/>
  <c r="BT17" i="1"/>
  <c r="BT15" i="1"/>
  <c r="BT13" i="1"/>
  <c r="BT11" i="1"/>
  <c r="BT9" i="1"/>
  <c r="BT7" i="1"/>
  <c r="BT5" i="1"/>
  <c r="BT3" i="1"/>
  <c r="BT16" i="1"/>
  <c r="BT4" i="1"/>
  <c r="BT8" i="1"/>
  <c r="BT18" i="1"/>
  <c r="BT6" i="1"/>
  <c r="BT14" i="1"/>
  <c r="BT10" i="1"/>
  <c r="BT12" i="1"/>
  <c r="BU19" i="1" l="1"/>
  <c r="BU17" i="1"/>
  <c r="BU15" i="1"/>
  <c r="BU13" i="1"/>
  <c r="BU11" i="1"/>
  <c r="BU9" i="1"/>
  <c r="BU7" i="1"/>
  <c r="BU5" i="1"/>
  <c r="BU3" i="1"/>
  <c r="BU14" i="1"/>
  <c r="BU12" i="1"/>
  <c r="BV19" i="1" l="1"/>
  <c r="BV17" i="1"/>
  <c r="BV15" i="1"/>
  <c r="BV13" i="1"/>
  <c r="BV11" i="1"/>
  <c r="BV9" i="1"/>
  <c r="BV7" i="1"/>
  <c r="BV5" i="1"/>
  <c r="BV3" i="1"/>
  <c r="BV8" i="1"/>
  <c r="BV18" i="1"/>
  <c r="BV14" i="1"/>
  <c r="BV10" i="1"/>
  <c r="BV12" i="1"/>
  <c r="BW19" i="1" l="1"/>
  <c r="BW17" i="1"/>
  <c r="BW15" i="1"/>
  <c r="BW13" i="1"/>
  <c r="BW11" i="1"/>
  <c r="BW9" i="1"/>
  <c r="BW7" i="1"/>
  <c r="BW5" i="1"/>
  <c r="BW3" i="1"/>
  <c r="BX19" i="1" l="1"/>
  <c r="BX17" i="1"/>
  <c r="BX15" i="1"/>
  <c r="BX13" i="1"/>
  <c r="BX11" i="1"/>
  <c r="BX9" i="1"/>
  <c r="BX7" i="1"/>
  <c r="BX5" i="1"/>
  <c r="BX3" i="1"/>
  <c r="BY19" i="1" l="1"/>
  <c r="BY17" i="1"/>
  <c r="BY15" i="1"/>
  <c r="BY13" i="1"/>
  <c r="BY11" i="1"/>
  <c r="BY9" i="1"/>
  <c r="BY7" i="1"/>
  <c r="BY5" i="1"/>
  <c r="BY3" i="1"/>
  <c r="BZ19" i="1" l="1"/>
  <c r="BZ17" i="1"/>
  <c r="BZ15" i="1"/>
  <c r="BZ13" i="1"/>
  <c r="BZ11" i="1"/>
  <c r="BZ9" i="1"/>
  <c r="BZ7" i="1"/>
  <c r="BZ5" i="1"/>
  <c r="BZ3" i="1"/>
  <c r="CA19" i="1" l="1"/>
  <c r="CA17" i="1"/>
  <c r="CA15" i="1"/>
  <c r="CA13" i="1"/>
  <c r="CA11" i="1"/>
  <c r="CA9" i="1"/>
  <c r="CA7" i="1"/>
  <c r="CA5" i="1"/>
  <c r="CA3" i="1"/>
  <c r="CB19" i="1" l="1"/>
  <c r="CB17" i="1"/>
  <c r="CB15" i="1"/>
  <c r="CB13" i="1"/>
  <c r="CB11" i="1"/>
  <c r="CB9" i="1"/>
  <c r="CB7" i="1"/>
  <c r="CB3" i="1"/>
  <c r="CB5" i="1"/>
  <c r="CB16" i="1" l="1"/>
  <c r="CB4" i="1"/>
  <c r="CB8" i="1"/>
  <c r="CB18" i="1"/>
  <c r="CB6" i="1"/>
  <c r="CB14" i="1"/>
  <c r="CB10" i="1"/>
  <c r="CB12" i="1"/>
  <c r="CC19" i="1" l="1"/>
  <c r="CC17" i="1"/>
  <c r="CC15" i="1"/>
  <c r="CC13" i="1"/>
  <c r="CC11" i="1"/>
  <c r="CC9" i="1"/>
  <c r="CC7" i="1"/>
  <c r="CC5" i="1"/>
  <c r="CC3" i="1"/>
  <c r="CD19" i="1" l="1"/>
  <c r="CD17" i="1"/>
  <c r="CD15" i="1"/>
  <c r="CD13" i="1"/>
  <c r="CD11" i="1"/>
  <c r="CD9" i="1"/>
  <c r="CD7" i="1"/>
  <c r="CD5" i="1"/>
  <c r="CD3" i="1"/>
  <c r="CD14" i="1"/>
  <c r="CD10" i="1"/>
  <c r="CD12" i="1"/>
  <c r="CD2" i="1"/>
  <c r="CE19" i="1" l="1"/>
  <c r="CE17" i="1"/>
  <c r="CE15" i="1"/>
  <c r="CE13" i="1"/>
  <c r="CE11" i="1"/>
  <c r="CE9" i="1"/>
  <c r="CE7" i="1"/>
  <c r="CE5" i="1"/>
  <c r="CE3" i="1"/>
  <c r="CF3" i="1" l="1"/>
  <c r="CF2" i="1"/>
  <c r="CF13" i="1"/>
  <c r="CF12" i="1"/>
  <c r="CF11" i="1"/>
  <c r="CF10" i="1"/>
  <c r="CF15" i="1"/>
  <c r="CF14" i="1"/>
  <c r="CF7" i="1"/>
  <c r="CF6" i="1"/>
  <c r="CF17" i="1"/>
  <c r="CF9" i="1"/>
  <c r="CF8" i="1"/>
  <c r="CF5" i="1"/>
  <c r="CF4" i="1"/>
  <c r="CF19" i="1"/>
  <c r="CF18" i="1"/>
  <c r="CG19" i="1" l="1"/>
  <c r="CG17" i="1"/>
  <c r="CG15" i="1"/>
  <c r="CG13" i="1"/>
  <c r="CG11" i="1"/>
  <c r="CG9" i="1"/>
  <c r="CG7" i="1"/>
  <c r="CG5" i="1"/>
  <c r="CG3" i="1"/>
  <c r="CG2" i="1"/>
  <c r="CH19" i="1" l="1"/>
  <c r="CH17" i="1"/>
  <c r="CH15" i="1"/>
  <c r="CH13" i="1"/>
  <c r="CH11" i="1"/>
  <c r="CH9" i="1"/>
  <c r="CH7" i="1"/>
  <c r="CH5" i="1"/>
  <c r="CH3" i="1"/>
  <c r="CH16" i="1"/>
  <c r="CH8" i="1"/>
  <c r="CH18" i="1"/>
  <c r="CH6" i="1"/>
  <c r="CH14" i="1"/>
  <c r="CH10" i="1"/>
  <c r="CI19" i="1" l="1"/>
  <c r="CI17" i="1"/>
  <c r="CI15" i="1"/>
  <c r="CI13" i="1"/>
  <c r="CI11" i="1"/>
  <c r="CI9" i="1"/>
  <c r="CI7" i="1"/>
  <c r="CI5" i="1"/>
  <c r="CI3" i="1"/>
  <c r="CJ19" i="1" l="1"/>
  <c r="CJ17" i="1"/>
  <c r="CJ15" i="1"/>
  <c r="CJ13" i="1"/>
  <c r="CJ11" i="1"/>
  <c r="CJ9" i="1"/>
  <c r="CJ7" i="1"/>
  <c r="CJ5" i="1"/>
  <c r="CJ3" i="1"/>
  <c r="CK19" i="1" l="1"/>
  <c r="CK17" i="1"/>
  <c r="CK15" i="1"/>
  <c r="CK13" i="1"/>
  <c r="CK11" i="1"/>
  <c r="CK9" i="1"/>
  <c r="CK7" i="1"/>
  <c r="CK5" i="1"/>
  <c r="CK3" i="1"/>
  <c r="CL19" i="1" l="1"/>
  <c r="CL17" i="1"/>
  <c r="CL15" i="1"/>
  <c r="CL13" i="1"/>
  <c r="CL11" i="1"/>
  <c r="CL9" i="1"/>
  <c r="CL7" i="1"/>
  <c r="CL3" i="1"/>
  <c r="CL5" i="1"/>
  <c r="CM19" i="1" l="1"/>
  <c r="CM17" i="1"/>
  <c r="CM15" i="1"/>
  <c r="CM13" i="1"/>
  <c r="CM11" i="1"/>
  <c r="CM9" i="1"/>
  <c r="CM7" i="1"/>
  <c r="CM5" i="1"/>
  <c r="CM3" i="1"/>
  <c r="CN19" i="1" l="1"/>
  <c r="CN17" i="1"/>
  <c r="CN15" i="1"/>
  <c r="CN13" i="1"/>
  <c r="CN11" i="1"/>
  <c r="CN9" i="1"/>
  <c r="CN7" i="1"/>
  <c r="CN5" i="1"/>
  <c r="CN3" i="1"/>
  <c r="CO19" i="1" l="1"/>
  <c r="CO17" i="1"/>
  <c r="CO15" i="1"/>
  <c r="CO13" i="1"/>
  <c r="CO11" i="1"/>
  <c r="CO9" i="1"/>
  <c r="CO7" i="1"/>
  <c r="CO5" i="1"/>
  <c r="CO3" i="1"/>
  <c r="CP19" i="1" l="1"/>
  <c r="CP17" i="1"/>
  <c r="CP15" i="1"/>
  <c r="CP13" i="1"/>
  <c r="CP11" i="1"/>
  <c r="CP9" i="1"/>
  <c r="CP7" i="1"/>
  <c r="CP5" i="1"/>
  <c r="CP3" i="1"/>
  <c r="CQ19" i="1" l="1"/>
  <c r="CQ17" i="1"/>
  <c r="CQ15" i="1"/>
  <c r="CQ13" i="1"/>
  <c r="CQ11" i="1"/>
  <c r="CQ9" i="1"/>
  <c r="CQ7" i="1"/>
  <c r="CQ5" i="1"/>
  <c r="CQ3" i="1"/>
  <c r="CR19" i="1" l="1"/>
  <c r="CR17" i="1"/>
  <c r="CR15" i="1"/>
  <c r="CR13" i="1"/>
  <c r="CR11" i="1"/>
  <c r="CR9" i="1"/>
  <c r="CR7" i="1"/>
  <c r="CR5" i="1"/>
  <c r="CR3" i="1"/>
  <c r="CS19" i="1" l="1"/>
  <c r="CS17" i="1"/>
  <c r="CS15" i="1"/>
  <c r="CS13" i="1"/>
  <c r="CS11" i="1"/>
  <c r="CS9" i="1"/>
  <c r="CS7" i="1"/>
  <c r="CS5" i="1"/>
  <c r="CS3" i="1"/>
  <c r="CT19" i="1" l="1"/>
  <c r="CT17" i="1"/>
  <c r="CT15" i="1"/>
  <c r="CT13" i="1"/>
  <c r="CT11" i="1"/>
  <c r="CT9" i="1"/>
  <c r="CT7" i="1"/>
  <c r="CT5" i="1"/>
  <c r="CT3" i="1"/>
  <c r="CU19" i="1" l="1"/>
  <c r="CU17" i="1"/>
  <c r="CU15" i="1"/>
  <c r="CU13" i="1"/>
  <c r="CU11" i="1"/>
  <c r="CU9" i="1"/>
  <c r="CU7" i="1"/>
  <c r="CU5" i="1"/>
  <c r="CU3" i="1"/>
  <c r="CV13" i="1" l="1"/>
  <c r="CV19" i="1" l="1"/>
  <c r="CV17" i="1"/>
  <c r="CV15" i="1"/>
  <c r="CV11" i="1"/>
  <c r="CV9" i="1"/>
  <c r="CV7" i="1"/>
  <c r="CV5" i="1"/>
  <c r="CV3" i="1"/>
  <c r="CW19" i="1" l="1"/>
  <c r="CW17" i="1"/>
  <c r="CW15" i="1"/>
  <c r="CW13" i="1"/>
  <c r="CW11" i="1"/>
  <c r="CW9" i="1"/>
  <c r="CW7" i="1"/>
  <c r="CW5" i="1"/>
  <c r="CW3" i="1"/>
  <c r="CX19" i="1" l="1"/>
  <c r="CX17" i="1"/>
  <c r="CX15" i="1"/>
  <c r="CX13" i="1"/>
  <c r="CX11" i="1"/>
  <c r="CX9" i="1"/>
  <c r="CX7" i="1"/>
  <c r="CX5" i="1"/>
  <c r="CX3" i="1"/>
  <c r="CY19" i="1" l="1"/>
  <c r="CY17" i="1"/>
  <c r="CY15" i="1"/>
  <c r="CY13" i="1"/>
  <c r="CY11" i="1"/>
  <c r="CY9" i="1"/>
  <c r="CY7" i="1"/>
  <c r="CY5" i="1"/>
  <c r="CY3" i="1"/>
  <c r="CZ19" i="1" l="1"/>
  <c r="CZ17" i="1"/>
  <c r="CZ15" i="1"/>
  <c r="CZ13" i="1"/>
  <c r="CZ11" i="1"/>
  <c r="CZ9" i="1"/>
  <c r="CZ7" i="1"/>
  <c r="CZ5" i="1"/>
  <c r="CZ3" i="1"/>
  <c r="DA19" i="1" l="1"/>
  <c r="DA17" i="1"/>
  <c r="DA15" i="1"/>
  <c r="DA13" i="1"/>
  <c r="DA11" i="1"/>
  <c r="DA9" i="1"/>
  <c r="DA7" i="1"/>
  <c r="DA5" i="1"/>
  <c r="DA3" i="1"/>
  <c r="DB19" i="1" l="1"/>
  <c r="DB17" i="1"/>
  <c r="DB15" i="1"/>
  <c r="DB13" i="1"/>
  <c r="DB11" i="1"/>
  <c r="DB9" i="1"/>
  <c r="DB7" i="1"/>
  <c r="DB5" i="1"/>
  <c r="DB3" i="1"/>
  <c r="DC19" i="1" l="1"/>
  <c r="DC17" i="1"/>
  <c r="DC15" i="1"/>
  <c r="DC13" i="1"/>
  <c r="DC11" i="1"/>
  <c r="DC9" i="1"/>
  <c r="DC7" i="1"/>
  <c r="DC5" i="1"/>
  <c r="DC3" i="1"/>
  <c r="DD19" i="1" l="1"/>
  <c r="DD17" i="1"/>
  <c r="DD15" i="1"/>
  <c r="DD13" i="1"/>
  <c r="DD11" i="1"/>
  <c r="DD9" i="1"/>
  <c r="DD7" i="1"/>
  <c r="DD5" i="1"/>
  <c r="DD3" i="1"/>
  <c r="DE19" i="1" l="1"/>
  <c r="DE17" i="1"/>
  <c r="DE15" i="1"/>
  <c r="DE13" i="1"/>
  <c r="DE11" i="1"/>
  <c r="DE9" i="1"/>
  <c r="DE7" i="1"/>
  <c r="DE5" i="1"/>
  <c r="DE3" i="1"/>
  <c r="DF19" i="1" l="1"/>
  <c r="DF17" i="1"/>
  <c r="DF15" i="1"/>
  <c r="DF13" i="1"/>
  <c r="DF11" i="1"/>
  <c r="DF9" i="1"/>
  <c r="DF7" i="1"/>
  <c r="DF5" i="1"/>
  <c r="DF3" i="1"/>
  <c r="DG19" i="1" l="1"/>
  <c r="DG17" i="1"/>
  <c r="DG15" i="1"/>
  <c r="DG13" i="1"/>
  <c r="DG11" i="1"/>
  <c r="DG9" i="1"/>
  <c r="DG7" i="1"/>
  <c r="DG5" i="1"/>
  <c r="DG3" i="1"/>
  <c r="DH19" i="1" l="1"/>
  <c r="DH17" i="1"/>
  <c r="DH15" i="1"/>
  <c r="DH13" i="1"/>
  <c r="DH11" i="1"/>
  <c r="DH9" i="1"/>
  <c r="DH7" i="1"/>
  <c r="DH5" i="1"/>
  <c r="DH3" i="1"/>
  <c r="DI19" i="1" l="1"/>
  <c r="DI17" i="1"/>
  <c r="DI15" i="1"/>
  <c r="DI13" i="1"/>
  <c r="DI11" i="1"/>
  <c r="DI9" i="1"/>
  <c r="DI7" i="1"/>
  <c r="DI5" i="1"/>
  <c r="DI3" i="1"/>
  <c r="DJ19" i="1" l="1"/>
  <c r="DJ17" i="1"/>
  <c r="DJ15" i="1"/>
  <c r="DJ13" i="1"/>
  <c r="DJ11" i="1"/>
  <c r="DJ9" i="1"/>
  <c r="DJ7" i="1"/>
  <c r="DJ5" i="1"/>
  <c r="DJ3" i="1"/>
  <c r="DK19" i="1" l="1"/>
  <c r="DK17" i="1"/>
  <c r="DK15" i="1"/>
  <c r="DK13" i="1"/>
  <c r="DK11" i="1"/>
  <c r="DK9" i="1"/>
  <c r="DK7" i="1"/>
  <c r="DK5" i="1"/>
  <c r="DK3" i="1"/>
  <c r="DL19" i="1" l="1"/>
  <c r="DL17" i="1"/>
  <c r="DL15" i="1"/>
  <c r="DL13" i="1"/>
  <c r="DL11" i="1"/>
  <c r="DL9" i="1"/>
  <c r="DL7" i="1"/>
  <c r="DL5" i="1"/>
  <c r="DL3" i="1"/>
  <c r="DM19" i="1" l="1"/>
  <c r="DM17" i="1"/>
  <c r="DM15" i="1"/>
  <c r="DM13" i="1"/>
  <c r="DM11" i="1"/>
  <c r="DM9" i="1"/>
  <c r="DM7" i="1"/>
  <c r="DM5" i="1"/>
  <c r="DM3" i="1"/>
  <c r="DN19" i="1" l="1"/>
  <c r="DN17" i="1"/>
  <c r="DN15" i="1"/>
  <c r="DN13" i="1"/>
  <c r="DN11" i="1"/>
  <c r="DN9" i="1"/>
  <c r="DN7" i="1"/>
  <c r="DN5" i="1"/>
  <c r="DN3" i="1"/>
  <c r="DO19" i="1" l="1"/>
  <c r="DO17" i="1"/>
  <c r="DO15" i="1"/>
  <c r="DO13" i="1"/>
  <c r="DO11" i="1"/>
  <c r="DO9" i="1"/>
  <c r="DO7" i="1"/>
  <c r="DO5" i="1"/>
  <c r="DO3" i="1"/>
  <c r="DO2" i="1"/>
  <c r="DP19" i="1" l="1"/>
  <c r="DP17" i="1"/>
  <c r="DP15" i="1"/>
  <c r="DP13" i="1"/>
  <c r="DP11" i="1"/>
  <c r="DP9" i="1"/>
  <c r="DP7" i="1"/>
  <c r="DP5" i="1"/>
  <c r="DP3" i="1"/>
  <c r="DQ19" i="1" l="1"/>
  <c r="DQ17" i="1"/>
  <c r="DQ15" i="1"/>
  <c r="DQ13" i="1"/>
  <c r="DQ11" i="1"/>
  <c r="DQ9" i="1"/>
  <c r="DQ7" i="1"/>
  <c r="DQ5" i="1"/>
  <c r="DQ3" i="1"/>
  <c r="DR3" i="1" l="1"/>
  <c r="DR19" i="1"/>
  <c r="DR15" i="1"/>
  <c r="DR13" i="1"/>
  <c r="DR11" i="1"/>
  <c r="DR9" i="1"/>
  <c r="DR7" i="1"/>
  <c r="DS19" i="1" l="1"/>
  <c r="DS17" i="1"/>
  <c r="DS15" i="1"/>
  <c r="DS13" i="1"/>
  <c r="DS11" i="1"/>
  <c r="DS9" i="1"/>
  <c r="DS7" i="1"/>
  <c r="DS3" i="1"/>
  <c r="DT19" i="1" l="1"/>
  <c r="DT17" i="1"/>
  <c r="DT15" i="1"/>
  <c r="DT13" i="1"/>
  <c r="DT11" i="1"/>
  <c r="DT9" i="1"/>
  <c r="DT7" i="1"/>
  <c r="DT3" i="1"/>
  <c r="DU19" i="1" l="1"/>
  <c r="DU17" i="1"/>
  <c r="DU15" i="1"/>
  <c r="DU13" i="1"/>
  <c r="DU11" i="1"/>
  <c r="DU9" i="1"/>
  <c r="DU7" i="1"/>
  <c r="DU5" i="1"/>
  <c r="DU3" i="1"/>
  <c r="DV17" i="1" l="1"/>
  <c r="DV19" i="1"/>
  <c r="DV15" i="1"/>
  <c r="DV13" i="1"/>
  <c r="DV11" i="1"/>
  <c r="DV9" i="1"/>
  <c r="DV7" i="1"/>
  <c r="DV5" i="1"/>
  <c r="DV3" i="1"/>
  <c r="DW19" i="1" l="1"/>
  <c r="DW15" i="1"/>
  <c r="DW13" i="1"/>
  <c r="DW11" i="1"/>
  <c r="DW9" i="1"/>
  <c r="DW7" i="1"/>
  <c r="DW5" i="1"/>
  <c r="DW3" i="1"/>
  <c r="DX19" i="1" l="1"/>
  <c r="DX15" i="1"/>
  <c r="DX13" i="1"/>
  <c r="DX11" i="1"/>
  <c r="DX9" i="1"/>
  <c r="DX7" i="1"/>
  <c r="DX5" i="1"/>
  <c r="DX3" i="1"/>
  <c r="DY19" i="1" l="1"/>
  <c r="DY17" i="1"/>
  <c r="DY15" i="1"/>
  <c r="DY13" i="1"/>
  <c r="DY11" i="1"/>
  <c r="DY9" i="1"/>
  <c r="DY7" i="1"/>
  <c r="DY5" i="1"/>
  <c r="DY3" i="1"/>
  <c r="DZ7" i="1" l="1"/>
  <c r="DZ19" i="1"/>
  <c r="DZ17" i="1"/>
  <c r="DZ15" i="1"/>
  <c r="DZ13" i="1"/>
  <c r="DZ11" i="1"/>
  <c r="DZ9" i="1"/>
  <c r="DZ5" i="1"/>
  <c r="DZ3" i="1"/>
  <c r="EA19" i="1" l="1"/>
  <c r="EA17" i="1"/>
  <c r="EA15" i="1"/>
  <c r="EA13" i="1"/>
  <c r="EA11" i="1"/>
  <c r="EA9" i="1"/>
  <c r="EA7" i="1"/>
  <c r="EA5" i="1"/>
  <c r="EA3" i="1"/>
  <c r="EB3" i="1" l="1"/>
  <c r="EB19" i="1"/>
  <c r="EB17" i="1"/>
  <c r="EB15" i="1"/>
  <c r="EB13" i="1"/>
  <c r="EB11" i="1"/>
  <c r="EB9" i="1"/>
  <c r="EB7" i="1"/>
  <c r="EC3" i="1" l="1"/>
  <c r="EC19" i="1"/>
  <c r="EC17" i="1"/>
  <c r="EC15" i="1"/>
  <c r="EC13" i="1"/>
  <c r="EC11" i="1"/>
  <c r="EC9" i="1"/>
  <c r="EC7" i="1"/>
  <c r="ED17" i="1" l="1"/>
  <c r="ED15" i="1"/>
  <c r="ED13" i="1"/>
  <c r="ED3" i="1" l="1"/>
  <c r="ED19" i="1"/>
  <c r="ED11" i="1"/>
  <c r="ED9" i="1"/>
  <c r="ED7" i="1"/>
  <c r="EE19" i="1" l="1"/>
  <c r="EE15" i="1"/>
  <c r="EE13" i="1"/>
  <c r="EE11" i="1"/>
  <c r="EE9" i="1"/>
  <c r="EE7" i="1"/>
  <c r="EE3" i="1"/>
  <c r="EF3" i="1" l="1"/>
  <c r="EF19" i="1"/>
  <c r="EF13" i="1"/>
  <c r="EF11" i="1"/>
  <c r="EF9" i="1"/>
  <c r="EF7" i="1"/>
  <c r="EG13" i="1" l="1"/>
  <c r="EG11" i="1"/>
  <c r="EG9" i="1"/>
  <c r="EG3" i="1"/>
  <c r="EG19" i="1"/>
  <c r="EH3" i="1" l="1"/>
  <c r="EH13" i="1"/>
  <c r="EH11" i="1"/>
  <c r="EH9" i="1"/>
  <c r="EH19" i="1"/>
  <c r="EL19" i="1" l="1"/>
  <c r="EK19" i="1"/>
  <c r="EJ19" i="1"/>
  <c r="EI19" i="1"/>
  <c r="EL15" i="1"/>
  <c r="EK15" i="1"/>
  <c r="EJ15" i="1"/>
  <c r="EI15" i="1"/>
  <c r="EL13" i="1"/>
  <c r="EK13" i="1"/>
  <c r="EJ13" i="1"/>
  <c r="EI13" i="1"/>
  <c r="EL11" i="1"/>
  <c r="EK11" i="1"/>
  <c r="EJ11" i="1"/>
  <c r="EI11" i="1"/>
  <c r="EL9" i="1"/>
  <c r="EK9" i="1"/>
  <c r="EJ9" i="1"/>
  <c r="EL3" i="1"/>
  <c r="EK3" i="1"/>
  <c r="EJ3" i="1"/>
  <c r="EI3" i="1"/>
  <c r="B13" i="1" l="1"/>
  <c r="EM3" i="1" l="1"/>
  <c r="EM13" i="1"/>
  <c r="EM11" i="1"/>
  <c r="EM9" i="1"/>
  <c r="EM15" i="1"/>
  <c r="EM19" i="1"/>
  <c r="EN3" i="1" l="1"/>
  <c r="EN17" i="1"/>
  <c r="EN15" i="1"/>
  <c r="EN13" i="1"/>
  <c r="EN11" i="1"/>
  <c r="EN9" i="1"/>
  <c r="EN19" i="1"/>
  <c r="ES5" i="1" l="1"/>
  <c r="EO3" i="1"/>
  <c r="EO11" i="1"/>
  <c r="EO17" i="1"/>
  <c r="EO15" i="1"/>
  <c r="EO19" i="1"/>
  <c r="EO13" i="1"/>
  <c r="EO9" i="1"/>
  <c r="EO5" i="1"/>
  <c r="EP15" i="1"/>
  <c r="EP13" i="1"/>
  <c r="EP11" i="1"/>
  <c r="EP9" i="1"/>
  <c r="EP3" i="1"/>
  <c r="EP5" i="1"/>
  <c r="EP17" i="1"/>
  <c r="EQ17" i="1"/>
  <c r="EQ13" i="1"/>
  <c r="EQ11" i="1"/>
  <c r="EQ9" i="1"/>
  <c r="EQ5" i="1"/>
  <c r="EQ3" i="1"/>
  <c r="ER17" i="1"/>
  <c r="ER13" i="1"/>
  <c r="ER11" i="1"/>
  <c r="ER9" i="1"/>
  <c r="ER7" i="1"/>
  <c r="ER5" i="1"/>
  <c r="ER3" i="1"/>
  <c r="ER19" i="1"/>
  <c r="ES3" i="1" l="1"/>
  <c r="ES19" i="1"/>
  <c r="ES11" i="1"/>
  <c r="ES7" i="1"/>
  <c r="ES17" i="1"/>
  <c r="ES9" i="1"/>
  <c r="ES13" i="1"/>
  <c r="ET13" i="1"/>
  <c r="EU13" i="1"/>
  <c r="EV13" i="1"/>
  <c r="ET7" i="1" l="1"/>
  <c r="ET19" i="1"/>
  <c r="ET11" i="1"/>
  <c r="ET9" i="1"/>
  <c r="ET3" i="1"/>
  <c r="EU15" i="1" l="1"/>
  <c r="EU3" i="1"/>
  <c r="EU19" i="1"/>
  <c r="EU11" i="1"/>
  <c r="EU7" i="1"/>
  <c r="EV3" i="1" l="1"/>
  <c r="EV17" i="1"/>
  <c r="EV15" i="1"/>
  <c r="EV11" i="1"/>
  <c r="EW3" i="1" l="1"/>
  <c r="EW13" i="1"/>
  <c r="EW15" i="1"/>
  <c r="EW17" i="1"/>
  <c r="EX3" i="1" l="1"/>
  <c r="EX15" i="1"/>
  <c r="EX13" i="1"/>
  <c r="EX17" i="1"/>
  <c r="EY3" i="1" l="1"/>
  <c r="EY17" i="1"/>
  <c r="EY13" i="1"/>
  <c r="EY7" i="1"/>
  <c r="EY15" i="1"/>
  <c r="EZ17" i="1" l="1"/>
  <c r="EZ15" i="1"/>
  <c r="EZ13" i="1"/>
  <c r="EZ7" i="1"/>
  <c r="EZ3" i="1"/>
  <c r="FA3" i="1" l="1"/>
  <c r="FA17" i="1"/>
  <c r="FA15" i="1"/>
  <c r="FA13" i="1"/>
  <c r="FA7" i="1"/>
  <c r="FB3" i="1" l="1"/>
  <c r="FB13" i="1"/>
  <c r="FB9" i="1"/>
  <c r="FB7" i="1"/>
  <c r="FC3" i="1" l="1"/>
  <c r="FC15" i="1"/>
  <c r="FC13" i="1"/>
  <c r="FC9" i="1"/>
  <c r="FC7" i="1"/>
  <c r="FD3" i="1" l="1"/>
  <c r="FD15" i="1"/>
  <c r="FD13" i="1"/>
  <c r="FD9" i="1"/>
  <c r="FD7" i="1"/>
  <c r="FE15" i="1" l="1"/>
  <c r="FE13" i="1"/>
  <c r="FE9" i="1"/>
  <c r="FE7" i="1"/>
  <c r="FE3" i="1"/>
  <c r="FF3" i="1" l="1"/>
  <c r="FF7" i="1"/>
  <c r="FF15" i="1"/>
  <c r="FF13" i="1"/>
  <c r="FF11" i="1"/>
  <c r="FG3" i="1" l="1"/>
  <c r="FG19" i="1"/>
  <c r="FG15" i="1"/>
  <c r="FG13" i="1"/>
  <c r="FG11" i="1"/>
  <c r="FG7" i="1"/>
  <c r="FH3" i="1" l="1"/>
  <c r="FH19" i="1"/>
  <c r="FH15" i="1"/>
  <c r="FH13" i="1"/>
  <c r="FH11" i="1"/>
  <c r="FH7" i="1"/>
  <c r="FI3" i="1" l="1"/>
  <c r="FI19" i="1"/>
  <c r="FI13" i="1"/>
  <c r="FI11" i="1"/>
  <c r="FI7" i="1"/>
  <c r="FJ3" i="1" l="1"/>
  <c r="FJ9" i="1"/>
  <c r="FJ11" i="1"/>
  <c r="FJ15" i="1"/>
  <c r="FJ19" i="1"/>
  <c r="FK3" i="1" l="1"/>
  <c r="FK15" i="1"/>
  <c r="FK11" i="1"/>
  <c r="FK9" i="1"/>
  <c r="FL3" i="1" l="1"/>
  <c r="FL15" i="1"/>
  <c r="FL11" i="1"/>
  <c r="FL9" i="1"/>
  <c r="FM3" i="1" l="1"/>
  <c r="FM15" i="1"/>
  <c r="FM11" i="1"/>
  <c r="FM9" i="1"/>
  <c r="FN9" i="1" l="1"/>
  <c r="FO9" i="1"/>
  <c r="FP9" i="1"/>
  <c r="FQ9" i="1"/>
  <c r="FR9" i="1"/>
  <c r="FS9" i="1"/>
  <c r="FT9" i="1"/>
  <c r="FU9" i="1"/>
  <c r="FO15" i="1"/>
  <c r="FN3" i="1"/>
  <c r="FN15" i="1"/>
  <c r="FO11" i="1"/>
  <c r="FN11" i="1"/>
  <c r="FO13" i="1" l="1"/>
  <c r="FO3" i="1"/>
  <c r="FP3" i="1" l="1"/>
  <c r="FP13" i="1"/>
  <c r="FP11" i="1"/>
  <c r="FQ3" i="1" l="1"/>
  <c r="FQ13" i="1"/>
  <c r="FQ11" i="1"/>
  <c r="FR3" i="1" l="1"/>
  <c r="FR7" i="1"/>
  <c r="FR11" i="1"/>
  <c r="FR13" i="1"/>
  <c r="FS3" i="1" l="1"/>
  <c r="FS13" i="1"/>
  <c r="FS11" i="1"/>
  <c r="FS7" i="1"/>
  <c r="FT3" i="1" l="1"/>
  <c r="FT13" i="1"/>
  <c r="FT11" i="1"/>
  <c r="FT7" i="1"/>
  <c r="FT5" i="1"/>
  <c r="FU13" i="1" l="1"/>
  <c r="FU5" i="1"/>
  <c r="FU11" i="1"/>
  <c r="FU17" i="1"/>
  <c r="FU3" i="1"/>
  <c r="FU7" i="1"/>
  <c r="FV3" i="1" l="1"/>
  <c r="FV17" i="1"/>
  <c r="FV13" i="1"/>
  <c r="FV11" i="1"/>
  <c r="FV9" i="1"/>
  <c r="FV5" i="1"/>
  <c r="FW3" i="1" l="1"/>
  <c r="FW17" i="1"/>
  <c r="FW13" i="1"/>
  <c r="FW9" i="1"/>
  <c r="FW5" i="1"/>
  <c r="FX3" i="1" l="1"/>
  <c r="FX17" i="1"/>
  <c r="FX13" i="1"/>
  <c r="FX11" i="1"/>
  <c r="FX9" i="1"/>
  <c r="FX7" i="1"/>
  <c r="FY3" i="1" l="1"/>
  <c r="FY13" i="1"/>
  <c r="FY9" i="1"/>
  <c r="FY7" i="1"/>
  <c r="FZ3" i="1" l="1"/>
  <c r="FZ9" i="1"/>
  <c r="FZ7" i="1"/>
  <c r="FZ5" i="1"/>
  <c r="GA3" i="1" l="1"/>
  <c r="GA11" i="1"/>
  <c r="GA9" i="1"/>
  <c r="GA7" i="1"/>
  <c r="GA5" i="1"/>
  <c r="GB3" i="1" l="1"/>
  <c r="GB13" i="1"/>
  <c r="GB11" i="1"/>
  <c r="GB9" i="1"/>
  <c r="GB7" i="1"/>
  <c r="GB5" i="1"/>
  <c r="GC3" i="1" l="1"/>
  <c r="GC11" i="1"/>
  <c r="GC9" i="1"/>
  <c r="GC7" i="1"/>
  <c r="GC5" i="1"/>
  <c r="GD11" i="1" l="1"/>
  <c r="GD7" i="1"/>
  <c r="GD3" i="1"/>
  <c r="GE3" i="1" l="1"/>
  <c r="GE15" i="1"/>
  <c r="GE11" i="1"/>
  <c r="GE9" i="1"/>
  <c r="GE7" i="1"/>
  <c r="GF15" i="1" l="1"/>
  <c r="GF9" i="1"/>
  <c r="GF7" i="1"/>
  <c r="GF3" i="1"/>
  <c r="GG15" i="1" l="1"/>
  <c r="GG11" i="1"/>
  <c r="GG9" i="1"/>
  <c r="GG7" i="1"/>
  <c r="GG3" i="1"/>
  <c r="GH3" i="1" l="1"/>
  <c r="GH15" i="1"/>
  <c r="GH11" i="1"/>
  <c r="GH9" i="1"/>
  <c r="GH7" i="1"/>
  <c r="GI13" i="1" l="1"/>
  <c r="GI11" i="1"/>
  <c r="GI9" i="1"/>
  <c r="GI7" i="1"/>
  <c r="GI3" i="1"/>
  <c r="GJ3" i="1" l="1"/>
  <c r="GJ11" i="1"/>
  <c r="GJ13" i="1"/>
  <c r="GJ7" i="1"/>
  <c r="GJ9" i="1"/>
  <c r="GK3" i="1" l="1"/>
  <c r="GK13" i="1"/>
  <c r="GK11" i="1"/>
  <c r="GK9" i="1"/>
  <c r="GK7" i="1"/>
  <c r="GL3" i="1" l="1"/>
  <c r="GL13" i="1"/>
  <c r="GL11" i="1"/>
  <c r="GL9" i="1"/>
  <c r="GM3" i="1" l="1"/>
  <c r="GM15" i="1"/>
  <c r="GM13" i="1"/>
  <c r="GM11" i="1"/>
  <c r="GM9" i="1"/>
  <c r="GM5" i="1"/>
  <c r="GN15" i="1" l="1"/>
  <c r="GN13" i="1"/>
  <c r="GN11" i="1"/>
  <c r="GN9" i="1"/>
  <c r="GN7" i="1"/>
  <c r="GN5" i="1"/>
  <c r="GN3" i="1"/>
  <c r="GO15" i="1" l="1"/>
  <c r="GO13" i="1"/>
  <c r="GO11" i="1"/>
  <c r="GO9" i="1"/>
  <c r="GO7" i="1"/>
  <c r="GO5" i="1"/>
  <c r="GO3" i="1"/>
  <c r="GP3" i="1" l="1"/>
  <c r="GP19" i="1"/>
  <c r="GP17" i="1"/>
  <c r="GP15" i="1"/>
  <c r="GP13" i="1"/>
  <c r="GP11" i="1"/>
  <c r="GP9" i="1"/>
  <c r="GP7" i="1"/>
  <c r="GP5" i="1"/>
  <c r="GQ13" i="1" l="1"/>
  <c r="GQ11" i="1"/>
  <c r="GQ9" i="1"/>
  <c r="GQ7" i="1"/>
  <c r="GQ3" i="1"/>
  <c r="GR17" i="1" l="1"/>
  <c r="GR13" i="1"/>
  <c r="GR11" i="1"/>
  <c r="GR3" i="1"/>
  <c r="GR7" i="1"/>
  <c r="GS3" i="1" l="1"/>
  <c r="GS17" i="1"/>
  <c r="GS13" i="1"/>
  <c r="GS11" i="1"/>
  <c r="GS7" i="1"/>
  <c r="GT3" i="1" l="1"/>
  <c r="GT17" i="1"/>
  <c r="GT15" i="1"/>
  <c r="GT13" i="1"/>
  <c r="GT11" i="1"/>
  <c r="GT7" i="1"/>
  <c r="GU17" i="1" l="1"/>
  <c r="GU13" i="1"/>
  <c r="GU15" i="1"/>
  <c r="GU11" i="1"/>
  <c r="GU7" i="1"/>
  <c r="GU3" i="1"/>
  <c r="HO3" i="1" l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HP2" i="1"/>
  <c r="HO2" i="1"/>
  <c r="HN2" i="1"/>
  <c r="HM2" i="1"/>
  <c r="HL2" i="1"/>
  <c r="HK2" i="1"/>
  <c r="HJ2" i="1"/>
  <c r="HI2" i="1"/>
  <c r="HH2" i="1"/>
  <c r="HF2" i="1"/>
  <c r="HE2" i="1"/>
  <c r="HD2" i="1"/>
  <c r="HC2" i="1"/>
  <c r="HB2" i="1"/>
  <c r="GZ2" i="1"/>
  <c r="GY2" i="1"/>
  <c r="GX2" i="1"/>
  <c r="GW2" i="1"/>
  <c r="GV2" i="1"/>
  <c r="GW15" i="1" l="1"/>
  <c r="GW13" i="1"/>
  <c r="GW9" i="1"/>
  <c r="GW7" i="1"/>
  <c r="GX15" i="1" l="1"/>
  <c r="GX13" i="1"/>
  <c r="GX7" i="1"/>
  <c r="GY15" i="1"/>
  <c r="GY13" i="1"/>
  <c r="GY11" i="1"/>
  <c r="GY7" i="1"/>
  <c r="GZ19" i="1" l="1"/>
  <c r="GZ17" i="1"/>
  <c r="GZ15" i="1"/>
  <c r="GZ13" i="1"/>
  <c r="GZ11" i="1"/>
  <c r="GZ9" i="1"/>
  <c r="GZ7" i="1"/>
  <c r="GZ5" i="1"/>
  <c r="HA19" i="1" l="1"/>
  <c r="HA17" i="1"/>
  <c r="HA15" i="1"/>
  <c r="HA13" i="1"/>
  <c r="HA11" i="1"/>
  <c r="HA9" i="1"/>
  <c r="HA7" i="1"/>
  <c r="HO11" i="1" l="1"/>
  <c r="HO19" i="1" l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O17" i="1"/>
  <c r="HN17" i="1"/>
  <c r="HM17" i="1"/>
  <c r="HD17" i="1"/>
  <c r="HC17" i="1"/>
  <c r="HB17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K5" i="1"/>
  <c r="HO5" i="1"/>
  <c r="HN5" i="1"/>
  <c r="HM5" i="1"/>
  <c r="HL5" i="1"/>
</calcChain>
</file>

<file path=xl/sharedStrings.xml><?xml version="1.0" encoding="utf-8"?>
<sst xmlns="http://schemas.openxmlformats.org/spreadsheetml/2006/main" count="60" uniqueCount="50">
  <si>
    <t>EXTREMADURA</t>
  </si>
  <si>
    <t>CORIA</t>
  </si>
  <si>
    <t>PLASENCIA</t>
  </si>
  <si>
    <t>NAVALMORAL</t>
  </si>
  <si>
    <t>CACERES</t>
  </si>
  <si>
    <t>BADAJOZ</t>
  </si>
  <si>
    <t>MÉRIDA</t>
  </si>
  <si>
    <t>LLERENA-ZAFRA</t>
  </si>
  <si>
    <t>DON BENITO-VILLANUEVA</t>
  </si>
  <si>
    <t>IDEAL</t>
  </si>
  <si>
    <t>ALARMA</t>
  </si>
  <si>
    <t>MUY BUENA</t>
  </si>
  <si>
    <t>BUENA</t>
  </si>
  <si>
    <t>ALERTA</t>
  </si>
  <si>
    <t>SITUACIÓN Y PERSPECTIVAS</t>
  </si>
  <si>
    <t>19/092020</t>
  </si>
  <si>
    <t>25/092020</t>
  </si>
  <si>
    <t>06/102020</t>
  </si>
  <si>
    <t>CÁCERES</t>
  </si>
  <si>
    <t>DB-VILLANUEVA</t>
  </si>
  <si>
    <t>1,001 - 1,009</t>
  </si>
  <si>
    <t>1,02 - 1,09</t>
  </si>
  <si>
    <t>1,01 - 1,099</t>
  </si>
  <si>
    <t>6000-7000</t>
  </si>
  <si>
    <t>7000-8000</t>
  </si>
  <si>
    <t>8000-9000</t>
  </si>
  <si>
    <t>9000-10000</t>
  </si>
  <si>
    <t>10000-11000</t>
  </si>
  <si>
    <t>11000-12000</t>
  </si>
  <si>
    <t>12000-13000</t>
  </si>
  <si>
    <t>13000-14000</t>
  </si>
  <si>
    <t>14000-15000</t>
  </si>
  <si>
    <t>15000-16000</t>
  </si>
  <si>
    <t>16000-17000</t>
  </si>
  <si>
    <t>17000-18000</t>
  </si>
  <si>
    <t>18000-19000</t>
  </si>
  <si>
    <t>19000-20000</t>
  </si>
  <si>
    <t>20000 - 21000</t>
  </si>
  <si>
    <t>21000 - 22000</t>
  </si>
  <si>
    <t>22000 - 23000</t>
  </si>
  <si>
    <t>23000 - 24000</t>
  </si>
  <si>
    <t>24000 - 25000</t>
  </si>
  <si>
    <t>25000 - 26000</t>
  </si>
  <si>
    <t>26000 - 27000</t>
  </si>
  <si>
    <t>27000 - 28000</t>
  </si>
  <si>
    <t>30/11/02020</t>
  </si>
  <si>
    <t>28000 - 29000</t>
  </si>
  <si>
    <t>3000 - 4000</t>
  </si>
  <si>
    <t>4000 - 5000</t>
  </si>
  <si>
    <t>5000 - 6000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</si>
</sst>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Border="1"/>
    <xf numFmtId="0" fontId="0" fillId="4" borderId="0" xfId="0" applyFill="1" applyBorder="1"/>
    <xf numFmtId="0" fontId="0" fillId="0" borderId="3" xfId="0" applyBorder="1"/>
    <xf numFmtId="0" fontId="4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4" borderId="1" xfId="0" applyFill="1" applyBorder="1"/>
    <xf numFmtId="0" fontId="0" fillId="4" borderId="1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center"/>
    </xf>
    <xf numFmtId="0" fontId="0" fillId="4" borderId="8" xfId="0" applyFill="1" applyBorder="1"/>
    <xf numFmtId="0" fontId="0" fillId="0" borderId="6" xfId="0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3" borderId="9" xfId="0" applyFont="1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5" borderId="5" xfId="0" applyFont="1" applyFill="1" applyBorder="1"/>
    <xf numFmtId="0" fontId="7" fillId="2" borderId="5" xfId="0" applyFont="1" applyFill="1" applyBorder="1"/>
    <xf numFmtId="0" fontId="8" fillId="0" borderId="5" xfId="0" applyFont="1" applyBorder="1"/>
    <xf numFmtId="0" fontId="7" fillId="0" borderId="5" xfId="0" applyFont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/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9" fillId="7" borderId="9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0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4" fontId="6" fillId="8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0" fontId="9" fillId="6" borderId="9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" xfId="0" applyFill="1" applyBorder="1"/>
    <xf numFmtId="0" fontId="2" fillId="7" borderId="0" xfId="0" applyFont="1" applyFill="1" applyBorder="1" applyAlignment="1">
      <alignment horizontal="center"/>
    </xf>
    <xf numFmtId="0" fontId="7" fillId="7" borderId="9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/>
    </xf>
    <xf numFmtId="0" fontId="0" fillId="7" borderId="0" xfId="0" applyFill="1" applyBorder="1"/>
    <xf numFmtId="0" fontId="0" fillId="7" borderId="1" xfId="0" applyFill="1" applyBorder="1"/>
    <xf numFmtId="0" fontId="6" fillId="7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9" fillId="6" borderId="7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Hoja1!$A$29:$A$54</c:f>
              <c:strCache>
                <c:ptCount val="26"/>
                <c:pt idx="0">
                  <c:v>3000 - 4000</c:v>
                </c:pt>
                <c:pt idx="1">
                  <c:v>4000 - 5000</c:v>
                </c:pt>
                <c:pt idx="2">
                  <c:v>5000 - 6000</c:v>
                </c:pt>
                <c:pt idx="3">
                  <c:v>6000-7000</c:v>
                </c:pt>
                <c:pt idx="4">
                  <c:v>7000-8000</c:v>
                </c:pt>
                <c:pt idx="5">
                  <c:v>8000-9000</c:v>
                </c:pt>
                <c:pt idx="6">
                  <c:v>9000-10000</c:v>
                </c:pt>
                <c:pt idx="7">
                  <c:v>10000-11000</c:v>
                </c:pt>
                <c:pt idx="8">
                  <c:v>11000-12000</c:v>
                </c:pt>
                <c:pt idx="9">
                  <c:v>12000-13000</c:v>
                </c:pt>
                <c:pt idx="10">
                  <c:v>13000-14000</c:v>
                </c:pt>
                <c:pt idx="11">
                  <c:v>14000-15000</c:v>
                </c:pt>
                <c:pt idx="12">
                  <c:v>15000-16000</c:v>
                </c:pt>
                <c:pt idx="13">
                  <c:v>16000-17000</c:v>
                </c:pt>
                <c:pt idx="14">
                  <c:v>17000-18000</c:v>
                </c:pt>
                <c:pt idx="15">
                  <c:v>18000-19000</c:v>
                </c:pt>
                <c:pt idx="16">
                  <c:v>19000-20000</c:v>
                </c:pt>
                <c:pt idx="17">
                  <c:v>20000 - 21000</c:v>
                </c:pt>
                <c:pt idx="18">
                  <c:v>21000 - 22000</c:v>
                </c:pt>
                <c:pt idx="19">
                  <c:v>22000 - 23000</c:v>
                </c:pt>
                <c:pt idx="20">
                  <c:v>23000 - 24000</c:v>
                </c:pt>
                <c:pt idx="21">
                  <c:v>24000 - 25000</c:v>
                </c:pt>
                <c:pt idx="22">
                  <c:v>25000 - 26000</c:v>
                </c:pt>
                <c:pt idx="23">
                  <c:v>26000 - 27000</c:v>
                </c:pt>
                <c:pt idx="24">
                  <c:v>27000 - 28000</c:v>
                </c:pt>
                <c:pt idx="25">
                  <c:v>28000 - 29000</c:v>
                </c:pt>
              </c:strCache>
            </c:strRef>
          </c:cat>
          <c:val>
            <c:numRef>
              <c:f>Hoja1!$B$29:$B$49</c:f>
            </c:numRef>
          </c:val>
          <c:smooth val="0"/>
          <c:extLst>
            <c:ext xmlns:c16="http://schemas.microsoft.com/office/drawing/2014/chart" uri="{C3380CC4-5D6E-409C-BE32-E72D297353CC}">
              <c16:uniqueId val="{00000000-3924-4E37-ACF9-095502775F0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Hoja1!$A$29:$A$54</c:f>
              <c:strCache>
                <c:ptCount val="26"/>
                <c:pt idx="0">
                  <c:v>3000 - 4000</c:v>
                </c:pt>
                <c:pt idx="1">
                  <c:v>4000 - 5000</c:v>
                </c:pt>
                <c:pt idx="2">
                  <c:v>5000 - 6000</c:v>
                </c:pt>
                <c:pt idx="3">
                  <c:v>6000-7000</c:v>
                </c:pt>
                <c:pt idx="4">
                  <c:v>7000-8000</c:v>
                </c:pt>
                <c:pt idx="5">
                  <c:v>8000-9000</c:v>
                </c:pt>
                <c:pt idx="6">
                  <c:v>9000-10000</c:v>
                </c:pt>
                <c:pt idx="7">
                  <c:v>10000-11000</c:v>
                </c:pt>
                <c:pt idx="8">
                  <c:v>11000-12000</c:v>
                </c:pt>
                <c:pt idx="9">
                  <c:v>12000-13000</c:v>
                </c:pt>
                <c:pt idx="10">
                  <c:v>13000-14000</c:v>
                </c:pt>
                <c:pt idx="11">
                  <c:v>14000-15000</c:v>
                </c:pt>
                <c:pt idx="12">
                  <c:v>15000-16000</c:v>
                </c:pt>
                <c:pt idx="13">
                  <c:v>16000-17000</c:v>
                </c:pt>
                <c:pt idx="14">
                  <c:v>17000-18000</c:v>
                </c:pt>
                <c:pt idx="15">
                  <c:v>18000-19000</c:v>
                </c:pt>
                <c:pt idx="16">
                  <c:v>19000-20000</c:v>
                </c:pt>
                <c:pt idx="17">
                  <c:v>20000 - 21000</c:v>
                </c:pt>
                <c:pt idx="18">
                  <c:v>21000 - 22000</c:v>
                </c:pt>
                <c:pt idx="19">
                  <c:v>22000 - 23000</c:v>
                </c:pt>
                <c:pt idx="20">
                  <c:v>23000 - 24000</c:v>
                </c:pt>
                <c:pt idx="21">
                  <c:v>24000 - 25000</c:v>
                </c:pt>
                <c:pt idx="22">
                  <c:v>25000 - 26000</c:v>
                </c:pt>
                <c:pt idx="23">
                  <c:v>26000 - 27000</c:v>
                </c:pt>
                <c:pt idx="24">
                  <c:v>27000 - 28000</c:v>
                </c:pt>
                <c:pt idx="25">
                  <c:v>28000 - 29000</c:v>
                </c:pt>
              </c:strCache>
            </c:strRef>
          </c:cat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4-4E37-ACF9-095502775F05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Hoja1!$A$29:$A$54</c:f>
              <c:strCache>
                <c:ptCount val="26"/>
                <c:pt idx="0">
                  <c:v>3000 - 4000</c:v>
                </c:pt>
                <c:pt idx="1">
                  <c:v>4000 - 5000</c:v>
                </c:pt>
                <c:pt idx="2">
                  <c:v>5000 - 6000</c:v>
                </c:pt>
                <c:pt idx="3">
                  <c:v>6000-7000</c:v>
                </c:pt>
                <c:pt idx="4">
                  <c:v>7000-8000</c:v>
                </c:pt>
                <c:pt idx="5">
                  <c:v>8000-9000</c:v>
                </c:pt>
                <c:pt idx="6">
                  <c:v>9000-10000</c:v>
                </c:pt>
                <c:pt idx="7">
                  <c:v>10000-11000</c:v>
                </c:pt>
                <c:pt idx="8">
                  <c:v>11000-12000</c:v>
                </c:pt>
                <c:pt idx="9">
                  <c:v>12000-13000</c:v>
                </c:pt>
                <c:pt idx="10">
                  <c:v>13000-14000</c:v>
                </c:pt>
                <c:pt idx="11">
                  <c:v>14000-15000</c:v>
                </c:pt>
                <c:pt idx="12">
                  <c:v>15000-16000</c:v>
                </c:pt>
                <c:pt idx="13">
                  <c:v>16000-17000</c:v>
                </c:pt>
                <c:pt idx="14">
                  <c:v>17000-18000</c:v>
                </c:pt>
                <c:pt idx="15">
                  <c:v>18000-19000</c:v>
                </c:pt>
                <c:pt idx="16">
                  <c:v>19000-20000</c:v>
                </c:pt>
                <c:pt idx="17">
                  <c:v>20000 - 21000</c:v>
                </c:pt>
                <c:pt idx="18">
                  <c:v>21000 - 22000</c:v>
                </c:pt>
                <c:pt idx="19">
                  <c:v>22000 - 23000</c:v>
                </c:pt>
                <c:pt idx="20">
                  <c:v>23000 - 24000</c:v>
                </c:pt>
                <c:pt idx="21">
                  <c:v>24000 - 25000</c:v>
                </c:pt>
                <c:pt idx="22">
                  <c:v>25000 - 26000</c:v>
                </c:pt>
                <c:pt idx="23">
                  <c:v>26000 - 27000</c:v>
                </c:pt>
                <c:pt idx="24">
                  <c:v>27000 - 28000</c:v>
                </c:pt>
                <c:pt idx="25">
                  <c:v>28000 - 29000</c:v>
                </c:pt>
              </c:strCache>
            </c:strRef>
          </c:cat>
          <c: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4-4E37-ACF9-095502775F05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Hoja1!$A$29:$A$54</c:f>
              <c:strCache>
                <c:ptCount val="26"/>
                <c:pt idx="0">
                  <c:v>3000 - 4000</c:v>
                </c:pt>
                <c:pt idx="1">
                  <c:v>4000 - 5000</c:v>
                </c:pt>
                <c:pt idx="2">
                  <c:v>5000 - 6000</c:v>
                </c:pt>
                <c:pt idx="3">
                  <c:v>6000-7000</c:v>
                </c:pt>
                <c:pt idx="4">
                  <c:v>7000-8000</c:v>
                </c:pt>
                <c:pt idx="5">
                  <c:v>8000-9000</c:v>
                </c:pt>
                <c:pt idx="6">
                  <c:v>9000-10000</c:v>
                </c:pt>
                <c:pt idx="7">
                  <c:v>10000-11000</c:v>
                </c:pt>
                <c:pt idx="8">
                  <c:v>11000-12000</c:v>
                </c:pt>
                <c:pt idx="9">
                  <c:v>12000-13000</c:v>
                </c:pt>
                <c:pt idx="10">
                  <c:v>13000-14000</c:v>
                </c:pt>
                <c:pt idx="11">
                  <c:v>14000-15000</c:v>
                </c:pt>
                <c:pt idx="12">
                  <c:v>15000-16000</c:v>
                </c:pt>
                <c:pt idx="13">
                  <c:v>16000-17000</c:v>
                </c:pt>
                <c:pt idx="14">
                  <c:v>17000-18000</c:v>
                </c:pt>
                <c:pt idx="15">
                  <c:v>18000-19000</c:v>
                </c:pt>
                <c:pt idx="16">
                  <c:v>19000-20000</c:v>
                </c:pt>
                <c:pt idx="17">
                  <c:v>20000 - 21000</c:v>
                </c:pt>
                <c:pt idx="18">
                  <c:v>21000 - 22000</c:v>
                </c:pt>
                <c:pt idx="19">
                  <c:v>22000 - 23000</c:v>
                </c:pt>
                <c:pt idx="20">
                  <c:v>23000 - 24000</c:v>
                </c:pt>
                <c:pt idx="21">
                  <c:v>24000 - 25000</c:v>
                </c:pt>
                <c:pt idx="22">
                  <c:v>25000 - 26000</c:v>
                </c:pt>
                <c:pt idx="23">
                  <c:v>26000 - 27000</c:v>
                </c:pt>
                <c:pt idx="24">
                  <c:v>27000 - 28000</c:v>
                </c:pt>
                <c:pt idx="25">
                  <c:v>28000 - 29000</c:v>
                </c:pt>
              </c:strCache>
            </c:strRef>
          </c:cat>
          <c:val>
            <c:numRef>
              <c:f>Hoja1!$M$29:$M$55</c:f>
              <c:numCache>
                <c:formatCode>General</c:formatCode>
                <c:ptCount val="27"/>
                <c:pt idx="0">
                  <c:v>61</c:v>
                </c:pt>
                <c:pt idx="1">
                  <c:v>11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24-4E37-ACF9-095502775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12640"/>
        <c:axId val="551909688"/>
      </c:lineChart>
      <c:catAx>
        <c:axId val="551912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1909688"/>
        <c:crosses val="autoZero"/>
        <c:auto val="1"/>
        <c:lblAlgn val="ctr"/>
        <c:lblOffset val="100"/>
        <c:noMultiLvlLbl val="0"/>
      </c:catAx>
      <c:valAx>
        <c:axId val="551909688"/>
        <c:scaling>
          <c:orientation val="minMax"/>
          <c:max val="65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19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161931</xdr:colOff>
      <xdr:row>28</xdr:row>
      <xdr:rowOff>14286</xdr:rowOff>
    </xdr:from>
    <xdr:to>
      <xdr:col>11</xdr:col>
      <xdr:colOff>933450</xdr:colOff>
      <xdr:row>47</xdr:row>
      <xdr:rowOff>200024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CFF6FD-D0A2-4BD6-9BC2-A40EE9FE9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770C2-7593-4248-88F6-C14680378708}">
  <dimension ref="A1:HV91"/>
  <sheetViews>
    <sheetView tabSelected="1" topLeftCell="A10" workbookViewId="0">
      <pane xSplit="2" topLeftCell="C1" activePane="topRight" state="frozen"/>
      <selection pane="topRight" activeCell="C17" activeCellId="3" sqref="C5 C9 C11 C17"/>
    </sheetView>
  </sheetViews>
  <sheetFormatPr baseColWidth="10" defaultRowHeight="15" x14ac:dyDescent="0.25"/>
  <cols>
    <col min="1" max="1" width="30" style="2" customWidth="1"/>
    <col min="2" max="2" width="14.7109375" style="2" hidden="1" customWidth="1"/>
    <col min="3" max="147" width="14.7109375" style="2" customWidth="1"/>
    <col min="148" max="148" width="14.7109375" style="3" customWidth="1"/>
    <col min="149" max="196" width="14.7109375" style="2" customWidth="1"/>
    <col min="197" max="198" width="14.7109375" style="3" customWidth="1"/>
    <col min="199" max="199" width="14.7109375" style="2" customWidth="1"/>
    <col min="200" max="207" width="14.7109375" style="3" customWidth="1"/>
    <col min="208" max="227" width="14.7109375" style="1" customWidth="1"/>
    <col min="228" max="16384" width="11.42578125" style="1"/>
  </cols>
  <sheetData>
    <row r="1" spans="1:227" s="61" customFormat="1" x14ac:dyDescent="0.25">
      <c r="A1" s="62"/>
      <c r="C1" s="60">
        <v>44174</v>
      </c>
      <c r="D1" s="60">
        <v>44173</v>
      </c>
      <c r="E1" s="60">
        <v>44172</v>
      </c>
      <c r="F1" s="60">
        <v>44171</v>
      </c>
      <c r="G1" s="60">
        <v>44170</v>
      </c>
      <c r="H1" s="60">
        <v>44169</v>
      </c>
      <c r="I1" s="60">
        <v>44168</v>
      </c>
      <c r="J1" s="60">
        <v>44167</v>
      </c>
      <c r="K1" s="60">
        <v>44166</v>
      </c>
      <c r="L1" s="61" t="s">
        <v>45</v>
      </c>
      <c r="M1" s="60">
        <v>44164</v>
      </c>
      <c r="N1" s="60">
        <v>44163</v>
      </c>
      <c r="O1" s="60">
        <v>44162</v>
      </c>
      <c r="P1" s="60">
        <v>44161</v>
      </c>
      <c r="Q1" s="60">
        <v>44160</v>
      </c>
      <c r="R1" s="60">
        <v>44159</v>
      </c>
      <c r="S1" s="60">
        <v>44158</v>
      </c>
      <c r="T1" s="60">
        <v>44157</v>
      </c>
      <c r="U1" s="60">
        <v>44156</v>
      </c>
      <c r="V1" s="60">
        <v>44155</v>
      </c>
      <c r="W1" s="60">
        <v>44154</v>
      </c>
      <c r="X1" s="60">
        <v>44153</v>
      </c>
      <c r="Y1" s="60">
        <v>44152</v>
      </c>
      <c r="Z1" s="60">
        <v>44151</v>
      </c>
      <c r="AA1" s="60">
        <v>44150</v>
      </c>
      <c r="AB1" s="60">
        <v>44149</v>
      </c>
      <c r="AC1" s="60">
        <v>44148</v>
      </c>
      <c r="AD1" s="60">
        <v>44147</v>
      </c>
      <c r="AE1" s="60">
        <v>44146</v>
      </c>
      <c r="AF1" s="60">
        <v>44145</v>
      </c>
      <c r="AG1" s="60">
        <v>44144</v>
      </c>
      <c r="AH1" s="60">
        <v>44143</v>
      </c>
      <c r="AI1" s="60">
        <v>44142</v>
      </c>
      <c r="AJ1" s="60">
        <v>44141</v>
      </c>
      <c r="AK1" s="60">
        <v>44140</v>
      </c>
      <c r="AL1" s="60">
        <v>44139</v>
      </c>
      <c r="AM1" s="60">
        <v>44138</v>
      </c>
      <c r="AN1" s="60">
        <v>44137</v>
      </c>
      <c r="AO1" s="60">
        <v>44136</v>
      </c>
      <c r="AP1" s="60">
        <v>44135</v>
      </c>
      <c r="AQ1" s="60">
        <v>44134</v>
      </c>
      <c r="AR1" s="60">
        <v>44133</v>
      </c>
      <c r="AS1" s="60">
        <v>44132</v>
      </c>
      <c r="AT1" s="60">
        <v>44131</v>
      </c>
      <c r="AU1" s="60">
        <v>44130</v>
      </c>
      <c r="AV1" s="60">
        <v>44129</v>
      </c>
      <c r="AW1" s="60">
        <v>44128</v>
      </c>
      <c r="AX1" s="60">
        <v>44127</v>
      </c>
      <c r="AY1" s="60">
        <v>44126</v>
      </c>
      <c r="AZ1" s="60">
        <v>44125</v>
      </c>
      <c r="BA1" s="60">
        <v>44124</v>
      </c>
      <c r="BB1" s="60">
        <v>44123</v>
      </c>
      <c r="BC1" s="60">
        <v>44122</v>
      </c>
      <c r="BD1" s="60">
        <v>44121</v>
      </c>
      <c r="BE1" s="60">
        <v>44120</v>
      </c>
      <c r="BF1" s="60">
        <v>44119</v>
      </c>
      <c r="BG1" s="60">
        <v>44118</v>
      </c>
      <c r="BH1" s="60">
        <v>44117</v>
      </c>
      <c r="BI1" s="60">
        <v>44116</v>
      </c>
      <c r="BJ1" s="60">
        <v>44115</v>
      </c>
      <c r="BK1" s="60">
        <v>44114</v>
      </c>
      <c r="BL1" s="60">
        <v>44113</v>
      </c>
      <c r="BM1" s="60">
        <v>44112</v>
      </c>
      <c r="BN1" s="60">
        <v>44111</v>
      </c>
      <c r="BO1" s="61" t="s">
        <v>17</v>
      </c>
      <c r="BP1" s="60">
        <v>44109</v>
      </c>
      <c r="BQ1" s="60">
        <v>44108</v>
      </c>
      <c r="BR1" s="60">
        <v>44107</v>
      </c>
      <c r="BS1" s="60">
        <v>44106</v>
      </c>
      <c r="BT1" s="60">
        <v>44105</v>
      </c>
      <c r="BU1" s="60">
        <v>44104</v>
      </c>
      <c r="BV1" s="60">
        <v>44103</v>
      </c>
      <c r="BW1" s="60">
        <v>44102</v>
      </c>
      <c r="BX1" s="60">
        <v>44101</v>
      </c>
      <c r="BY1" s="60">
        <v>44100</v>
      </c>
      <c r="BZ1" s="61" t="s">
        <v>16</v>
      </c>
      <c r="CA1" s="60">
        <v>44098</v>
      </c>
      <c r="CB1" s="60">
        <v>44097</v>
      </c>
      <c r="CC1" s="60">
        <v>44096</v>
      </c>
      <c r="CD1" s="60">
        <v>44095</v>
      </c>
      <c r="CE1" s="60">
        <v>44094</v>
      </c>
      <c r="CF1" s="61" t="s">
        <v>15</v>
      </c>
      <c r="CG1" s="60">
        <v>44092</v>
      </c>
      <c r="CH1" s="60">
        <v>44091</v>
      </c>
      <c r="CI1" s="60">
        <v>44090</v>
      </c>
      <c r="CJ1" s="60">
        <v>44089</v>
      </c>
      <c r="CK1" s="60">
        <v>44088</v>
      </c>
      <c r="CL1" s="60">
        <v>44087</v>
      </c>
      <c r="CM1" s="60">
        <v>44086</v>
      </c>
      <c r="CN1" s="60">
        <v>44085</v>
      </c>
      <c r="CO1" s="60">
        <v>44084</v>
      </c>
      <c r="CP1" s="60">
        <v>44083</v>
      </c>
      <c r="CQ1" s="60">
        <v>44082</v>
      </c>
      <c r="CR1" s="60">
        <v>44081</v>
      </c>
      <c r="CS1" s="60">
        <v>44080</v>
      </c>
      <c r="CT1" s="60">
        <v>44079</v>
      </c>
      <c r="CU1" s="60">
        <v>44078</v>
      </c>
      <c r="CV1" s="60">
        <v>44077</v>
      </c>
      <c r="CW1" s="60">
        <v>44076</v>
      </c>
      <c r="CX1" s="60">
        <v>44075</v>
      </c>
      <c r="CY1" s="60">
        <v>44074</v>
      </c>
      <c r="CZ1" s="60">
        <v>44073</v>
      </c>
      <c r="DA1" s="60">
        <v>44072</v>
      </c>
      <c r="DB1" s="60">
        <v>44071</v>
      </c>
      <c r="DC1" s="60">
        <v>44070</v>
      </c>
      <c r="DD1" s="60">
        <v>44069</v>
      </c>
      <c r="DE1" s="60">
        <v>44068</v>
      </c>
      <c r="DF1" s="60">
        <v>44067</v>
      </c>
      <c r="DG1" s="60">
        <v>44066</v>
      </c>
      <c r="DH1" s="60">
        <v>44065</v>
      </c>
      <c r="DI1" s="60">
        <v>44064</v>
      </c>
      <c r="DJ1" s="60">
        <v>44063</v>
      </c>
      <c r="DK1" s="60">
        <v>44062</v>
      </c>
      <c r="DL1" s="60">
        <v>44061</v>
      </c>
      <c r="DM1" s="60">
        <v>44060</v>
      </c>
      <c r="DN1" s="60">
        <v>44059</v>
      </c>
      <c r="DO1" s="60">
        <v>44058</v>
      </c>
      <c r="DP1" s="60">
        <v>44057</v>
      </c>
      <c r="DQ1" s="60">
        <v>44056</v>
      </c>
      <c r="DR1" s="60">
        <v>44055</v>
      </c>
      <c r="DS1" s="60">
        <v>44054</v>
      </c>
      <c r="DT1" s="60">
        <v>44053</v>
      </c>
      <c r="DU1" s="60">
        <v>44052</v>
      </c>
      <c r="DV1" s="60">
        <v>44051</v>
      </c>
      <c r="DW1" s="60">
        <v>44050</v>
      </c>
      <c r="DX1" s="60">
        <v>44049</v>
      </c>
      <c r="DY1" s="60">
        <v>44048</v>
      </c>
      <c r="DZ1" s="60">
        <v>44047</v>
      </c>
      <c r="EA1" s="60">
        <v>44046</v>
      </c>
      <c r="EB1" s="60">
        <v>44045</v>
      </c>
      <c r="EC1" s="60">
        <v>44044</v>
      </c>
      <c r="ED1" s="60">
        <v>44043</v>
      </c>
      <c r="EE1" s="60">
        <v>44042</v>
      </c>
      <c r="EF1" s="60">
        <v>44041</v>
      </c>
      <c r="EG1" s="60">
        <v>44040</v>
      </c>
      <c r="EH1" s="60">
        <v>44039</v>
      </c>
      <c r="EI1" s="60">
        <v>44038</v>
      </c>
      <c r="EJ1" s="60">
        <v>44037</v>
      </c>
      <c r="EK1" s="60">
        <v>44036</v>
      </c>
      <c r="EL1" s="60">
        <v>44035</v>
      </c>
      <c r="EM1" s="60">
        <v>44034</v>
      </c>
      <c r="EN1" s="60">
        <v>44033</v>
      </c>
      <c r="EO1" s="60">
        <v>44032</v>
      </c>
      <c r="EP1" s="60">
        <v>44031</v>
      </c>
      <c r="EQ1" s="60">
        <v>44030</v>
      </c>
      <c r="ER1" s="60">
        <v>44029</v>
      </c>
      <c r="ES1" s="60">
        <v>44028</v>
      </c>
      <c r="ET1" s="60">
        <v>44027</v>
      </c>
      <c r="EU1" s="60">
        <v>44026</v>
      </c>
      <c r="EV1" s="60">
        <v>44025</v>
      </c>
      <c r="EW1" s="60">
        <v>44024</v>
      </c>
      <c r="EX1" s="60">
        <v>44023</v>
      </c>
      <c r="EY1" s="60">
        <v>44022</v>
      </c>
      <c r="EZ1" s="60">
        <v>44021</v>
      </c>
      <c r="FA1" s="60">
        <v>44020</v>
      </c>
      <c r="FB1" s="60">
        <v>44019</v>
      </c>
      <c r="FC1" s="60">
        <v>44018</v>
      </c>
      <c r="FD1" s="60">
        <v>44017</v>
      </c>
      <c r="FE1" s="60">
        <v>44016</v>
      </c>
      <c r="FF1" s="60">
        <v>44015</v>
      </c>
      <c r="FG1" s="60">
        <v>44014</v>
      </c>
      <c r="FH1" s="60">
        <v>44013</v>
      </c>
      <c r="FI1" s="60">
        <v>44012</v>
      </c>
      <c r="FJ1" s="60">
        <v>44011</v>
      </c>
      <c r="FK1" s="60">
        <v>44010</v>
      </c>
      <c r="FL1" s="60">
        <v>44009</v>
      </c>
      <c r="FM1" s="60">
        <v>44008</v>
      </c>
      <c r="FN1" s="60">
        <v>44007</v>
      </c>
      <c r="FO1" s="60">
        <v>44006</v>
      </c>
      <c r="FP1" s="60">
        <v>44005</v>
      </c>
      <c r="FQ1" s="60">
        <v>44004</v>
      </c>
      <c r="FR1" s="60">
        <v>44003</v>
      </c>
      <c r="FS1" s="60">
        <v>44002</v>
      </c>
      <c r="FT1" s="60">
        <v>44001</v>
      </c>
      <c r="FU1" s="60">
        <v>44000</v>
      </c>
      <c r="FV1" s="60">
        <v>43999</v>
      </c>
      <c r="FW1" s="60">
        <v>43998</v>
      </c>
      <c r="FX1" s="60">
        <v>43997</v>
      </c>
      <c r="FY1" s="60">
        <v>43996</v>
      </c>
      <c r="FZ1" s="60">
        <v>43995</v>
      </c>
      <c r="GA1" s="60">
        <v>43994</v>
      </c>
      <c r="GB1" s="60">
        <v>43993</v>
      </c>
      <c r="GC1" s="60">
        <v>43992</v>
      </c>
      <c r="GD1" s="60">
        <v>43991</v>
      </c>
      <c r="GE1" s="60">
        <v>43990</v>
      </c>
      <c r="GF1" s="60">
        <v>43989</v>
      </c>
      <c r="GG1" s="60">
        <v>43988</v>
      </c>
      <c r="GH1" s="60">
        <v>43987</v>
      </c>
      <c r="GI1" s="60">
        <v>43986</v>
      </c>
      <c r="GJ1" s="60">
        <v>43985</v>
      </c>
      <c r="GK1" s="60">
        <v>43984</v>
      </c>
      <c r="GL1" s="60">
        <v>43983</v>
      </c>
      <c r="GM1" s="60">
        <v>43982</v>
      </c>
      <c r="GN1" s="60">
        <v>43981</v>
      </c>
      <c r="GO1" s="60">
        <v>43980</v>
      </c>
      <c r="GP1" s="60">
        <v>43979</v>
      </c>
      <c r="GQ1" s="60">
        <v>43978</v>
      </c>
      <c r="GR1" s="60">
        <v>43977</v>
      </c>
      <c r="GS1" s="60">
        <v>43976</v>
      </c>
      <c r="GT1" s="60">
        <v>43975</v>
      </c>
      <c r="GU1" s="60">
        <v>43974</v>
      </c>
      <c r="GV1" s="60">
        <v>43973</v>
      </c>
      <c r="GW1" s="60">
        <v>43972</v>
      </c>
      <c r="GX1" s="60">
        <v>43971</v>
      </c>
      <c r="GY1" s="60">
        <v>43970</v>
      </c>
      <c r="GZ1" s="60">
        <v>43969</v>
      </c>
      <c r="HA1" s="60">
        <v>43968</v>
      </c>
      <c r="HB1" s="60">
        <v>43967</v>
      </c>
      <c r="HC1" s="60">
        <v>43966</v>
      </c>
      <c r="HD1" s="60">
        <v>43965</v>
      </c>
      <c r="HE1" s="60">
        <v>43964</v>
      </c>
      <c r="HF1" s="60">
        <v>43963</v>
      </c>
      <c r="HG1" s="60">
        <v>43962</v>
      </c>
      <c r="HH1" s="60">
        <v>43961</v>
      </c>
      <c r="HI1" s="60">
        <v>43960</v>
      </c>
      <c r="HJ1" s="60">
        <v>43959</v>
      </c>
      <c r="HK1" s="60">
        <v>43958</v>
      </c>
      <c r="HL1" s="60">
        <v>43957</v>
      </c>
      <c r="HM1" s="60">
        <v>43956</v>
      </c>
      <c r="HN1" s="60">
        <v>43955</v>
      </c>
      <c r="HO1" s="60">
        <v>43954</v>
      </c>
      <c r="HP1" s="60">
        <v>43953</v>
      </c>
      <c r="HQ1" s="60">
        <v>43952</v>
      </c>
      <c r="HR1" s="60">
        <v>43951</v>
      </c>
      <c r="HS1" s="60">
        <v>43950</v>
      </c>
    </row>
    <row r="2" spans="1:227" s="12" customFormat="1" ht="19.5" thickBot="1" x14ac:dyDescent="0.35">
      <c r="A2" s="12" t="s">
        <v>0</v>
      </c>
      <c r="C2" s="12">
        <f>86+D2</f>
        <v>29754</v>
      </c>
      <c r="D2" s="12">
        <f>75+E2</f>
        <v>29668</v>
      </c>
      <c r="E2" s="12">
        <f>87+F2</f>
        <v>29593</v>
      </c>
      <c r="F2" s="12">
        <f>87+G2</f>
        <v>29506</v>
      </c>
      <c r="G2" s="12">
        <f>183+H2</f>
        <v>29419</v>
      </c>
      <c r="H2" s="12">
        <f>161+I2</f>
        <v>29236</v>
      </c>
      <c r="I2" s="12">
        <f>170+J2</f>
        <v>29075</v>
      </c>
      <c r="J2" s="12">
        <f>169+K2</f>
        <v>28905</v>
      </c>
      <c r="K2" s="12">
        <f>147+L2</f>
        <v>28736</v>
      </c>
      <c r="L2" s="12">
        <f>45+M2</f>
        <v>28589</v>
      </c>
      <c r="M2" s="12">
        <f>69+N2</f>
        <v>28544</v>
      </c>
      <c r="N2" s="12">
        <f>144+O2</f>
        <v>28475</v>
      </c>
      <c r="O2" s="12">
        <f>252+P2</f>
        <v>28331</v>
      </c>
      <c r="P2" s="12">
        <f>210+Q2</f>
        <v>28079</v>
      </c>
      <c r="Q2" s="12">
        <f>203+R2</f>
        <v>27869</v>
      </c>
      <c r="R2" s="12">
        <f>177+S2</f>
        <v>27666</v>
      </c>
      <c r="S2" s="12">
        <f>82+27407</f>
        <v>27489</v>
      </c>
      <c r="T2" s="12">
        <f>161+27246</f>
        <v>27407</v>
      </c>
      <c r="U2" s="12">
        <f>184+27062</f>
        <v>27246</v>
      </c>
      <c r="V2" s="12">
        <f>254+26808</f>
        <v>27062</v>
      </c>
      <c r="W2" s="12">
        <f>223+26585</f>
        <v>26808</v>
      </c>
      <c r="X2" s="12">
        <f>264+26321</f>
        <v>26585</v>
      </c>
      <c r="Y2" s="12">
        <f>194+26127</f>
        <v>26321</v>
      </c>
      <c r="Z2" s="12">
        <f>129+25998</f>
        <v>26127</v>
      </c>
      <c r="AA2" s="12">
        <f>231+25767</f>
        <v>25998</v>
      </c>
      <c r="AB2" s="12">
        <f>260+25507</f>
        <v>25767</v>
      </c>
      <c r="AC2" s="12">
        <f>327+25180</f>
        <v>25507</v>
      </c>
      <c r="AD2" s="12">
        <f>462+24718</f>
        <v>25180</v>
      </c>
      <c r="AE2" s="12">
        <f>447+24271</f>
        <v>24718</v>
      </c>
      <c r="AF2" s="12">
        <f>344+23927</f>
        <v>24271</v>
      </c>
      <c r="AG2" s="12">
        <f>278+23649</f>
        <v>23927</v>
      </c>
      <c r="AH2" s="12">
        <f>294+23355</f>
        <v>23649</v>
      </c>
      <c r="AI2" s="12">
        <f>494+22861</f>
        <v>23355</v>
      </c>
      <c r="AJ2" s="12">
        <f>597+22264</f>
        <v>22861</v>
      </c>
      <c r="AK2" s="12">
        <f>485+21779</f>
        <v>22264</v>
      </c>
      <c r="AL2" s="12">
        <f>415+21364</f>
        <v>21779</v>
      </c>
      <c r="AM2" s="12">
        <f>336+21028</f>
        <v>21364</v>
      </c>
      <c r="AN2" s="12">
        <f>387+20641</f>
        <v>21028</v>
      </c>
      <c r="AO2" s="12">
        <f>427+20214</f>
        <v>20641</v>
      </c>
      <c r="AP2" s="12">
        <f>547+19667</f>
        <v>20214</v>
      </c>
      <c r="AQ2" s="12">
        <f>572+19095</f>
        <v>19667</v>
      </c>
      <c r="AR2" s="12">
        <f>572+18523</f>
        <v>19095</v>
      </c>
      <c r="AS2" s="12">
        <f>459+18064</f>
        <v>18523</v>
      </c>
      <c r="AT2" s="12">
        <f>524+17540</f>
        <v>18064</v>
      </c>
      <c r="AU2" s="12">
        <f>374+17166</f>
        <v>17540</v>
      </c>
      <c r="AV2" s="12">
        <f>498+16668</f>
        <v>17166</v>
      </c>
      <c r="AW2" s="12">
        <f>500+16168</f>
        <v>16668</v>
      </c>
      <c r="AX2" s="12">
        <f>15728+441</f>
        <v>16169</v>
      </c>
      <c r="AY2" s="12">
        <v>15728</v>
      </c>
      <c r="AZ2" s="12">
        <v>15390</v>
      </c>
      <c r="BA2" s="12">
        <v>14965</v>
      </c>
      <c r="BB2" s="12">
        <v>14741</v>
      </c>
      <c r="BC2" s="12">
        <f>308+14199</f>
        <v>14507</v>
      </c>
      <c r="BD2" s="12">
        <f>13915+284</f>
        <v>14199</v>
      </c>
      <c r="BE2" s="12">
        <f>13608+307</f>
        <v>13915</v>
      </c>
      <c r="BF2" s="12">
        <f>13299+309</f>
        <v>13608</v>
      </c>
      <c r="BG2" s="12">
        <f>13108+191</f>
        <v>13299</v>
      </c>
      <c r="BH2" s="12">
        <f>12960+148</f>
        <v>13108</v>
      </c>
      <c r="BI2" s="12">
        <v>12960</v>
      </c>
      <c r="BJ2" s="12">
        <f>12599+194</f>
        <v>12793</v>
      </c>
      <c r="BK2" s="12">
        <f>12359+240</f>
        <v>12599</v>
      </c>
      <c r="BL2" s="12">
        <v>12359</v>
      </c>
      <c r="BM2" s="12">
        <f>11929+209</f>
        <v>12138</v>
      </c>
      <c r="BN2" s="12">
        <v>11929</v>
      </c>
      <c r="BO2" s="12">
        <v>11707</v>
      </c>
      <c r="BP2" s="12">
        <f>11446+114</f>
        <v>11560</v>
      </c>
      <c r="BQ2" s="12">
        <v>11446</v>
      </c>
      <c r="BR2" s="12">
        <v>11298</v>
      </c>
      <c r="BS2" s="12">
        <v>11109</v>
      </c>
      <c r="BT2" s="12">
        <v>10942</v>
      </c>
      <c r="BU2" s="12">
        <v>10779</v>
      </c>
      <c r="BV2" s="12">
        <v>10600</v>
      </c>
      <c r="BW2" s="12">
        <v>10471</v>
      </c>
      <c r="BX2" s="12">
        <v>10373</v>
      </c>
      <c r="BY2" s="12">
        <v>10212</v>
      </c>
      <c r="BZ2" s="12">
        <v>10003</v>
      </c>
      <c r="CA2" s="12">
        <v>9684</v>
      </c>
      <c r="CB2" s="12">
        <v>9494</v>
      </c>
      <c r="CC2" s="12">
        <v>9266</v>
      </c>
      <c r="CD2" s="12">
        <f>8907+176</f>
        <v>9083</v>
      </c>
      <c r="CE2" s="12">
        <v>8907</v>
      </c>
      <c r="CF2" s="12">
        <f>8325+373</f>
        <v>8698</v>
      </c>
      <c r="CG2" s="12">
        <f>8060+265</f>
        <v>8325</v>
      </c>
      <c r="CH2" s="12">
        <v>8060</v>
      </c>
      <c r="CI2" s="12">
        <v>7799</v>
      </c>
      <c r="CJ2" s="12">
        <v>7574</v>
      </c>
      <c r="CK2" s="12">
        <v>7368</v>
      </c>
      <c r="CL2" s="12">
        <v>7216</v>
      </c>
      <c r="CM2" s="12">
        <v>6932</v>
      </c>
      <c r="CN2" s="12">
        <v>6692</v>
      </c>
      <c r="CO2" s="12">
        <v>6484</v>
      </c>
      <c r="CP2" s="12">
        <v>6299</v>
      </c>
      <c r="CQ2" s="12">
        <v>6180</v>
      </c>
      <c r="CR2" s="12">
        <v>6074</v>
      </c>
      <c r="CS2" s="12">
        <v>5960</v>
      </c>
      <c r="CT2" s="12">
        <v>5852</v>
      </c>
      <c r="CU2" s="12">
        <v>5629</v>
      </c>
      <c r="CV2" s="12">
        <v>5432</v>
      </c>
      <c r="CW2" s="12">
        <v>5324</v>
      </c>
      <c r="CX2" s="12">
        <v>5223</v>
      </c>
      <c r="CY2" s="12">
        <v>5123</v>
      </c>
      <c r="CZ2" s="59">
        <v>5007</v>
      </c>
      <c r="DA2" s="12">
        <v>4901</v>
      </c>
      <c r="DB2" s="12">
        <v>4779</v>
      </c>
      <c r="DC2" s="12">
        <v>4688</v>
      </c>
      <c r="DD2" s="12">
        <v>4600</v>
      </c>
      <c r="DE2" s="12">
        <v>4507</v>
      </c>
      <c r="DF2" s="12">
        <v>4458</v>
      </c>
      <c r="DG2" s="12">
        <v>4387</v>
      </c>
      <c r="DH2" s="12">
        <v>4285</v>
      </c>
      <c r="DI2" s="12">
        <v>4195</v>
      </c>
      <c r="DJ2" s="12">
        <v>4116</v>
      </c>
      <c r="DK2" s="12">
        <v>4018</v>
      </c>
      <c r="DL2" s="12">
        <v>3936</v>
      </c>
      <c r="DM2" s="12">
        <v>3900</v>
      </c>
      <c r="DN2" s="12">
        <v>3868</v>
      </c>
      <c r="DO2" s="12">
        <f>3792+52</f>
        <v>3844</v>
      </c>
      <c r="DP2" s="12">
        <v>3792</v>
      </c>
      <c r="DQ2" s="12">
        <v>3724</v>
      </c>
      <c r="DR2" s="12">
        <v>3668</v>
      </c>
      <c r="DS2" s="12">
        <v>3629</v>
      </c>
      <c r="DT2" s="12">
        <v>3618</v>
      </c>
      <c r="DU2" s="12">
        <v>3611</v>
      </c>
      <c r="DV2" s="12">
        <v>3597</v>
      </c>
      <c r="DW2" s="12">
        <v>3550</v>
      </c>
      <c r="DX2" s="12">
        <v>3520</v>
      </c>
      <c r="DY2" s="12">
        <v>3482</v>
      </c>
      <c r="DZ2" s="12">
        <v>3461</v>
      </c>
      <c r="EA2" s="12">
        <v>3453</v>
      </c>
      <c r="EB2" s="12">
        <v>3440</v>
      </c>
      <c r="EC2" s="12">
        <v>3424</v>
      </c>
      <c r="ED2" s="12">
        <v>3381</v>
      </c>
      <c r="EE2" s="12">
        <v>3359</v>
      </c>
      <c r="EF2" s="12">
        <v>3351</v>
      </c>
      <c r="EG2" s="12">
        <v>3328</v>
      </c>
      <c r="EH2" s="12">
        <v>3321</v>
      </c>
      <c r="EI2" s="12">
        <v>3318</v>
      </c>
      <c r="EJ2" s="12">
        <v>3317</v>
      </c>
      <c r="EK2" s="12">
        <v>3308</v>
      </c>
      <c r="EL2" s="12">
        <v>3302</v>
      </c>
      <c r="EM2" s="12">
        <v>3296</v>
      </c>
      <c r="EN2" s="12">
        <v>3277</v>
      </c>
      <c r="EO2" s="12">
        <v>3267</v>
      </c>
      <c r="EP2" s="12">
        <v>3258</v>
      </c>
      <c r="EQ2" s="12">
        <v>3251</v>
      </c>
      <c r="ER2" s="12">
        <v>3247</v>
      </c>
      <c r="ES2" s="12">
        <v>3221</v>
      </c>
      <c r="ET2" s="12">
        <v>3212</v>
      </c>
      <c r="EU2" s="12">
        <v>3207</v>
      </c>
      <c r="EV2" s="12">
        <v>3194</v>
      </c>
      <c r="EW2" s="12">
        <v>3179</v>
      </c>
      <c r="EX2" s="12">
        <v>3160</v>
      </c>
      <c r="EY2" s="12">
        <v>3108</v>
      </c>
      <c r="EZ2" s="12">
        <v>3085</v>
      </c>
      <c r="FA2" s="12">
        <v>3079</v>
      </c>
      <c r="FB2" s="12">
        <v>3070</v>
      </c>
      <c r="FC2" s="12">
        <v>3068</v>
      </c>
      <c r="FD2" s="12">
        <v>3067</v>
      </c>
      <c r="FE2" s="12">
        <v>3063</v>
      </c>
      <c r="FF2" s="12">
        <v>3051</v>
      </c>
      <c r="FG2" s="12">
        <v>3044</v>
      </c>
      <c r="FH2" s="12">
        <v>3038</v>
      </c>
      <c r="FI2" s="12">
        <v>3032</v>
      </c>
      <c r="FJ2" s="12">
        <v>3028</v>
      </c>
      <c r="FK2" s="12">
        <v>3027</v>
      </c>
      <c r="FL2" s="12">
        <v>3027</v>
      </c>
      <c r="FM2" s="12">
        <v>3027</v>
      </c>
      <c r="FN2" s="12">
        <v>3020</v>
      </c>
      <c r="FO2" s="12">
        <v>3018</v>
      </c>
      <c r="FP2" s="12">
        <v>3014</v>
      </c>
      <c r="FQ2" s="12">
        <v>3011</v>
      </c>
      <c r="FR2" s="12">
        <v>3007</v>
      </c>
      <c r="FS2" s="12">
        <v>3002</v>
      </c>
      <c r="FT2" s="12">
        <v>3000</v>
      </c>
      <c r="FU2" s="12">
        <v>2999</v>
      </c>
      <c r="FV2" s="12">
        <v>2991</v>
      </c>
      <c r="FW2" s="12">
        <v>2989</v>
      </c>
      <c r="FX2" s="12">
        <v>2987</v>
      </c>
      <c r="FY2" s="12">
        <v>2986</v>
      </c>
      <c r="FZ2" s="12">
        <v>2984</v>
      </c>
      <c r="GA2" s="12">
        <v>2983</v>
      </c>
      <c r="GB2" s="12">
        <v>2982</v>
      </c>
      <c r="GC2" s="12">
        <v>2981</v>
      </c>
      <c r="GD2" s="12">
        <v>2979</v>
      </c>
      <c r="GE2" s="12">
        <v>2978</v>
      </c>
      <c r="GF2" s="12">
        <v>2977</v>
      </c>
      <c r="GG2" s="12">
        <v>2977</v>
      </c>
      <c r="GH2" s="12">
        <v>2976</v>
      </c>
      <c r="GI2" s="12">
        <v>2972</v>
      </c>
      <c r="GJ2" s="12">
        <v>2972</v>
      </c>
      <c r="GK2" s="12">
        <v>2970</v>
      </c>
      <c r="GL2" s="12">
        <v>2965</v>
      </c>
      <c r="GM2" s="12">
        <v>2965</v>
      </c>
      <c r="GN2" s="20">
        <v>2964</v>
      </c>
      <c r="GO2" s="12">
        <v>2962</v>
      </c>
      <c r="GP2" s="12">
        <v>2962</v>
      </c>
      <c r="GQ2" s="12">
        <v>2955</v>
      </c>
      <c r="GR2" s="12">
        <v>2954</v>
      </c>
      <c r="GS2" s="12">
        <v>2951</v>
      </c>
      <c r="GT2" s="12">
        <v>2950</v>
      </c>
      <c r="GU2" s="12">
        <v>2950</v>
      </c>
      <c r="GV2" s="12">
        <f>92+336+189+1362+450+243+54+221</f>
        <v>2947</v>
      </c>
      <c r="GW2" s="12">
        <f>92+336+189+1360+450+243+54+221</f>
        <v>2945</v>
      </c>
      <c r="GX2" s="12">
        <f>92+335+189+1360+450+241+54+221</f>
        <v>2942</v>
      </c>
      <c r="GY2" s="12">
        <f>92+334+189+1360+450+240+54+221</f>
        <v>2940</v>
      </c>
      <c r="GZ2" s="12">
        <f>92+334+189+1360+450+240+54+221</f>
        <v>2940</v>
      </c>
      <c r="HA2" s="12">
        <v>2939</v>
      </c>
      <c r="HB2" s="12">
        <f>92+333+189+1360+449+238+54+221</f>
        <v>2936</v>
      </c>
      <c r="HC2" s="12">
        <f>92+333+189+1359+448+238+54+221</f>
        <v>2934</v>
      </c>
      <c r="HD2" s="12">
        <f>92+330+188+1359+448+238+49+219</f>
        <v>2923</v>
      </c>
      <c r="HE2" s="12">
        <f>92+328+188+1359+448+237+49+219</f>
        <v>2920</v>
      </c>
      <c r="HF2" s="12">
        <f>92+328+188+1359+448+237+49+219</f>
        <v>2920</v>
      </c>
      <c r="HG2" s="12">
        <v>2918</v>
      </c>
      <c r="HH2" s="12">
        <f>92+328+188+1356+447+237+49+215</f>
        <v>2912</v>
      </c>
      <c r="HI2" s="12">
        <f>92+327+187+1355+445+237+49+215</f>
        <v>2907</v>
      </c>
      <c r="HJ2" s="12">
        <f>92+325+186+1353+443+237+49+215</f>
        <v>2900</v>
      </c>
      <c r="HK2" s="12">
        <f>92+323+183+1343+441+232+49+214</f>
        <v>2877</v>
      </c>
      <c r="HL2" s="12">
        <f>92+323+183+1337+437+231+49+213</f>
        <v>2865</v>
      </c>
      <c r="HM2" s="12">
        <f>92+317+183+1331+436+231+49+213</f>
        <v>2852</v>
      </c>
      <c r="HN2" s="12">
        <f>92+317+182+1329+436+231+49+213</f>
        <v>2849</v>
      </c>
      <c r="HO2" s="12">
        <f>92+317+182+1329+432+231+49+211</f>
        <v>2843</v>
      </c>
      <c r="HP2" s="12">
        <f>91+311+181+1329+423+231+49+211</f>
        <v>2826</v>
      </c>
      <c r="HQ2" s="12">
        <v>2811</v>
      </c>
      <c r="HR2" s="12">
        <v>2785</v>
      </c>
      <c r="HS2" s="12">
        <v>2764</v>
      </c>
    </row>
    <row r="3" spans="1:227" s="47" customFormat="1" ht="16.5" thickBot="1" x14ac:dyDescent="0.3">
      <c r="A3" s="46"/>
      <c r="B3" s="45"/>
      <c r="C3" s="28">
        <f>C2/G2</f>
        <v>1.0113871987491077</v>
      </c>
      <c r="D3" s="28">
        <f>D2/H2</f>
        <v>1.0147763031878505</v>
      </c>
      <c r="E3" s="28">
        <f>E2/I2</f>
        <v>1.0178159931212383</v>
      </c>
      <c r="F3" s="23">
        <f>F2/J2</f>
        <v>1.0207922504756963</v>
      </c>
      <c r="G3" s="23">
        <f t="shared" ref="G3:K3" si="0">G2/K2</f>
        <v>1.0237680957683741</v>
      </c>
      <c r="H3" s="23">
        <f t="shared" si="0"/>
        <v>1.0226310818846409</v>
      </c>
      <c r="I3" s="28">
        <f t="shared" si="0"/>
        <v>1.0186028587443947</v>
      </c>
      <c r="J3" s="28">
        <f t="shared" si="0"/>
        <v>1.0151009657594381</v>
      </c>
      <c r="K3" s="28">
        <f t="shared" si="0"/>
        <v>1.0142952949066393</v>
      </c>
      <c r="L3" s="28">
        <f t="shared" ref="L3:R3" si="1">L2/P2</f>
        <v>1.0181630399943018</v>
      </c>
      <c r="M3" s="23">
        <f t="shared" si="1"/>
        <v>1.0242204600093294</v>
      </c>
      <c r="N3" s="23">
        <f t="shared" si="1"/>
        <v>1.0292416684739392</v>
      </c>
      <c r="O3" s="23">
        <f t="shared" si="1"/>
        <v>1.0306304339917784</v>
      </c>
      <c r="P3" s="23">
        <f t="shared" si="1"/>
        <v>1.0245192833947532</v>
      </c>
      <c r="Q3" s="23">
        <f t="shared" si="1"/>
        <v>1.0228657417602585</v>
      </c>
      <c r="R3" s="23">
        <f t="shared" si="1"/>
        <v>1.0223191190599363</v>
      </c>
      <c r="S3" s="23">
        <f t="shared" ref="S3" si="2">S2/W2</f>
        <v>1.0254028648164728</v>
      </c>
      <c r="T3" s="23">
        <f t="shared" ref="T3:Y3" si="3">T2/X2</f>
        <v>1.0309196915553884</v>
      </c>
      <c r="U3" s="23">
        <f t="shared" si="3"/>
        <v>1.0351430416777478</v>
      </c>
      <c r="V3" s="23">
        <f t="shared" si="3"/>
        <v>1.0357867340299307</v>
      </c>
      <c r="W3" s="23">
        <f t="shared" si="3"/>
        <v>1.0311562427879069</v>
      </c>
      <c r="X3" s="23">
        <f t="shared" si="3"/>
        <v>1.0317460317460319</v>
      </c>
      <c r="Y3" s="23">
        <f t="shared" si="3"/>
        <v>1.0319128082487161</v>
      </c>
      <c r="Z3" s="23">
        <f t="shared" ref="Z3:AE3" si="4">Z2/AD2</f>
        <v>1.0376092136616362</v>
      </c>
      <c r="AA3" s="23">
        <f t="shared" si="4"/>
        <v>1.0517841249292015</v>
      </c>
      <c r="AB3" s="23">
        <f t="shared" si="4"/>
        <v>1.0616373449796053</v>
      </c>
      <c r="AC3" s="23">
        <f t="shared" si="4"/>
        <v>1.0660341873197643</v>
      </c>
      <c r="AD3" s="23">
        <f t="shared" si="4"/>
        <v>1.0647384667427797</v>
      </c>
      <c r="AE3" s="23">
        <f t="shared" si="4"/>
        <v>1.0583600941982445</v>
      </c>
      <c r="AF3" s="23">
        <f t="shared" ref="AF3:AK3" si="5">AF2/AJ2</f>
        <v>1.0616770919907266</v>
      </c>
      <c r="AG3" s="23">
        <f t="shared" si="5"/>
        <v>1.074694574200503</v>
      </c>
      <c r="AH3" s="23">
        <f t="shared" si="5"/>
        <v>1.0858625281234215</v>
      </c>
      <c r="AI3" s="23">
        <f t="shared" si="5"/>
        <v>1.0931941583973039</v>
      </c>
      <c r="AJ3" s="23">
        <f t="shared" si="5"/>
        <v>1.0871694883013125</v>
      </c>
      <c r="AK3" s="23">
        <f t="shared" si="5"/>
        <v>1.0786299113415048</v>
      </c>
      <c r="AL3" s="23">
        <f>21779/20214</f>
        <v>1.0774215889977243</v>
      </c>
      <c r="AM3" s="23">
        <f>AM2/AQ2</f>
        <v>1.0862866731072354</v>
      </c>
      <c r="AN3" s="42">
        <f>AN2/AR2</f>
        <v>1.1012306886619534</v>
      </c>
      <c r="AO3" s="42">
        <f>AO2/AS2</f>
        <v>1.1143443286724612</v>
      </c>
      <c r="AP3" s="42">
        <f>AP2/AT2</f>
        <v>1.1190212577502214</v>
      </c>
      <c r="AQ3" s="42">
        <f>19667/17540</f>
        <v>1.1212656784492587</v>
      </c>
      <c r="AR3" s="42">
        <f>AR2/AV2</f>
        <v>1.1123732960503321</v>
      </c>
      <c r="AS3" s="42">
        <f>18523/16668</f>
        <v>1.1112910967122631</v>
      </c>
      <c r="AT3" s="42">
        <f>AT2/AX2</f>
        <v>1.1171995794421423</v>
      </c>
      <c r="AU3" s="42">
        <f>17540/15728</f>
        <v>1.115208545269583</v>
      </c>
      <c r="AV3" s="42">
        <f>AV2/AZ2</f>
        <v>1.1153996101364523</v>
      </c>
      <c r="AW3" s="42">
        <f>AW2/BA2</f>
        <v>1.1137988640160374</v>
      </c>
      <c r="AX3" s="23">
        <f>16169/14741</f>
        <v>1.096872668068652</v>
      </c>
      <c r="AY3" s="23">
        <f>15728/14507</f>
        <v>1.0841662645619357</v>
      </c>
      <c r="AZ3" s="23">
        <f>15390/14199</f>
        <v>1.0838791464187618</v>
      </c>
      <c r="BA3" s="23">
        <f>14965/13915</f>
        <v>1.0754581386992454</v>
      </c>
      <c r="BB3" s="23">
        <f>14741/13608</f>
        <v>1.083259847148736</v>
      </c>
      <c r="BC3" s="23">
        <f>14507/13299</f>
        <v>1.0908338972855103</v>
      </c>
      <c r="BD3" s="23">
        <f>14199/13108</f>
        <v>1.0832316142813549</v>
      </c>
      <c r="BE3" s="23">
        <f>13915/12960</f>
        <v>1.0736882716049383</v>
      </c>
      <c r="BF3" s="23">
        <f>13608/12793</f>
        <v>1.063706714609552</v>
      </c>
      <c r="BG3" s="23">
        <f>13299/12599</f>
        <v>1.0555599650765934</v>
      </c>
      <c r="BH3" s="23">
        <f>13108/12359</f>
        <v>1.0606036087062061</v>
      </c>
      <c r="BI3" s="23">
        <f>12960/12138</f>
        <v>1.0677212061295107</v>
      </c>
      <c r="BJ3" s="23">
        <f>12793/11929</f>
        <v>1.0724285355017185</v>
      </c>
      <c r="BK3" s="23">
        <f>12599/11707</f>
        <v>1.0761937302468609</v>
      </c>
      <c r="BL3" s="23">
        <f>12359/11560</f>
        <v>1.0691176470588235</v>
      </c>
      <c r="BM3" s="23">
        <f>12138/11446</f>
        <v>1.0604578018521755</v>
      </c>
      <c r="BN3" s="23">
        <f>11929/11298</f>
        <v>1.0558505930253141</v>
      </c>
      <c r="BO3" s="23">
        <f>11707/11109</f>
        <v>1.0538302277432712</v>
      </c>
      <c r="BP3" s="23">
        <f>11560/10942</f>
        <v>1.0564796198135624</v>
      </c>
      <c r="BQ3" s="23">
        <f>11446/10779</f>
        <v>1.0618795806661101</v>
      </c>
      <c r="BR3" s="23">
        <f>11298/10600</f>
        <v>1.0658490566037735</v>
      </c>
      <c r="BS3" s="23">
        <f>11109/10471</f>
        <v>1.0609301881386688</v>
      </c>
      <c r="BT3" s="23">
        <f>10942/10373</f>
        <v>1.0548539477489636</v>
      </c>
      <c r="BU3" s="23">
        <f>10779/10212</f>
        <v>1.0555229142185665</v>
      </c>
      <c r="BV3" s="23">
        <f>10600/10003</f>
        <v>1.0596820953713886</v>
      </c>
      <c r="BW3" s="23">
        <f>10471/9684</f>
        <v>1.0812680710450226</v>
      </c>
      <c r="BX3" s="23">
        <f>10373/9494</f>
        <v>1.092584790393933</v>
      </c>
      <c r="BY3" s="42">
        <f>10212/9266</f>
        <v>1.1020936758040147</v>
      </c>
      <c r="BZ3" s="42">
        <f>10003/9083</f>
        <v>1.1012881206649785</v>
      </c>
      <c r="CA3" s="23">
        <f>9684/8907</f>
        <v>1.0872347591781744</v>
      </c>
      <c r="CB3" s="23">
        <f>9494/8698</f>
        <v>1.0915152908714647</v>
      </c>
      <c r="CC3" s="42">
        <f>9266/8325</f>
        <v>1.1130330330330331</v>
      </c>
      <c r="CD3" s="42">
        <f>9083/8060</f>
        <v>1.1269230769230769</v>
      </c>
      <c r="CE3" s="42">
        <f>8907/7799</f>
        <v>1.1420694960892421</v>
      </c>
      <c r="CF3" s="42">
        <f>8698/7574</f>
        <v>1.1484024293636124</v>
      </c>
      <c r="CG3" s="42">
        <f>8325/7368</f>
        <v>1.129885993485342</v>
      </c>
      <c r="CH3" s="42">
        <f>8060/7216</f>
        <v>1.1169623059866962</v>
      </c>
      <c r="CI3" s="42">
        <f>7799/6932</f>
        <v>1.1250721292556261</v>
      </c>
      <c r="CJ3" s="42">
        <f>7574/6692</f>
        <v>1.1317991631799162</v>
      </c>
      <c r="CK3" s="42">
        <f>7368/6484</f>
        <v>1.1363355953115362</v>
      </c>
      <c r="CL3" s="42">
        <f>7216/6299</f>
        <v>1.1455786632798857</v>
      </c>
      <c r="CM3" s="42">
        <f>6932/6180</f>
        <v>1.1216828478964402</v>
      </c>
      <c r="CN3" s="42">
        <f>6692/6074</f>
        <v>1.101745143233454</v>
      </c>
      <c r="CO3" s="23">
        <f>6484/5960</f>
        <v>1.0879194630872484</v>
      </c>
      <c r="CP3" s="23">
        <f>6299/5852</f>
        <v>1.0763841421736158</v>
      </c>
      <c r="CQ3" s="23">
        <f>6180/5629</f>
        <v>1.0978859477704743</v>
      </c>
      <c r="CR3" s="42">
        <f>6074/5432</f>
        <v>1.1181885125184094</v>
      </c>
      <c r="CS3" s="42">
        <f>5960/5324</f>
        <v>1.1194590533433508</v>
      </c>
      <c r="CT3" s="42">
        <f>5852/5223</f>
        <v>1.1204288722956155</v>
      </c>
      <c r="CU3" s="23">
        <f>5629/5123</f>
        <v>1.0987702518055826</v>
      </c>
      <c r="CV3" s="23">
        <f>5432/5007</f>
        <v>1.0848811663670861</v>
      </c>
      <c r="CW3" s="23">
        <f>5324/4901</f>
        <v>1.0863089165476434</v>
      </c>
      <c r="CX3" s="23">
        <f>5223/4779</f>
        <v>1.0929064657878218</v>
      </c>
      <c r="CY3" s="23">
        <f>5123/4668</f>
        <v>1.097472150814053</v>
      </c>
      <c r="CZ3" s="23">
        <f>5007/4600</f>
        <v>1.0884782608695651</v>
      </c>
      <c r="DA3" s="23">
        <f>4901/4507</f>
        <v>1.0874195695584645</v>
      </c>
      <c r="DB3" s="23">
        <f>4779/4458</f>
        <v>1.0720053835800807</v>
      </c>
      <c r="DC3" s="23">
        <f>4688/4387</f>
        <v>1.0686118076134032</v>
      </c>
      <c r="DD3" s="23">
        <f>4600/4285</f>
        <v>1.0735122520420071</v>
      </c>
      <c r="DE3" s="23">
        <f>4507/4195</f>
        <v>1.0743742550655542</v>
      </c>
      <c r="DF3" s="23">
        <f>4458/4116</f>
        <v>1.0830903790087463</v>
      </c>
      <c r="DG3" s="23">
        <f>4387/4018</f>
        <v>1.0918367346938775</v>
      </c>
      <c r="DH3" s="23">
        <f>4285/3936</f>
        <v>1.0886686991869918</v>
      </c>
      <c r="DI3" s="23">
        <f>4195/3900</f>
        <v>1.0756410256410256</v>
      </c>
      <c r="DJ3" s="23">
        <f>4116/3868</f>
        <v>1.0641158221303</v>
      </c>
      <c r="DK3" s="23">
        <f>4018/3844</f>
        <v>1.0452653485952133</v>
      </c>
      <c r="DL3" s="23">
        <f>3936/3792</f>
        <v>1.0379746835443038</v>
      </c>
      <c r="DM3" s="23">
        <f>3900/3724</f>
        <v>1.0472610096670247</v>
      </c>
      <c r="DN3" s="23">
        <f>3868/3668</f>
        <v>1.054525627044711</v>
      </c>
      <c r="DO3" s="23">
        <f>3844/3629</f>
        <v>1.0592449710664096</v>
      </c>
      <c r="DP3" s="23">
        <f>3792/3618</f>
        <v>1.0480928689883913</v>
      </c>
      <c r="DQ3" s="23">
        <f>3724/3611</f>
        <v>1.0312932705621711</v>
      </c>
      <c r="DR3" s="28">
        <f>3668/3597</f>
        <v>1.019738671114818</v>
      </c>
      <c r="DS3" s="23">
        <f>3629/3550</f>
        <v>1.0222535211267605</v>
      </c>
      <c r="DT3" s="23">
        <f>3618/3520</f>
        <v>1.0278409090909091</v>
      </c>
      <c r="DU3" s="23">
        <f>3611/3482</f>
        <v>1.0370476737507179</v>
      </c>
      <c r="DV3" s="23">
        <f>3597/3461</f>
        <v>1.0392950014446691</v>
      </c>
      <c r="DW3" s="23">
        <f>3550/3453</f>
        <v>1.0280915146249638</v>
      </c>
      <c r="DX3" s="23">
        <f>3520/3440</f>
        <v>1.0232558139534884</v>
      </c>
      <c r="DY3" s="28">
        <f>3482/3424</f>
        <v>1.0169392523364487</v>
      </c>
      <c r="DZ3" s="23">
        <f>3461/3381</f>
        <v>1.0236616385684709</v>
      </c>
      <c r="EA3" s="23">
        <f>3453/3359</f>
        <v>1.0279845192021435</v>
      </c>
      <c r="EB3" s="23">
        <f>3440/3351</f>
        <v>1.0265592360489406</v>
      </c>
      <c r="EC3" s="23">
        <f>3424/3328</f>
        <v>1.0288461538461537</v>
      </c>
      <c r="ED3" s="28">
        <f>3381/3321</f>
        <v>1.01806684733514</v>
      </c>
      <c r="EE3" s="28">
        <f>3359/3318</f>
        <v>1.0123568414707655</v>
      </c>
      <c r="EF3" s="22">
        <f>3351/3328</f>
        <v>1.0069110576923077</v>
      </c>
      <c r="EG3" s="22">
        <f>3328/3308</f>
        <v>1.0060459492140266</v>
      </c>
      <c r="EH3" s="22">
        <f>3321/3302</f>
        <v>1.0057540884312537</v>
      </c>
      <c r="EI3" s="22">
        <f>3318/3296</f>
        <v>1.0066747572815533</v>
      </c>
      <c r="EJ3" s="28">
        <f>3317/3277</f>
        <v>1.0122062862374124</v>
      </c>
      <c r="EK3" s="28">
        <f>3308/3267</f>
        <v>1.012549739822467</v>
      </c>
      <c r="EL3" s="28">
        <f>3302/3258</f>
        <v>1.0135052179251074</v>
      </c>
      <c r="EM3" s="28">
        <f>3296/3251</f>
        <v>1.0138418948015995</v>
      </c>
      <c r="EN3" s="22">
        <f>3277/3247</f>
        <v>1.0092392978133662</v>
      </c>
      <c r="EO3" s="28">
        <f>3267/3221</f>
        <v>1.0142812791058677</v>
      </c>
      <c r="EP3" s="28">
        <f>3258/3212</f>
        <v>1.014321295143213</v>
      </c>
      <c r="EQ3" s="28">
        <f>3251/3207</f>
        <v>1.013719987527284</v>
      </c>
      <c r="ER3" s="28">
        <f>3247/3194</f>
        <v>1.0165936130244209</v>
      </c>
      <c r="ES3" s="28">
        <f>3221/3179</f>
        <v>1.0132117017930167</v>
      </c>
      <c r="ET3" s="28">
        <f>3212/3160</f>
        <v>1.0164556962025317</v>
      </c>
      <c r="EU3" s="23">
        <f>3207/3108</f>
        <v>1.031853281853282</v>
      </c>
      <c r="EV3" s="23">
        <f>3194/3085</f>
        <v>1.0353322528363047</v>
      </c>
      <c r="EW3" s="23">
        <f>3179/3079</f>
        <v>1.0324780772978239</v>
      </c>
      <c r="EX3" s="23">
        <f>3160/3070</f>
        <v>1.0293159609120521</v>
      </c>
      <c r="EY3" s="28">
        <f>3108/3068</f>
        <v>1.0130378096479791</v>
      </c>
      <c r="EZ3" s="22">
        <f>3085/3067</f>
        <v>1.0058689272905119</v>
      </c>
      <c r="FA3" s="22">
        <f>3079/3063</f>
        <v>1.0052236369572314</v>
      </c>
      <c r="FB3" s="22">
        <f>3070/3051</f>
        <v>1.0062274664044575</v>
      </c>
      <c r="FC3" s="22">
        <f>3068/3044</f>
        <v>1.0078843626806833</v>
      </c>
      <c r="FD3" s="22">
        <f>3067/3038</f>
        <v>1.0095457537853851</v>
      </c>
      <c r="FE3" s="28">
        <f>3063/3032</f>
        <v>1.0102242744063326</v>
      </c>
      <c r="FF3" s="22">
        <f>3051/3028</f>
        <v>1.0075957727873184</v>
      </c>
      <c r="FG3" s="22">
        <f>3044/3027</f>
        <v>1.0056161215725141</v>
      </c>
      <c r="FH3" s="22">
        <f>3038/3027</f>
        <v>1.0036339610175091</v>
      </c>
      <c r="FI3" s="22">
        <f>3032/3027</f>
        <v>1.0016518004625041</v>
      </c>
      <c r="FJ3" s="22">
        <f>3028/3020</f>
        <v>1.0026490066225167</v>
      </c>
      <c r="FK3" s="22">
        <f>3027/3018</f>
        <v>1.0029821073558649</v>
      </c>
      <c r="FL3" s="22">
        <f>3027/3014</f>
        <v>1.004313205043132</v>
      </c>
      <c r="FM3" s="22">
        <f>3027/3011</f>
        <v>1.0053138492195284</v>
      </c>
      <c r="FN3" s="22">
        <f>3020/3007</f>
        <v>1.0043232457598936</v>
      </c>
      <c r="FO3" s="22">
        <f>3018/3002</f>
        <v>1.005329780146569</v>
      </c>
      <c r="FP3" s="22">
        <f>3015/3000</f>
        <v>1.0049999999999999</v>
      </c>
      <c r="FQ3" s="22">
        <f>3011/2999</f>
        <v>1.0040013337779259</v>
      </c>
      <c r="FR3" s="22">
        <f>3007/2991</f>
        <v>1.0053493814777665</v>
      </c>
      <c r="FS3" s="22">
        <f>3002/2989</f>
        <v>1.0043492806958849</v>
      </c>
      <c r="FT3" s="22">
        <f>3000/2987</f>
        <v>1.0043521928356209</v>
      </c>
      <c r="FU3" s="22">
        <f>2999/2986</f>
        <v>1.0043536503683859</v>
      </c>
      <c r="FV3" s="22">
        <f>2991/2984</f>
        <v>1.0023458445040214</v>
      </c>
      <c r="FW3" s="22">
        <f>2989/2983</f>
        <v>1.0020113979215555</v>
      </c>
      <c r="FX3" s="22">
        <f>2987/2982</f>
        <v>1.0016767270288398</v>
      </c>
      <c r="FY3" s="22">
        <f>2986/2981</f>
        <v>1.0016772895001678</v>
      </c>
      <c r="FZ3" s="22">
        <f>2984/2979</f>
        <v>1.0016784155756966</v>
      </c>
      <c r="GA3" s="22">
        <f>2983/2978</f>
        <v>1.0016789791806582</v>
      </c>
      <c r="GB3" s="22">
        <f>2982/2977</f>
        <v>1.0016795431642593</v>
      </c>
      <c r="GC3" s="22">
        <f>2981/2977</f>
        <v>1.0013436345314075</v>
      </c>
      <c r="GD3" s="22">
        <f>2979/2976</f>
        <v>1.001008064516129</v>
      </c>
      <c r="GE3" s="22">
        <f>2978/2972</f>
        <v>1.0020188425302827</v>
      </c>
      <c r="GF3" s="22">
        <f>2977/2972</f>
        <v>1.0016823687752354</v>
      </c>
      <c r="GG3" s="22">
        <f>2977/2970</f>
        <v>1.0023569023569023</v>
      </c>
      <c r="GH3" s="22">
        <f>2976/2965</f>
        <v>1.0037099494097808</v>
      </c>
      <c r="GI3" s="22">
        <f>2972/2965</f>
        <v>1.0023608768971333</v>
      </c>
      <c r="GJ3" s="22">
        <f>2972/2964</f>
        <v>1.0026990553306343</v>
      </c>
      <c r="GK3" s="22">
        <f>2970/2962</f>
        <v>1.0027008777852802</v>
      </c>
      <c r="GL3" s="22">
        <f>2965/2962</f>
        <v>1.00101282916948</v>
      </c>
      <c r="GM3" s="22">
        <f>2965/2955</f>
        <v>1.0033840947546531</v>
      </c>
      <c r="GN3" s="22">
        <f>2964/2954</f>
        <v>1.0033852403520649</v>
      </c>
      <c r="GO3" s="22">
        <f>2962/2951</f>
        <v>1.0037275499830567</v>
      </c>
      <c r="GP3" s="22">
        <f>GP2/GT2</f>
        <v>1.0040677966101694</v>
      </c>
      <c r="GQ3" s="22">
        <f>2955/2950</f>
        <v>1.0016949152542374</v>
      </c>
      <c r="GR3" s="25">
        <f>2954/2947</f>
        <v>1.002375296912114</v>
      </c>
      <c r="GS3" s="25">
        <f>2951/2945</f>
        <v>1.002037351443124</v>
      </c>
      <c r="GT3" s="25">
        <f>2950/2942</f>
        <v>1.0027192386131882</v>
      </c>
      <c r="GU3" s="25">
        <f>2950/2940</f>
        <v>1.0034013605442176</v>
      </c>
      <c r="GV3" s="25">
        <f>2947/2940</f>
        <v>1.0023809523809524</v>
      </c>
      <c r="GW3" s="25">
        <f>2945/2939</f>
        <v>1.0020415107179312</v>
      </c>
      <c r="GX3" s="25">
        <f>2942/2936</f>
        <v>1.0020435967302452</v>
      </c>
      <c r="GY3" s="25">
        <f>2940/2934</f>
        <v>1.0020449897750512</v>
      </c>
      <c r="GZ3" s="25">
        <f>2940/2923</f>
        <v>1.0058159425248032</v>
      </c>
      <c r="HA3" s="25">
        <f>2939/2920</f>
        <v>1.0065068493150684</v>
      </c>
      <c r="HB3" s="25">
        <f>2936/2920</f>
        <v>1.0054794520547945</v>
      </c>
      <c r="HC3" s="25">
        <f>2934/2918</f>
        <v>1.0054832076764908</v>
      </c>
      <c r="HD3" s="25">
        <f>2923/2912</f>
        <v>1.0037774725274726</v>
      </c>
      <c r="HE3" s="25">
        <f>2920/2907</f>
        <v>1.0044719642242863</v>
      </c>
      <c r="HF3" s="25">
        <f>2920/2900</f>
        <v>1.0068965517241379</v>
      </c>
      <c r="HG3" s="26">
        <f>2918/2877</f>
        <v>1.0142509558567954</v>
      </c>
      <c r="HH3" s="26">
        <f>2912/2865</f>
        <v>1.0164048865619546</v>
      </c>
      <c r="HI3" s="26">
        <f>2907/2852</f>
        <v>1.0192847124824684</v>
      </c>
      <c r="HJ3" s="26">
        <f>2900/2849</f>
        <v>1.0179010179010179</v>
      </c>
      <c r="HK3" s="26">
        <f>2877/2843</f>
        <v>1.0119591980302498</v>
      </c>
      <c r="HL3" s="26">
        <f>2865/2826</f>
        <v>1.0138004246284502</v>
      </c>
      <c r="HM3" s="26">
        <f>2852/2811</f>
        <v>1.0145855567413731</v>
      </c>
      <c r="HN3" s="35">
        <f>2849/2785</f>
        <v>1.0229802513464992</v>
      </c>
      <c r="HO3" s="35">
        <f>2843/2764</f>
        <v>1.0285817655571636</v>
      </c>
    </row>
    <row r="4" spans="1:227" s="18" customFormat="1" ht="16.5" thickBot="1" x14ac:dyDescent="0.3">
      <c r="A4" s="9" t="s">
        <v>1</v>
      </c>
      <c r="B4" s="10">
        <v>97</v>
      </c>
      <c r="C4" s="10">
        <f>5+D4</f>
        <v>1011</v>
      </c>
      <c r="D4" s="10">
        <f>2+E4</f>
        <v>1006</v>
      </c>
      <c r="E4" s="10">
        <f>2+F4</f>
        <v>1004</v>
      </c>
      <c r="F4" s="10">
        <v>1002</v>
      </c>
      <c r="G4" s="10">
        <f>3+H4</f>
        <v>1002</v>
      </c>
      <c r="H4" s="10">
        <f>6+I4</f>
        <v>999</v>
      </c>
      <c r="I4" s="10">
        <f>3+J4</f>
        <v>993</v>
      </c>
      <c r="J4" s="10">
        <f>1+K4</f>
        <v>990</v>
      </c>
      <c r="K4" s="10">
        <f>4+L4</f>
        <v>989</v>
      </c>
      <c r="L4" s="10">
        <v>985</v>
      </c>
      <c r="M4" s="10">
        <f>7+N4</f>
        <v>981</v>
      </c>
      <c r="N4" s="10">
        <f>3+O4</f>
        <v>974</v>
      </c>
      <c r="O4" s="10">
        <f>38+P4</f>
        <v>971</v>
      </c>
      <c r="P4" s="10">
        <f>14+Q4</f>
        <v>933</v>
      </c>
      <c r="Q4" s="10">
        <f>7+R4</f>
        <v>919</v>
      </c>
      <c r="R4" s="10">
        <f>2+S4</f>
        <v>912</v>
      </c>
      <c r="S4" s="10">
        <f>5+T4</f>
        <v>910</v>
      </c>
      <c r="T4" s="10">
        <f>12+893</f>
        <v>905</v>
      </c>
      <c r="U4" s="10">
        <f>24+869</f>
        <v>893</v>
      </c>
      <c r="V4" s="10">
        <f>12+857</f>
        <v>869</v>
      </c>
      <c r="W4" s="10">
        <f>10+847</f>
        <v>857</v>
      </c>
      <c r="X4" s="10">
        <f>15+832</f>
        <v>847</v>
      </c>
      <c r="Y4" s="10">
        <f>4+828</f>
        <v>832</v>
      </c>
      <c r="Z4" s="10">
        <f>29+799</f>
        <v>828</v>
      </c>
      <c r="AA4" s="10">
        <f>7+792</f>
        <v>799</v>
      </c>
      <c r="AB4" s="10">
        <f>6+786</f>
        <v>792</v>
      </c>
      <c r="AC4" s="10">
        <f>6+780</f>
        <v>786</v>
      </c>
      <c r="AD4" s="10">
        <f>15+AE4</f>
        <v>780</v>
      </c>
      <c r="AE4" s="10">
        <f>12+753</f>
        <v>765</v>
      </c>
      <c r="AF4" s="10">
        <f>4+749</f>
        <v>753</v>
      </c>
      <c r="AG4" s="10">
        <f>23+726</f>
        <v>749</v>
      </c>
      <c r="AH4" s="10">
        <f>10+716</f>
        <v>726</v>
      </c>
      <c r="AI4" s="10">
        <f>5+711</f>
        <v>716</v>
      </c>
      <c r="AJ4" s="10">
        <f>4+707</f>
        <v>711</v>
      </c>
      <c r="AK4" s="10">
        <f>6+701</f>
        <v>707</v>
      </c>
      <c r="AL4" s="10">
        <f>9+692</f>
        <v>701</v>
      </c>
      <c r="AM4" s="10">
        <f>4+688</f>
        <v>692</v>
      </c>
      <c r="AN4" s="10">
        <v>688</v>
      </c>
      <c r="AO4" s="10">
        <f>5+680</f>
        <v>685</v>
      </c>
      <c r="AP4" s="10">
        <f>4+676</f>
        <v>680</v>
      </c>
      <c r="AQ4" s="10">
        <f>9+667</f>
        <v>676</v>
      </c>
      <c r="AR4" s="10">
        <v>667</v>
      </c>
      <c r="AS4" s="10">
        <f>6+660</f>
        <v>666</v>
      </c>
      <c r="AT4" s="10">
        <v>660</v>
      </c>
      <c r="AU4" s="10">
        <f>9+648</f>
        <v>657</v>
      </c>
      <c r="AV4" s="10">
        <v>648</v>
      </c>
      <c r="AW4" s="10">
        <f>8+623</f>
        <v>631</v>
      </c>
      <c r="AX4" s="10">
        <f>9+614</f>
        <v>623</v>
      </c>
      <c r="AY4" s="10">
        <f>8+606</f>
        <v>614</v>
      </c>
      <c r="AZ4" s="10">
        <f>7+599</f>
        <v>606</v>
      </c>
      <c r="BA4" s="10">
        <v>599</v>
      </c>
      <c r="BB4" s="10">
        <v>599</v>
      </c>
      <c r="BC4" s="10">
        <v>597</v>
      </c>
      <c r="BD4" s="10">
        <f>15+582</f>
        <v>597</v>
      </c>
      <c r="BE4" s="10">
        <v>582</v>
      </c>
      <c r="BF4" s="10">
        <f>21+551</f>
        <v>572</v>
      </c>
      <c r="BG4" s="10">
        <f>536+15</f>
        <v>551</v>
      </c>
      <c r="BH4" s="10">
        <f>523+13</f>
        <v>536</v>
      </c>
      <c r="BI4" s="10">
        <v>523</v>
      </c>
      <c r="BJ4" s="10">
        <f>496+26</f>
        <v>522</v>
      </c>
      <c r="BK4" s="10">
        <v>496</v>
      </c>
      <c r="BL4" s="10">
        <v>492</v>
      </c>
      <c r="BM4" s="10">
        <v>473</v>
      </c>
      <c r="BN4" s="10">
        <f>463+9</f>
        <v>472</v>
      </c>
      <c r="BO4" s="10">
        <f>451+12</f>
        <v>463</v>
      </c>
      <c r="BP4" s="10">
        <v>451</v>
      </c>
      <c r="BQ4" s="10">
        <v>441</v>
      </c>
      <c r="BR4" s="10">
        <f>422+12</f>
        <v>434</v>
      </c>
      <c r="BS4" s="10">
        <v>422</v>
      </c>
      <c r="BT4" s="10">
        <f>407+3</f>
        <v>410</v>
      </c>
      <c r="BU4" s="10">
        <v>407</v>
      </c>
      <c r="BV4" s="10">
        <v>404</v>
      </c>
      <c r="BW4" s="10">
        <v>394</v>
      </c>
      <c r="BX4" s="10">
        <v>388</v>
      </c>
      <c r="BY4" s="10">
        <v>388</v>
      </c>
      <c r="BZ4" s="10">
        <v>368</v>
      </c>
      <c r="CA4" s="10">
        <v>359</v>
      </c>
      <c r="CB4" s="10">
        <f>313+21</f>
        <v>334</v>
      </c>
      <c r="CC4" s="10">
        <v>313</v>
      </c>
      <c r="CD4" s="10">
        <v>277</v>
      </c>
      <c r="CE4" s="10">
        <v>254</v>
      </c>
      <c r="CF4" s="10">
        <f>198+23</f>
        <v>221</v>
      </c>
      <c r="CG4" s="10">
        <v>198</v>
      </c>
      <c r="CH4" s="10">
        <v>189</v>
      </c>
      <c r="CI4" s="10">
        <v>182</v>
      </c>
      <c r="CJ4" s="10">
        <v>173</v>
      </c>
      <c r="CK4" s="10">
        <v>173</v>
      </c>
      <c r="CL4" s="10">
        <v>169</v>
      </c>
      <c r="CM4" s="10">
        <v>167</v>
      </c>
      <c r="CN4" s="10">
        <v>163</v>
      </c>
      <c r="CO4" s="10">
        <v>163</v>
      </c>
      <c r="CP4" s="10">
        <v>158</v>
      </c>
      <c r="CQ4" s="10">
        <v>158</v>
      </c>
      <c r="CR4" s="10">
        <v>158</v>
      </c>
      <c r="CS4" s="10">
        <v>156</v>
      </c>
      <c r="CT4" s="10">
        <v>154</v>
      </c>
      <c r="CU4" s="10">
        <v>149</v>
      </c>
      <c r="CV4" s="10">
        <v>146</v>
      </c>
      <c r="CW4" s="10">
        <v>144</v>
      </c>
      <c r="CX4" s="10">
        <v>139</v>
      </c>
      <c r="CY4" s="10">
        <v>139</v>
      </c>
      <c r="CZ4" s="10">
        <v>137</v>
      </c>
      <c r="DA4" s="58">
        <v>137</v>
      </c>
      <c r="DB4" s="10">
        <v>135</v>
      </c>
      <c r="DC4" s="10">
        <v>135</v>
      </c>
      <c r="DD4" s="10">
        <v>133</v>
      </c>
      <c r="DE4" s="10">
        <v>130</v>
      </c>
      <c r="DF4" s="10">
        <v>129</v>
      </c>
      <c r="DG4" s="10">
        <v>129</v>
      </c>
      <c r="DH4" s="10">
        <v>129</v>
      </c>
      <c r="DI4" s="10">
        <v>128</v>
      </c>
      <c r="DJ4" s="10">
        <v>119</v>
      </c>
      <c r="DK4" s="10">
        <v>119</v>
      </c>
      <c r="DL4" s="10">
        <v>119</v>
      </c>
      <c r="DM4" s="10">
        <v>112</v>
      </c>
      <c r="DN4" s="10">
        <v>112</v>
      </c>
      <c r="DO4" s="10">
        <v>110</v>
      </c>
      <c r="DP4" s="10">
        <v>107</v>
      </c>
      <c r="DQ4" s="10">
        <v>103</v>
      </c>
      <c r="DR4" s="10">
        <v>100</v>
      </c>
      <c r="DS4" s="10">
        <v>100</v>
      </c>
      <c r="DT4" s="10">
        <v>100</v>
      </c>
      <c r="DU4" s="10">
        <v>100</v>
      </c>
      <c r="DV4" s="10">
        <v>100</v>
      </c>
      <c r="DW4" s="10">
        <v>100</v>
      </c>
      <c r="DX4" s="10">
        <v>100</v>
      </c>
      <c r="DY4" s="10">
        <v>98</v>
      </c>
      <c r="DZ4" s="10">
        <v>98</v>
      </c>
      <c r="EA4" s="10">
        <v>98</v>
      </c>
      <c r="EB4" s="10">
        <v>97</v>
      </c>
      <c r="EC4" s="10">
        <v>97</v>
      </c>
      <c r="ED4" s="10">
        <v>97</v>
      </c>
      <c r="EE4" s="10">
        <v>97</v>
      </c>
      <c r="EF4" s="10">
        <v>97</v>
      </c>
      <c r="EG4" s="10">
        <v>97</v>
      </c>
      <c r="EH4" s="10">
        <v>97</v>
      </c>
      <c r="EI4" s="10">
        <v>97</v>
      </c>
      <c r="EJ4" s="10">
        <v>97</v>
      </c>
      <c r="EK4" s="10">
        <v>97</v>
      </c>
      <c r="EL4" s="10">
        <v>97</v>
      </c>
      <c r="EM4" s="10">
        <v>97</v>
      </c>
      <c r="EN4" s="10">
        <v>97</v>
      </c>
      <c r="EO4" s="10">
        <v>97</v>
      </c>
      <c r="EP4" s="10">
        <v>97</v>
      </c>
      <c r="EQ4" s="10">
        <v>97</v>
      </c>
      <c r="ER4" s="10">
        <v>97</v>
      </c>
      <c r="ES4" s="10">
        <v>96</v>
      </c>
      <c r="ET4" s="10">
        <v>95</v>
      </c>
      <c r="EU4" s="10">
        <v>95</v>
      </c>
      <c r="EV4" s="10">
        <v>95</v>
      </c>
      <c r="EW4" s="10">
        <v>95</v>
      </c>
      <c r="EX4" s="10">
        <v>95</v>
      </c>
      <c r="EY4" s="10">
        <v>95</v>
      </c>
      <c r="EZ4" s="10">
        <v>95</v>
      </c>
      <c r="FA4" s="10">
        <v>95</v>
      </c>
      <c r="FB4" s="10">
        <v>95</v>
      </c>
      <c r="FC4" s="10">
        <v>95</v>
      </c>
      <c r="FD4" s="10">
        <v>95</v>
      </c>
      <c r="FE4" s="10">
        <v>95</v>
      </c>
      <c r="FF4" s="10">
        <v>95</v>
      </c>
      <c r="FG4" s="10">
        <v>95</v>
      </c>
      <c r="FH4" s="10">
        <v>95</v>
      </c>
      <c r="FI4" s="10">
        <v>95</v>
      </c>
      <c r="FJ4" s="10">
        <v>95</v>
      </c>
      <c r="FK4" s="10">
        <v>95</v>
      </c>
      <c r="FL4" s="10">
        <v>95</v>
      </c>
      <c r="FM4" s="10">
        <v>95</v>
      </c>
      <c r="FN4" s="10">
        <v>95</v>
      </c>
      <c r="FO4" s="10">
        <v>95</v>
      </c>
      <c r="FP4" s="10">
        <v>95</v>
      </c>
      <c r="FQ4" s="10">
        <v>95</v>
      </c>
      <c r="FR4" s="10">
        <v>95</v>
      </c>
      <c r="FS4" s="10">
        <v>95</v>
      </c>
      <c r="FT4" s="10">
        <v>95</v>
      </c>
      <c r="FU4" s="10">
        <v>95</v>
      </c>
      <c r="FV4" s="10">
        <v>95</v>
      </c>
      <c r="FW4" s="10">
        <v>95</v>
      </c>
      <c r="FX4" s="10">
        <v>94</v>
      </c>
      <c r="FY4" s="10">
        <v>94</v>
      </c>
      <c r="FZ4" s="10">
        <v>94</v>
      </c>
      <c r="GA4" s="10">
        <v>94</v>
      </c>
      <c r="GB4" s="10">
        <v>94</v>
      </c>
      <c r="GC4" s="10">
        <v>94</v>
      </c>
      <c r="GD4" s="10">
        <v>93</v>
      </c>
      <c r="GE4" s="10">
        <v>93</v>
      </c>
      <c r="GF4" s="10">
        <v>93</v>
      </c>
      <c r="GG4" s="10">
        <v>93</v>
      </c>
      <c r="GH4" s="10">
        <v>93</v>
      </c>
      <c r="GI4" s="10">
        <v>93</v>
      </c>
      <c r="GJ4" s="10">
        <v>93</v>
      </c>
      <c r="GK4" s="10">
        <v>93</v>
      </c>
      <c r="GL4" s="10">
        <v>93</v>
      </c>
      <c r="GM4" s="10">
        <v>93</v>
      </c>
      <c r="GN4" s="10">
        <v>93</v>
      </c>
      <c r="GO4" s="10">
        <v>93</v>
      </c>
      <c r="GP4" s="10">
        <v>93</v>
      </c>
      <c r="GQ4" s="10">
        <v>92</v>
      </c>
      <c r="GR4" s="10">
        <v>92</v>
      </c>
      <c r="GS4" s="10">
        <v>92</v>
      </c>
      <c r="GT4" s="10">
        <v>92</v>
      </c>
      <c r="GU4" s="10">
        <v>92</v>
      </c>
      <c r="GV4" s="10">
        <v>92</v>
      </c>
      <c r="GW4" s="10">
        <v>92</v>
      </c>
      <c r="GX4" s="10">
        <v>92</v>
      </c>
      <c r="GY4" s="10">
        <v>92</v>
      </c>
      <c r="GZ4" s="18">
        <v>92</v>
      </c>
      <c r="HA4" s="18">
        <v>92</v>
      </c>
      <c r="HB4" s="18">
        <v>92</v>
      </c>
      <c r="HC4" s="18">
        <v>92</v>
      </c>
      <c r="HD4" s="18">
        <v>92</v>
      </c>
      <c r="HE4" s="18">
        <v>92</v>
      </c>
      <c r="HF4" s="18">
        <v>92</v>
      </c>
      <c r="HG4" s="18">
        <v>92</v>
      </c>
      <c r="HH4" s="18">
        <v>92</v>
      </c>
      <c r="HI4" s="18">
        <v>92</v>
      </c>
      <c r="HJ4" s="18">
        <v>92</v>
      </c>
      <c r="HK4" s="18">
        <v>92</v>
      </c>
      <c r="HL4" s="18">
        <v>92</v>
      </c>
      <c r="HM4" s="18">
        <v>92</v>
      </c>
      <c r="HN4" s="18">
        <v>92</v>
      </c>
      <c r="HO4" s="18">
        <v>92</v>
      </c>
      <c r="HP4" s="18">
        <v>91</v>
      </c>
      <c r="HQ4" s="18">
        <v>89</v>
      </c>
      <c r="HR4" s="18">
        <v>89</v>
      </c>
      <c r="HS4" s="18">
        <v>89</v>
      </c>
    </row>
    <row r="5" spans="1:227" s="27" customFormat="1" ht="16.5" thickBot="1" x14ac:dyDescent="0.3">
      <c r="A5" s="11"/>
      <c r="B5" s="45"/>
      <c r="C5" s="22">
        <f>C4/G4</f>
        <v>1.0089820359281436</v>
      </c>
      <c r="D5" s="22">
        <f>D4/H4</f>
        <v>1.007007007007007</v>
      </c>
      <c r="E5" s="28">
        <f>E4/I4</f>
        <v>1.0110775427995973</v>
      </c>
      <c r="F5" s="28">
        <f>F4/J4</f>
        <v>1.0121212121212122</v>
      </c>
      <c r="G5" s="28">
        <f t="shared" ref="G5:K5" si="6">G4/K4</f>
        <v>1.0131445904954499</v>
      </c>
      <c r="H5" s="28">
        <f t="shared" si="6"/>
        <v>1.0142131979695432</v>
      </c>
      <c r="I5" s="28">
        <f t="shared" si="6"/>
        <v>1.0122324159021407</v>
      </c>
      <c r="J5" s="28">
        <f t="shared" si="6"/>
        <v>1.0164271047227926</v>
      </c>
      <c r="K5" s="28">
        <f t="shared" si="6"/>
        <v>1.0185375901132854</v>
      </c>
      <c r="L5" s="23">
        <f t="shared" ref="L5:R5" si="7">L4/P4</f>
        <v>1.0557341907824223</v>
      </c>
      <c r="M5" s="23">
        <f t="shared" si="7"/>
        <v>1.0674646354733406</v>
      </c>
      <c r="N5" s="23">
        <f t="shared" si="7"/>
        <v>1.0679824561403508</v>
      </c>
      <c r="O5" s="23">
        <f t="shared" si="7"/>
        <v>1.067032967032967</v>
      </c>
      <c r="P5" s="23">
        <f t="shared" si="7"/>
        <v>1.0309392265193371</v>
      </c>
      <c r="Q5" s="23">
        <f t="shared" si="7"/>
        <v>1.0291153415453527</v>
      </c>
      <c r="R5" s="23">
        <f t="shared" si="7"/>
        <v>1.0494821634062141</v>
      </c>
      <c r="S5" s="23">
        <f t="shared" ref="S5:W5" si="8">S4/W4</f>
        <v>1.0618436406067677</v>
      </c>
      <c r="T5" s="23">
        <f t="shared" si="8"/>
        <v>1.0684769775678866</v>
      </c>
      <c r="U5" s="23">
        <f t="shared" si="8"/>
        <v>1.0733173076923077</v>
      </c>
      <c r="V5" s="23">
        <f t="shared" si="8"/>
        <v>1.0495169082125604</v>
      </c>
      <c r="W5" s="23">
        <f t="shared" si="8"/>
        <v>1.0725907384230289</v>
      </c>
      <c r="X5" s="23">
        <f t="shared" ref="X5:AC5" si="9">X4/AB4</f>
        <v>1.0694444444444444</v>
      </c>
      <c r="Y5" s="23">
        <f t="shared" si="9"/>
        <v>1.0585241730279897</v>
      </c>
      <c r="Z5" s="23">
        <f t="shared" si="9"/>
        <v>1.0615384615384615</v>
      </c>
      <c r="AA5" s="23">
        <f t="shared" si="9"/>
        <v>1.0444444444444445</v>
      </c>
      <c r="AB5" s="23">
        <f t="shared" si="9"/>
        <v>1.0517928286852589</v>
      </c>
      <c r="AC5" s="23">
        <f t="shared" si="9"/>
        <v>1.0493991989319091</v>
      </c>
      <c r="AD5" s="23">
        <f>780/726</f>
        <v>1.0743801652892562</v>
      </c>
      <c r="AE5" s="23">
        <f>AE4/AI4</f>
        <v>1.0684357541899441</v>
      </c>
      <c r="AF5" s="23">
        <f t="shared" ref="AF5:AK5" si="10">AF4/AJ4</f>
        <v>1.0590717299578059</v>
      </c>
      <c r="AG5" s="23">
        <f t="shared" si="10"/>
        <v>1.0594059405940595</v>
      </c>
      <c r="AH5" s="23">
        <f t="shared" si="10"/>
        <v>1.035663338088445</v>
      </c>
      <c r="AI5" s="23">
        <f t="shared" si="10"/>
        <v>1.0346820809248556</v>
      </c>
      <c r="AJ5" s="23">
        <f t="shared" si="10"/>
        <v>1.0334302325581395</v>
      </c>
      <c r="AK5" s="23">
        <f t="shared" si="10"/>
        <v>1.0321167883211679</v>
      </c>
      <c r="AL5" s="23">
        <f>701/680</f>
        <v>1.0308823529411764</v>
      </c>
      <c r="AM5" s="23">
        <f>AM4/AQ4</f>
        <v>1.0236686390532543</v>
      </c>
      <c r="AN5" s="23">
        <f>AN4/AR4</f>
        <v>1.0314842578710646</v>
      </c>
      <c r="AO5" s="23">
        <f t="shared" ref="AO5:AR5" si="11">AO4/AS4</f>
        <v>1.0285285285285286</v>
      </c>
      <c r="AP5" s="23">
        <f t="shared" si="11"/>
        <v>1.0303030303030303</v>
      </c>
      <c r="AQ5" s="23">
        <f t="shared" si="11"/>
        <v>1.0289193302891932</v>
      </c>
      <c r="AR5" s="23">
        <f t="shared" si="11"/>
        <v>1.029320987654321</v>
      </c>
      <c r="AS5" s="23">
        <f>AS4/AW4</f>
        <v>1.0554675118858954</v>
      </c>
      <c r="AT5" s="23">
        <f>AT4/AX4</f>
        <v>1.059390048154093</v>
      </c>
      <c r="AU5" s="23">
        <f>657/614</f>
        <v>1.0700325732899023</v>
      </c>
      <c r="AV5" s="23">
        <f>AV4/AZ4</f>
        <v>1.0693069306930694</v>
      </c>
      <c r="AW5" s="23">
        <f>AW4/BA4</f>
        <v>1.0534223706176962</v>
      </c>
      <c r="AX5" s="23">
        <f>623/599</f>
        <v>1.0400667779632722</v>
      </c>
      <c r="AY5" s="23">
        <f>614/597</f>
        <v>1.0284757118927974</v>
      </c>
      <c r="AZ5" s="23">
        <f>606/597</f>
        <v>1.0150753768844221</v>
      </c>
      <c r="BA5" s="23">
        <f>599/582</f>
        <v>1.029209621993127</v>
      </c>
      <c r="BB5" s="23">
        <f>599/572</f>
        <v>1.0472027972027973</v>
      </c>
      <c r="BC5" s="23">
        <f>597/551</f>
        <v>1.0834845735027223</v>
      </c>
      <c r="BD5" s="42">
        <f>597/536</f>
        <v>1.1138059701492538</v>
      </c>
      <c r="BE5" s="42">
        <f>582/523</f>
        <v>1.1128107074569791</v>
      </c>
      <c r="BF5" s="23">
        <f>572/522</f>
        <v>1.0957854406130267</v>
      </c>
      <c r="BG5" s="42">
        <f>551/496</f>
        <v>1.1108870967741935</v>
      </c>
      <c r="BH5" s="23">
        <f>536/492</f>
        <v>1.089430894308943</v>
      </c>
      <c r="BI5" s="42">
        <f>523/473</f>
        <v>1.1057082452431291</v>
      </c>
      <c r="BJ5" s="42">
        <f>522/472</f>
        <v>1.1059322033898304</v>
      </c>
      <c r="BK5" s="23">
        <f>496/463</f>
        <v>1.0712742980561556</v>
      </c>
      <c r="BL5" s="23">
        <f>492/451</f>
        <v>1.0909090909090908</v>
      </c>
      <c r="BM5" s="23">
        <f>473/441</f>
        <v>1.0725623582766439</v>
      </c>
      <c r="BN5" s="23">
        <f>472/434</f>
        <v>1.0875576036866359</v>
      </c>
      <c r="BO5" s="23">
        <f>463/422</f>
        <v>1.0971563981042654</v>
      </c>
      <c r="BP5" s="42">
        <f>451/410</f>
        <v>1.1000000000000001</v>
      </c>
      <c r="BQ5" s="23">
        <f>441/407</f>
        <v>1.0835380835380835</v>
      </c>
      <c r="BR5" s="23">
        <f>434/404</f>
        <v>1.0742574257425743</v>
      </c>
      <c r="BS5" s="23">
        <f>422/394</f>
        <v>1.0710659898477157</v>
      </c>
      <c r="BT5" s="23">
        <f>410/388</f>
        <v>1.0567010309278351</v>
      </c>
      <c r="BU5" s="23">
        <f>407/388</f>
        <v>1.0489690721649485</v>
      </c>
      <c r="BV5" s="23">
        <f>404/368</f>
        <v>1.0978260869565217</v>
      </c>
      <c r="BW5" s="23">
        <f>394/359</f>
        <v>1.0974930362116992</v>
      </c>
      <c r="BX5" s="42">
        <f>388/334</f>
        <v>1.1616766467065869</v>
      </c>
      <c r="BY5" s="42">
        <f>388/313</f>
        <v>1.2396166134185302</v>
      </c>
      <c r="BZ5" s="42">
        <f>368/277</f>
        <v>1.3285198555956679</v>
      </c>
      <c r="CA5" s="42">
        <f>359/254</f>
        <v>1.4133858267716535</v>
      </c>
      <c r="CB5" s="42">
        <f>334/221</f>
        <v>1.5113122171945701</v>
      </c>
      <c r="CC5" s="42">
        <f>313/198</f>
        <v>1.5808080808080809</v>
      </c>
      <c r="CD5" s="42">
        <f>277/189</f>
        <v>1.4656084656084656</v>
      </c>
      <c r="CE5" s="42">
        <f>254/182</f>
        <v>1.3956043956043955</v>
      </c>
      <c r="CF5" s="42">
        <f>221/173</f>
        <v>1.277456647398844</v>
      </c>
      <c r="CG5" s="42">
        <f>198/173</f>
        <v>1.1445086705202312</v>
      </c>
      <c r="CH5" s="42">
        <f>189/169</f>
        <v>1.1183431952662721</v>
      </c>
      <c r="CI5" s="23">
        <f>182/167</f>
        <v>1.0898203592814371</v>
      </c>
      <c r="CJ5" s="23">
        <f>173/163</f>
        <v>1.0613496932515338</v>
      </c>
      <c r="CK5" s="23">
        <f>173/163</f>
        <v>1.0613496932515338</v>
      </c>
      <c r="CL5" s="23">
        <f>169/158</f>
        <v>1.0696202531645569</v>
      </c>
      <c r="CM5" s="23">
        <f>167/158</f>
        <v>1.0569620253164558</v>
      </c>
      <c r="CN5" s="23">
        <f>163/158</f>
        <v>1.0316455696202531</v>
      </c>
      <c r="CO5" s="23">
        <f>163/156</f>
        <v>1.0448717948717949</v>
      </c>
      <c r="CP5" s="23">
        <f>158/154</f>
        <v>1.025974025974026</v>
      </c>
      <c r="CQ5" s="23">
        <f>158/149</f>
        <v>1.0604026845637584</v>
      </c>
      <c r="CR5" s="23">
        <f>158/146</f>
        <v>1.0821917808219179</v>
      </c>
      <c r="CS5" s="23">
        <f>156/144</f>
        <v>1.0833333333333333</v>
      </c>
      <c r="CT5" s="42">
        <f>154/139</f>
        <v>1.1079136690647482</v>
      </c>
      <c r="CU5" s="23">
        <f>149/139</f>
        <v>1.0719424460431655</v>
      </c>
      <c r="CV5" s="23">
        <f>146/137</f>
        <v>1.0656934306569343</v>
      </c>
      <c r="CW5" s="23">
        <f>144/137</f>
        <v>1.051094890510949</v>
      </c>
      <c r="CX5" s="23">
        <f>139/135</f>
        <v>1.0296296296296297</v>
      </c>
      <c r="CY5" s="23">
        <f>139/135</f>
        <v>1.0296296296296297</v>
      </c>
      <c r="CZ5" s="23">
        <f>137/133</f>
        <v>1.0300751879699248</v>
      </c>
      <c r="DA5" s="23">
        <f>137/130</f>
        <v>1.0538461538461539</v>
      </c>
      <c r="DB5" s="23">
        <f>135/129</f>
        <v>1.0465116279069768</v>
      </c>
      <c r="DC5" s="23">
        <f>135/129</f>
        <v>1.0465116279069768</v>
      </c>
      <c r="DD5" s="23">
        <f>133/129</f>
        <v>1.0310077519379846</v>
      </c>
      <c r="DE5" s="28">
        <f>130/128</f>
        <v>1.015625</v>
      </c>
      <c r="DF5" s="23">
        <f>129/119</f>
        <v>1.0840336134453781</v>
      </c>
      <c r="DG5" s="23">
        <f>129/119</f>
        <v>1.0840336134453781</v>
      </c>
      <c r="DH5" s="23">
        <f>129/119</f>
        <v>1.0840336134453781</v>
      </c>
      <c r="DI5" s="42">
        <f>128/112</f>
        <v>1.1428571428571428</v>
      </c>
      <c r="DJ5" s="23">
        <f>119/112</f>
        <v>1.0625</v>
      </c>
      <c r="DK5" s="23">
        <f>119/110</f>
        <v>1.0818181818181818</v>
      </c>
      <c r="DL5" s="42">
        <f>119/107</f>
        <v>1.1121495327102804</v>
      </c>
      <c r="DM5" s="23">
        <f>112/103</f>
        <v>1.087378640776699</v>
      </c>
      <c r="DN5" s="42">
        <f>112/100</f>
        <v>1.1200000000000001</v>
      </c>
      <c r="DO5" s="42">
        <f>110/100</f>
        <v>1.1000000000000001</v>
      </c>
      <c r="DP5" s="23">
        <f>107/100</f>
        <v>1.07</v>
      </c>
      <c r="DQ5" s="23">
        <f>103/100</f>
        <v>1.03</v>
      </c>
      <c r="DR5" s="21">
        <v>1</v>
      </c>
      <c r="DS5" s="21">
        <v>1</v>
      </c>
      <c r="DT5" s="21">
        <v>1</v>
      </c>
      <c r="DU5" s="23">
        <f>100/98</f>
        <v>1.0204081632653061</v>
      </c>
      <c r="DV5" s="23">
        <f>100/98</f>
        <v>1.0204081632653061</v>
      </c>
      <c r="DW5" s="23">
        <f>100/98</f>
        <v>1.0204081632653061</v>
      </c>
      <c r="DX5" s="23">
        <f>100/97</f>
        <v>1.0309278350515463</v>
      </c>
      <c r="DY5" s="28">
        <f>98/97</f>
        <v>1.0103092783505154</v>
      </c>
      <c r="DZ5" s="28">
        <f>98/97</f>
        <v>1.0103092783505154</v>
      </c>
      <c r="EA5" s="28">
        <f>98/97</f>
        <v>1.0103092783505154</v>
      </c>
      <c r="EB5" s="21">
        <v>1</v>
      </c>
      <c r="EC5" s="21">
        <v>1</v>
      </c>
      <c r="ED5" s="21">
        <v>1</v>
      </c>
      <c r="EE5" s="21">
        <v>1</v>
      </c>
      <c r="EF5" s="21">
        <v>1</v>
      </c>
      <c r="EG5" s="21">
        <v>1</v>
      </c>
      <c r="EH5" s="21">
        <v>1</v>
      </c>
      <c r="EI5" s="21">
        <v>1</v>
      </c>
      <c r="EJ5" s="21">
        <v>1</v>
      </c>
      <c r="EK5" s="21">
        <v>1</v>
      </c>
      <c r="EL5" s="21">
        <v>1</v>
      </c>
      <c r="EM5" s="21">
        <v>1</v>
      </c>
      <c r="EN5" s="21">
        <v>1</v>
      </c>
      <c r="EO5" s="28">
        <f>97/96</f>
        <v>1.0104166666666667</v>
      </c>
      <c r="EP5" s="23">
        <f>97/95</f>
        <v>1.0210526315789474</v>
      </c>
      <c r="EQ5" s="23">
        <f>97/95</f>
        <v>1.0210526315789474</v>
      </c>
      <c r="ER5" s="23">
        <f>97/95</f>
        <v>1.0210526315789474</v>
      </c>
      <c r="ES5" s="28">
        <f>96/95</f>
        <v>1.0105263157894737</v>
      </c>
      <c r="ET5" s="21">
        <v>1</v>
      </c>
      <c r="EU5" s="21">
        <v>1</v>
      </c>
      <c r="EV5" s="21">
        <v>1</v>
      </c>
      <c r="EW5" s="21">
        <v>1</v>
      </c>
      <c r="EX5" s="21">
        <v>1</v>
      </c>
      <c r="EY5" s="21">
        <v>1</v>
      </c>
      <c r="EZ5" s="21">
        <v>1</v>
      </c>
      <c r="FA5" s="21">
        <v>1</v>
      </c>
      <c r="FB5" s="21">
        <v>1</v>
      </c>
      <c r="FC5" s="21">
        <v>1</v>
      </c>
      <c r="FD5" s="21">
        <v>1</v>
      </c>
      <c r="FE5" s="21">
        <v>1</v>
      </c>
      <c r="FF5" s="21">
        <v>1</v>
      </c>
      <c r="FG5" s="21">
        <v>1</v>
      </c>
      <c r="FH5" s="21">
        <v>1</v>
      </c>
      <c r="FI5" s="21">
        <v>1</v>
      </c>
      <c r="FJ5" s="21">
        <v>1</v>
      </c>
      <c r="FK5" s="21">
        <v>1</v>
      </c>
      <c r="FL5" s="21">
        <v>1</v>
      </c>
      <c r="FM5" s="21">
        <v>1</v>
      </c>
      <c r="FN5" s="21">
        <v>1</v>
      </c>
      <c r="FO5" s="21">
        <v>1</v>
      </c>
      <c r="FP5" s="21">
        <v>1</v>
      </c>
      <c r="FQ5" s="21">
        <v>1</v>
      </c>
      <c r="FR5" s="21">
        <v>1</v>
      </c>
      <c r="FS5" s="21">
        <v>1</v>
      </c>
      <c r="FT5" s="28">
        <f>95/94</f>
        <v>1.0106382978723405</v>
      </c>
      <c r="FU5" s="28">
        <f>95/94</f>
        <v>1.0106382978723405</v>
      </c>
      <c r="FV5" s="28">
        <f>95/94</f>
        <v>1.0106382978723405</v>
      </c>
      <c r="FW5" s="28">
        <f>95/94</f>
        <v>1.0106382978723405</v>
      </c>
      <c r="FX5" s="21">
        <v>1</v>
      </c>
      <c r="FY5" s="21">
        <v>1</v>
      </c>
      <c r="FZ5" s="28">
        <f>94/93</f>
        <v>1.010752688172043</v>
      </c>
      <c r="GA5" s="28">
        <f>94/93</f>
        <v>1.010752688172043</v>
      </c>
      <c r="GB5" s="28">
        <f>94/93</f>
        <v>1.010752688172043</v>
      </c>
      <c r="GC5" s="28">
        <f>94/93</f>
        <v>1.010752688172043</v>
      </c>
      <c r="GD5" s="21">
        <v>1</v>
      </c>
      <c r="GE5" s="21">
        <v>1</v>
      </c>
      <c r="GF5" s="21">
        <v>1</v>
      </c>
      <c r="GG5" s="21">
        <v>1</v>
      </c>
      <c r="GH5" s="21">
        <v>1</v>
      </c>
      <c r="GI5" s="21">
        <v>1</v>
      </c>
      <c r="GJ5" s="21">
        <v>1</v>
      </c>
      <c r="GK5" s="21">
        <v>1</v>
      </c>
      <c r="GL5" s="21">
        <v>1</v>
      </c>
      <c r="GM5" s="28">
        <f>93/92</f>
        <v>1.0108695652173914</v>
      </c>
      <c r="GN5" s="28">
        <f>93/92</f>
        <v>1.0108695652173914</v>
      </c>
      <c r="GO5" s="28">
        <f>93/92</f>
        <v>1.0108695652173914</v>
      </c>
      <c r="GP5" s="28">
        <f>GP4/GT4</f>
        <v>1.0108695652173914</v>
      </c>
      <c r="GQ5" s="21">
        <v>1</v>
      </c>
      <c r="GR5" s="29">
        <v>1</v>
      </c>
      <c r="GS5" s="29">
        <v>1</v>
      </c>
      <c r="GT5" s="29">
        <v>1</v>
      </c>
      <c r="GU5" s="29">
        <v>1</v>
      </c>
      <c r="GV5" s="29">
        <v>1</v>
      </c>
      <c r="GW5" s="29">
        <v>1</v>
      </c>
      <c r="GX5" s="29">
        <v>1</v>
      </c>
      <c r="GY5" s="29">
        <v>1</v>
      </c>
      <c r="GZ5" s="29">
        <f>92/92</f>
        <v>1</v>
      </c>
      <c r="HA5" s="29">
        <v>1</v>
      </c>
      <c r="HB5" s="29">
        <v>1</v>
      </c>
      <c r="HC5" s="29">
        <v>1</v>
      </c>
      <c r="HD5" s="29">
        <v>1</v>
      </c>
      <c r="HE5" s="29">
        <v>1</v>
      </c>
      <c r="HF5" s="29">
        <v>1</v>
      </c>
      <c r="HG5" s="29">
        <v>1</v>
      </c>
      <c r="HH5" s="29">
        <v>1</v>
      </c>
      <c r="HI5" s="29">
        <v>1</v>
      </c>
      <c r="HJ5" s="29">
        <v>1</v>
      </c>
      <c r="HK5" s="29">
        <f>92/92</f>
        <v>1</v>
      </c>
      <c r="HL5" s="26">
        <f>92/91</f>
        <v>1.0109890109890109</v>
      </c>
      <c r="HM5" s="35">
        <f>92/89</f>
        <v>1.0337078651685394</v>
      </c>
      <c r="HN5" s="35">
        <f>92/89</f>
        <v>1.0337078651685394</v>
      </c>
      <c r="HO5" s="35">
        <f>92/89</f>
        <v>1.0337078651685394</v>
      </c>
      <c r="HP5" s="36"/>
    </row>
    <row r="6" spans="1:227" s="18" customFormat="1" ht="16.5" thickBot="1" x14ac:dyDescent="0.3">
      <c r="A6" s="9" t="s">
        <v>2</v>
      </c>
      <c r="B6" s="10">
        <v>349</v>
      </c>
      <c r="C6" s="10">
        <f>10+D6</f>
        <v>2707</v>
      </c>
      <c r="D6" s="10">
        <f>5+E6</f>
        <v>2697</v>
      </c>
      <c r="E6" s="10">
        <f>10+F6</f>
        <v>2692</v>
      </c>
      <c r="F6" s="10">
        <f>16+G6</f>
        <v>2682</v>
      </c>
      <c r="G6" s="10">
        <f>14+H6</f>
        <v>2666</v>
      </c>
      <c r="H6" s="10">
        <f>18+I6</f>
        <v>2652</v>
      </c>
      <c r="I6" s="10">
        <f>18+J6</f>
        <v>2634</v>
      </c>
      <c r="J6" s="10">
        <f>9+K6</f>
        <v>2616</v>
      </c>
      <c r="K6" s="10">
        <f>11+L6</f>
        <v>2607</v>
      </c>
      <c r="L6" s="10">
        <f>6+M6</f>
        <v>2596</v>
      </c>
      <c r="M6" s="10">
        <f>6+N6</f>
        <v>2590</v>
      </c>
      <c r="N6" s="10">
        <f>9+O6</f>
        <v>2584</v>
      </c>
      <c r="O6" s="10">
        <f>80+P6</f>
        <v>2575</v>
      </c>
      <c r="P6" s="10">
        <f>15+Q6</f>
        <v>2495</v>
      </c>
      <c r="Q6" s="10">
        <f>8+R6</f>
        <v>2480</v>
      </c>
      <c r="R6" s="10">
        <f>10+S6</f>
        <v>2472</v>
      </c>
      <c r="S6" s="10">
        <f>7+T6</f>
        <v>2462</v>
      </c>
      <c r="T6" s="10">
        <f>15+2440</f>
        <v>2455</v>
      </c>
      <c r="U6" s="10">
        <f>10+2430</f>
        <v>2440</v>
      </c>
      <c r="V6" s="10">
        <f>33+2397</f>
        <v>2430</v>
      </c>
      <c r="W6" s="10">
        <f>16+2381</f>
        <v>2397</v>
      </c>
      <c r="X6" s="10">
        <f>27+2354</f>
        <v>2381</v>
      </c>
      <c r="Y6" s="10">
        <f>21+2333</f>
        <v>2354</v>
      </c>
      <c r="Z6" s="10">
        <f>6+2327</f>
        <v>2333</v>
      </c>
      <c r="AA6" s="10">
        <f>7+2320</f>
        <v>2327</v>
      </c>
      <c r="AB6" s="10">
        <f>11+2309</f>
        <v>2320</v>
      </c>
      <c r="AC6" s="10">
        <f>19+2290</f>
        <v>2309</v>
      </c>
      <c r="AD6" s="10">
        <f>24+AE6</f>
        <v>2290</v>
      </c>
      <c r="AE6" s="10">
        <f>36+2230</f>
        <v>2266</v>
      </c>
      <c r="AF6" s="10">
        <f>31+2199</f>
        <v>2230</v>
      </c>
      <c r="AG6" s="10">
        <f>15+2184</f>
        <v>2199</v>
      </c>
      <c r="AH6" s="10">
        <f>16+2168</f>
        <v>2184</v>
      </c>
      <c r="AI6" s="10">
        <f>65+2103</f>
        <v>2168</v>
      </c>
      <c r="AJ6" s="10">
        <f>85+2018</f>
        <v>2103</v>
      </c>
      <c r="AK6" s="10">
        <f>43+1975</f>
        <v>2018</v>
      </c>
      <c r="AL6" s="10">
        <f>30+1945</f>
        <v>1975</v>
      </c>
      <c r="AM6" s="10">
        <f>22+1923</f>
        <v>1945</v>
      </c>
      <c r="AN6" s="10">
        <f>27+1896</f>
        <v>1923</v>
      </c>
      <c r="AO6" s="10">
        <f>64+1832</f>
        <v>1896</v>
      </c>
      <c r="AP6" s="10">
        <f>45+1787</f>
        <v>1832</v>
      </c>
      <c r="AQ6" s="10">
        <f>59+1728</f>
        <v>1787</v>
      </c>
      <c r="AR6" s="10">
        <f>100+1628</f>
        <v>1728</v>
      </c>
      <c r="AS6" s="10">
        <f>19+1609</f>
        <v>1628</v>
      </c>
      <c r="AT6" s="10">
        <f>77+1532</f>
        <v>1609</v>
      </c>
      <c r="AU6" s="10">
        <f>6+1526</f>
        <v>1532</v>
      </c>
      <c r="AV6" s="10">
        <v>1526</v>
      </c>
      <c r="AW6" s="10">
        <f>57+1381</f>
        <v>1438</v>
      </c>
      <c r="AX6" s="10">
        <f>54+1327</f>
        <v>1381</v>
      </c>
      <c r="AY6" s="10">
        <f>36+1291</f>
        <v>1327</v>
      </c>
      <c r="AZ6" s="10">
        <f>67+1224</f>
        <v>1291</v>
      </c>
      <c r="BA6" s="10">
        <f>10+1214</f>
        <v>1224</v>
      </c>
      <c r="BB6" s="10">
        <v>1214</v>
      </c>
      <c r="BC6" s="10">
        <f>57+1144</f>
        <v>1201</v>
      </c>
      <c r="BD6" s="10">
        <f>26+1118</f>
        <v>1144</v>
      </c>
      <c r="BE6" s="10">
        <f>1090+28</f>
        <v>1118</v>
      </c>
      <c r="BF6" s="10">
        <f>1053+37</f>
        <v>1090</v>
      </c>
      <c r="BG6" s="10">
        <v>1053</v>
      </c>
      <c r="BH6" s="10">
        <v>1050</v>
      </c>
      <c r="BI6" s="10">
        <v>1045</v>
      </c>
      <c r="BJ6" s="10">
        <f>1007+14</f>
        <v>1021</v>
      </c>
      <c r="BK6" s="10">
        <v>1007</v>
      </c>
      <c r="BL6" s="10">
        <v>1001</v>
      </c>
      <c r="BM6" s="10">
        <f>967+7</f>
        <v>974</v>
      </c>
      <c r="BN6" s="10">
        <f>930+37</f>
        <v>967</v>
      </c>
      <c r="BO6" s="10">
        <v>930</v>
      </c>
      <c r="BP6" s="10">
        <v>930</v>
      </c>
      <c r="BQ6" s="10">
        <v>927</v>
      </c>
      <c r="BR6" s="10">
        <f>905+7</f>
        <v>912</v>
      </c>
      <c r="BS6" s="10">
        <v>905</v>
      </c>
      <c r="BT6" s="10">
        <f>878+17</f>
        <v>895</v>
      </c>
      <c r="BU6" s="10">
        <v>878</v>
      </c>
      <c r="BV6" s="10">
        <v>865</v>
      </c>
      <c r="BW6" s="10">
        <v>863</v>
      </c>
      <c r="BX6" s="10">
        <v>857</v>
      </c>
      <c r="BY6" s="10">
        <v>832</v>
      </c>
      <c r="BZ6" s="10">
        <v>823</v>
      </c>
      <c r="CA6" s="10">
        <v>810</v>
      </c>
      <c r="CB6" s="10">
        <f>776+8</f>
        <v>784</v>
      </c>
      <c r="CC6" s="10">
        <v>776</v>
      </c>
      <c r="CD6" s="10">
        <v>774</v>
      </c>
      <c r="CE6" s="10">
        <v>770</v>
      </c>
      <c r="CF6" s="10">
        <f>709+22</f>
        <v>731</v>
      </c>
      <c r="CG6" s="10">
        <v>709</v>
      </c>
      <c r="CH6" s="10">
        <f>657+24</f>
        <v>681</v>
      </c>
      <c r="CI6" s="10">
        <v>657</v>
      </c>
      <c r="CJ6" s="10">
        <v>638</v>
      </c>
      <c r="CK6" s="10">
        <v>634</v>
      </c>
      <c r="CL6" s="10">
        <v>626</v>
      </c>
      <c r="CM6" s="10">
        <v>606</v>
      </c>
      <c r="CN6" s="10">
        <v>593</v>
      </c>
      <c r="CO6" s="10">
        <v>579</v>
      </c>
      <c r="CP6" s="10">
        <v>575</v>
      </c>
      <c r="CQ6" s="10">
        <v>563</v>
      </c>
      <c r="CR6" s="10">
        <v>563</v>
      </c>
      <c r="CS6" s="10">
        <v>557</v>
      </c>
      <c r="CT6" s="10">
        <v>542</v>
      </c>
      <c r="CU6" s="10">
        <v>529</v>
      </c>
      <c r="CV6" s="10">
        <v>514</v>
      </c>
      <c r="CW6" s="10">
        <v>503</v>
      </c>
      <c r="CX6" s="10">
        <v>492</v>
      </c>
      <c r="CY6" s="10">
        <v>484</v>
      </c>
      <c r="CZ6" s="10">
        <v>471</v>
      </c>
      <c r="DA6" s="10">
        <v>459</v>
      </c>
      <c r="DB6" s="10">
        <v>452</v>
      </c>
      <c r="DC6" s="10">
        <v>446</v>
      </c>
      <c r="DD6" s="10">
        <v>438</v>
      </c>
      <c r="DE6" s="10">
        <v>436</v>
      </c>
      <c r="DF6" s="10">
        <v>434</v>
      </c>
      <c r="DG6" s="10">
        <v>434</v>
      </c>
      <c r="DH6" s="10">
        <v>427</v>
      </c>
      <c r="DI6" s="10">
        <v>420</v>
      </c>
      <c r="DJ6" s="10">
        <v>416</v>
      </c>
      <c r="DK6" s="10">
        <v>407</v>
      </c>
      <c r="DL6" s="10">
        <v>389</v>
      </c>
      <c r="DM6" s="10">
        <v>389</v>
      </c>
      <c r="DN6" s="10">
        <v>385</v>
      </c>
      <c r="DO6" s="10">
        <v>381</v>
      </c>
      <c r="DP6" s="10">
        <v>375</v>
      </c>
      <c r="DQ6" s="10">
        <v>370</v>
      </c>
      <c r="DR6" s="10">
        <v>365</v>
      </c>
      <c r="DS6" s="10">
        <v>364</v>
      </c>
      <c r="DT6" s="10">
        <v>364</v>
      </c>
      <c r="DU6" s="10">
        <v>364</v>
      </c>
      <c r="DV6" s="10">
        <v>362</v>
      </c>
      <c r="DW6" s="10">
        <v>362</v>
      </c>
      <c r="DX6" s="10">
        <v>356</v>
      </c>
      <c r="DY6" s="10">
        <v>355</v>
      </c>
      <c r="DZ6" s="10">
        <v>355</v>
      </c>
      <c r="EA6" s="10">
        <v>354</v>
      </c>
      <c r="EB6" s="10">
        <v>354</v>
      </c>
      <c r="EC6" s="10">
        <v>352</v>
      </c>
      <c r="ED6" s="10">
        <v>351</v>
      </c>
      <c r="EE6" s="10">
        <v>350</v>
      </c>
      <c r="EF6" s="10">
        <v>350</v>
      </c>
      <c r="EG6" s="10">
        <v>349</v>
      </c>
      <c r="EH6" s="10">
        <v>349</v>
      </c>
      <c r="EI6" s="10">
        <v>349</v>
      </c>
      <c r="EJ6" s="10">
        <v>349</v>
      </c>
      <c r="EK6" s="10">
        <v>349</v>
      </c>
      <c r="EL6" s="10">
        <v>349</v>
      </c>
      <c r="EM6" s="10">
        <v>349</v>
      </c>
      <c r="EN6" s="10">
        <v>349</v>
      </c>
      <c r="EO6" s="10">
        <v>349</v>
      </c>
      <c r="EP6" s="10">
        <v>349</v>
      </c>
      <c r="EQ6" s="10">
        <v>349</v>
      </c>
      <c r="ER6" s="10">
        <v>349</v>
      </c>
      <c r="ES6" s="10">
        <v>349</v>
      </c>
      <c r="ET6" s="10">
        <v>349</v>
      </c>
      <c r="EU6" s="10">
        <v>349</v>
      </c>
      <c r="EV6" s="10">
        <v>348</v>
      </c>
      <c r="EW6" s="10">
        <v>348</v>
      </c>
      <c r="EX6" s="10">
        <v>348</v>
      </c>
      <c r="EY6" s="10">
        <v>348</v>
      </c>
      <c r="EZ6" s="10">
        <v>348</v>
      </c>
      <c r="FA6" s="10">
        <v>348</v>
      </c>
      <c r="FB6" s="10">
        <v>348</v>
      </c>
      <c r="FC6" s="10">
        <v>347</v>
      </c>
      <c r="FD6" s="10">
        <v>347</v>
      </c>
      <c r="FE6" s="10">
        <v>347</v>
      </c>
      <c r="FF6" s="10">
        <v>347</v>
      </c>
      <c r="FG6" s="10">
        <v>346</v>
      </c>
      <c r="FH6" s="10">
        <v>346</v>
      </c>
      <c r="FI6" s="10">
        <v>346</v>
      </c>
      <c r="FJ6" s="10">
        <v>345</v>
      </c>
      <c r="FK6" s="10">
        <v>345</v>
      </c>
      <c r="FL6" s="10">
        <v>345</v>
      </c>
      <c r="FM6" s="10">
        <v>345</v>
      </c>
      <c r="FN6" s="10">
        <v>345</v>
      </c>
      <c r="FO6" s="10">
        <v>345</v>
      </c>
      <c r="FP6" s="10">
        <v>345</v>
      </c>
      <c r="FQ6" s="10">
        <v>345</v>
      </c>
      <c r="FR6" s="10">
        <v>345</v>
      </c>
      <c r="FS6" s="10">
        <v>345</v>
      </c>
      <c r="FT6" s="10">
        <v>345</v>
      </c>
      <c r="FU6" s="10">
        <v>345</v>
      </c>
      <c r="FV6" s="10">
        <v>344</v>
      </c>
      <c r="FW6" s="10">
        <v>344</v>
      </c>
      <c r="FX6" s="10">
        <v>344</v>
      </c>
      <c r="FY6" s="10">
        <v>344</v>
      </c>
      <c r="FZ6" s="10">
        <v>344</v>
      </c>
      <c r="GA6" s="10">
        <v>344</v>
      </c>
      <c r="GB6" s="10">
        <v>344</v>
      </c>
      <c r="GC6" s="10">
        <v>343</v>
      </c>
      <c r="GD6" s="10">
        <v>343</v>
      </c>
      <c r="GE6" s="10">
        <v>342</v>
      </c>
      <c r="GF6" s="10">
        <v>342</v>
      </c>
      <c r="GG6" s="10">
        <v>342</v>
      </c>
      <c r="GH6" s="10">
        <v>341</v>
      </c>
      <c r="GI6" s="10">
        <v>341</v>
      </c>
      <c r="GJ6" s="10">
        <v>341</v>
      </c>
      <c r="GK6" s="10">
        <v>340</v>
      </c>
      <c r="GL6" s="10">
        <v>339</v>
      </c>
      <c r="GM6" s="10">
        <v>339</v>
      </c>
      <c r="GN6" s="10">
        <v>339</v>
      </c>
      <c r="GO6" s="10">
        <v>339</v>
      </c>
      <c r="GP6" s="10">
        <v>339</v>
      </c>
      <c r="GQ6" s="10">
        <v>339</v>
      </c>
      <c r="GR6" s="10">
        <v>339</v>
      </c>
      <c r="GS6" s="10">
        <v>338</v>
      </c>
      <c r="GT6" s="10">
        <v>337</v>
      </c>
      <c r="GU6" s="10">
        <v>337</v>
      </c>
      <c r="GV6" s="10">
        <v>336</v>
      </c>
      <c r="GW6" s="10">
        <v>336</v>
      </c>
      <c r="GX6" s="10">
        <v>335</v>
      </c>
      <c r="GY6" s="10">
        <v>334</v>
      </c>
      <c r="GZ6" s="18">
        <v>334</v>
      </c>
      <c r="HA6" s="18">
        <v>334</v>
      </c>
      <c r="HB6" s="18">
        <v>333</v>
      </c>
      <c r="HC6" s="18">
        <v>333</v>
      </c>
      <c r="HD6" s="18">
        <v>330</v>
      </c>
      <c r="HE6" s="18">
        <v>328</v>
      </c>
      <c r="HF6" s="18">
        <v>328</v>
      </c>
      <c r="HG6" s="18">
        <v>328</v>
      </c>
      <c r="HH6" s="18">
        <v>328</v>
      </c>
      <c r="HI6" s="18">
        <v>327</v>
      </c>
      <c r="HJ6" s="18">
        <v>325</v>
      </c>
      <c r="HK6" s="18">
        <v>323</v>
      </c>
      <c r="HL6" s="18">
        <v>323</v>
      </c>
      <c r="HM6" s="18">
        <v>317</v>
      </c>
      <c r="HN6" s="18">
        <v>317</v>
      </c>
      <c r="HO6" s="18">
        <v>317</v>
      </c>
      <c r="HP6" s="18">
        <v>311</v>
      </c>
      <c r="HQ6" s="18">
        <v>308</v>
      </c>
      <c r="HR6" s="18">
        <v>297</v>
      </c>
      <c r="HS6" s="18">
        <v>291</v>
      </c>
    </row>
    <row r="7" spans="1:227" s="27" customFormat="1" ht="16.5" thickBot="1" x14ac:dyDescent="0.3">
      <c r="A7" s="11"/>
      <c r="B7" s="45"/>
      <c r="C7" s="28">
        <f>C6/G6</f>
        <v>1.0153788447111778</v>
      </c>
      <c r="D7" s="28">
        <f>D6/H6</f>
        <v>1.0169683257918551</v>
      </c>
      <c r="E7" s="23">
        <f>E6/I6</f>
        <v>1.0220197418375094</v>
      </c>
      <c r="F7" s="23">
        <f>F6/J6</f>
        <v>1.025229357798165</v>
      </c>
      <c r="G7" s="23">
        <f t="shared" ref="G7:K7" si="12">G6/K6</f>
        <v>1.0226313770617568</v>
      </c>
      <c r="H7" s="23">
        <f t="shared" si="12"/>
        <v>1.0215716486902928</v>
      </c>
      <c r="I7" s="28">
        <f t="shared" si="12"/>
        <v>1.0169884169884169</v>
      </c>
      <c r="J7" s="28">
        <f t="shared" si="12"/>
        <v>1.0123839009287925</v>
      </c>
      <c r="K7" s="28">
        <f t="shared" si="12"/>
        <v>1.0124271844660193</v>
      </c>
      <c r="L7" s="23">
        <f t="shared" ref="L7:R7" si="13">L6/P6</f>
        <v>1.0404809619238478</v>
      </c>
      <c r="M7" s="23">
        <f t="shared" si="13"/>
        <v>1.0443548387096775</v>
      </c>
      <c r="N7" s="23">
        <f t="shared" si="13"/>
        <v>1.0453074433656957</v>
      </c>
      <c r="O7" s="23">
        <f t="shared" si="13"/>
        <v>1.045897644191714</v>
      </c>
      <c r="P7" s="28">
        <f t="shared" si="13"/>
        <v>1.0162932790224033</v>
      </c>
      <c r="Q7" s="28">
        <f t="shared" si="13"/>
        <v>1.0163934426229508</v>
      </c>
      <c r="R7" s="28">
        <f t="shared" si="13"/>
        <v>1.0172839506172839</v>
      </c>
      <c r="S7" s="23">
        <f t="shared" ref="S7" si="14">S6/W6</f>
        <v>1.0271172298706717</v>
      </c>
      <c r="T7" s="23">
        <f t="shared" ref="T7:Y7" si="15">T6/X6</f>
        <v>1.0310793784124317</v>
      </c>
      <c r="U7" s="23">
        <f t="shared" si="15"/>
        <v>1.0365335598980459</v>
      </c>
      <c r="V7" s="23">
        <f t="shared" si="15"/>
        <v>1.0415773681954565</v>
      </c>
      <c r="W7" s="23">
        <f t="shared" si="15"/>
        <v>1.030081650193382</v>
      </c>
      <c r="X7" s="23">
        <f t="shared" si="15"/>
        <v>1.0262931034482758</v>
      </c>
      <c r="Y7" s="28">
        <f t="shared" si="15"/>
        <v>1.0194889562581204</v>
      </c>
      <c r="Z7" s="28">
        <f t="shared" ref="Z7:AE7" si="16">Z6/AD6</f>
        <v>1.0187772925764191</v>
      </c>
      <c r="AA7" s="23">
        <f t="shared" si="16"/>
        <v>1.0269196822594882</v>
      </c>
      <c r="AB7" s="23">
        <f t="shared" si="16"/>
        <v>1.0403587443946187</v>
      </c>
      <c r="AC7" s="23">
        <f t="shared" si="16"/>
        <v>1.0500227376080036</v>
      </c>
      <c r="AD7" s="23">
        <f t="shared" si="16"/>
        <v>1.0485347985347986</v>
      </c>
      <c r="AE7" s="23">
        <f t="shared" si="16"/>
        <v>1.0452029520295203</v>
      </c>
      <c r="AF7" s="23">
        <f t="shared" ref="AF7:AK7" si="17">AF6/AJ6</f>
        <v>1.0603899191631003</v>
      </c>
      <c r="AG7" s="23">
        <f t="shared" si="17"/>
        <v>1.0896927651139743</v>
      </c>
      <c r="AH7" s="42">
        <f t="shared" si="17"/>
        <v>1.1058227848101265</v>
      </c>
      <c r="AI7" s="42">
        <f t="shared" si="17"/>
        <v>1.1146529562982006</v>
      </c>
      <c r="AJ7" s="23">
        <f t="shared" si="17"/>
        <v>1.0936037441497659</v>
      </c>
      <c r="AK7" s="23">
        <f t="shared" si="17"/>
        <v>1.0643459915611815</v>
      </c>
      <c r="AL7" s="23">
        <f>1975/1832</f>
        <v>1.0780567685589519</v>
      </c>
      <c r="AM7" s="23">
        <f>AM6/AQ6</f>
        <v>1.0884163402350309</v>
      </c>
      <c r="AN7" s="42">
        <f>AN6/AR6</f>
        <v>1.1128472222222223</v>
      </c>
      <c r="AO7" s="42">
        <f t="shared" ref="AO7:AR7" si="18">AO6/AS6</f>
        <v>1.1646191646191646</v>
      </c>
      <c r="AP7" s="42">
        <f t="shared" si="18"/>
        <v>1.1385954008701056</v>
      </c>
      <c r="AQ7" s="42">
        <f t="shared" si="18"/>
        <v>1.1664490861618799</v>
      </c>
      <c r="AR7" s="42">
        <f t="shared" si="18"/>
        <v>1.1323722149410222</v>
      </c>
      <c r="AS7" s="42">
        <f>AS6/AW6</f>
        <v>1.1321279554937413</v>
      </c>
      <c r="AT7" s="42">
        <f>AT6/AX6</f>
        <v>1.165097755249819</v>
      </c>
      <c r="AU7" s="42">
        <f>1532/1327</f>
        <v>1.1544837980406932</v>
      </c>
      <c r="AV7" s="42">
        <f>AV6/AZ6</f>
        <v>1.1820294345468629</v>
      </c>
      <c r="AW7" s="42">
        <f>AW6/BA6</f>
        <v>1.1748366013071896</v>
      </c>
      <c r="AX7" s="42">
        <f>1381/1214</f>
        <v>1.1375617792421746</v>
      </c>
      <c r="AY7" s="42">
        <f>1327/1201</f>
        <v>1.1049125728559535</v>
      </c>
      <c r="AZ7" s="42">
        <f>1291/1144</f>
        <v>1.1284965034965035</v>
      </c>
      <c r="BA7" s="23">
        <f>1224/1118</f>
        <v>1.0948121645796065</v>
      </c>
      <c r="BB7" s="42">
        <f>1214/1090</f>
        <v>1.1137614678899082</v>
      </c>
      <c r="BC7" s="42">
        <f>1201/1053</f>
        <v>1.1405508072174739</v>
      </c>
      <c r="BD7" s="23">
        <f>1144/1050</f>
        <v>1.0895238095238096</v>
      </c>
      <c r="BE7" s="23">
        <f>1118/1045</f>
        <v>1.0698564593301436</v>
      </c>
      <c r="BF7" s="23">
        <f>1090/1021</f>
        <v>1.0675808031341822</v>
      </c>
      <c r="BG7" s="23">
        <f>1053/1007</f>
        <v>1.0456802383316783</v>
      </c>
      <c r="BH7" s="23">
        <f>1050/1001</f>
        <v>1.048951048951049</v>
      </c>
      <c r="BI7" s="23">
        <f>1045/974</f>
        <v>1.0728952772073923</v>
      </c>
      <c r="BJ7" s="23">
        <f>1021/967</f>
        <v>1.0558428128231645</v>
      </c>
      <c r="BK7" s="23">
        <f>1007/930</f>
        <v>1.0827956989247312</v>
      </c>
      <c r="BL7" s="23">
        <f>1001/930</f>
        <v>1.0763440860215054</v>
      </c>
      <c r="BM7" s="23">
        <f>974/927</f>
        <v>1.0507011866235167</v>
      </c>
      <c r="BN7" s="23">
        <f>967/912</f>
        <v>1.0603070175438596</v>
      </c>
      <c r="BO7" s="23">
        <f>930/905</f>
        <v>1.0276243093922652</v>
      </c>
      <c r="BP7" s="23">
        <f>930/895</f>
        <v>1.0391061452513966</v>
      </c>
      <c r="BQ7" s="23">
        <f>927/878</f>
        <v>1.0558086560364466</v>
      </c>
      <c r="BR7" s="23">
        <f>912/865</f>
        <v>1.0543352601156069</v>
      </c>
      <c r="BS7" s="23">
        <f>905/863</f>
        <v>1.0486674391657009</v>
      </c>
      <c r="BT7" s="23">
        <f>895/857</f>
        <v>1.044340723453909</v>
      </c>
      <c r="BU7" s="23">
        <f>878/832</f>
        <v>1.0552884615384615</v>
      </c>
      <c r="BV7" s="23">
        <f>865/823</f>
        <v>1.0510328068043742</v>
      </c>
      <c r="BW7" s="23">
        <f>863/810</f>
        <v>1.065432098765432</v>
      </c>
      <c r="BX7" s="23">
        <f>857/784</f>
        <v>1.0931122448979591</v>
      </c>
      <c r="BY7" s="23">
        <f>832/776</f>
        <v>1.0721649484536082</v>
      </c>
      <c r="BZ7" s="23">
        <f>823/774</f>
        <v>1.0633074935400517</v>
      </c>
      <c r="CA7" s="23">
        <f>810/770</f>
        <v>1.051948051948052</v>
      </c>
      <c r="CB7" s="23">
        <f>784/731</f>
        <v>1.0725034199726402</v>
      </c>
      <c r="CC7" s="23">
        <f>776/709</f>
        <v>1.0944992947813823</v>
      </c>
      <c r="CD7" s="42">
        <f>774/681</f>
        <v>1.1365638766519823</v>
      </c>
      <c r="CE7" s="42">
        <f>770/657</f>
        <v>1.1719939117199392</v>
      </c>
      <c r="CF7" s="42">
        <f>731/638</f>
        <v>1.1457680250783699</v>
      </c>
      <c r="CG7" s="42">
        <f>709/634</f>
        <v>1.1182965299684542</v>
      </c>
      <c r="CH7" s="23">
        <f>681/626</f>
        <v>1.0878594249201279</v>
      </c>
      <c r="CI7" s="23">
        <f>657/606</f>
        <v>1.0841584158415842</v>
      </c>
      <c r="CJ7" s="23">
        <f>638/593</f>
        <v>1.075885328836425</v>
      </c>
      <c r="CK7" s="23">
        <f>634/579</f>
        <v>1.0949913644214162</v>
      </c>
      <c r="CL7" s="23">
        <f>626/575</f>
        <v>1.0886956521739131</v>
      </c>
      <c r="CM7" s="23">
        <f>606/563</f>
        <v>1.0763765541740675</v>
      </c>
      <c r="CN7" s="23">
        <f>593/563</f>
        <v>1.0532859680284192</v>
      </c>
      <c r="CO7" s="23">
        <f>579/557</f>
        <v>1.0394973070017954</v>
      </c>
      <c r="CP7" s="23">
        <f>575/542</f>
        <v>1.0608856088560885</v>
      </c>
      <c r="CQ7" s="23">
        <f>563/529</f>
        <v>1.0642722117202268</v>
      </c>
      <c r="CR7" s="23">
        <f>563/514</f>
        <v>1.095330739299611</v>
      </c>
      <c r="CS7" s="42">
        <f>557/503</f>
        <v>1.1073558648111332</v>
      </c>
      <c r="CT7" s="42">
        <f>542/492</f>
        <v>1.1016260162601625</v>
      </c>
      <c r="CU7" s="23">
        <f>529/484</f>
        <v>1.0929752066115703</v>
      </c>
      <c r="CV7" s="23">
        <f>514/471</f>
        <v>1.0912951167728238</v>
      </c>
      <c r="CW7" s="23">
        <f>503/459</f>
        <v>1.0958605664488017</v>
      </c>
      <c r="CX7" s="23">
        <f>492/452</f>
        <v>1.0884955752212389</v>
      </c>
      <c r="CY7" s="23">
        <f>484/446</f>
        <v>1.0852017937219731</v>
      </c>
      <c r="CZ7" s="23">
        <f>471/438</f>
        <v>1.0753424657534247</v>
      </c>
      <c r="DA7" s="23">
        <f>459/436</f>
        <v>1.0527522935779816</v>
      </c>
      <c r="DB7" s="23">
        <f>452/434</f>
        <v>1.0414746543778801</v>
      </c>
      <c r="DC7" s="23">
        <f>446/434</f>
        <v>1.0276497695852536</v>
      </c>
      <c r="DD7" s="23">
        <f>438/427</f>
        <v>1.0257611241217799</v>
      </c>
      <c r="DE7" s="23">
        <f>436/420</f>
        <v>1.0380952380952382</v>
      </c>
      <c r="DF7" s="23">
        <f>434/416</f>
        <v>1.0432692307692308</v>
      </c>
      <c r="DG7" s="23">
        <f>434/407</f>
        <v>1.0663390663390664</v>
      </c>
      <c r="DH7" s="23">
        <f>427/389</f>
        <v>1.0976863753213368</v>
      </c>
      <c r="DI7" s="23">
        <f>420/389</f>
        <v>1.0796915167095116</v>
      </c>
      <c r="DJ7" s="23">
        <f>416/385</f>
        <v>1.0805194805194804</v>
      </c>
      <c r="DK7" s="23">
        <f>407/381</f>
        <v>1.068241469816273</v>
      </c>
      <c r="DL7" s="23">
        <f>389/375</f>
        <v>1.0373333333333334</v>
      </c>
      <c r="DM7" s="23">
        <f>389/370</f>
        <v>1.0513513513513513</v>
      </c>
      <c r="DN7" s="23">
        <f>385/365</f>
        <v>1.0547945205479452</v>
      </c>
      <c r="DO7" s="23">
        <f>381/364</f>
        <v>1.0467032967032968</v>
      </c>
      <c r="DP7" s="23">
        <f>375/364</f>
        <v>1.0302197802197801</v>
      </c>
      <c r="DQ7" s="28">
        <f>370/364</f>
        <v>1.0164835164835164</v>
      </c>
      <c r="DR7" s="22">
        <f>365/362</f>
        <v>1.0082872928176796</v>
      </c>
      <c r="DS7" s="22">
        <f>364/362</f>
        <v>1.0055248618784531</v>
      </c>
      <c r="DT7" s="23">
        <f>364/356</f>
        <v>1.0224719101123596</v>
      </c>
      <c r="DU7" s="23">
        <f>364/355</f>
        <v>1.0253521126760563</v>
      </c>
      <c r="DV7" s="28">
        <f>362/355</f>
        <v>1.0197183098591549</v>
      </c>
      <c r="DW7" s="23">
        <f>362/354</f>
        <v>1.0225988700564972</v>
      </c>
      <c r="DX7" s="22">
        <f>356/354</f>
        <v>1.0056497175141244</v>
      </c>
      <c r="DY7" s="22">
        <f>355/352</f>
        <v>1.0085227272727273</v>
      </c>
      <c r="DZ7" s="28">
        <f>355/351</f>
        <v>1.0113960113960114</v>
      </c>
      <c r="EA7" s="28">
        <f>354/350</f>
        <v>1.0114285714285713</v>
      </c>
      <c r="EB7" s="28">
        <f>354/350</f>
        <v>1.0114285714285713</v>
      </c>
      <c r="EC7" s="22">
        <f>352/349</f>
        <v>1.0085959885386819</v>
      </c>
      <c r="ED7" s="22">
        <f>351/349</f>
        <v>1.005730659025788</v>
      </c>
      <c r="EE7" s="22">
        <f>350/349</f>
        <v>1.002865329512894</v>
      </c>
      <c r="EF7" s="22">
        <f>350/349</f>
        <v>1.002865329512894</v>
      </c>
      <c r="EG7" s="21">
        <v>1</v>
      </c>
      <c r="EH7" s="21">
        <v>1</v>
      </c>
      <c r="EI7" s="21">
        <v>1</v>
      </c>
      <c r="EJ7" s="21">
        <v>1</v>
      </c>
      <c r="EK7" s="21">
        <v>1</v>
      </c>
      <c r="EL7" s="21">
        <v>1</v>
      </c>
      <c r="EM7" s="21">
        <v>1</v>
      </c>
      <c r="EN7" s="21">
        <v>1</v>
      </c>
      <c r="EO7" s="21">
        <v>1</v>
      </c>
      <c r="EP7" s="21">
        <v>1</v>
      </c>
      <c r="EQ7" s="21">
        <v>1</v>
      </c>
      <c r="ER7" s="22">
        <f>349/348</f>
        <v>1.0028735632183907</v>
      </c>
      <c r="ES7" s="22">
        <f>349/348</f>
        <v>1.0028735632183907</v>
      </c>
      <c r="ET7" s="22">
        <f>349/348</f>
        <v>1.0028735632183907</v>
      </c>
      <c r="EU7" s="22">
        <f>349/348</f>
        <v>1.0028735632183907</v>
      </c>
      <c r="EV7" s="21">
        <v>1</v>
      </c>
      <c r="EW7" s="21">
        <v>1</v>
      </c>
      <c r="EX7" s="21">
        <v>1</v>
      </c>
      <c r="EY7" s="22">
        <f>348/347</f>
        <v>1.0028818443804035</v>
      </c>
      <c r="EZ7" s="22">
        <f>348/347</f>
        <v>1.0028818443804035</v>
      </c>
      <c r="FA7" s="22">
        <f>348/347</f>
        <v>1.0028818443804035</v>
      </c>
      <c r="FB7" s="22">
        <f>348/347</f>
        <v>1.0028818443804035</v>
      </c>
      <c r="FC7" s="22">
        <f>347/346</f>
        <v>1.0028901734104045</v>
      </c>
      <c r="FD7" s="22">
        <f>347/346</f>
        <v>1.0028901734104045</v>
      </c>
      <c r="FE7" s="22">
        <f>347/346</f>
        <v>1.0028901734104045</v>
      </c>
      <c r="FF7" s="22">
        <f>347/345</f>
        <v>1.0057971014492753</v>
      </c>
      <c r="FG7" s="22">
        <f>346/345</f>
        <v>1.0028985507246377</v>
      </c>
      <c r="FH7" s="22">
        <f>346/345</f>
        <v>1.0028985507246377</v>
      </c>
      <c r="FI7" s="22">
        <f>346/345</f>
        <v>1.0028985507246377</v>
      </c>
      <c r="FJ7" s="21">
        <v>1</v>
      </c>
      <c r="FK7" s="21">
        <v>1</v>
      </c>
      <c r="FL7" s="21">
        <v>1</v>
      </c>
      <c r="FM7" s="21">
        <v>1</v>
      </c>
      <c r="FN7" s="21">
        <v>1</v>
      </c>
      <c r="FO7" s="21">
        <v>1</v>
      </c>
      <c r="FP7" s="21">
        <v>1</v>
      </c>
      <c r="FQ7" s="21">
        <v>1</v>
      </c>
      <c r="FR7" s="22">
        <f>345/344</f>
        <v>1.0029069767441861</v>
      </c>
      <c r="FS7" s="22">
        <f>345/344</f>
        <v>1.0029069767441861</v>
      </c>
      <c r="FT7" s="22">
        <f>345/344</f>
        <v>1.0029069767441861</v>
      </c>
      <c r="FU7" s="22">
        <f>345/344</f>
        <v>1.0029069767441861</v>
      </c>
      <c r="FV7" s="21">
        <v>1</v>
      </c>
      <c r="FW7" s="21">
        <v>1</v>
      </c>
      <c r="FX7" s="21">
        <f>344/344</f>
        <v>1</v>
      </c>
      <c r="FY7" s="22">
        <f>344/343</f>
        <v>1.0029154518950438</v>
      </c>
      <c r="FZ7" s="22">
        <f>344/343</f>
        <v>1.0029154518950438</v>
      </c>
      <c r="GA7" s="22">
        <f>344/342</f>
        <v>1.0058479532163742</v>
      </c>
      <c r="GB7" s="22">
        <f>344/342</f>
        <v>1.0058479532163742</v>
      </c>
      <c r="GC7" s="22">
        <f>343/342</f>
        <v>1.0029239766081872</v>
      </c>
      <c r="GD7" s="22">
        <f>343/341</f>
        <v>1.0058651026392962</v>
      </c>
      <c r="GE7" s="22">
        <f>342/341</f>
        <v>1.0029325513196481</v>
      </c>
      <c r="GF7" s="22">
        <f>342/341</f>
        <v>1.0029325513196481</v>
      </c>
      <c r="GG7" s="22">
        <f>342/340</f>
        <v>1.0058823529411764</v>
      </c>
      <c r="GH7" s="22">
        <f>341/339</f>
        <v>1.0058997050147493</v>
      </c>
      <c r="GI7" s="22">
        <f>341/339</f>
        <v>1.0058997050147493</v>
      </c>
      <c r="GJ7" s="22">
        <f>341/339</f>
        <v>1.0058997050147493</v>
      </c>
      <c r="GK7" s="22">
        <f>340/339</f>
        <v>1.0029498525073746</v>
      </c>
      <c r="GL7" s="21">
        <v>1</v>
      </c>
      <c r="GM7" s="21">
        <v>1</v>
      </c>
      <c r="GN7" s="21">
        <f>339/339</f>
        <v>1</v>
      </c>
      <c r="GO7" s="22">
        <f>339/338</f>
        <v>1.0029585798816567</v>
      </c>
      <c r="GP7" s="22">
        <f>GP6/GT6</f>
        <v>1.0059347181008902</v>
      </c>
      <c r="GQ7" s="22">
        <f>339/337</f>
        <v>1.0059347181008902</v>
      </c>
      <c r="GR7" s="25">
        <f>339/336</f>
        <v>1.0089285714285714</v>
      </c>
      <c r="GS7" s="25">
        <f>338/336</f>
        <v>1.0059523809523809</v>
      </c>
      <c r="GT7" s="25">
        <f>337/335</f>
        <v>1.0059701492537314</v>
      </c>
      <c r="GU7" s="25">
        <f>337/334</f>
        <v>1.0089820359281436</v>
      </c>
      <c r="GV7" s="25">
        <v>1.0059880240000001</v>
      </c>
      <c r="GW7" s="25">
        <f>336/334</f>
        <v>1.0059880239520957</v>
      </c>
      <c r="GX7" s="25">
        <f>335/333</f>
        <v>1.0060060060060061</v>
      </c>
      <c r="GY7" s="25">
        <f>334/333</f>
        <v>1.003003003003003</v>
      </c>
      <c r="GZ7" s="26">
        <f>334/330</f>
        <v>1.0121212121212122</v>
      </c>
      <c r="HA7" s="26">
        <f>334/328</f>
        <v>1.0182926829268293</v>
      </c>
      <c r="HB7" s="26">
        <f>333/328</f>
        <v>1.0152439024390243</v>
      </c>
      <c r="HC7" s="26">
        <f>333/328</f>
        <v>1.0152439024390243</v>
      </c>
      <c r="HD7" s="26">
        <f>330/328</f>
        <v>1.0060975609756098</v>
      </c>
      <c r="HE7" s="26">
        <f>328/327</f>
        <v>1.0030581039755351</v>
      </c>
      <c r="HF7" s="26">
        <f>328/325</f>
        <v>1.0092307692307692</v>
      </c>
      <c r="HG7" s="26">
        <f>328/323</f>
        <v>1.0154798761609907</v>
      </c>
      <c r="HH7" s="26">
        <f>328/323</f>
        <v>1.0154798761609907</v>
      </c>
      <c r="HI7" s="35">
        <f>327/317</f>
        <v>1.0315457413249212</v>
      </c>
      <c r="HJ7" s="35">
        <f>325/317</f>
        <v>1.025236593059937</v>
      </c>
      <c r="HK7" s="26">
        <f>323/317</f>
        <v>1.0189274447949528</v>
      </c>
      <c r="HL7" s="35">
        <f>323/311</f>
        <v>1.0385852090032155</v>
      </c>
      <c r="HM7" s="35">
        <f>317/308</f>
        <v>1.0292207792207793</v>
      </c>
      <c r="HN7" s="35">
        <f>317/297</f>
        <v>1.0673400673400673</v>
      </c>
      <c r="HO7" s="35">
        <f>317/291</f>
        <v>1.0893470790378006</v>
      </c>
      <c r="HP7" s="33"/>
    </row>
    <row r="8" spans="1:227" s="18" customFormat="1" ht="16.5" thickBot="1" x14ac:dyDescent="0.3">
      <c r="A8" s="9" t="s">
        <v>3</v>
      </c>
      <c r="B8" s="10">
        <v>255</v>
      </c>
      <c r="C8" s="10">
        <f>1+D8</f>
        <v>1768</v>
      </c>
      <c r="D8" s="10">
        <f>5+E8</f>
        <v>1767</v>
      </c>
      <c r="E8" s="10">
        <f>7+F8</f>
        <v>1762</v>
      </c>
      <c r="F8" s="10">
        <f>2+G8</f>
        <v>1755</v>
      </c>
      <c r="G8" s="10">
        <f>17+H8</f>
        <v>1753</v>
      </c>
      <c r="H8" s="10">
        <f>13+I8</f>
        <v>1736</v>
      </c>
      <c r="I8" s="10">
        <f>10+J8</f>
        <v>1723</v>
      </c>
      <c r="J8" s="10">
        <f>19+K8</f>
        <v>1713</v>
      </c>
      <c r="K8" s="10">
        <f>8+L8</f>
        <v>1694</v>
      </c>
      <c r="L8" s="10">
        <v>1686</v>
      </c>
      <c r="M8" s="10">
        <v>1685</v>
      </c>
      <c r="N8" s="10">
        <f>15+O8</f>
        <v>1685</v>
      </c>
      <c r="O8" s="10">
        <f>3+P8</f>
        <v>1670</v>
      </c>
      <c r="P8" s="10">
        <f>13+Q8</f>
        <v>1667</v>
      </c>
      <c r="Q8" s="10">
        <f>38+R8</f>
        <v>1654</v>
      </c>
      <c r="R8" s="10">
        <f>19+S8</f>
        <v>1616</v>
      </c>
      <c r="S8" s="10">
        <f>11+T8</f>
        <v>1597</v>
      </c>
      <c r="T8" s="10">
        <f>3+1583</f>
        <v>1586</v>
      </c>
      <c r="U8" s="10">
        <f>10+1573</f>
        <v>1583</v>
      </c>
      <c r="V8" s="10">
        <f>13+1560</f>
        <v>1573</v>
      </c>
      <c r="W8" s="10">
        <f>28+1532</f>
        <v>1560</v>
      </c>
      <c r="X8" s="10">
        <f>16+1516</f>
        <v>1532</v>
      </c>
      <c r="Y8" s="10">
        <f>5+1511</f>
        <v>1516</v>
      </c>
      <c r="Z8" s="10">
        <v>1511</v>
      </c>
      <c r="AA8" s="10">
        <f>8+1502</f>
        <v>1510</v>
      </c>
      <c r="AB8" s="10">
        <f>8+1494</f>
        <v>1502</v>
      </c>
      <c r="AC8" s="10">
        <f>20+1474</f>
        <v>1494</v>
      </c>
      <c r="AD8" s="10">
        <f>17+AE8</f>
        <v>1474</v>
      </c>
      <c r="AE8" s="10">
        <f>35+1422</f>
        <v>1457</v>
      </c>
      <c r="AF8" s="10">
        <f>11+1411</f>
        <v>1422</v>
      </c>
      <c r="AG8" s="10">
        <f>2+1409</f>
        <v>1411</v>
      </c>
      <c r="AH8" s="10">
        <f>13+1396</f>
        <v>1409</v>
      </c>
      <c r="AI8" s="10">
        <f>10+1386</f>
        <v>1396</v>
      </c>
      <c r="AJ8" s="10">
        <f>27+1359</f>
        <v>1386</v>
      </c>
      <c r="AK8" s="10">
        <f>37+1322</f>
        <v>1359</v>
      </c>
      <c r="AL8" s="10">
        <f>12+1310</f>
        <v>1322</v>
      </c>
      <c r="AM8" s="10">
        <f>2+1308</f>
        <v>1310</v>
      </c>
      <c r="AN8" s="10">
        <v>1308</v>
      </c>
      <c r="AO8" s="10">
        <f>23+1284</f>
        <v>1307</v>
      </c>
      <c r="AP8" s="10">
        <f>8+1276</f>
        <v>1284</v>
      </c>
      <c r="AQ8" s="10">
        <f>17+1259</f>
        <v>1276</v>
      </c>
      <c r="AR8" s="10">
        <f>4+1255</f>
        <v>1259</v>
      </c>
      <c r="AS8" s="10">
        <f>32+1223</f>
        <v>1255</v>
      </c>
      <c r="AT8" s="10">
        <f>37+1186</f>
        <v>1223</v>
      </c>
      <c r="AU8" s="10">
        <f>4+1182</f>
        <v>1186</v>
      </c>
      <c r="AV8" s="10">
        <v>1182</v>
      </c>
      <c r="AW8" s="10">
        <f>22+1137</f>
        <v>1159</v>
      </c>
      <c r="AX8" s="10">
        <f>13+1124</f>
        <v>1137</v>
      </c>
      <c r="AY8" s="10">
        <v>1124</v>
      </c>
      <c r="AZ8" s="10">
        <f>25+1097</f>
        <v>1122</v>
      </c>
      <c r="BA8" s="10">
        <f>17+1080</f>
        <v>1097</v>
      </c>
      <c r="BB8" s="10">
        <v>1080</v>
      </c>
      <c r="BC8" s="10">
        <f>20+1053</f>
        <v>1073</v>
      </c>
      <c r="BD8" s="10">
        <f>5+1048</f>
        <v>1053</v>
      </c>
      <c r="BE8" s="10">
        <f>1037+11</f>
        <v>1048</v>
      </c>
      <c r="BF8" s="10">
        <f>36+1001</f>
        <v>1037</v>
      </c>
      <c r="BG8" s="10">
        <f>977+24</f>
        <v>1001</v>
      </c>
      <c r="BH8" s="10">
        <v>977</v>
      </c>
      <c r="BI8" s="10">
        <v>977</v>
      </c>
      <c r="BJ8" s="10">
        <f>960+13</f>
        <v>973</v>
      </c>
      <c r="BK8" s="10">
        <f>948+12</f>
        <v>960</v>
      </c>
      <c r="BL8" s="10">
        <v>948</v>
      </c>
      <c r="BM8" s="10">
        <f>887+9</f>
        <v>896</v>
      </c>
      <c r="BN8" s="10">
        <f>869+18</f>
        <v>887</v>
      </c>
      <c r="BO8" s="10">
        <v>869</v>
      </c>
      <c r="BP8" s="10">
        <v>864</v>
      </c>
      <c r="BQ8" s="10">
        <v>864</v>
      </c>
      <c r="BR8" s="10">
        <f>835+25</f>
        <v>860</v>
      </c>
      <c r="BS8" s="10">
        <v>835</v>
      </c>
      <c r="BT8" s="10">
        <f>796+20</f>
        <v>816</v>
      </c>
      <c r="BU8" s="10">
        <v>796</v>
      </c>
      <c r="BV8" s="10">
        <f>760</f>
        <v>760</v>
      </c>
      <c r="BW8" s="10">
        <v>754</v>
      </c>
      <c r="BX8" s="10">
        <v>753</v>
      </c>
      <c r="BY8" s="10">
        <v>747</v>
      </c>
      <c r="BZ8" s="10">
        <v>725</v>
      </c>
      <c r="CA8" s="10">
        <v>705</v>
      </c>
      <c r="CB8" s="10">
        <f>664+24</f>
        <v>688</v>
      </c>
      <c r="CC8" s="10">
        <v>664</v>
      </c>
      <c r="CD8" s="10">
        <v>664</v>
      </c>
      <c r="CE8" s="10">
        <v>650</v>
      </c>
      <c r="CF8" s="10">
        <f>622+22</f>
        <v>644</v>
      </c>
      <c r="CG8" s="10">
        <v>622</v>
      </c>
      <c r="CH8" s="10">
        <f>591+24</f>
        <v>615</v>
      </c>
      <c r="CI8" s="10">
        <v>591</v>
      </c>
      <c r="CJ8" s="10">
        <v>583</v>
      </c>
      <c r="CK8" s="10">
        <v>564</v>
      </c>
      <c r="CL8" s="10">
        <v>562</v>
      </c>
      <c r="CM8" s="10">
        <v>545</v>
      </c>
      <c r="CN8" s="10">
        <v>525</v>
      </c>
      <c r="CO8" s="10">
        <v>525</v>
      </c>
      <c r="CP8" s="10">
        <v>516</v>
      </c>
      <c r="CQ8" s="10">
        <v>507</v>
      </c>
      <c r="CR8" s="10">
        <v>505</v>
      </c>
      <c r="CS8" s="10">
        <v>502</v>
      </c>
      <c r="CT8" s="10">
        <v>494</v>
      </c>
      <c r="CU8" s="10">
        <v>475</v>
      </c>
      <c r="CV8" s="10">
        <v>458</v>
      </c>
      <c r="CW8" s="10">
        <v>446</v>
      </c>
      <c r="CX8" s="10">
        <v>431</v>
      </c>
      <c r="CY8" s="10">
        <v>431</v>
      </c>
      <c r="CZ8" s="10">
        <v>427</v>
      </c>
      <c r="DA8" s="10">
        <v>423</v>
      </c>
      <c r="DB8" s="10">
        <v>423</v>
      </c>
      <c r="DC8" s="10">
        <v>418</v>
      </c>
      <c r="DD8" s="10">
        <v>410</v>
      </c>
      <c r="DE8" s="10">
        <v>406</v>
      </c>
      <c r="DF8" s="10">
        <v>402</v>
      </c>
      <c r="DG8" s="10">
        <v>363</v>
      </c>
      <c r="DH8" s="10">
        <v>348</v>
      </c>
      <c r="DI8" s="10">
        <v>338</v>
      </c>
      <c r="DJ8" s="10">
        <v>332</v>
      </c>
      <c r="DK8" s="10">
        <v>309</v>
      </c>
      <c r="DL8" s="10">
        <v>306</v>
      </c>
      <c r="DM8" s="10">
        <v>302</v>
      </c>
      <c r="DN8" s="10">
        <v>301</v>
      </c>
      <c r="DO8" s="10">
        <v>299</v>
      </c>
      <c r="DP8" s="10">
        <v>298</v>
      </c>
      <c r="DQ8" s="10">
        <v>298</v>
      </c>
      <c r="DR8" s="10">
        <v>294</v>
      </c>
      <c r="DS8" s="10">
        <v>289</v>
      </c>
      <c r="DT8" s="10">
        <v>288</v>
      </c>
      <c r="DU8" s="10">
        <v>288</v>
      </c>
      <c r="DV8" s="10">
        <v>287</v>
      </c>
      <c r="DW8" s="10">
        <v>287</v>
      </c>
      <c r="DX8" s="10">
        <v>286</v>
      </c>
      <c r="DY8" s="10">
        <v>285</v>
      </c>
      <c r="DZ8" s="10">
        <v>280</v>
      </c>
      <c r="EA8" s="10">
        <v>279</v>
      </c>
      <c r="EB8" s="10">
        <v>278</v>
      </c>
      <c r="EC8" s="10">
        <v>276</v>
      </c>
      <c r="ED8" s="10">
        <v>274</v>
      </c>
      <c r="EE8" s="10">
        <v>271</v>
      </c>
      <c r="EF8" s="10">
        <v>269</v>
      </c>
      <c r="EG8" s="10">
        <v>259</v>
      </c>
      <c r="EH8" s="10">
        <v>257</v>
      </c>
      <c r="EI8" s="10">
        <v>255</v>
      </c>
      <c r="EJ8" s="10">
        <v>255</v>
      </c>
      <c r="EK8" s="10">
        <v>255</v>
      </c>
      <c r="EL8" s="10">
        <v>255</v>
      </c>
      <c r="EM8" s="10">
        <v>255</v>
      </c>
      <c r="EN8" s="10">
        <v>253</v>
      </c>
      <c r="EO8" s="10">
        <v>253</v>
      </c>
      <c r="EP8" s="10">
        <v>250</v>
      </c>
      <c r="EQ8" s="10">
        <v>249</v>
      </c>
      <c r="ER8" s="10">
        <v>248</v>
      </c>
      <c r="ES8" s="10">
        <v>234</v>
      </c>
      <c r="ET8" s="10">
        <v>230</v>
      </c>
      <c r="EU8" s="10">
        <v>229</v>
      </c>
      <c r="EV8" s="10">
        <v>229</v>
      </c>
      <c r="EW8" s="10">
        <v>229</v>
      </c>
      <c r="EX8" s="10">
        <v>229</v>
      </c>
      <c r="EY8" s="10">
        <v>229</v>
      </c>
      <c r="EZ8" s="10">
        <v>229</v>
      </c>
      <c r="FA8" s="10">
        <v>229</v>
      </c>
      <c r="FB8" s="10">
        <v>229</v>
      </c>
      <c r="FC8" s="10">
        <v>229</v>
      </c>
      <c r="FD8" s="10">
        <v>229</v>
      </c>
      <c r="FE8" s="10">
        <v>229</v>
      </c>
      <c r="FF8" s="10">
        <v>224</v>
      </c>
      <c r="FG8" s="10">
        <v>224</v>
      </c>
      <c r="FH8" s="10">
        <v>224</v>
      </c>
      <c r="FI8" s="10">
        <v>224</v>
      </c>
      <c r="FJ8" s="10">
        <v>224</v>
      </c>
      <c r="FK8" s="10">
        <v>224</v>
      </c>
      <c r="FL8" s="10">
        <v>224</v>
      </c>
      <c r="FM8" s="10">
        <v>224</v>
      </c>
      <c r="FN8" s="10">
        <v>219</v>
      </c>
      <c r="FO8" s="10">
        <v>218</v>
      </c>
      <c r="FP8" s="10">
        <v>216</v>
      </c>
      <c r="FQ8" s="10">
        <v>214</v>
      </c>
      <c r="FR8" s="10">
        <v>210</v>
      </c>
      <c r="FS8" s="10">
        <v>210</v>
      </c>
      <c r="FT8" s="10">
        <v>209</v>
      </c>
      <c r="FU8" s="10">
        <v>209</v>
      </c>
      <c r="FV8" s="10">
        <v>202</v>
      </c>
      <c r="FW8" s="10">
        <v>202</v>
      </c>
      <c r="FX8" s="10">
        <v>202</v>
      </c>
      <c r="FY8" s="10">
        <v>202</v>
      </c>
      <c r="FZ8" s="10">
        <v>202</v>
      </c>
      <c r="GA8" s="10">
        <v>201</v>
      </c>
      <c r="GB8" s="10">
        <v>200</v>
      </c>
      <c r="GC8" s="10">
        <v>200</v>
      </c>
      <c r="GD8" s="10">
        <v>198</v>
      </c>
      <c r="GE8" s="10">
        <v>198</v>
      </c>
      <c r="GF8" s="10">
        <v>198</v>
      </c>
      <c r="GG8" s="10">
        <v>198</v>
      </c>
      <c r="GH8" s="10">
        <v>198</v>
      </c>
      <c r="GI8" s="10">
        <v>195</v>
      </c>
      <c r="GJ8" s="10">
        <v>195</v>
      </c>
      <c r="GK8" s="10">
        <v>194</v>
      </c>
      <c r="GL8" s="10">
        <v>191</v>
      </c>
      <c r="GM8" s="10">
        <v>191</v>
      </c>
      <c r="GN8" s="10">
        <v>191</v>
      </c>
      <c r="GO8" s="10">
        <v>190</v>
      </c>
      <c r="GP8" s="10">
        <v>190</v>
      </c>
      <c r="GQ8" s="10">
        <v>190</v>
      </c>
      <c r="GR8" s="10">
        <v>189</v>
      </c>
      <c r="GS8" s="10">
        <v>189</v>
      </c>
      <c r="GT8" s="10">
        <v>189</v>
      </c>
      <c r="GU8" s="10">
        <v>189</v>
      </c>
      <c r="GV8" s="10">
        <v>189</v>
      </c>
      <c r="GW8" s="10">
        <v>189</v>
      </c>
      <c r="GX8" s="10">
        <v>189</v>
      </c>
      <c r="GY8" s="10">
        <v>189</v>
      </c>
      <c r="GZ8" s="18">
        <v>189</v>
      </c>
      <c r="HA8" s="18">
        <v>189</v>
      </c>
      <c r="HB8" s="18">
        <v>189</v>
      </c>
      <c r="HC8" s="18">
        <v>189</v>
      </c>
      <c r="HD8" s="18">
        <v>188</v>
      </c>
      <c r="HE8" s="18">
        <v>188</v>
      </c>
      <c r="HF8" s="18">
        <v>188</v>
      </c>
      <c r="HG8" s="18">
        <v>188</v>
      </c>
      <c r="HH8" s="18">
        <v>188</v>
      </c>
      <c r="HI8" s="18">
        <v>187</v>
      </c>
      <c r="HJ8" s="18">
        <v>186</v>
      </c>
      <c r="HK8" s="18">
        <v>183</v>
      </c>
      <c r="HL8" s="18">
        <v>183</v>
      </c>
      <c r="HM8" s="18">
        <v>183</v>
      </c>
      <c r="HN8" s="18">
        <v>182</v>
      </c>
      <c r="HO8" s="18">
        <v>182</v>
      </c>
      <c r="HP8" s="18">
        <v>181</v>
      </c>
      <c r="HQ8" s="18">
        <v>179</v>
      </c>
      <c r="HR8" s="18">
        <v>176</v>
      </c>
      <c r="HS8" s="18">
        <v>176</v>
      </c>
    </row>
    <row r="9" spans="1:227" s="27" customFormat="1" ht="16.5" thickBot="1" x14ac:dyDescent="0.3">
      <c r="A9" s="11"/>
      <c r="B9" s="45"/>
      <c r="C9" s="22">
        <f>C8/G8</f>
        <v>1.0085567598402738</v>
      </c>
      <c r="D9" s="28">
        <f>D8/H8</f>
        <v>1.0178571428571428</v>
      </c>
      <c r="E9" s="23">
        <f>E8/I8</f>
        <v>1.0226349390597795</v>
      </c>
      <c r="F9" s="23">
        <f>F8/J8</f>
        <v>1.0245183887915936</v>
      </c>
      <c r="G9" s="23">
        <f t="shared" ref="G9:K9" si="19">G8/K8</f>
        <v>1.0348288075560803</v>
      </c>
      <c r="H9" s="23">
        <f t="shared" si="19"/>
        <v>1.0296559905100831</v>
      </c>
      <c r="I9" s="23">
        <f t="shared" si="19"/>
        <v>1.0225519287833829</v>
      </c>
      <c r="J9" s="28">
        <f t="shared" si="19"/>
        <v>1.0166172106824927</v>
      </c>
      <c r="K9" s="28">
        <f t="shared" si="19"/>
        <v>1.0143712574850299</v>
      </c>
      <c r="L9" s="28">
        <f t="shared" ref="L9:R9" si="20">L8/P8</f>
        <v>1.0113977204559088</v>
      </c>
      <c r="M9" s="28">
        <f t="shared" si="20"/>
        <v>1.0187424425634826</v>
      </c>
      <c r="N9" s="23">
        <f t="shared" si="20"/>
        <v>1.0426980198019802</v>
      </c>
      <c r="O9" s="23">
        <f t="shared" si="20"/>
        <v>1.0457107075767063</v>
      </c>
      <c r="P9" s="23">
        <f t="shared" si="20"/>
        <v>1.0510718789407314</v>
      </c>
      <c r="Q9" s="23">
        <f t="shared" si="20"/>
        <v>1.0448515476942515</v>
      </c>
      <c r="R9" s="23">
        <f t="shared" si="20"/>
        <v>1.0273363000635727</v>
      </c>
      <c r="S9" s="23">
        <f t="shared" ref="S9" si="21">S8/W8</f>
        <v>1.0237179487179486</v>
      </c>
      <c r="T9" s="23">
        <f t="shared" ref="T9:Y9" si="22">T8/X8</f>
        <v>1.0352480417754568</v>
      </c>
      <c r="U9" s="23">
        <f t="shared" si="22"/>
        <v>1.0441952506596306</v>
      </c>
      <c r="V9" s="23">
        <f t="shared" si="22"/>
        <v>1.041032428855063</v>
      </c>
      <c r="W9" s="23">
        <f t="shared" si="22"/>
        <v>1.0331125827814569</v>
      </c>
      <c r="X9" s="28">
        <f t="shared" si="22"/>
        <v>1.0199733688415447</v>
      </c>
      <c r="Y9" s="28">
        <f t="shared" si="22"/>
        <v>1.0147255689424364</v>
      </c>
      <c r="Z9" s="23">
        <f t="shared" ref="Z9:AE9" si="23">Z8/AD8</f>
        <v>1.025101763907734</v>
      </c>
      <c r="AA9" s="23">
        <f t="shared" si="23"/>
        <v>1.0363761153054221</v>
      </c>
      <c r="AB9" s="23">
        <f t="shared" si="23"/>
        <v>1.0562587904360057</v>
      </c>
      <c r="AC9" s="23">
        <f t="shared" si="23"/>
        <v>1.0588235294117647</v>
      </c>
      <c r="AD9" s="23">
        <f t="shared" si="23"/>
        <v>1.0461320085166785</v>
      </c>
      <c r="AE9" s="23">
        <f t="shared" si="23"/>
        <v>1.0436962750716332</v>
      </c>
      <c r="AF9" s="23">
        <f t="shared" ref="AF9:AK9" si="24">AF8/AJ8</f>
        <v>1.025974025974026</v>
      </c>
      <c r="AG9" s="23">
        <f t="shared" si="24"/>
        <v>1.0382634289919057</v>
      </c>
      <c r="AH9" s="23">
        <f t="shared" si="24"/>
        <v>1.0658093797276853</v>
      </c>
      <c r="AI9" s="23">
        <f t="shared" si="24"/>
        <v>1.0656488549618321</v>
      </c>
      <c r="AJ9" s="23">
        <f t="shared" si="24"/>
        <v>1.0596330275229358</v>
      </c>
      <c r="AK9" s="23">
        <f t="shared" si="24"/>
        <v>1.0397857689364958</v>
      </c>
      <c r="AL9" s="23">
        <f>1322/1284</f>
        <v>1.029595015576324</v>
      </c>
      <c r="AM9" s="23">
        <f>AM8/AQ8</f>
        <v>1.0266457680250785</v>
      </c>
      <c r="AN9" s="23">
        <f>AN8/AR8</f>
        <v>1.0389197776012709</v>
      </c>
      <c r="AO9" s="23">
        <f t="shared" ref="AO9:AR9" si="25">AO8/AS8</f>
        <v>1.0414342629482072</v>
      </c>
      <c r="AP9" s="23">
        <f t="shared" si="25"/>
        <v>1.0498773507767785</v>
      </c>
      <c r="AQ9" s="23">
        <f t="shared" si="25"/>
        <v>1.075885328836425</v>
      </c>
      <c r="AR9" s="23">
        <f t="shared" si="25"/>
        <v>1.0651438240270727</v>
      </c>
      <c r="AS9" s="23">
        <f>AS8/AW8</f>
        <v>1.082830025884383</v>
      </c>
      <c r="AT9" s="23">
        <f>AT8/AX8</f>
        <v>1.0756376429199648</v>
      </c>
      <c r="AU9" s="23">
        <f>1186/1124</f>
        <v>1.0551601423487544</v>
      </c>
      <c r="AV9" s="23">
        <f>AV8/AZ8</f>
        <v>1.053475935828877</v>
      </c>
      <c r="AW9" s="23">
        <f>AW8/BA8</f>
        <v>1.056517775752051</v>
      </c>
      <c r="AX9" s="23">
        <f>1137/1080</f>
        <v>1.0527777777777778</v>
      </c>
      <c r="AY9" s="23">
        <f>1124/1073</f>
        <v>1.0475302889095992</v>
      </c>
      <c r="AZ9" s="23">
        <f>1122/1053</f>
        <v>1.0655270655270654</v>
      </c>
      <c r="BA9" s="23">
        <f>1097/1048</f>
        <v>1.0467557251908397</v>
      </c>
      <c r="BB9" s="23">
        <f>1080/1037</f>
        <v>1.0414657666345226</v>
      </c>
      <c r="BC9" s="23">
        <f>1073/1001</f>
        <v>1.0719280719280719</v>
      </c>
      <c r="BD9" s="23">
        <f>1053/977</f>
        <v>1.0777891504605936</v>
      </c>
      <c r="BE9" s="23">
        <f>1048/977</f>
        <v>1.0726714431934494</v>
      </c>
      <c r="BF9" s="23">
        <f>1037/973</f>
        <v>1.0657759506680371</v>
      </c>
      <c r="BG9" s="23">
        <f>1001/960</f>
        <v>1.0427083333333333</v>
      </c>
      <c r="BH9" s="23">
        <f>977/948</f>
        <v>1.0305907172995781</v>
      </c>
      <c r="BI9" s="23">
        <f>977/896</f>
        <v>1.0904017857142858</v>
      </c>
      <c r="BJ9" s="23">
        <f>973/887</f>
        <v>1.0969560315670801</v>
      </c>
      <c r="BK9" s="42">
        <f>960/869</f>
        <v>1.1047180667433831</v>
      </c>
      <c r="BL9" s="23">
        <f>948/864</f>
        <v>1.0972222222222223</v>
      </c>
      <c r="BM9" s="23">
        <f>896/864</f>
        <v>1.037037037037037</v>
      </c>
      <c r="BN9" s="23">
        <f>887/860</f>
        <v>1.0313953488372094</v>
      </c>
      <c r="BO9" s="23">
        <f>869/835</f>
        <v>1.0407185628742515</v>
      </c>
      <c r="BP9" s="23">
        <f>864/816</f>
        <v>1.0588235294117647</v>
      </c>
      <c r="BQ9" s="23">
        <f>864/796</f>
        <v>1.085427135678392</v>
      </c>
      <c r="BR9" s="42">
        <f>860/760</f>
        <v>1.131578947368421</v>
      </c>
      <c r="BS9" s="42">
        <f>835/754</f>
        <v>1.1074270557029178</v>
      </c>
      <c r="BT9" s="23">
        <f>816/753</f>
        <v>1.0836653386454183</v>
      </c>
      <c r="BU9" s="23">
        <f>796/747</f>
        <v>1.0655957161981258</v>
      </c>
      <c r="BV9" s="23">
        <f>760/725</f>
        <v>1.0482758620689656</v>
      </c>
      <c r="BW9" s="23">
        <f>754/705</f>
        <v>1.0695035460992908</v>
      </c>
      <c r="BX9" s="23">
        <f>753/688</f>
        <v>1.0944767441860466</v>
      </c>
      <c r="BY9" s="42">
        <f>747/664</f>
        <v>1.125</v>
      </c>
      <c r="BZ9" s="23">
        <f>725/664</f>
        <v>1.0918674698795181</v>
      </c>
      <c r="CA9" s="23">
        <f>705/650</f>
        <v>1.0846153846153845</v>
      </c>
      <c r="CB9" s="23">
        <f>688/644</f>
        <v>1.0683229813664596</v>
      </c>
      <c r="CC9" s="23">
        <f>664/622</f>
        <v>1.067524115755627</v>
      </c>
      <c r="CD9" s="23">
        <f>664/615</f>
        <v>1.0796747967479674</v>
      </c>
      <c r="CE9" s="23">
        <f>650/591</f>
        <v>1.0998307952622672</v>
      </c>
      <c r="CF9" s="42">
        <f>644/583</f>
        <v>1.1046312178387649</v>
      </c>
      <c r="CG9" s="42">
        <f>622/564</f>
        <v>1.1028368794326242</v>
      </c>
      <c r="CH9" s="23">
        <f>615/562</f>
        <v>1.094306049822064</v>
      </c>
      <c r="CI9" s="23">
        <f>591/545</f>
        <v>1.0844036697247705</v>
      </c>
      <c r="CJ9" s="42">
        <f>583/525</f>
        <v>1.1104761904761904</v>
      </c>
      <c r="CK9" s="23">
        <f>564/525</f>
        <v>1.0742857142857143</v>
      </c>
      <c r="CL9" s="23">
        <f>562/516</f>
        <v>1.0891472868217054</v>
      </c>
      <c r="CM9" s="23">
        <f>545/507</f>
        <v>1.0749506903353057</v>
      </c>
      <c r="CN9" s="23">
        <f>525/505</f>
        <v>1.0396039603960396</v>
      </c>
      <c r="CO9" s="23">
        <f>525/502</f>
        <v>1.045816733067729</v>
      </c>
      <c r="CP9" s="23">
        <f>516/494</f>
        <v>1.0445344129554657</v>
      </c>
      <c r="CQ9" s="23">
        <f>507/475</f>
        <v>1.0673684210526315</v>
      </c>
      <c r="CR9" s="42">
        <f>505/458</f>
        <v>1.1026200873362446</v>
      </c>
      <c r="CS9" s="42">
        <f>502/446</f>
        <v>1.1255605381165918</v>
      </c>
      <c r="CT9" s="42">
        <f>494/431</f>
        <v>1.1461716937354989</v>
      </c>
      <c r="CU9" s="42">
        <f>475/431</f>
        <v>1.1020881670533642</v>
      </c>
      <c r="CV9" s="23">
        <f>458/427</f>
        <v>1.0725995316159251</v>
      </c>
      <c r="CW9" s="23">
        <f>446/423</f>
        <v>1.0543735224586288</v>
      </c>
      <c r="CX9" s="23">
        <f>431/423</f>
        <v>1.0189125295508275</v>
      </c>
      <c r="CY9" s="23">
        <f>431/418</f>
        <v>1.0311004784688995</v>
      </c>
      <c r="CZ9" s="23">
        <f>427/410</f>
        <v>1.0414634146341464</v>
      </c>
      <c r="DA9" s="23">
        <f>423/406</f>
        <v>1.041871921182266</v>
      </c>
      <c r="DB9" s="23">
        <f>423/402</f>
        <v>1.0522388059701493</v>
      </c>
      <c r="DC9" s="42">
        <f>418/363</f>
        <v>1.1515151515151516</v>
      </c>
      <c r="DD9" s="42">
        <f>410/348</f>
        <v>1.1781609195402298</v>
      </c>
      <c r="DE9" s="42">
        <f>406/338</f>
        <v>1.2011834319526626</v>
      </c>
      <c r="DF9" s="42">
        <f>402/332</f>
        <v>1.2108433734939759</v>
      </c>
      <c r="DG9" s="42">
        <f>363/309</f>
        <v>1.174757281553398</v>
      </c>
      <c r="DH9" s="42">
        <f>348/306</f>
        <v>1.1372549019607843</v>
      </c>
      <c r="DI9" s="42">
        <f>338/302</f>
        <v>1.119205298013245</v>
      </c>
      <c r="DJ9" s="42">
        <f>332/301</f>
        <v>1.1029900332225913</v>
      </c>
      <c r="DK9" s="23">
        <f>309/299</f>
        <v>1.0334448160535117</v>
      </c>
      <c r="DL9" s="23">
        <f>306/298</f>
        <v>1.0268456375838926</v>
      </c>
      <c r="DM9" s="28">
        <f>302/298</f>
        <v>1.0134228187919463</v>
      </c>
      <c r="DN9" s="23">
        <f>301/294</f>
        <v>1.0238095238095237</v>
      </c>
      <c r="DO9" s="23">
        <f>299/289</f>
        <v>1.0346020761245676</v>
      </c>
      <c r="DP9" s="23">
        <f>298/288</f>
        <v>1.0347222222222223</v>
      </c>
      <c r="DQ9" s="23">
        <f>298/288</f>
        <v>1.0347222222222223</v>
      </c>
      <c r="DR9" s="23">
        <f>294/287</f>
        <v>1.024390243902439</v>
      </c>
      <c r="DS9" s="22">
        <f>289/287</f>
        <v>1.0069686411149825</v>
      </c>
      <c r="DT9" s="22">
        <f>288/286</f>
        <v>1.0069930069930071</v>
      </c>
      <c r="DU9" s="28">
        <f>288/285</f>
        <v>1.0105263157894737</v>
      </c>
      <c r="DV9" s="23">
        <f>287/280</f>
        <v>1.0249999999999999</v>
      </c>
      <c r="DW9" s="23">
        <f>287/279</f>
        <v>1.0286738351254481</v>
      </c>
      <c r="DX9" s="23">
        <f>286/278</f>
        <v>1.0287769784172662</v>
      </c>
      <c r="DY9" s="23">
        <f>285/276</f>
        <v>1.0326086956521738</v>
      </c>
      <c r="DZ9" s="23">
        <f>280/274</f>
        <v>1.0218978102189782</v>
      </c>
      <c r="EA9" s="23">
        <f>279/271</f>
        <v>1.0295202952029521</v>
      </c>
      <c r="EB9" s="23">
        <f>278/269</f>
        <v>1.033457249070632</v>
      </c>
      <c r="EC9" s="23">
        <f>276/259</f>
        <v>1.0656370656370657</v>
      </c>
      <c r="ED9" s="23">
        <f>274/257</f>
        <v>1.066147859922179</v>
      </c>
      <c r="EE9" s="23">
        <f>271/255</f>
        <v>1.0627450980392157</v>
      </c>
      <c r="EF9" s="23">
        <f>269/255</f>
        <v>1.0549019607843138</v>
      </c>
      <c r="EG9" s="28">
        <f>259/255</f>
        <v>1.0156862745098039</v>
      </c>
      <c r="EH9" s="22">
        <f>257/255</f>
        <v>1.0078431372549019</v>
      </c>
      <c r="EI9" s="21">
        <v>1</v>
      </c>
      <c r="EJ9" s="22">
        <f>255/253</f>
        <v>1.0079051383399209</v>
      </c>
      <c r="EK9" s="22">
        <f>255/253</f>
        <v>1.0079051383399209</v>
      </c>
      <c r="EL9" s="23">
        <f>255/250</f>
        <v>1.02</v>
      </c>
      <c r="EM9" s="23">
        <f>255/249</f>
        <v>1.0240963855421688</v>
      </c>
      <c r="EN9" s="23">
        <f>253/248</f>
        <v>1.0201612903225807</v>
      </c>
      <c r="EO9" s="23">
        <f>253/234</f>
        <v>1.0811965811965811</v>
      </c>
      <c r="EP9" s="23">
        <f>250/230</f>
        <v>1.0869565217391304</v>
      </c>
      <c r="EQ9" s="23">
        <f>249/229</f>
        <v>1.0873362445414847</v>
      </c>
      <c r="ER9" s="23">
        <f>248/229</f>
        <v>1.0829694323144106</v>
      </c>
      <c r="ES9" s="23">
        <f>234/229</f>
        <v>1.0218340611353711</v>
      </c>
      <c r="ET9" s="22">
        <f>230/229</f>
        <v>1.0043668122270741</v>
      </c>
      <c r="EU9" s="21">
        <v>1</v>
      </c>
      <c r="EV9" s="21">
        <v>1</v>
      </c>
      <c r="EW9" s="21">
        <v>1</v>
      </c>
      <c r="EX9" s="21">
        <v>1</v>
      </c>
      <c r="EY9" s="21">
        <v>1</v>
      </c>
      <c r="EZ9" s="21">
        <v>1</v>
      </c>
      <c r="FA9" s="21">
        <v>1</v>
      </c>
      <c r="FB9" s="23">
        <f>229/224</f>
        <v>1.0223214285714286</v>
      </c>
      <c r="FC9" s="23">
        <f>229/224</f>
        <v>1.0223214285714286</v>
      </c>
      <c r="FD9" s="23">
        <f>229/224</f>
        <v>1.0223214285714286</v>
      </c>
      <c r="FE9" s="23">
        <f>229/224</f>
        <v>1.0223214285714286</v>
      </c>
      <c r="FF9" s="21">
        <v>1</v>
      </c>
      <c r="FG9" s="21">
        <v>1</v>
      </c>
      <c r="FH9" s="21">
        <v>1</v>
      </c>
      <c r="FI9" s="21">
        <v>1</v>
      </c>
      <c r="FJ9" s="23">
        <f>224/219</f>
        <v>1.0228310502283104</v>
      </c>
      <c r="FK9" s="23">
        <f>224/218</f>
        <v>1.0275229357798166</v>
      </c>
      <c r="FL9" s="23">
        <f>224/216</f>
        <v>1.037037037037037</v>
      </c>
      <c r="FM9" s="23">
        <f>224/214</f>
        <v>1.0467289719626167</v>
      </c>
      <c r="FN9" s="23">
        <f>219/210</f>
        <v>1.0428571428571429</v>
      </c>
      <c r="FO9" s="23">
        <f>218/210</f>
        <v>1.0380952380952382</v>
      </c>
      <c r="FP9" s="23">
        <f>216/209</f>
        <v>1.0334928229665072</v>
      </c>
      <c r="FQ9" s="23">
        <f>214/209</f>
        <v>1.0239234449760766</v>
      </c>
      <c r="FR9" s="23">
        <f>210/202</f>
        <v>1.0396039603960396</v>
      </c>
      <c r="FS9" s="23">
        <f>210/202</f>
        <v>1.0396039603960396</v>
      </c>
      <c r="FT9" s="23">
        <f>209/202</f>
        <v>1.0346534653465347</v>
      </c>
      <c r="FU9" s="23">
        <f>209/202</f>
        <v>1.0346534653465347</v>
      </c>
      <c r="FV9" s="21">
        <f>202/202</f>
        <v>1</v>
      </c>
      <c r="FW9" s="22">
        <f>202/201</f>
        <v>1.0049751243781095</v>
      </c>
      <c r="FX9" s="28">
        <f>202/200</f>
        <v>1.01</v>
      </c>
      <c r="FY9" s="28">
        <f>202/200</f>
        <v>1.01</v>
      </c>
      <c r="FZ9" s="23">
        <f>202/198</f>
        <v>1.0202020202020201</v>
      </c>
      <c r="GA9" s="28">
        <f>201/198</f>
        <v>1.0151515151515151</v>
      </c>
      <c r="GB9" s="28">
        <f>200/198</f>
        <v>1.0101010101010102</v>
      </c>
      <c r="GC9" s="28">
        <f>200/198</f>
        <v>1.0101010101010102</v>
      </c>
      <c r="GD9" s="21">
        <v>1</v>
      </c>
      <c r="GE9" s="28">
        <f>198/195</f>
        <v>1.0153846153846153</v>
      </c>
      <c r="GF9" s="28">
        <f>198/195</f>
        <v>1.0153846153846153</v>
      </c>
      <c r="GG9" s="23">
        <f>198/194</f>
        <v>1.0206185567010309</v>
      </c>
      <c r="GH9" s="23">
        <f>198/191</f>
        <v>1.036649214659686</v>
      </c>
      <c r="GI9" s="23">
        <f>195/191</f>
        <v>1.0209424083769634</v>
      </c>
      <c r="GJ9" s="23">
        <f>195/191</f>
        <v>1.0209424083769634</v>
      </c>
      <c r="GK9" s="23">
        <f>194/190</f>
        <v>1.0210526315789474</v>
      </c>
      <c r="GL9" s="22">
        <f>191/190</f>
        <v>1.0052631578947369</v>
      </c>
      <c r="GM9" s="22">
        <f>191/190</f>
        <v>1.0052631578947369</v>
      </c>
      <c r="GN9" s="28">
        <f>191/189</f>
        <v>1.0105820105820107</v>
      </c>
      <c r="GO9" s="22">
        <f>190/189</f>
        <v>1.0052910052910053</v>
      </c>
      <c r="GP9" s="22">
        <f>GP8/GT8</f>
        <v>1.0052910052910053</v>
      </c>
      <c r="GQ9" s="22">
        <f>190/189</f>
        <v>1.0052910052910053</v>
      </c>
      <c r="GR9" s="29">
        <v>1</v>
      </c>
      <c r="GS9" s="29">
        <v>1</v>
      </c>
      <c r="GT9" s="29">
        <v>1</v>
      </c>
      <c r="GU9" s="29">
        <v>1</v>
      </c>
      <c r="GV9" s="29">
        <v>1</v>
      </c>
      <c r="GW9" s="29">
        <f>189/189</f>
        <v>1</v>
      </c>
      <c r="GX9" s="29">
        <v>1</v>
      </c>
      <c r="GY9" s="29">
        <v>1</v>
      </c>
      <c r="GZ9" s="25">
        <f>189/188</f>
        <v>1.0053191489361701</v>
      </c>
      <c r="HA9" s="25">
        <f>189/188</f>
        <v>1.0053191489361701</v>
      </c>
      <c r="HB9" s="25">
        <f>189/188</f>
        <v>1.0053191489361701</v>
      </c>
      <c r="HC9" s="25">
        <f>189/188</f>
        <v>1.0053191489361701</v>
      </c>
      <c r="HD9" s="25">
        <f>188/188</f>
        <v>1</v>
      </c>
      <c r="HE9" s="25">
        <f>188/187</f>
        <v>1.0053475935828877</v>
      </c>
      <c r="HF9" s="26">
        <f>188/186</f>
        <v>1.010752688172043</v>
      </c>
      <c r="HG9" s="35">
        <f>188/183</f>
        <v>1.0273224043715847</v>
      </c>
      <c r="HH9" s="35">
        <f>188/183</f>
        <v>1.0273224043715847</v>
      </c>
      <c r="HI9" s="35">
        <f>187/183</f>
        <v>1.0218579234972678</v>
      </c>
      <c r="HJ9" s="35">
        <f>186/182</f>
        <v>1.0219780219780219</v>
      </c>
      <c r="HK9" s="25">
        <f>183/182</f>
        <v>1.0054945054945055</v>
      </c>
      <c r="HL9" s="26">
        <f>183/181</f>
        <v>1.011049723756906</v>
      </c>
      <c r="HM9" s="35">
        <f>183/179</f>
        <v>1.0223463687150838</v>
      </c>
      <c r="HN9" s="35">
        <f>182/176</f>
        <v>1.0340909090909092</v>
      </c>
      <c r="HO9" s="35">
        <f>182/176</f>
        <v>1.0340909090909092</v>
      </c>
      <c r="HP9" s="36"/>
    </row>
    <row r="10" spans="1:227" s="18" customFormat="1" ht="16.5" thickBot="1" x14ac:dyDescent="0.3">
      <c r="A10" s="9" t="s">
        <v>4</v>
      </c>
      <c r="B10" s="10">
        <v>1395</v>
      </c>
      <c r="C10" s="10">
        <f>14+D10</f>
        <v>5666</v>
      </c>
      <c r="D10" s="10">
        <f>5+E10</f>
        <v>5652</v>
      </c>
      <c r="E10" s="10">
        <f>10+F10</f>
        <v>5647</v>
      </c>
      <c r="F10" s="10">
        <f>11+G10</f>
        <v>5637</v>
      </c>
      <c r="G10" s="10">
        <f>32+H10</f>
        <v>5626</v>
      </c>
      <c r="H10" s="10">
        <f>28+I10</f>
        <v>5594</v>
      </c>
      <c r="I10" s="10">
        <f>26+J10</f>
        <v>5566</v>
      </c>
      <c r="J10" s="10">
        <f>32+K10</f>
        <v>5540</v>
      </c>
      <c r="K10" s="10">
        <f>30+L10</f>
        <v>5508</v>
      </c>
      <c r="L10" s="10">
        <f>3+M10</f>
        <v>5478</v>
      </c>
      <c r="M10" s="10">
        <f>8+N10</f>
        <v>5475</v>
      </c>
      <c r="N10" s="10">
        <f>21+O10</f>
        <v>5467</v>
      </c>
      <c r="O10" s="10">
        <f>32+P10</f>
        <v>5446</v>
      </c>
      <c r="P10" s="10">
        <f>43+Q10</f>
        <v>5414</v>
      </c>
      <c r="Q10" s="10">
        <f>37+R10</f>
        <v>5371</v>
      </c>
      <c r="R10" s="10">
        <f>37+S10</f>
        <v>5334</v>
      </c>
      <c r="S10" s="10">
        <f>3+T10</f>
        <v>5297</v>
      </c>
      <c r="T10" s="10">
        <f>41+5253</f>
        <v>5294</v>
      </c>
      <c r="U10" s="10">
        <f>20+5233</f>
        <v>5253</v>
      </c>
      <c r="V10" s="10">
        <f>52+5181</f>
        <v>5233</v>
      </c>
      <c r="W10" s="10">
        <f>46+5135</f>
        <v>5181</v>
      </c>
      <c r="X10" s="10">
        <f>67+5068</f>
        <v>5135</v>
      </c>
      <c r="Y10" s="10">
        <f>20+5048</f>
        <v>5068</v>
      </c>
      <c r="Z10" s="10">
        <f>13+5035</f>
        <v>5048</v>
      </c>
      <c r="AA10" s="10">
        <f>28+5007</f>
        <v>5035</v>
      </c>
      <c r="AB10" s="10">
        <f>24+4983</f>
        <v>5007</v>
      </c>
      <c r="AC10" s="10">
        <f>44+4939</f>
        <v>4983</v>
      </c>
      <c r="AD10" s="10">
        <f>77+AE10</f>
        <v>4939</v>
      </c>
      <c r="AE10" s="10">
        <f>58+4804</f>
        <v>4862</v>
      </c>
      <c r="AF10" s="10">
        <f>39+4765</f>
        <v>4804</v>
      </c>
      <c r="AG10" s="10">
        <f>36+4729</f>
        <v>4765</v>
      </c>
      <c r="AH10" s="10">
        <f>39+4690</f>
        <v>4729</v>
      </c>
      <c r="AI10" s="10">
        <f>99+4591</f>
        <v>4690</v>
      </c>
      <c r="AJ10" s="10">
        <f>73+4518</f>
        <v>4591</v>
      </c>
      <c r="AK10" s="10">
        <f>75+4443</f>
        <v>4518</v>
      </c>
      <c r="AL10" s="10">
        <f>37+4406</f>
        <v>4443</v>
      </c>
      <c r="AM10" s="10">
        <f>36+4370</f>
        <v>4406</v>
      </c>
      <c r="AN10" s="10">
        <f>23+4347</f>
        <v>4370</v>
      </c>
      <c r="AO10" s="10">
        <f>55+4292</f>
        <v>4347</v>
      </c>
      <c r="AP10" s="10">
        <f>85+4207</f>
        <v>4292</v>
      </c>
      <c r="AQ10" s="10">
        <f>96+4111</f>
        <v>4207</v>
      </c>
      <c r="AR10" s="10">
        <f>98+4013</f>
        <v>4111</v>
      </c>
      <c r="AS10" s="10">
        <f>71+3942</f>
        <v>4013</v>
      </c>
      <c r="AT10" s="10">
        <f>80+3862</f>
        <v>3942</v>
      </c>
      <c r="AU10" s="10">
        <f>33+3829</f>
        <v>3862</v>
      </c>
      <c r="AV10" s="10">
        <v>3829</v>
      </c>
      <c r="AW10" s="10">
        <f>62+3676</f>
        <v>3738</v>
      </c>
      <c r="AX10" s="10">
        <f>83+3593</f>
        <v>3676</v>
      </c>
      <c r="AY10" s="10">
        <f>51+3542</f>
        <v>3593</v>
      </c>
      <c r="AZ10" s="10">
        <f>80+3462</f>
        <v>3542</v>
      </c>
      <c r="BA10" s="10">
        <f>19+3443</f>
        <v>3462</v>
      </c>
      <c r="BB10" s="10">
        <v>3443</v>
      </c>
      <c r="BC10" s="10">
        <f>34+3398</f>
        <v>3432</v>
      </c>
      <c r="BD10" s="10">
        <f>27+3371</f>
        <v>3398</v>
      </c>
      <c r="BE10" s="10">
        <f>3345+26</f>
        <v>3371</v>
      </c>
      <c r="BF10" s="10">
        <f>3296+49</f>
        <v>3345</v>
      </c>
      <c r="BG10" s="10">
        <f>3273+23</f>
        <v>3296</v>
      </c>
      <c r="BH10" s="10">
        <v>3273</v>
      </c>
      <c r="BI10" s="10">
        <v>3243</v>
      </c>
      <c r="BJ10" s="10">
        <f>3211+25</f>
        <v>3236</v>
      </c>
      <c r="BK10" s="10">
        <f>3164+47</f>
        <v>3211</v>
      </c>
      <c r="BL10" s="10">
        <v>3164</v>
      </c>
      <c r="BM10" s="10">
        <f>3123+19</f>
        <v>3142</v>
      </c>
      <c r="BN10" s="10">
        <f>3093+30</f>
        <v>3123</v>
      </c>
      <c r="BO10" s="10">
        <f>3074+19</f>
        <v>3093</v>
      </c>
      <c r="BP10" s="10">
        <f>3067+7</f>
        <v>3074</v>
      </c>
      <c r="BQ10" s="10">
        <v>3067</v>
      </c>
      <c r="BR10" s="10">
        <f>3014+28</f>
        <v>3042</v>
      </c>
      <c r="BS10" s="10">
        <v>3014</v>
      </c>
      <c r="BT10" s="10">
        <f>2929+44</f>
        <v>2973</v>
      </c>
      <c r="BU10" s="10">
        <v>2929</v>
      </c>
      <c r="BV10" s="10">
        <f>2867+34</f>
        <v>2901</v>
      </c>
      <c r="BW10" s="10">
        <v>2867</v>
      </c>
      <c r="BX10" s="10">
        <v>2845</v>
      </c>
      <c r="BY10" s="10">
        <v>2829</v>
      </c>
      <c r="BZ10" s="10">
        <v>2787</v>
      </c>
      <c r="CA10" s="10">
        <v>2672</v>
      </c>
      <c r="CB10" s="10">
        <f>2581+55</f>
        <v>2636</v>
      </c>
      <c r="CC10" s="10">
        <v>2581</v>
      </c>
      <c r="CD10" s="10">
        <f>2535+15</f>
        <v>2550</v>
      </c>
      <c r="CE10" s="10">
        <v>2535</v>
      </c>
      <c r="CF10" s="10">
        <f>2468+47</f>
        <v>2515</v>
      </c>
      <c r="CG10" s="10">
        <v>2468</v>
      </c>
      <c r="CH10" s="10">
        <f>2333+62</f>
        <v>2395</v>
      </c>
      <c r="CI10" s="10">
        <v>2333</v>
      </c>
      <c r="CJ10" s="10">
        <v>2277</v>
      </c>
      <c r="CK10" s="10">
        <v>2229</v>
      </c>
      <c r="CL10" s="10">
        <v>2202</v>
      </c>
      <c r="CM10" s="10">
        <v>2169</v>
      </c>
      <c r="CN10" s="10">
        <v>2093</v>
      </c>
      <c r="CO10" s="10">
        <v>2014</v>
      </c>
      <c r="CP10" s="10">
        <v>1940</v>
      </c>
      <c r="CQ10" s="10">
        <v>1917</v>
      </c>
      <c r="CR10" s="10">
        <v>1887</v>
      </c>
      <c r="CS10" s="10">
        <v>1872</v>
      </c>
      <c r="CT10" s="10">
        <v>1846</v>
      </c>
      <c r="CU10" s="10">
        <v>1808</v>
      </c>
      <c r="CV10" s="10">
        <v>1789</v>
      </c>
      <c r="CW10" s="10">
        <v>1760</v>
      </c>
      <c r="CX10" s="10">
        <v>1739</v>
      </c>
      <c r="CY10" s="10">
        <v>1729</v>
      </c>
      <c r="CZ10" s="10">
        <v>1717</v>
      </c>
      <c r="DA10" s="10">
        <v>1711</v>
      </c>
      <c r="DB10" s="10">
        <v>1688</v>
      </c>
      <c r="DC10" s="10">
        <v>1683</v>
      </c>
      <c r="DD10" s="10">
        <v>1660</v>
      </c>
      <c r="DE10" s="10">
        <v>1619</v>
      </c>
      <c r="DF10" s="10">
        <v>1607</v>
      </c>
      <c r="DG10" s="10">
        <v>1602</v>
      </c>
      <c r="DH10" s="10">
        <v>1590</v>
      </c>
      <c r="DI10" s="10">
        <v>1571</v>
      </c>
      <c r="DJ10" s="10">
        <v>1549</v>
      </c>
      <c r="DK10" s="10">
        <v>1526</v>
      </c>
      <c r="DL10" s="10">
        <v>1515</v>
      </c>
      <c r="DM10" s="10">
        <v>1504</v>
      </c>
      <c r="DN10" s="10">
        <v>1499</v>
      </c>
      <c r="DO10" s="10">
        <v>1496</v>
      </c>
      <c r="DP10" s="10">
        <v>1487</v>
      </c>
      <c r="DQ10" s="10">
        <v>1468</v>
      </c>
      <c r="DR10" s="10">
        <v>1463</v>
      </c>
      <c r="DS10" s="10">
        <v>1453</v>
      </c>
      <c r="DT10" s="10">
        <v>1449</v>
      </c>
      <c r="DU10" s="10">
        <v>1445</v>
      </c>
      <c r="DV10" s="10">
        <v>1442</v>
      </c>
      <c r="DW10" s="10">
        <v>1437</v>
      </c>
      <c r="DX10" s="10">
        <v>1436</v>
      </c>
      <c r="DY10" s="10">
        <v>1429</v>
      </c>
      <c r="DZ10" s="10">
        <v>1422</v>
      </c>
      <c r="EA10" s="10">
        <v>1420</v>
      </c>
      <c r="EB10" s="10">
        <v>1420</v>
      </c>
      <c r="EC10" s="10">
        <v>1420</v>
      </c>
      <c r="ED10" s="10">
        <v>1405</v>
      </c>
      <c r="EE10" s="10">
        <v>1405</v>
      </c>
      <c r="EF10" s="10">
        <v>1404</v>
      </c>
      <c r="EG10" s="10">
        <v>1400</v>
      </c>
      <c r="EH10" s="10">
        <v>1400</v>
      </c>
      <c r="EI10" s="10">
        <v>1400</v>
      </c>
      <c r="EJ10" s="10">
        <v>1400</v>
      </c>
      <c r="EK10" s="10">
        <v>1395</v>
      </c>
      <c r="EL10" s="10">
        <v>1395</v>
      </c>
      <c r="EM10" s="10">
        <v>1393</v>
      </c>
      <c r="EN10" s="10">
        <v>1389</v>
      </c>
      <c r="EO10" s="10">
        <v>1384</v>
      </c>
      <c r="EP10" s="10">
        <v>1384</v>
      </c>
      <c r="EQ10" s="10">
        <v>1382</v>
      </c>
      <c r="ER10" s="10">
        <v>1382</v>
      </c>
      <c r="ES10" s="10">
        <v>1381</v>
      </c>
      <c r="ET10" s="10">
        <v>1381</v>
      </c>
      <c r="EU10" s="10">
        <v>1381</v>
      </c>
      <c r="EV10" s="10">
        <v>1379</v>
      </c>
      <c r="EW10" s="10">
        <v>1377</v>
      </c>
      <c r="EX10" s="10">
        <v>1377</v>
      </c>
      <c r="EY10" s="10">
        <v>1377</v>
      </c>
      <c r="EZ10" s="10">
        <v>1377</v>
      </c>
      <c r="FA10" s="10">
        <v>1377</v>
      </c>
      <c r="FB10" s="10">
        <v>1377</v>
      </c>
      <c r="FC10" s="10">
        <v>1377</v>
      </c>
      <c r="FD10" s="10">
        <v>1377</v>
      </c>
      <c r="FE10" s="10">
        <v>1377</v>
      </c>
      <c r="FF10" s="10">
        <v>1377</v>
      </c>
      <c r="FG10" s="10">
        <v>1377</v>
      </c>
      <c r="FH10" s="10">
        <v>1377</v>
      </c>
      <c r="FI10" s="10">
        <v>1377</v>
      </c>
      <c r="FJ10" s="10">
        <v>1376</v>
      </c>
      <c r="FK10" s="10">
        <v>1376</v>
      </c>
      <c r="FL10" s="10">
        <v>1376</v>
      </c>
      <c r="FM10" s="10">
        <v>1376</v>
      </c>
      <c r="FN10" s="10">
        <v>1375</v>
      </c>
      <c r="FO10" s="10">
        <v>1375</v>
      </c>
      <c r="FP10" s="10">
        <v>1375</v>
      </c>
      <c r="FQ10" s="10">
        <v>1374</v>
      </c>
      <c r="FR10" s="10">
        <v>1374</v>
      </c>
      <c r="FS10" s="10">
        <v>1373</v>
      </c>
      <c r="FT10" s="10">
        <v>1372</v>
      </c>
      <c r="FU10" s="10">
        <v>1372</v>
      </c>
      <c r="FV10" s="10">
        <v>1372</v>
      </c>
      <c r="FW10" s="10">
        <v>1371</v>
      </c>
      <c r="FX10" s="10">
        <v>1371</v>
      </c>
      <c r="FY10" s="10">
        <v>1371</v>
      </c>
      <c r="FZ10" s="10">
        <v>1371</v>
      </c>
      <c r="GA10" s="10">
        <v>1371</v>
      </c>
      <c r="GB10" s="10">
        <v>1371</v>
      </c>
      <c r="GC10" s="10">
        <v>1371</v>
      </c>
      <c r="GD10" s="10">
        <v>1371</v>
      </c>
      <c r="GE10" s="10">
        <v>1371</v>
      </c>
      <c r="GF10" s="10">
        <v>1370</v>
      </c>
      <c r="GG10" s="10">
        <v>1370</v>
      </c>
      <c r="GH10" s="10">
        <v>1370</v>
      </c>
      <c r="GI10" s="10">
        <v>1370</v>
      </c>
      <c r="GJ10" s="10">
        <v>1370</v>
      </c>
      <c r="GK10" s="10">
        <v>1370</v>
      </c>
      <c r="GL10" s="10">
        <v>1369</v>
      </c>
      <c r="GM10" s="10">
        <v>1369</v>
      </c>
      <c r="GN10" s="10">
        <v>1369</v>
      </c>
      <c r="GO10" s="10">
        <v>1368</v>
      </c>
      <c r="GP10" s="10">
        <v>1368</v>
      </c>
      <c r="GQ10" s="10">
        <v>1363</v>
      </c>
      <c r="GR10" s="10">
        <v>1363</v>
      </c>
      <c r="GS10" s="10">
        <v>1362</v>
      </c>
      <c r="GT10" s="10">
        <v>1362</v>
      </c>
      <c r="GU10" s="10">
        <v>1362</v>
      </c>
      <c r="GV10" s="10">
        <v>1362</v>
      </c>
      <c r="GW10" s="10">
        <v>1360</v>
      </c>
      <c r="GX10" s="10">
        <v>1360</v>
      </c>
      <c r="GY10" s="10">
        <v>1360</v>
      </c>
      <c r="GZ10" s="18">
        <v>1360</v>
      </c>
      <c r="HA10" s="18">
        <v>1360</v>
      </c>
      <c r="HB10" s="18">
        <v>1360</v>
      </c>
      <c r="HC10" s="18">
        <v>1359</v>
      </c>
      <c r="HD10" s="18">
        <v>1359</v>
      </c>
      <c r="HE10" s="18">
        <v>1359</v>
      </c>
      <c r="HF10" s="18">
        <v>1359</v>
      </c>
      <c r="HG10" s="18">
        <v>1358</v>
      </c>
      <c r="HH10" s="18">
        <v>1356</v>
      </c>
      <c r="HI10" s="18">
        <v>1355</v>
      </c>
      <c r="HJ10" s="18">
        <v>1353</v>
      </c>
      <c r="HK10" s="18">
        <v>1343</v>
      </c>
      <c r="HL10" s="18">
        <v>1337</v>
      </c>
      <c r="HM10" s="18">
        <v>1331</v>
      </c>
      <c r="HN10" s="18">
        <v>1329</v>
      </c>
      <c r="HO10" s="18">
        <v>1329</v>
      </c>
      <c r="HP10" s="18">
        <v>1329</v>
      </c>
      <c r="HQ10" s="18">
        <v>1329</v>
      </c>
      <c r="HR10" s="18">
        <v>1321</v>
      </c>
      <c r="HS10" s="18">
        <v>1310</v>
      </c>
    </row>
    <row r="11" spans="1:227" s="32" customFormat="1" ht="16.5" thickBot="1" x14ac:dyDescent="0.3">
      <c r="A11" s="11"/>
      <c r="B11" s="45"/>
      <c r="C11" s="22">
        <f>C10/G10</f>
        <v>1.0071098471382864</v>
      </c>
      <c r="D11" s="28">
        <f>D10/H10</f>
        <v>1.0103682516982482</v>
      </c>
      <c r="E11" s="28">
        <f>E10/I10</f>
        <v>1.0145526410348544</v>
      </c>
      <c r="F11" s="28">
        <f>F10/J10</f>
        <v>1.0175090252707581</v>
      </c>
      <c r="G11" s="23">
        <f t="shared" ref="G11:K11" si="26">G10/K10</f>
        <v>1.0214233841684821</v>
      </c>
      <c r="H11" s="23">
        <f t="shared" si="26"/>
        <v>1.0211756115370574</v>
      </c>
      <c r="I11" s="28">
        <f t="shared" si="26"/>
        <v>1.0166210045662101</v>
      </c>
      <c r="J11" s="28">
        <f t="shared" si="26"/>
        <v>1.0133528443387598</v>
      </c>
      <c r="K11" s="28">
        <f t="shared" si="26"/>
        <v>1.0113845023870731</v>
      </c>
      <c r="L11" s="28">
        <f t="shared" ref="L11:R11" si="27">L10/P10</f>
        <v>1.0118212042851866</v>
      </c>
      <c r="M11" s="28">
        <f t="shared" si="27"/>
        <v>1.0193632470675851</v>
      </c>
      <c r="N11" s="23">
        <f t="shared" si="27"/>
        <v>1.0249343832020998</v>
      </c>
      <c r="O11" s="23">
        <f t="shared" si="27"/>
        <v>1.0281291296960544</v>
      </c>
      <c r="P11" s="23">
        <f t="shared" si="27"/>
        <v>1.022667170381564</v>
      </c>
      <c r="Q11" s="23">
        <f t="shared" si="27"/>
        <v>1.0224633542737482</v>
      </c>
      <c r="R11" s="28">
        <f t="shared" si="27"/>
        <v>1.0193005923944201</v>
      </c>
      <c r="S11" s="23">
        <f t="shared" ref="S11" si="28">S10/W10</f>
        <v>1.0223895000965064</v>
      </c>
      <c r="T11" s="23">
        <f t="shared" ref="T11:Y11" si="29">T10/X10</f>
        <v>1.0309639727361246</v>
      </c>
      <c r="U11" s="23">
        <f t="shared" si="29"/>
        <v>1.0365035516969219</v>
      </c>
      <c r="V11" s="23">
        <f t="shared" si="29"/>
        <v>1.0366481774960381</v>
      </c>
      <c r="W11" s="23">
        <f t="shared" si="29"/>
        <v>1.0289970208540218</v>
      </c>
      <c r="X11" s="23">
        <f t="shared" si="29"/>
        <v>1.0255642101058517</v>
      </c>
      <c r="Y11" s="28">
        <f t="shared" si="29"/>
        <v>1.0170579971904474</v>
      </c>
      <c r="Z11" s="23">
        <f t="shared" ref="Z11:AE11" si="30">Z10/AD10</f>
        <v>1.0220692447863939</v>
      </c>
      <c r="AA11" s="23">
        <f t="shared" si="30"/>
        <v>1.0355820649938297</v>
      </c>
      <c r="AB11" s="23">
        <f t="shared" si="30"/>
        <v>1.0422564529558702</v>
      </c>
      <c r="AC11" s="23">
        <f t="shared" si="30"/>
        <v>1.0457502623294859</v>
      </c>
      <c r="AD11" s="23">
        <f t="shared" si="30"/>
        <v>1.0444068513427787</v>
      </c>
      <c r="AE11" s="23">
        <f t="shared" si="30"/>
        <v>1.0366737739872067</v>
      </c>
      <c r="AF11" s="23">
        <f t="shared" ref="AF11:AK11" si="31">AF10/AJ10</f>
        <v>1.0463951208886952</v>
      </c>
      <c r="AG11" s="23">
        <f t="shared" si="31"/>
        <v>1.0546702080566623</v>
      </c>
      <c r="AH11" s="23">
        <f t="shared" si="31"/>
        <v>1.0643709205491785</v>
      </c>
      <c r="AI11" s="23">
        <f t="shared" si="31"/>
        <v>1.0644575578756241</v>
      </c>
      <c r="AJ11" s="23">
        <f t="shared" si="31"/>
        <v>1.0505720823798628</v>
      </c>
      <c r="AK11" s="23">
        <f t="shared" si="31"/>
        <v>1.0393374741200827</v>
      </c>
      <c r="AL11" s="23">
        <f>4442/4292</f>
        <v>1.0349487418452936</v>
      </c>
      <c r="AM11" s="23">
        <f>AM10/AQ10</f>
        <v>1.0473021155217495</v>
      </c>
      <c r="AN11" s="23">
        <f>AN10/AR10</f>
        <v>1.0630017027487229</v>
      </c>
      <c r="AO11" s="23">
        <f t="shared" ref="AO11:AR11" si="32">AO10/AS10</f>
        <v>1.0832295041116371</v>
      </c>
      <c r="AP11" s="23">
        <f t="shared" si="32"/>
        <v>1.0887874175545409</v>
      </c>
      <c r="AQ11" s="23">
        <f t="shared" si="32"/>
        <v>1.0893319523562921</v>
      </c>
      <c r="AR11" s="23">
        <f t="shared" si="32"/>
        <v>1.0736484721859494</v>
      </c>
      <c r="AS11" s="23">
        <f>AS10/AW10</f>
        <v>1.0735687533440343</v>
      </c>
      <c r="AT11" s="23">
        <f>AT10/AX10</f>
        <v>1.072361262241567</v>
      </c>
      <c r="AU11" s="23">
        <f>3862/3593</f>
        <v>1.0748677984970776</v>
      </c>
      <c r="AV11" s="23">
        <f>AV10/AZ10</f>
        <v>1.0810276679841897</v>
      </c>
      <c r="AW11" s="23">
        <f>AW10/BA10</f>
        <v>1.0797227036395147</v>
      </c>
      <c r="AX11" s="23">
        <f>3676/3443</f>
        <v>1.067673540516991</v>
      </c>
      <c r="AY11" s="23">
        <f>3593/3432</f>
        <v>1.0469114219114219</v>
      </c>
      <c r="AZ11" s="23">
        <f>3542/3398</f>
        <v>1.0423778693349028</v>
      </c>
      <c r="BA11" s="23">
        <f>3462/3371</f>
        <v>1.0269949569860575</v>
      </c>
      <c r="BB11" s="23">
        <f>3443/3345</f>
        <v>1.0292974588938715</v>
      </c>
      <c r="BC11" s="23">
        <f>3492/3296</f>
        <v>1.0594660194174756</v>
      </c>
      <c r="BD11" s="23">
        <f>3398/3273</f>
        <v>1.0381912618392912</v>
      </c>
      <c r="BE11" s="23">
        <f>3371/3243</f>
        <v>1.0394696268886834</v>
      </c>
      <c r="BF11" s="23">
        <f>3345/3236</f>
        <v>1.0336835599505563</v>
      </c>
      <c r="BG11" s="23">
        <f>3296/3211</f>
        <v>1.0264715042042978</v>
      </c>
      <c r="BH11" s="23">
        <f>3273/3164</f>
        <v>1.0344500632111251</v>
      </c>
      <c r="BI11" s="23">
        <f>3243/3142</f>
        <v>1.0321451304901337</v>
      </c>
      <c r="BJ11" s="23">
        <f>3236/3123</f>
        <v>1.0361831572206213</v>
      </c>
      <c r="BK11" s="23">
        <f>3211/3093</f>
        <v>1.0381506627869383</v>
      </c>
      <c r="BL11" s="23">
        <f>3164/3074</f>
        <v>1.029277813923227</v>
      </c>
      <c r="BM11" s="23">
        <f>3142/3067</f>
        <v>1.0244538637104663</v>
      </c>
      <c r="BN11" s="23">
        <f>3123/3042</f>
        <v>1.0266272189349113</v>
      </c>
      <c r="BO11" s="23">
        <f>3093/3014</f>
        <v>1.0262110152621102</v>
      </c>
      <c r="BP11" s="23">
        <f>3074/2973</f>
        <v>1.0339724184325596</v>
      </c>
      <c r="BQ11" s="23">
        <f>3067/2929</f>
        <v>1.0471150563332194</v>
      </c>
      <c r="BR11" s="23">
        <f>3042/2901</f>
        <v>1.048603929679421</v>
      </c>
      <c r="BS11" s="23">
        <f>3014/2867</f>
        <v>1.0512731077781654</v>
      </c>
      <c r="BT11" s="23">
        <f>2973/2845</f>
        <v>1.0449912126537786</v>
      </c>
      <c r="BU11" s="23">
        <f>2929/2829</f>
        <v>1.0353481795687522</v>
      </c>
      <c r="BV11" s="23">
        <f>2901/2787</f>
        <v>1.0409041980624327</v>
      </c>
      <c r="BW11" s="23">
        <f>2867/2672</f>
        <v>1.0729790419161678</v>
      </c>
      <c r="BX11" s="23">
        <f>2845/2636</f>
        <v>1.0792867981790593</v>
      </c>
      <c r="BY11" s="23">
        <f>2829/2581</f>
        <v>1.0960867880666407</v>
      </c>
      <c r="BZ11" s="23">
        <f>2787/2550</f>
        <v>1.0929411764705883</v>
      </c>
      <c r="CA11" s="23">
        <f>2672/2535</f>
        <v>1.0540433925049311</v>
      </c>
      <c r="CB11" s="23">
        <f>2636/2515</f>
        <v>1.0481113320079523</v>
      </c>
      <c r="CC11" s="23">
        <f>2581/2468</f>
        <v>1.0457860615883305</v>
      </c>
      <c r="CD11" s="23">
        <f>2550/2395</f>
        <v>1.0647181628392484</v>
      </c>
      <c r="CE11" s="23">
        <f>2535/2333</f>
        <v>1.0865837976853836</v>
      </c>
      <c r="CF11" s="42">
        <f>2515/2277</f>
        <v>1.1045234958278436</v>
      </c>
      <c r="CG11" s="42">
        <f>2468/2229</f>
        <v>1.1072229699416778</v>
      </c>
      <c r="CH11" s="23">
        <f>2395/2202</f>
        <v>1.0876475930971843</v>
      </c>
      <c r="CI11" s="23">
        <f>2333/2169</f>
        <v>1.0756108805901337</v>
      </c>
      <c r="CJ11" s="23">
        <f>2277/2093</f>
        <v>1.0879120879120878</v>
      </c>
      <c r="CK11" s="42">
        <f>2229/2014</f>
        <v>1.1067527308838132</v>
      </c>
      <c r="CL11" s="42">
        <f>2202/1940</f>
        <v>1.1350515463917525</v>
      </c>
      <c r="CM11" s="42">
        <f>2169/1917</f>
        <v>1.1314553990610328</v>
      </c>
      <c r="CN11" s="42">
        <f>2093/1887</f>
        <v>1.1091679915209327</v>
      </c>
      <c r="CO11" s="23">
        <f>2014/1872</f>
        <v>1.0758547008547008</v>
      </c>
      <c r="CP11" s="23">
        <f>1940/1846</f>
        <v>1.0509209100758397</v>
      </c>
      <c r="CQ11" s="23">
        <f>1917/1808</f>
        <v>1.060287610619469</v>
      </c>
      <c r="CR11" s="23">
        <f>1887/1789</f>
        <v>1.0547792062604806</v>
      </c>
      <c r="CS11" s="23">
        <f>1872/1760</f>
        <v>1.0636363636363637</v>
      </c>
      <c r="CT11" s="23">
        <f>1846/1739</f>
        <v>1.0615296147211042</v>
      </c>
      <c r="CU11" s="23">
        <f>1808/1729</f>
        <v>1.0456911509543088</v>
      </c>
      <c r="CV11" s="23">
        <f>1789/1717</f>
        <v>1.0419336051252184</v>
      </c>
      <c r="CW11" s="23">
        <f>1760/1711</f>
        <v>1.0286382232612508</v>
      </c>
      <c r="CX11" s="23">
        <f>1739/1688</f>
        <v>1.03021327014218</v>
      </c>
      <c r="CY11" s="23">
        <f>1729/1683</f>
        <v>1.0273321449792039</v>
      </c>
      <c r="CZ11" s="23">
        <f>1717/1660</f>
        <v>1.0343373493975903</v>
      </c>
      <c r="DA11" s="23">
        <f>1711/1619</f>
        <v>1.0568252007411982</v>
      </c>
      <c r="DB11" s="23">
        <f>1688/1607</f>
        <v>1.0504044803982577</v>
      </c>
      <c r="DC11" s="23">
        <f>1683/1602</f>
        <v>1.050561797752809</v>
      </c>
      <c r="DD11" s="23">
        <f>1660/1590</f>
        <v>1.0440251572327044</v>
      </c>
      <c r="DE11" s="23">
        <f>1619/1571</f>
        <v>1.0305537873965627</v>
      </c>
      <c r="DF11" s="23">
        <f>1607/1549</f>
        <v>1.0374435119431891</v>
      </c>
      <c r="DG11" s="23">
        <f>1602/1526</f>
        <v>1.0498034076015728</v>
      </c>
      <c r="DH11" s="23">
        <f>1590/1515</f>
        <v>1.0495049504950495</v>
      </c>
      <c r="DI11" s="23">
        <f>1571/1504</f>
        <v>1.0445478723404256</v>
      </c>
      <c r="DJ11" s="23">
        <f>1549/1499</f>
        <v>1.0333555703802535</v>
      </c>
      <c r="DK11" s="23">
        <f>1526/1496</f>
        <v>1.0200534759358288</v>
      </c>
      <c r="DL11" s="28">
        <f>1515/1487</f>
        <v>1.0188298587760591</v>
      </c>
      <c r="DM11" s="23">
        <f>1504/1468</f>
        <v>1.0245231607629428</v>
      </c>
      <c r="DN11" s="23">
        <f>1499/1463</f>
        <v>1.024606971975393</v>
      </c>
      <c r="DO11" s="23">
        <f>1496/1453</f>
        <v>1.0295939435650379</v>
      </c>
      <c r="DP11" s="23">
        <f>1487/1449</f>
        <v>1.0262249827467218</v>
      </c>
      <c r="DQ11" s="28">
        <f>1468/1445</f>
        <v>1.0159169550173011</v>
      </c>
      <c r="DR11" s="28">
        <f>1463/1442</f>
        <v>1.0145631067961165</v>
      </c>
      <c r="DS11" s="28">
        <f>1453/1437</f>
        <v>1.011134307585247</v>
      </c>
      <c r="DT11" s="22">
        <f>1449/1436</f>
        <v>1.0090529247910864</v>
      </c>
      <c r="DU11" s="28">
        <f>1445/1429</f>
        <v>1.0111966410076978</v>
      </c>
      <c r="DV11" s="28">
        <f>1442/1422</f>
        <v>1.0140646976090013</v>
      </c>
      <c r="DW11" s="28">
        <f>1437/1420</f>
        <v>1.0119718309859156</v>
      </c>
      <c r="DX11" s="28">
        <f>1436/1420</f>
        <v>1.0112676056338028</v>
      </c>
      <c r="DY11" s="22">
        <f>1429/1420</f>
        <v>1.0063380281690142</v>
      </c>
      <c r="DZ11" s="28">
        <f>1422/1405</f>
        <v>1.0120996441281138</v>
      </c>
      <c r="EA11" s="28">
        <f>1420/1405</f>
        <v>1.01067615658363</v>
      </c>
      <c r="EB11" s="28">
        <f>1420/1404</f>
        <v>1.0113960113960114</v>
      </c>
      <c r="EC11" s="28">
        <f>1420/1400</f>
        <v>1.0142857142857142</v>
      </c>
      <c r="ED11" s="22">
        <f>1405/1400</f>
        <v>1.0035714285714286</v>
      </c>
      <c r="EE11" s="22">
        <f>1405/1400</f>
        <v>1.0035714285714286</v>
      </c>
      <c r="EF11" s="22">
        <f>1404/1400</f>
        <v>1.0028571428571429</v>
      </c>
      <c r="EG11" s="22">
        <f>1400/1395</f>
        <v>1.0035842293906809</v>
      </c>
      <c r="EH11" s="22">
        <f>1400/1395</f>
        <v>1.0035842293906809</v>
      </c>
      <c r="EI11" s="22">
        <f>1400/1393</f>
        <v>1.0050251256281406</v>
      </c>
      <c r="EJ11" s="22">
        <f>1400/1389</f>
        <v>1.007919366450684</v>
      </c>
      <c r="EK11" s="22">
        <f>1395/1384</f>
        <v>1.0079479768786128</v>
      </c>
      <c r="EL11" s="22">
        <f>1395/1384</f>
        <v>1.0079479768786128</v>
      </c>
      <c r="EM11" s="22">
        <f>1393/1382</f>
        <v>1.007959479015919</v>
      </c>
      <c r="EN11" s="22">
        <f>1389/1382</f>
        <v>1.0050651230101302</v>
      </c>
      <c r="EO11" s="22">
        <f>1384/1381</f>
        <v>1.002172338884866</v>
      </c>
      <c r="EP11" s="22">
        <f>1384/1381</f>
        <v>1.002172338884866</v>
      </c>
      <c r="EQ11" s="22">
        <f>1382/1381</f>
        <v>1.000724112961622</v>
      </c>
      <c r="ER11" s="22">
        <f>1382/1379</f>
        <v>1.0021754894851342</v>
      </c>
      <c r="ES11" s="22">
        <f>1381/1377</f>
        <v>1.0029048656499637</v>
      </c>
      <c r="ET11" s="22">
        <f>1381/1377</f>
        <v>1.0029048656499637</v>
      </c>
      <c r="EU11" s="22">
        <f>1381/1377</f>
        <v>1.0029048656499637</v>
      </c>
      <c r="EV11" s="22">
        <f>1379/1377</f>
        <v>1.0014524328249819</v>
      </c>
      <c r="EW11" s="21">
        <v>1</v>
      </c>
      <c r="EX11" s="21">
        <v>1</v>
      </c>
      <c r="EY11" s="21">
        <v>1</v>
      </c>
      <c r="EZ11" s="21">
        <v>1</v>
      </c>
      <c r="FA11" s="21">
        <v>1</v>
      </c>
      <c r="FB11" s="21">
        <v>1</v>
      </c>
      <c r="FC11" s="21">
        <v>1</v>
      </c>
      <c r="FD11" s="21">
        <v>1</v>
      </c>
      <c r="FE11" s="21">
        <v>1</v>
      </c>
      <c r="FF11" s="22">
        <f>1377/1376</f>
        <v>1.0007267441860466</v>
      </c>
      <c r="FG11" s="22">
        <f>1377/1376</f>
        <v>1.0007267441860466</v>
      </c>
      <c r="FH11" s="22">
        <f>1377/1376</f>
        <v>1.0007267441860466</v>
      </c>
      <c r="FI11" s="22">
        <f>1377/1376</f>
        <v>1.0007267441860466</v>
      </c>
      <c r="FJ11" s="22">
        <f>1376/1375</f>
        <v>1.0007272727272727</v>
      </c>
      <c r="FK11" s="22">
        <f>1376/1375</f>
        <v>1.0007272727272727</v>
      </c>
      <c r="FL11" s="22">
        <f>1376/1375</f>
        <v>1.0007272727272727</v>
      </c>
      <c r="FM11" s="22">
        <f>1376/1374</f>
        <v>1.0014556040756915</v>
      </c>
      <c r="FN11" s="22">
        <f>1375/1374</f>
        <v>1.0007278020378456</v>
      </c>
      <c r="FO11" s="22">
        <f>1375/1373</f>
        <v>1.0014566642388929</v>
      </c>
      <c r="FP11" s="22">
        <f>1375/1372</f>
        <v>1.0021865889212829</v>
      </c>
      <c r="FQ11" s="22">
        <f>1374/1372</f>
        <v>1.0014577259475219</v>
      </c>
      <c r="FR11" s="28">
        <f>1374/1372</f>
        <v>1.0014577259475219</v>
      </c>
      <c r="FS11" s="22">
        <f>1373/1371</f>
        <v>1.0014587892049598</v>
      </c>
      <c r="FT11" s="22">
        <f>1372/1371</f>
        <v>1.00072939460248</v>
      </c>
      <c r="FU11" s="22">
        <f>1372/1371</f>
        <v>1.00072939460248</v>
      </c>
      <c r="FV11" s="22">
        <f>1372/1371</f>
        <v>1.00072939460248</v>
      </c>
      <c r="FW11" s="21">
        <v>1</v>
      </c>
      <c r="FX11" s="21">
        <f>1371/1371</f>
        <v>1</v>
      </c>
      <c r="FY11" s="21">
        <v>1</v>
      </c>
      <c r="FZ11" s="21">
        <v>1</v>
      </c>
      <c r="GA11" s="21">
        <f>1371/1371</f>
        <v>1</v>
      </c>
      <c r="GB11" s="22">
        <f>1371/1370</f>
        <v>1.0007299270072993</v>
      </c>
      <c r="GC11" s="22">
        <f>1371/1370</f>
        <v>1.0007299270072993</v>
      </c>
      <c r="GD11" s="22">
        <f>1371/1370</f>
        <v>1.0007299270072993</v>
      </c>
      <c r="GE11" s="22">
        <f>1371/1370</f>
        <v>1.0007299270072993</v>
      </c>
      <c r="GF11" s="21">
        <v>1</v>
      </c>
      <c r="GG11" s="21">
        <f>1370/1370</f>
        <v>1</v>
      </c>
      <c r="GH11" s="22">
        <f>1370/1369</f>
        <v>1.0007304601899196</v>
      </c>
      <c r="GI11" s="22">
        <f>1370/1369</f>
        <v>1.0007304601899196</v>
      </c>
      <c r="GJ11" s="22">
        <f>1370/1369</f>
        <v>1.0007304601899196</v>
      </c>
      <c r="GK11" s="22">
        <f>1370/1368</f>
        <v>1.0014619883040936</v>
      </c>
      <c r="GL11" s="22">
        <f>1369/1368</f>
        <v>1.0007309941520468</v>
      </c>
      <c r="GM11" s="22">
        <f>1369/1363</f>
        <v>1.0044020542920029</v>
      </c>
      <c r="GN11" s="22">
        <f>1369/1363</f>
        <v>1.0044020542920029</v>
      </c>
      <c r="GO11" s="22">
        <f>1368/1362</f>
        <v>1.0044052863436124</v>
      </c>
      <c r="GP11" s="22">
        <f>GP10/GT10</f>
        <v>1.0044052863436124</v>
      </c>
      <c r="GQ11" s="22">
        <f>1363/1362</f>
        <v>1.000734214390602</v>
      </c>
      <c r="GR11" s="25">
        <f>1363/1362</f>
        <v>1.000734214390602</v>
      </c>
      <c r="GS11" s="25">
        <f>1362/1360</f>
        <v>1.0014705882352941</v>
      </c>
      <c r="GT11" s="25">
        <f>1362/1360</f>
        <v>1.0014705882352941</v>
      </c>
      <c r="GU11" s="25">
        <f>1362/1360</f>
        <v>1.0014705882352941</v>
      </c>
      <c r="GV11" s="25">
        <v>1.0014705880000001</v>
      </c>
      <c r="GW11" s="29">
        <v>1</v>
      </c>
      <c r="GX11" s="29">
        <v>1</v>
      </c>
      <c r="GY11" s="25">
        <f>1360/1359</f>
        <v>1.0007358351729212</v>
      </c>
      <c r="GZ11" s="30">
        <f>1360/1359</f>
        <v>1.0007358351729212</v>
      </c>
      <c r="HA11" s="30">
        <f>1360/1359</f>
        <v>1.0007358351729212</v>
      </c>
      <c r="HB11" s="30">
        <f>1360/1359</f>
        <v>1.0007358351729212</v>
      </c>
      <c r="HC11" s="30">
        <f>1359/1358</f>
        <v>1.0007363770250368</v>
      </c>
      <c r="HD11" s="30">
        <f>1359/1356</f>
        <v>1.002212389380531</v>
      </c>
      <c r="HE11" s="30">
        <f>1359/1355</f>
        <v>1.0029520295202952</v>
      </c>
      <c r="HF11" s="30">
        <f>1359/1353</f>
        <v>1.0044345898004434</v>
      </c>
      <c r="HG11" s="31">
        <f>1358/1343</f>
        <v>1.0111690245718541</v>
      </c>
      <c r="HH11" s="31">
        <f>1356/1337</f>
        <v>1.0142109199700822</v>
      </c>
      <c r="HI11" s="31">
        <f>1355/1331</f>
        <v>1.0180315552216379</v>
      </c>
      <c r="HJ11" s="31">
        <f>1353/1329</f>
        <v>1.0180586907449209</v>
      </c>
      <c r="HK11" s="31">
        <f>1343/1329</f>
        <v>1.0105342362678706</v>
      </c>
      <c r="HL11" s="30">
        <f>1331/1329</f>
        <v>1.0015048908954101</v>
      </c>
      <c r="HM11" s="30">
        <f>1331/1329</f>
        <v>1.0015048908954101</v>
      </c>
      <c r="HN11" s="30">
        <f>1329/1321</f>
        <v>1.0060560181680545</v>
      </c>
      <c r="HO11" s="31">
        <f>1329/1310</f>
        <v>1.0145038167938931</v>
      </c>
      <c r="HP11" s="37"/>
    </row>
    <row r="12" spans="1:227" s="18" customFormat="1" ht="16.5" thickBot="1" x14ac:dyDescent="0.3">
      <c r="A12" s="9" t="s">
        <v>5</v>
      </c>
      <c r="B12" s="10">
        <v>659</v>
      </c>
      <c r="C12" s="10">
        <f>26+D12</f>
        <v>7177</v>
      </c>
      <c r="D12" s="10">
        <f>28+E12</f>
        <v>7151</v>
      </c>
      <c r="E12" s="10">
        <f>34+F12</f>
        <v>7123</v>
      </c>
      <c r="F12" s="10">
        <f>13+G12</f>
        <v>7089</v>
      </c>
      <c r="G12" s="10">
        <f>46+H12</f>
        <v>7076</v>
      </c>
      <c r="H12" s="10">
        <f>37+I12</f>
        <v>7030</v>
      </c>
      <c r="I12" s="10">
        <f>45+J12</f>
        <v>6993</v>
      </c>
      <c r="J12" s="10">
        <f>54+K12</f>
        <v>6948</v>
      </c>
      <c r="K12" s="10">
        <f>35+L12</f>
        <v>6894</v>
      </c>
      <c r="L12" s="10">
        <f>7+M12</f>
        <v>6859</v>
      </c>
      <c r="M12" s="10">
        <f>28+N12</f>
        <v>6852</v>
      </c>
      <c r="N12" s="10">
        <f>37+O12</f>
        <v>6824</v>
      </c>
      <c r="O12" s="10">
        <f>39+P12</f>
        <v>6787</v>
      </c>
      <c r="P12" s="10">
        <f>49+Q12</f>
        <v>6748</v>
      </c>
      <c r="Q12" s="10">
        <f>44+R12</f>
        <v>6699</v>
      </c>
      <c r="R12" s="10">
        <f>40+S12</f>
        <v>6655</v>
      </c>
      <c r="S12" s="10">
        <f>21+T12</f>
        <v>6615</v>
      </c>
      <c r="T12" s="10">
        <f>35+6559</f>
        <v>6594</v>
      </c>
      <c r="U12" s="10">
        <f>58+6501</f>
        <v>6559</v>
      </c>
      <c r="V12" s="10">
        <f>40+6461</f>
        <v>6501</v>
      </c>
      <c r="W12" s="10">
        <f>56+6405</f>
        <v>6461</v>
      </c>
      <c r="X12" s="10">
        <f>49+6356</f>
        <v>6405</v>
      </c>
      <c r="Y12" s="10">
        <f>66+6290</f>
        <v>6356</v>
      </c>
      <c r="Z12" s="10">
        <f>46+6244</f>
        <v>6290</v>
      </c>
      <c r="AA12" s="10">
        <f>88+6156</f>
        <v>6244</v>
      </c>
      <c r="AB12" s="10">
        <f>111+6045</f>
        <v>6156</v>
      </c>
      <c r="AC12" s="10">
        <f>105+5940</f>
        <v>6045</v>
      </c>
      <c r="AD12" s="10">
        <f>159+AE12</f>
        <v>5940</v>
      </c>
      <c r="AE12" s="10">
        <f>150+5631</f>
        <v>5781</v>
      </c>
      <c r="AF12" s="10">
        <f>114+5517</f>
        <v>5631</v>
      </c>
      <c r="AG12" s="10">
        <f>105+5412</f>
        <v>5517</v>
      </c>
      <c r="AH12" s="10">
        <f>74+5338</f>
        <v>5412</v>
      </c>
      <c r="AI12" s="10">
        <f>107+5231</f>
        <v>5338</v>
      </c>
      <c r="AJ12" s="10">
        <f>190+5041</f>
        <v>5231</v>
      </c>
      <c r="AK12" s="10">
        <f>150+4891</f>
        <v>5041</v>
      </c>
      <c r="AL12" s="10">
        <f>119+4772</f>
        <v>4891</v>
      </c>
      <c r="AM12" s="10">
        <f>61+4711</f>
        <v>4772</v>
      </c>
      <c r="AN12" s="10">
        <f>153+4558</f>
        <v>4711</v>
      </c>
      <c r="AO12" s="10">
        <f>116+4442</f>
        <v>4558</v>
      </c>
      <c r="AP12" s="10">
        <f>91+4351</f>
        <v>4442</v>
      </c>
      <c r="AQ12" s="10">
        <f>121+4230</f>
        <v>4351</v>
      </c>
      <c r="AR12" s="10">
        <f>171+4059</f>
        <v>4230</v>
      </c>
      <c r="AS12" s="10">
        <f>114+3945</f>
        <v>4059</v>
      </c>
      <c r="AT12" s="10">
        <f>133+3812</f>
        <v>3945</v>
      </c>
      <c r="AU12" s="10">
        <f>138+3674</f>
        <v>3812</v>
      </c>
      <c r="AV12" s="10">
        <v>3674</v>
      </c>
      <c r="AW12" s="10">
        <f>116+3451</f>
        <v>3567</v>
      </c>
      <c r="AX12" s="10">
        <f>92+3359</f>
        <v>3451</v>
      </c>
      <c r="AY12" s="10">
        <f>63+3296</f>
        <v>3359</v>
      </c>
      <c r="AZ12" s="10">
        <f>64+3232</f>
        <v>3296</v>
      </c>
      <c r="BA12" s="10">
        <f>55+3177</f>
        <v>3232</v>
      </c>
      <c r="BB12" s="10">
        <v>3177</v>
      </c>
      <c r="BC12" s="10">
        <f>69+3035</f>
        <v>3104</v>
      </c>
      <c r="BD12" s="10">
        <f>2940+95</f>
        <v>3035</v>
      </c>
      <c r="BE12" s="10">
        <f>2869+71</f>
        <v>2940</v>
      </c>
      <c r="BF12" s="10">
        <f>2812+57</f>
        <v>2869</v>
      </c>
      <c r="BG12" s="10">
        <f>2785+27</f>
        <v>2812</v>
      </c>
      <c r="BH12" s="10">
        <f>2738+47</f>
        <v>2785</v>
      </c>
      <c r="BI12" s="10">
        <v>2738</v>
      </c>
      <c r="BJ12" s="10">
        <f>2618+58</f>
        <v>2676</v>
      </c>
      <c r="BK12" s="10">
        <f>2562+56</f>
        <v>2618</v>
      </c>
      <c r="BL12" s="10">
        <v>2562</v>
      </c>
      <c r="BM12" s="10">
        <f>2455+69</f>
        <v>2524</v>
      </c>
      <c r="BN12" s="10">
        <f>2420+35</f>
        <v>2455</v>
      </c>
      <c r="BO12" s="10">
        <f>2378+42</f>
        <v>2420</v>
      </c>
      <c r="BP12" s="10">
        <f>2321+57</f>
        <v>2378</v>
      </c>
      <c r="BQ12" s="10">
        <v>2321</v>
      </c>
      <c r="BR12" s="10">
        <f>2238+48</f>
        <v>2286</v>
      </c>
      <c r="BS12" s="10">
        <v>2238</v>
      </c>
      <c r="BT12" s="10">
        <f>2172+23</f>
        <v>2195</v>
      </c>
      <c r="BU12" s="10">
        <f>2120+52</f>
        <v>2172</v>
      </c>
      <c r="BV12" s="10">
        <f>2096+24</f>
        <v>2120</v>
      </c>
      <c r="BW12" s="10">
        <v>2096</v>
      </c>
      <c r="BX12" s="10">
        <v>2068</v>
      </c>
      <c r="BY12" s="10">
        <v>2028</v>
      </c>
      <c r="BZ12" s="10">
        <v>1962</v>
      </c>
      <c r="CA12" s="10">
        <v>1901</v>
      </c>
      <c r="CB12" s="10">
        <f>1839+36</f>
        <v>1875</v>
      </c>
      <c r="CC12" s="10">
        <v>1839</v>
      </c>
      <c r="CD12" s="10">
        <f>1761+55</f>
        <v>1816</v>
      </c>
      <c r="CE12" s="10">
        <v>1761</v>
      </c>
      <c r="CF12" s="10">
        <f>1610+134</f>
        <v>1744</v>
      </c>
      <c r="CG12" s="10">
        <v>1610</v>
      </c>
      <c r="CH12" s="10">
        <v>1522</v>
      </c>
      <c r="CI12" s="10">
        <v>1488</v>
      </c>
      <c r="CJ12" s="10">
        <v>1438</v>
      </c>
      <c r="CK12" s="10">
        <v>1415</v>
      </c>
      <c r="CL12" s="10">
        <v>1391</v>
      </c>
      <c r="CM12" s="10">
        <v>1283</v>
      </c>
      <c r="CN12" s="10">
        <v>1248</v>
      </c>
      <c r="CO12" s="10">
        <v>1226</v>
      </c>
      <c r="CP12" s="10">
        <v>1213</v>
      </c>
      <c r="CQ12" s="10">
        <v>1193</v>
      </c>
      <c r="CR12" s="10">
        <v>1183</v>
      </c>
      <c r="CS12" s="10">
        <v>1147</v>
      </c>
      <c r="CT12" s="10">
        <v>1135</v>
      </c>
      <c r="CU12" s="10">
        <v>1109</v>
      </c>
      <c r="CV12" s="10">
        <v>1065</v>
      </c>
      <c r="CW12" s="10">
        <v>1057</v>
      </c>
      <c r="CX12" s="10">
        <v>1052</v>
      </c>
      <c r="CY12" s="10">
        <v>1036</v>
      </c>
      <c r="CZ12" s="10">
        <v>1002</v>
      </c>
      <c r="DA12" s="10">
        <v>979</v>
      </c>
      <c r="DB12" s="10">
        <v>943</v>
      </c>
      <c r="DC12" s="10">
        <v>931</v>
      </c>
      <c r="DD12" s="10">
        <v>921</v>
      </c>
      <c r="DE12" s="10">
        <v>912</v>
      </c>
      <c r="DF12" s="10">
        <v>903</v>
      </c>
      <c r="DG12" s="10">
        <v>889</v>
      </c>
      <c r="DH12" s="10">
        <v>849</v>
      </c>
      <c r="DI12" s="10">
        <v>843</v>
      </c>
      <c r="DJ12" s="10">
        <v>823</v>
      </c>
      <c r="DK12" s="10">
        <v>800</v>
      </c>
      <c r="DL12" s="10">
        <v>779</v>
      </c>
      <c r="DM12" s="10">
        <v>778</v>
      </c>
      <c r="DN12" s="10">
        <v>773</v>
      </c>
      <c r="DO12" s="10">
        <v>764</v>
      </c>
      <c r="DP12" s="10">
        <v>743</v>
      </c>
      <c r="DQ12" s="10">
        <v>733</v>
      </c>
      <c r="DR12" s="10">
        <v>724</v>
      </c>
      <c r="DS12" s="10">
        <v>718</v>
      </c>
      <c r="DT12" s="10">
        <v>717</v>
      </c>
      <c r="DU12" s="10">
        <v>717</v>
      </c>
      <c r="DV12" s="10">
        <v>714</v>
      </c>
      <c r="DW12" s="10">
        <v>708</v>
      </c>
      <c r="DX12" s="10">
        <v>696</v>
      </c>
      <c r="DY12" s="10">
        <v>683</v>
      </c>
      <c r="DZ12" s="10">
        <v>675</v>
      </c>
      <c r="EA12" s="10">
        <v>674</v>
      </c>
      <c r="EB12" s="10">
        <v>673</v>
      </c>
      <c r="EC12" s="10">
        <v>669</v>
      </c>
      <c r="ED12" s="10">
        <v>667</v>
      </c>
      <c r="EE12" s="10">
        <v>666</v>
      </c>
      <c r="EF12" s="10">
        <v>665</v>
      </c>
      <c r="EG12" s="10">
        <v>662</v>
      </c>
      <c r="EH12" s="10">
        <v>662</v>
      </c>
      <c r="EI12" s="10">
        <v>662</v>
      </c>
      <c r="EJ12" s="10">
        <v>662</v>
      </c>
      <c r="EK12" s="10">
        <v>659</v>
      </c>
      <c r="EL12" s="10">
        <v>656</v>
      </c>
      <c r="EM12" s="10">
        <v>653</v>
      </c>
      <c r="EN12" s="10">
        <v>640</v>
      </c>
      <c r="EO12" s="10">
        <v>636</v>
      </c>
      <c r="EP12" s="10">
        <v>633</v>
      </c>
      <c r="EQ12" s="10">
        <v>630</v>
      </c>
      <c r="ER12" s="10">
        <v>629</v>
      </c>
      <c r="ES12" s="10">
        <v>625</v>
      </c>
      <c r="ET12" s="10">
        <v>622</v>
      </c>
      <c r="EU12" s="10">
        <v>618</v>
      </c>
      <c r="EV12" s="10">
        <v>609</v>
      </c>
      <c r="EW12" s="10">
        <v>596</v>
      </c>
      <c r="EX12" s="10">
        <v>577</v>
      </c>
      <c r="EY12" s="10">
        <v>528</v>
      </c>
      <c r="EZ12" s="10">
        <v>506</v>
      </c>
      <c r="FA12" s="10">
        <v>500</v>
      </c>
      <c r="FB12" s="10">
        <v>493</v>
      </c>
      <c r="FC12" s="10">
        <v>492</v>
      </c>
      <c r="FD12" s="10">
        <v>491</v>
      </c>
      <c r="FE12" s="10">
        <v>487</v>
      </c>
      <c r="FF12" s="10">
        <v>480</v>
      </c>
      <c r="FG12" s="10">
        <v>475</v>
      </c>
      <c r="FH12" s="10">
        <v>470</v>
      </c>
      <c r="FI12" s="10">
        <v>465</v>
      </c>
      <c r="FJ12" s="10">
        <v>463</v>
      </c>
      <c r="FK12" s="10">
        <v>463</v>
      </c>
      <c r="FL12" s="10">
        <v>463</v>
      </c>
      <c r="FM12" s="10">
        <v>463</v>
      </c>
      <c r="FN12" s="10">
        <v>463</v>
      </c>
      <c r="FO12" s="10">
        <v>463</v>
      </c>
      <c r="FP12" s="10">
        <v>463</v>
      </c>
      <c r="FQ12" s="10">
        <v>463</v>
      </c>
      <c r="FR12" s="10">
        <v>463</v>
      </c>
      <c r="FS12" s="10">
        <v>459</v>
      </c>
      <c r="FT12" s="10">
        <v>459</v>
      </c>
      <c r="FU12" s="10">
        <v>458</v>
      </c>
      <c r="FV12" s="10">
        <v>458</v>
      </c>
      <c r="FW12" s="10">
        <v>457</v>
      </c>
      <c r="FX12" s="10">
        <v>456</v>
      </c>
      <c r="FY12" s="10">
        <v>456</v>
      </c>
      <c r="FZ12" s="10">
        <v>454</v>
      </c>
      <c r="GA12" s="10">
        <v>454</v>
      </c>
      <c r="GB12" s="10">
        <v>454</v>
      </c>
      <c r="GC12" s="10">
        <v>454</v>
      </c>
      <c r="GD12" s="10">
        <v>454</v>
      </c>
      <c r="GE12" s="10">
        <v>454</v>
      </c>
      <c r="GF12" s="10">
        <v>454</v>
      </c>
      <c r="GG12" s="10">
        <v>454</v>
      </c>
      <c r="GH12" s="10">
        <v>454</v>
      </c>
      <c r="GI12" s="10">
        <v>454</v>
      </c>
      <c r="GJ12" s="10">
        <v>454</v>
      </c>
      <c r="GK12" s="10">
        <v>454</v>
      </c>
      <c r="GL12" s="10">
        <v>454</v>
      </c>
      <c r="GM12" s="10">
        <v>454</v>
      </c>
      <c r="GN12" s="10">
        <v>453</v>
      </c>
      <c r="GO12" s="10">
        <v>453</v>
      </c>
      <c r="GP12" s="10">
        <v>453</v>
      </c>
      <c r="GQ12" s="10">
        <v>452</v>
      </c>
      <c r="GR12" s="10">
        <v>452</v>
      </c>
      <c r="GS12" s="10">
        <v>451</v>
      </c>
      <c r="GT12" s="10">
        <v>451</v>
      </c>
      <c r="GU12" s="10">
        <v>451</v>
      </c>
      <c r="GV12" s="10">
        <v>450</v>
      </c>
      <c r="GW12" s="10">
        <v>450</v>
      </c>
      <c r="GX12" s="10">
        <v>450</v>
      </c>
      <c r="GY12" s="10">
        <v>450</v>
      </c>
      <c r="GZ12" s="18">
        <v>450</v>
      </c>
      <c r="HA12" s="18">
        <v>449</v>
      </c>
      <c r="HB12" s="18">
        <v>449</v>
      </c>
      <c r="HC12" s="18">
        <v>448</v>
      </c>
      <c r="HD12" s="18">
        <v>448</v>
      </c>
      <c r="HE12" s="18">
        <v>448</v>
      </c>
      <c r="HF12" s="18">
        <v>448</v>
      </c>
      <c r="HG12" s="18">
        <v>448</v>
      </c>
      <c r="HH12" s="18">
        <v>447</v>
      </c>
      <c r="HI12" s="18">
        <v>445</v>
      </c>
      <c r="HJ12" s="18">
        <v>443</v>
      </c>
      <c r="HK12" s="18">
        <v>441</v>
      </c>
      <c r="HL12" s="18">
        <v>437</v>
      </c>
      <c r="HM12" s="18">
        <v>436</v>
      </c>
      <c r="HN12" s="18">
        <v>436</v>
      </c>
      <c r="HO12" s="18">
        <v>432</v>
      </c>
      <c r="HP12" s="18">
        <v>423</v>
      </c>
      <c r="HQ12" s="18">
        <v>417</v>
      </c>
      <c r="HR12" s="18">
        <v>415</v>
      </c>
      <c r="HS12" s="18">
        <v>413</v>
      </c>
    </row>
    <row r="13" spans="1:227" s="27" customFormat="1" ht="16.5" thickBot="1" x14ac:dyDescent="0.3">
      <c r="A13" s="11"/>
      <c r="B13" s="45">
        <f>659/636</f>
        <v>1.0361635220125787</v>
      </c>
      <c r="C13" s="28">
        <f>C12/G12</f>
        <v>1.0142736009044657</v>
      </c>
      <c r="D13" s="28">
        <f>D12/H12</f>
        <v>1.0172119487908962</v>
      </c>
      <c r="E13" s="28">
        <f>E12/I12</f>
        <v>1.0185900185900185</v>
      </c>
      <c r="F13" s="23">
        <f>F12/J12</f>
        <v>1.020293609671848</v>
      </c>
      <c r="G13" s="23">
        <f t="shared" ref="G13:K13" si="33">G12/K12</f>
        <v>1.0263997679141281</v>
      </c>
      <c r="H13" s="23">
        <f t="shared" si="33"/>
        <v>1.0249307479224377</v>
      </c>
      <c r="I13" s="23">
        <f t="shared" si="33"/>
        <v>1.0205779334500875</v>
      </c>
      <c r="J13" s="28">
        <f t="shared" si="33"/>
        <v>1.0181711606096131</v>
      </c>
      <c r="K13" s="28">
        <f t="shared" si="33"/>
        <v>1.015765433917784</v>
      </c>
      <c r="L13" s="28">
        <f t="shared" ref="L13:R13" si="34">L12/P12</f>
        <v>1.0164493183165382</v>
      </c>
      <c r="M13" s="23">
        <f t="shared" si="34"/>
        <v>1.0228392297357816</v>
      </c>
      <c r="N13" s="23">
        <f t="shared" si="34"/>
        <v>1.0253944402704733</v>
      </c>
      <c r="O13" s="23">
        <f t="shared" si="34"/>
        <v>1.0260015117157975</v>
      </c>
      <c r="P13" s="23">
        <f t="shared" si="34"/>
        <v>1.0233545647558386</v>
      </c>
      <c r="Q13" s="23">
        <f t="shared" si="34"/>
        <v>1.0213447171824974</v>
      </c>
      <c r="R13" s="23">
        <f t="shared" si="34"/>
        <v>1.0236886632825719</v>
      </c>
      <c r="S13" s="23">
        <f t="shared" ref="S13" si="35">S12/W12</f>
        <v>1.0238353196099674</v>
      </c>
      <c r="T13" s="23">
        <f t="shared" ref="T13:Y13" si="36">T12/X12</f>
        <v>1.0295081967213116</v>
      </c>
      <c r="U13" s="23">
        <f t="shared" si="36"/>
        <v>1.0319383259911894</v>
      </c>
      <c r="V13" s="23">
        <f t="shared" si="36"/>
        <v>1.0335453100158982</v>
      </c>
      <c r="W13" s="23">
        <f t="shared" si="36"/>
        <v>1.0347533632286996</v>
      </c>
      <c r="X13" s="23">
        <f t="shared" si="36"/>
        <v>1.0404483430799221</v>
      </c>
      <c r="Y13" s="23">
        <f t="shared" si="36"/>
        <v>1.0514474772539288</v>
      </c>
      <c r="Z13" s="23">
        <f t="shared" ref="Z13:AE13" si="37">Z12/AD12</f>
        <v>1.0589225589225588</v>
      </c>
      <c r="AA13" s="23">
        <f t="shared" si="37"/>
        <v>1.0800899498356686</v>
      </c>
      <c r="AB13" s="23">
        <f t="shared" si="37"/>
        <v>1.0932338838572189</v>
      </c>
      <c r="AC13" s="23">
        <f t="shared" si="37"/>
        <v>1.0957041870581838</v>
      </c>
      <c r="AD13" s="23">
        <f t="shared" si="37"/>
        <v>1.0975609756097562</v>
      </c>
      <c r="AE13" s="23">
        <f t="shared" si="37"/>
        <v>1.0829898838516299</v>
      </c>
      <c r="AF13" s="23">
        <f t="shared" ref="AF13:AK13" si="38">AF12/AJ12</f>
        <v>1.0764672146817051</v>
      </c>
      <c r="AG13" s="23">
        <f t="shared" si="38"/>
        <v>1.0944257091846856</v>
      </c>
      <c r="AH13" s="42">
        <f t="shared" si="38"/>
        <v>1.1065221836025352</v>
      </c>
      <c r="AI13" s="42">
        <f t="shared" si="38"/>
        <v>1.1186085498742666</v>
      </c>
      <c r="AJ13" s="42">
        <f t="shared" si="38"/>
        <v>1.1103799617915517</v>
      </c>
      <c r="AK13" s="42">
        <f t="shared" si="38"/>
        <v>1.1059675296182536</v>
      </c>
      <c r="AL13" s="42">
        <f>4891/4442</f>
        <v>1.1010805943268798</v>
      </c>
      <c r="AM13" s="23">
        <f>AM12/AQ12</f>
        <v>1.0967593656630659</v>
      </c>
      <c r="AN13" s="42">
        <f>AN12/AR12</f>
        <v>1.1137115839243499</v>
      </c>
      <c r="AO13" s="42">
        <f t="shared" ref="AO13:AR13" si="39">AO12/AS12</f>
        <v>1.1229366839122936</v>
      </c>
      <c r="AP13" s="42">
        <f t="shared" si="39"/>
        <v>1.1259822560202788</v>
      </c>
      <c r="AQ13" s="42">
        <f t="shared" si="39"/>
        <v>1.141395592864638</v>
      </c>
      <c r="AR13" s="42">
        <f t="shared" si="39"/>
        <v>1.1513336962438758</v>
      </c>
      <c r="AS13" s="42">
        <f>AS12/AW12</f>
        <v>1.1379310344827587</v>
      </c>
      <c r="AT13" s="42">
        <f>AT12/AX12</f>
        <v>1.1431469139379891</v>
      </c>
      <c r="AU13" s="42">
        <f>3812/3359</f>
        <v>1.1348615659422447</v>
      </c>
      <c r="AV13" s="42">
        <f>AV12/AZ12</f>
        <v>1.1146844660194175</v>
      </c>
      <c r="AW13" s="42">
        <f>AW12/BA12</f>
        <v>1.1036509900990099</v>
      </c>
      <c r="AX13" s="23">
        <f>3451/3177</f>
        <v>1.0862448851117406</v>
      </c>
      <c r="AY13" s="23">
        <f>3359/3104</f>
        <v>1.0821520618556701</v>
      </c>
      <c r="AZ13" s="23">
        <f>3296/3035</f>
        <v>1.085996705107084</v>
      </c>
      <c r="BA13" s="23">
        <f>3232/2940</f>
        <v>1.0993197278911564</v>
      </c>
      <c r="BB13" s="42">
        <f>3177/2869</f>
        <v>1.1073544789125132</v>
      </c>
      <c r="BC13" s="42">
        <f>3104/2812</f>
        <v>1.1038406827880511</v>
      </c>
      <c r="BD13" s="23">
        <f>3035/2785</f>
        <v>1.0897666068222622</v>
      </c>
      <c r="BE13" s="23">
        <f>2940/2738</f>
        <v>1.0737764791818847</v>
      </c>
      <c r="BF13" s="23">
        <f>2869/2676</f>
        <v>1.0721225710014948</v>
      </c>
      <c r="BG13" s="23">
        <f>2812/2562</f>
        <v>1.0975800156128026</v>
      </c>
      <c r="BH13" s="23">
        <f>2785/2562</f>
        <v>1.0870413739266198</v>
      </c>
      <c r="BI13" s="23">
        <f>2738/2524</f>
        <v>1.0847860538827259</v>
      </c>
      <c r="BJ13" s="23">
        <f>2676/2455</f>
        <v>1.090020366598778</v>
      </c>
      <c r="BK13" s="23">
        <f>2618/2420</f>
        <v>1.0818181818181818</v>
      </c>
      <c r="BL13" s="23">
        <f>2562/2378</f>
        <v>1.0773759461732548</v>
      </c>
      <c r="BM13" s="23">
        <f>2524/2321</f>
        <v>1.0874623007324429</v>
      </c>
      <c r="BN13" s="23">
        <f>2455/2286</f>
        <v>1.0739282589676291</v>
      </c>
      <c r="BO13" s="23">
        <f>2420/2238</f>
        <v>1.0813226094727435</v>
      </c>
      <c r="BP13" s="23">
        <f>2378/2195</f>
        <v>1.0833712984054669</v>
      </c>
      <c r="BQ13" s="23">
        <f>2321/2172</f>
        <v>1.0686003683241252</v>
      </c>
      <c r="BR13" s="23">
        <f>2286/2120</f>
        <v>1.0783018867924528</v>
      </c>
      <c r="BS13" s="23">
        <f>2238/2096</f>
        <v>1.0677480916030535</v>
      </c>
      <c r="BT13" s="23">
        <f>2195/2068</f>
        <v>1.061411992263056</v>
      </c>
      <c r="BU13" s="23">
        <f>2172/2028</f>
        <v>1.0710059171597632</v>
      </c>
      <c r="BV13" s="23">
        <f>2120/1962</f>
        <v>1.0805300713557595</v>
      </c>
      <c r="BW13" s="42">
        <f>2096/1901</f>
        <v>1.1025775907417148</v>
      </c>
      <c r="BX13" s="42">
        <f>2068/1875</f>
        <v>1.1029333333333333</v>
      </c>
      <c r="BY13" s="42">
        <f>2028/1839</f>
        <v>1.102773246329527</v>
      </c>
      <c r="BZ13" s="23">
        <f>1962/1816</f>
        <v>1.080396475770925</v>
      </c>
      <c r="CA13" s="23">
        <f>1901/1761</f>
        <v>1.0795002839295855</v>
      </c>
      <c r="CB13" s="23">
        <f>1875/1744</f>
        <v>1.0751146788990826</v>
      </c>
      <c r="CC13" s="42">
        <f>1839/1610</f>
        <v>1.1422360248447205</v>
      </c>
      <c r="CD13" s="42">
        <f>1816/1522</f>
        <v>1.1931668856767412</v>
      </c>
      <c r="CE13" s="42">
        <f>1761/1488</f>
        <v>1.1834677419354838</v>
      </c>
      <c r="CF13" s="42">
        <f>1744/1438</f>
        <v>1.2127955493741307</v>
      </c>
      <c r="CG13" s="42">
        <f>1610/1415</f>
        <v>1.137809187279152</v>
      </c>
      <c r="CH13" s="23">
        <f>1522/1391</f>
        <v>1.0941768511861969</v>
      </c>
      <c r="CI13" s="42">
        <f>1488/1283</f>
        <v>1.1597817614964927</v>
      </c>
      <c r="CJ13" s="42">
        <f>1438/1248</f>
        <v>1.1522435897435896</v>
      </c>
      <c r="CK13" s="42">
        <f>1415/1226</f>
        <v>1.1541598694942903</v>
      </c>
      <c r="CL13" s="42">
        <f>1391/1213</f>
        <v>1.1467436108821105</v>
      </c>
      <c r="CM13" s="23">
        <f>1283/1193</f>
        <v>1.0754400670578375</v>
      </c>
      <c r="CN13" s="23">
        <f>1248/1183</f>
        <v>1.054945054945055</v>
      </c>
      <c r="CO13" s="23">
        <f>1226/1147</f>
        <v>1.068875326939843</v>
      </c>
      <c r="CP13" s="23">
        <f>1213/1135</f>
        <v>1.0687224669603523</v>
      </c>
      <c r="CQ13" s="23">
        <f>1193/1109</f>
        <v>1.0757439134355276</v>
      </c>
      <c r="CR13" s="42">
        <f>1183/1065</f>
        <v>1.1107981220657277</v>
      </c>
      <c r="CS13" s="23">
        <f>1147/1057</f>
        <v>1.0851466414380322</v>
      </c>
      <c r="CT13" s="23">
        <f>1135/1052</f>
        <v>1.0788973384030418</v>
      </c>
      <c r="CU13" s="23">
        <f>1109/1036</f>
        <v>1.0704633204633205</v>
      </c>
      <c r="CV13" s="23">
        <f>1065/1002</f>
        <v>1.062874251497006</v>
      </c>
      <c r="CW13" s="23">
        <f>1057/979</f>
        <v>1.079673135852911</v>
      </c>
      <c r="CX13" s="42">
        <f>1052/943</f>
        <v>1.1155885471898197</v>
      </c>
      <c r="CY13" s="42">
        <f>1036/931</f>
        <v>1.112781954887218</v>
      </c>
      <c r="CZ13" s="23">
        <f>1002/921</f>
        <v>1.0879478827361564</v>
      </c>
      <c r="DA13" s="23">
        <f>979/912</f>
        <v>1.0734649122807018</v>
      </c>
      <c r="DB13" s="23">
        <f>943/903</f>
        <v>1.0442967884828349</v>
      </c>
      <c r="DC13" s="23">
        <f>931/889</f>
        <v>1.0472440944881889</v>
      </c>
      <c r="DD13" s="23">
        <f>921/849</f>
        <v>1.0848056537102473</v>
      </c>
      <c r="DE13" s="23">
        <f>912/843</f>
        <v>1.0818505338078293</v>
      </c>
      <c r="DF13" s="23">
        <f>903/823</f>
        <v>1.0972053462940461</v>
      </c>
      <c r="DG13" s="42">
        <f>889/800</f>
        <v>1.1112500000000001</v>
      </c>
      <c r="DH13" s="23">
        <f>849/779</f>
        <v>1.0898587933247754</v>
      </c>
      <c r="DI13" s="23">
        <f>843/778</f>
        <v>1.0835475578406171</v>
      </c>
      <c r="DJ13" s="23">
        <f>823/773</f>
        <v>1.0646830530401035</v>
      </c>
      <c r="DK13" s="23">
        <f>800/764</f>
        <v>1.0471204188481675</v>
      </c>
      <c r="DL13" s="23">
        <f>779/743</f>
        <v>1.0484522207267832</v>
      </c>
      <c r="DM13" s="23">
        <f>778/733</f>
        <v>1.0613915416098227</v>
      </c>
      <c r="DN13" s="23">
        <f>773/724</f>
        <v>1.0676795580110496</v>
      </c>
      <c r="DO13" s="23">
        <f>764/718</f>
        <v>1.0640668523676879</v>
      </c>
      <c r="DP13" s="23">
        <f>743/717</f>
        <v>1.0362622036262203</v>
      </c>
      <c r="DQ13" s="23">
        <f>733/717</f>
        <v>1.0223152022315203</v>
      </c>
      <c r="DR13" s="28">
        <f>724/714</f>
        <v>1.0140056022408963</v>
      </c>
      <c r="DS13" s="28">
        <f>718/708</f>
        <v>1.0141242937853108</v>
      </c>
      <c r="DT13" s="23">
        <f>717/696</f>
        <v>1.0301724137931034</v>
      </c>
      <c r="DU13" s="23">
        <f>717/683</f>
        <v>1.0497803806734993</v>
      </c>
      <c r="DV13" s="23">
        <f>714/675</f>
        <v>1.0577777777777777</v>
      </c>
      <c r="DW13" s="23">
        <f>708/674</f>
        <v>1.0504451038575668</v>
      </c>
      <c r="DX13" s="23">
        <f>696/673</f>
        <v>1.0341753343239228</v>
      </c>
      <c r="DY13" s="23">
        <f>683/669</f>
        <v>1.0209267563527653</v>
      </c>
      <c r="DZ13" s="28">
        <f>675/667</f>
        <v>1.0119940029985008</v>
      </c>
      <c r="EA13" s="28">
        <f>674/666</f>
        <v>1.012012012012012</v>
      </c>
      <c r="EB13" s="28">
        <f>673/665</f>
        <v>1.0120300751879698</v>
      </c>
      <c r="EC13" s="28">
        <f>669/662</f>
        <v>1.0105740181268883</v>
      </c>
      <c r="ED13" s="22">
        <f>667/662</f>
        <v>1.0075528700906344</v>
      </c>
      <c r="EE13" s="22">
        <f>666/662</f>
        <v>1.0060422960725075</v>
      </c>
      <c r="EF13" s="22">
        <f>665/662</f>
        <v>1.0045317220543806</v>
      </c>
      <c r="EG13" s="22">
        <f>662/659</f>
        <v>1.0045523520485584</v>
      </c>
      <c r="EH13" s="22">
        <f>662/656</f>
        <v>1.0091463414634145</v>
      </c>
      <c r="EI13" s="28">
        <f>662/653</f>
        <v>1.0137825421133231</v>
      </c>
      <c r="EJ13" s="23">
        <f>662/640</f>
        <v>1.034375</v>
      </c>
      <c r="EK13" s="23">
        <f>659/636</f>
        <v>1.0361635220125787</v>
      </c>
      <c r="EL13" s="23">
        <f>656/633</f>
        <v>1.0363349131121642</v>
      </c>
      <c r="EM13" s="23">
        <f>653/630</f>
        <v>1.0365079365079366</v>
      </c>
      <c r="EN13" s="28">
        <f>640/629</f>
        <v>1.0174880763116056</v>
      </c>
      <c r="EO13" s="28">
        <f>636/625</f>
        <v>1.0176000000000001</v>
      </c>
      <c r="EP13" s="28">
        <f>633/622</f>
        <v>1.017684887459807</v>
      </c>
      <c r="EQ13" s="28">
        <f>630/618</f>
        <v>1.0194174757281553</v>
      </c>
      <c r="ER13" s="23">
        <f>629/609</f>
        <v>1.0328407224958949</v>
      </c>
      <c r="ES13" s="23">
        <f>625/596</f>
        <v>1.0486577181208054</v>
      </c>
      <c r="ET13" s="23">
        <f>622/577</f>
        <v>1.0779896013864818</v>
      </c>
      <c r="EU13" s="42">
        <f>618/528</f>
        <v>1.1704545454545454</v>
      </c>
      <c r="EV13" s="42">
        <f>609/506</f>
        <v>1.2035573122529644</v>
      </c>
      <c r="EW13" s="42">
        <f>596/500</f>
        <v>1.1919999999999999</v>
      </c>
      <c r="EX13" s="42">
        <f>577/493</f>
        <v>1.1703853955375254</v>
      </c>
      <c r="EY13" s="23">
        <f>528/492</f>
        <v>1.0731707317073171</v>
      </c>
      <c r="EZ13" s="23">
        <f>506/491</f>
        <v>1.030549898167006</v>
      </c>
      <c r="FA13" s="23">
        <f>500/487</f>
        <v>1.0266940451745379</v>
      </c>
      <c r="FB13" s="23">
        <f>493/480</f>
        <v>1.0270833333333333</v>
      </c>
      <c r="FC13" s="23">
        <f>492/476</f>
        <v>1.0336134453781514</v>
      </c>
      <c r="FD13" s="23">
        <f>491/470</f>
        <v>1.0446808510638297</v>
      </c>
      <c r="FE13" s="23">
        <f>487/465</f>
        <v>1.0473118279569893</v>
      </c>
      <c r="FF13" s="23">
        <f>480/463</f>
        <v>1.0367170626349893</v>
      </c>
      <c r="FG13" s="23">
        <f>475/463</f>
        <v>1.0259179265658747</v>
      </c>
      <c r="FH13" s="28">
        <f>470/463</f>
        <v>1.0151187904967602</v>
      </c>
      <c r="FI13" s="22">
        <f>465/463</f>
        <v>1.0043196544276458</v>
      </c>
      <c r="FJ13" s="21">
        <v>1</v>
      </c>
      <c r="FK13" s="21">
        <v>1</v>
      </c>
      <c r="FL13" s="21">
        <v>1</v>
      </c>
      <c r="FM13" s="21">
        <v>1</v>
      </c>
      <c r="FN13" s="21">
        <v>1</v>
      </c>
      <c r="FO13" s="22">
        <f>463/459</f>
        <v>1.008714596949891</v>
      </c>
      <c r="FP13" s="22">
        <f>463/459</f>
        <v>1.008714596949891</v>
      </c>
      <c r="FQ13" s="28">
        <f>463/458</f>
        <v>1.0109170305676856</v>
      </c>
      <c r="FR13" s="28">
        <f>463/458</f>
        <v>1.0109170305676856</v>
      </c>
      <c r="FS13" s="22">
        <f>459/457</f>
        <v>1.0043763676148796</v>
      </c>
      <c r="FT13" s="22">
        <f>459/456</f>
        <v>1.006578947368421</v>
      </c>
      <c r="FU13" s="22">
        <f>458/456</f>
        <v>1.0043859649122806</v>
      </c>
      <c r="FV13" s="22">
        <f>458/454</f>
        <v>1.0088105726872247</v>
      </c>
      <c r="FW13" s="22">
        <f>457/454</f>
        <v>1.0066079295154184</v>
      </c>
      <c r="FX13" s="22">
        <f>456/454</f>
        <v>1.0044052863436124</v>
      </c>
      <c r="FY13" s="22">
        <f>456/454</f>
        <v>1.0044052863436124</v>
      </c>
      <c r="FZ13" s="21">
        <v>1</v>
      </c>
      <c r="GA13" s="21">
        <v>1</v>
      </c>
      <c r="GB13" s="21">
        <f>454/454</f>
        <v>1</v>
      </c>
      <c r="GC13" s="21">
        <v>1</v>
      </c>
      <c r="GD13" s="21">
        <v>1</v>
      </c>
      <c r="GE13" s="21">
        <v>1</v>
      </c>
      <c r="GF13" s="21">
        <v>1</v>
      </c>
      <c r="GG13" s="21">
        <v>1</v>
      </c>
      <c r="GH13" s="21">
        <v>1</v>
      </c>
      <c r="GI13" s="21">
        <f>454/454</f>
        <v>1</v>
      </c>
      <c r="GJ13" s="22">
        <f>454/453</f>
        <v>1.0022075055187638</v>
      </c>
      <c r="GK13" s="22">
        <f>454/453</f>
        <v>1.0022075055187638</v>
      </c>
      <c r="GL13" s="22">
        <f>454/453</f>
        <v>1.0022075055187638</v>
      </c>
      <c r="GM13" s="22">
        <f>454/452</f>
        <v>1.0044247787610618</v>
      </c>
      <c r="GN13" s="22">
        <f>453/452</f>
        <v>1.002212389380531</v>
      </c>
      <c r="GO13" s="22">
        <f>453/451</f>
        <v>1.0044345898004434</v>
      </c>
      <c r="GP13" s="22">
        <f>GP12/GT12</f>
        <v>1.0044345898004434</v>
      </c>
      <c r="GQ13" s="22">
        <f>452/451</f>
        <v>1.0022172949002217</v>
      </c>
      <c r="GR13" s="25">
        <f>452/450</f>
        <v>1.0044444444444445</v>
      </c>
      <c r="GS13" s="25">
        <f>451/450</f>
        <v>1.0022222222222221</v>
      </c>
      <c r="GT13" s="25">
        <f>451/450</f>
        <v>1.0022222222222221</v>
      </c>
      <c r="GU13" s="25">
        <f>451/450</f>
        <v>1.0022222222222221</v>
      </c>
      <c r="GV13" s="29">
        <v>1</v>
      </c>
      <c r="GW13" s="25">
        <f>450/449</f>
        <v>1.0022271714922049</v>
      </c>
      <c r="GX13" s="25">
        <f>450/449</f>
        <v>1.0022271714922049</v>
      </c>
      <c r="GY13" s="25">
        <f>450/448</f>
        <v>1.0044642857142858</v>
      </c>
      <c r="GZ13" s="25">
        <f>450/448</f>
        <v>1.0044642857142858</v>
      </c>
      <c r="HA13" s="25">
        <f>449/448</f>
        <v>1.0022321428571428</v>
      </c>
      <c r="HB13" s="25">
        <f>449/448</f>
        <v>1.0022321428571428</v>
      </c>
      <c r="HC13" s="29">
        <f>448/448</f>
        <v>1</v>
      </c>
      <c r="HD13" s="25">
        <f>448/447</f>
        <v>1.0022371364653244</v>
      </c>
      <c r="HE13" s="25">
        <f>448/445</f>
        <v>1.0067415730337079</v>
      </c>
      <c r="HF13" s="26">
        <f>448/443</f>
        <v>1.0112866817155757</v>
      </c>
      <c r="HG13" s="26">
        <f>448/441</f>
        <v>1.0158730158730158</v>
      </c>
      <c r="HH13" s="35">
        <f>447/437</f>
        <v>1.0228832951945079</v>
      </c>
      <c r="HI13" s="35">
        <f>445/436</f>
        <v>1.0206422018348624</v>
      </c>
      <c r="HJ13" s="26">
        <f>443/436</f>
        <v>1.0160550458715596</v>
      </c>
      <c r="HK13" s="35">
        <f>441/432</f>
        <v>1.0208333333333333</v>
      </c>
      <c r="HL13" s="35">
        <f>437/423</f>
        <v>1.033096926713948</v>
      </c>
      <c r="HM13" s="35">
        <f>436/417</f>
        <v>1.0455635491606714</v>
      </c>
      <c r="HN13" s="35">
        <f>436/415</f>
        <v>1.0506024096385542</v>
      </c>
      <c r="HO13" s="35">
        <f>432/413</f>
        <v>1.0460048426150121</v>
      </c>
      <c r="HP13" s="36"/>
    </row>
    <row r="14" spans="1:227" s="18" customFormat="1" ht="16.5" thickBot="1" x14ac:dyDescent="0.3">
      <c r="A14" s="9" t="s">
        <v>6</v>
      </c>
      <c r="B14" s="10">
        <v>257</v>
      </c>
      <c r="C14" s="10">
        <f>16+D14</f>
        <v>5145</v>
      </c>
      <c r="D14" s="10">
        <f>12+E14</f>
        <v>5129</v>
      </c>
      <c r="E14" s="10">
        <f>11+F14</f>
        <v>5117</v>
      </c>
      <c r="F14" s="10">
        <f>25+G14</f>
        <v>5106</v>
      </c>
      <c r="G14" s="10">
        <f>46+H14</f>
        <v>5081</v>
      </c>
      <c r="H14" s="10">
        <f>34+I14</f>
        <v>5035</v>
      </c>
      <c r="I14" s="10">
        <f>44+J14</f>
        <v>5001</v>
      </c>
      <c r="J14" s="10">
        <f>37+K14</f>
        <v>4957</v>
      </c>
      <c r="K14" s="10">
        <f>25+L14</f>
        <v>4920</v>
      </c>
      <c r="L14" s="10">
        <f>10+M14</f>
        <v>4895</v>
      </c>
      <c r="M14" s="10">
        <f>9+N14</f>
        <v>4885</v>
      </c>
      <c r="N14" s="10">
        <f>33+O14</f>
        <v>4876</v>
      </c>
      <c r="O14" s="10">
        <f>35+P14</f>
        <v>4843</v>
      </c>
      <c r="P14" s="10">
        <f>46+Q14</f>
        <v>4808</v>
      </c>
      <c r="Q14" s="10">
        <f>29+R14</f>
        <v>4762</v>
      </c>
      <c r="R14" s="10">
        <f xml:space="preserve"> 36+S14</f>
        <v>4733</v>
      </c>
      <c r="S14" s="10">
        <f>15+T14</f>
        <v>4697</v>
      </c>
      <c r="T14" s="10">
        <f>19+4663</f>
        <v>4682</v>
      </c>
      <c r="U14" s="10">
        <f>29+4634</f>
        <v>4663</v>
      </c>
      <c r="V14" s="10">
        <f>40+4594</f>
        <v>4634</v>
      </c>
      <c r="W14" s="10">
        <f>38+4556</f>
        <v>4594</v>
      </c>
      <c r="X14" s="10">
        <f>51+4505</f>
        <v>4556</v>
      </c>
      <c r="Y14" s="10">
        <f>43+4462</f>
        <v>4505</v>
      </c>
      <c r="Z14" s="10">
        <f>12+4450</f>
        <v>4462</v>
      </c>
      <c r="AA14" s="10">
        <f>36+4414</f>
        <v>4450</v>
      </c>
      <c r="AB14" s="10">
        <f>63+4351</f>
        <v>4414</v>
      </c>
      <c r="AC14" s="10">
        <f>51+4300</f>
        <v>4351</v>
      </c>
      <c r="AD14" s="10">
        <f>73+AE14</f>
        <v>4300</v>
      </c>
      <c r="AE14" s="10">
        <f>82+4145</f>
        <v>4227</v>
      </c>
      <c r="AF14" s="10">
        <f>71+4074</f>
        <v>4145</v>
      </c>
      <c r="AG14" s="10">
        <f>35+4039</f>
        <v>4074</v>
      </c>
      <c r="AH14" s="10">
        <f>42+3997</f>
        <v>4039</v>
      </c>
      <c r="AI14" s="10">
        <f>100+3897</f>
        <v>3997</v>
      </c>
      <c r="AJ14" s="10">
        <f>119+3778</f>
        <v>3897</v>
      </c>
      <c r="AK14" s="10">
        <f>71+3707</f>
        <v>3778</v>
      </c>
      <c r="AL14" s="10">
        <f>68+3639</f>
        <v>3707</v>
      </c>
      <c r="AM14" s="10">
        <f>75+3564</f>
        <v>3639</v>
      </c>
      <c r="AN14" s="10">
        <f>42+3522</f>
        <v>3564</v>
      </c>
      <c r="AO14" s="10">
        <f>102+3420</f>
        <v>3522</v>
      </c>
      <c r="AP14" s="10">
        <f>129+3291</f>
        <v>3420</v>
      </c>
      <c r="AQ14" s="10">
        <f>97+3194</f>
        <v>3291</v>
      </c>
      <c r="AR14" s="10">
        <f>111+3083</f>
        <v>3194</v>
      </c>
      <c r="AS14" s="10">
        <f>108+2975</f>
        <v>3083</v>
      </c>
      <c r="AT14" s="10">
        <f>119+2856</f>
        <v>2975</v>
      </c>
      <c r="AU14" s="10">
        <f>73+2783</f>
        <v>2856</v>
      </c>
      <c r="AV14" s="10">
        <v>2783</v>
      </c>
      <c r="AW14" s="10">
        <f>117+2577</f>
        <v>2694</v>
      </c>
      <c r="AX14" s="10">
        <f>114+2463</f>
        <v>2577</v>
      </c>
      <c r="AY14" s="10">
        <f>106+2357</f>
        <v>2463</v>
      </c>
      <c r="AZ14" s="10">
        <f>100+2257</f>
        <v>2357</v>
      </c>
      <c r="BA14" s="10">
        <f>69+2188</f>
        <v>2257</v>
      </c>
      <c r="BB14" s="10">
        <v>2188</v>
      </c>
      <c r="BC14" s="10">
        <f>96+2057</f>
        <v>2153</v>
      </c>
      <c r="BD14" s="10">
        <f>49+2008</f>
        <v>2057</v>
      </c>
      <c r="BE14" s="10">
        <f>1895+113</f>
        <v>2008</v>
      </c>
      <c r="BF14" s="10">
        <f>1832+63</f>
        <v>1895</v>
      </c>
      <c r="BG14" s="10">
        <f>1765+67</f>
        <v>1832</v>
      </c>
      <c r="BH14" s="10">
        <f>1743+22</f>
        <v>1765</v>
      </c>
      <c r="BI14" s="10">
        <v>1743</v>
      </c>
      <c r="BJ14" s="10">
        <f>1684+31</f>
        <v>1715</v>
      </c>
      <c r="BK14" s="10">
        <f>1612+72</f>
        <v>1684</v>
      </c>
      <c r="BL14" s="10">
        <v>1612</v>
      </c>
      <c r="BM14" s="10">
        <f>1520+64</f>
        <v>1584</v>
      </c>
      <c r="BN14" s="10">
        <f>1441+79</f>
        <v>1520</v>
      </c>
      <c r="BO14" s="10">
        <f>1414+27</f>
        <v>1441</v>
      </c>
      <c r="BP14" s="10">
        <f>1387+27</f>
        <v>1414</v>
      </c>
      <c r="BQ14" s="10">
        <v>1387</v>
      </c>
      <c r="BR14" s="10">
        <f>1323+26</f>
        <v>1349</v>
      </c>
      <c r="BS14" s="10">
        <v>1323</v>
      </c>
      <c r="BT14" s="10">
        <f>1281+18</f>
        <v>1299</v>
      </c>
      <c r="BU14" s="10">
        <f>1247+34</f>
        <v>1281</v>
      </c>
      <c r="BV14" s="10">
        <f>1222+25</f>
        <v>1247</v>
      </c>
      <c r="BW14" s="10">
        <v>1222</v>
      </c>
      <c r="BX14" s="10">
        <v>1209</v>
      </c>
      <c r="BY14" s="10">
        <v>1178</v>
      </c>
      <c r="BZ14" s="10">
        <v>1156</v>
      </c>
      <c r="CA14" s="10">
        <v>1120</v>
      </c>
      <c r="CB14" s="10">
        <f>1069+28</f>
        <v>1097</v>
      </c>
      <c r="CC14" s="10">
        <v>1069</v>
      </c>
      <c r="CD14" s="10">
        <f>1024+12</f>
        <v>1036</v>
      </c>
      <c r="CE14" s="10">
        <v>1024</v>
      </c>
      <c r="CF14" s="10">
        <f>962+36</f>
        <v>998</v>
      </c>
      <c r="CG14" s="10">
        <v>962</v>
      </c>
      <c r="CH14" s="10">
        <f>907+32</f>
        <v>939</v>
      </c>
      <c r="CI14" s="10">
        <v>907</v>
      </c>
      <c r="CJ14" s="10">
        <v>865</v>
      </c>
      <c r="CK14" s="10">
        <v>815</v>
      </c>
      <c r="CL14" s="10">
        <v>775</v>
      </c>
      <c r="CM14" s="10">
        <v>752</v>
      </c>
      <c r="CN14" s="10">
        <v>719</v>
      </c>
      <c r="CO14" s="10">
        <v>667</v>
      </c>
      <c r="CP14" s="10">
        <v>631</v>
      </c>
      <c r="CQ14" s="10">
        <v>613</v>
      </c>
      <c r="CR14" s="10">
        <v>575</v>
      </c>
      <c r="CS14" s="10">
        <v>557</v>
      </c>
      <c r="CT14" s="10">
        <v>538</v>
      </c>
      <c r="CU14" s="10">
        <v>504</v>
      </c>
      <c r="CV14" s="10">
        <v>460</v>
      </c>
      <c r="CW14" s="10">
        <v>437</v>
      </c>
      <c r="CX14" s="10">
        <v>433</v>
      </c>
      <c r="CY14" s="10">
        <v>416</v>
      </c>
      <c r="CZ14" s="10">
        <v>407</v>
      </c>
      <c r="DA14" s="10">
        <v>402</v>
      </c>
      <c r="DB14" s="10">
        <v>391</v>
      </c>
      <c r="DC14" s="10">
        <v>362</v>
      </c>
      <c r="DD14" s="10">
        <v>353</v>
      </c>
      <c r="DE14" s="10">
        <v>345</v>
      </c>
      <c r="DF14" s="10">
        <v>332</v>
      </c>
      <c r="DG14" s="10">
        <v>327</v>
      </c>
      <c r="DH14" s="10">
        <v>318</v>
      </c>
      <c r="DI14" s="10">
        <v>307</v>
      </c>
      <c r="DJ14" s="10">
        <v>301</v>
      </c>
      <c r="DK14" s="10">
        <v>290</v>
      </c>
      <c r="DL14" s="10">
        <v>282</v>
      </c>
      <c r="DM14" s="10">
        <v>281</v>
      </c>
      <c r="DN14" s="10">
        <v>281</v>
      </c>
      <c r="DO14" s="10">
        <v>281</v>
      </c>
      <c r="DP14" s="10">
        <v>281</v>
      </c>
      <c r="DQ14" s="10">
        <v>278</v>
      </c>
      <c r="DR14" s="10">
        <v>276</v>
      </c>
      <c r="DS14" s="10">
        <v>271</v>
      </c>
      <c r="DT14" s="10">
        <v>269</v>
      </c>
      <c r="DU14" s="10">
        <v>268</v>
      </c>
      <c r="DV14" s="10">
        <v>268</v>
      </c>
      <c r="DW14" s="10">
        <v>267</v>
      </c>
      <c r="DX14" s="10">
        <v>265</v>
      </c>
      <c r="DY14" s="10">
        <v>264</v>
      </c>
      <c r="DZ14" s="10">
        <v>264</v>
      </c>
      <c r="EA14" s="10">
        <v>264</v>
      </c>
      <c r="EB14" s="10">
        <v>264</v>
      </c>
      <c r="EC14" s="10">
        <v>263</v>
      </c>
      <c r="ED14" s="10">
        <v>261</v>
      </c>
      <c r="EE14" s="10">
        <v>258</v>
      </c>
      <c r="EF14" s="10">
        <v>257</v>
      </c>
      <c r="EG14" s="10">
        <v>257</v>
      </c>
      <c r="EH14" s="10">
        <v>257</v>
      </c>
      <c r="EI14" s="10">
        <v>257</v>
      </c>
      <c r="EJ14" s="10">
        <v>257</v>
      </c>
      <c r="EK14" s="10">
        <v>257</v>
      </c>
      <c r="EL14" s="10">
        <v>257</v>
      </c>
      <c r="EM14" s="10">
        <v>256</v>
      </c>
      <c r="EN14" s="10">
        <v>256</v>
      </c>
      <c r="EO14" s="10">
        <v>255</v>
      </c>
      <c r="EP14" s="10">
        <v>255</v>
      </c>
      <c r="EQ14" s="10">
        <v>254</v>
      </c>
      <c r="ER14" s="10">
        <v>254</v>
      </c>
      <c r="ES14" s="10">
        <v>254</v>
      </c>
      <c r="ET14" s="10">
        <v>254</v>
      </c>
      <c r="EU14" s="10">
        <v>254</v>
      </c>
      <c r="EV14" s="10">
        <v>254</v>
      </c>
      <c r="EW14" s="10">
        <v>254</v>
      </c>
      <c r="EX14" s="10">
        <v>254</v>
      </c>
      <c r="EY14" s="10">
        <v>251</v>
      </c>
      <c r="EZ14" s="10">
        <v>251</v>
      </c>
      <c r="FA14" s="10">
        <v>251</v>
      </c>
      <c r="FB14" s="10">
        <v>250</v>
      </c>
      <c r="FC14" s="10">
        <v>250</v>
      </c>
      <c r="FD14" s="10">
        <v>250</v>
      </c>
      <c r="FE14" s="10">
        <v>250</v>
      </c>
      <c r="FF14" s="10">
        <v>250</v>
      </c>
      <c r="FG14" s="10">
        <v>249</v>
      </c>
      <c r="FH14" s="10">
        <v>248</v>
      </c>
      <c r="FI14" s="10">
        <v>247</v>
      </c>
      <c r="FJ14" s="10">
        <v>247</v>
      </c>
      <c r="FK14" s="10">
        <v>247</v>
      </c>
      <c r="FL14" s="10">
        <v>247</v>
      </c>
      <c r="FM14" s="10">
        <v>247</v>
      </c>
      <c r="FN14" s="10">
        <v>246</v>
      </c>
      <c r="FO14" s="10">
        <v>245</v>
      </c>
      <c r="FP14" s="10">
        <v>244</v>
      </c>
      <c r="FQ14" s="10">
        <v>244</v>
      </c>
      <c r="FR14" s="10">
        <v>244</v>
      </c>
      <c r="FS14" s="10">
        <v>244</v>
      </c>
      <c r="FT14" s="10">
        <v>244</v>
      </c>
      <c r="FU14" s="10">
        <v>244</v>
      </c>
      <c r="FV14" s="10">
        <v>244</v>
      </c>
      <c r="FW14" s="10">
        <v>244</v>
      </c>
      <c r="FX14" s="10">
        <v>244</v>
      </c>
      <c r="FY14" s="10">
        <v>244</v>
      </c>
      <c r="FZ14" s="10">
        <v>244</v>
      </c>
      <c r="GA14" s="10">
        <v>244</v>
      </c>
      <c r="GB14" s="10">
        <v>244</v>
      </c>
      <c r="GC14" s="10">
        <v>244</v>
      </c>
      <c r="GD14" s="10">
        <v>244</v>
      </c>
      <c r="GE14" s="10">
        <v>244</v>
      </c>
      <c r="GF14" s="10">
        <v>244</v>
      </c>
      <c r="GG14" s="10">
        <v>244</v>
      </c>
      <c r="GH14" s="10">
        <v>244</v>
      </c>
      <c r="GI14" s="10">
        <v>243</v>
      </c>
      <c r="GJ14" s="10">
        <v>243</v>
      </c>
      <c r="GK14" s="10">
        <v>243</v>
      </c>
      <c r="GL14" s="10">
        <v>243</v>
      </c>
      <c r="GM14" s="10">
        <v>243</v>
      </c>
      <c r="GN14" s="10">
        <v>243</v>
      </c>
      <c r="GO14" s="10">
        <v>243</v>
      </c>
      <c r="GP14" s="10">
        <v>243</v>
      </c>
      <c r="GQ14" s="10">
        <v>243</v>
      </c>
      <c r="GR14" s="10">
        <v>243</v>
      </c>
      <c r="GS14" s="10">
        <v>243</v>
      </c>
      <c r="GT14" s="10">
        <v>243</v>
      </c>
      <c r="GU14" s="10">
        <v>243</v>
      </c>
      <c r="GV14" s="10">
        <v>243</v>
      </c>
      <c r="GW14" s="10">
        <v>243</v>
      </c>
      <c r="GX14" s="10">
        <v>241</v>
      </c>
      <c r="GY14" s="10">
        <v>240</v>
      </c>
      <c r="GZ14" s="18">
        <v>240</v>
      </c>
      <c r="HA14" s="18">
        <v>240</v>
      </c>
      <c r="HB14" s="18">
        <v>238</v>
      </c>
      <c r="HC14" s="18">
        <v>238</v>
      </c>
      <c r="HD14" s="18">
        <v>238</v>
      </c>
      <c r="HE14" s="18">
        <v>237</v>
      </c>
      <c r="HF14" s="18">
        <v>237</v>
      </c>
      <c r="HG14" s="18">
        <v>237</v>
      </c>
      <c r="HH14" s="18">
        <v>237</v>
      </c>
      <c r="HI14" s="18">
        <v>237</v>
      </c>
      <c r="HJ14" s="18">
        <v>237</v>
      </c>
      <c r="HK14" s="18">
        <v>232</v>
      </c>
      <c r="HL14" s="18">
        <v>231</v>
      </c>
      <c r="HM14" s="18">
        <v>231</v>
      </c>
      <c r="HN14" s="18">
        <v>231</v>
      </c>
      <c r="HO14" s="18">
        <v>231</v>
      </c>
      <c r="HP14" s="18">
        <v>231</v>
      </c>
      <c r="HQ14" s="18">
        <v>230</v>
      </c>
      <c r="HR14" s="18">
        <v>230</v>
      </c>
      <c r="HS14" s="18">
        <v>230</v>
      </c>
    </row>
    <row r="15" spans="1:227" s="27" customFormat="1" ht="16.5" thickBot="1" x14ac:dyDescent="0.3">
      <c r="A15" s="11"/>
      <c r="B15" s="45"/>
      <c r="C15" s="28">
        <f>C14/G14</f>
        <v>1.0125959456799842</v>
      </c>
      <c r="D15" s="28">
        <f>D14/H14</f>
        <v>1.018669314796425</v>
      </c>
      <c r="E15" s="23">
        <f>E14/I14</f>
        <v>1.0231953609278144</v>
      </c>
      <c r="F15" s="23">
        <f>F14/J14</f>
        <v>1.0300585031268912</v>
      </c>
      <c r="G15" s="23">
        <f t="shared" ref="G15:K15" si="40">G14/K14</f>
        <v>1.0327235772357723</v>
      </c>
      <c r="H15" s="23">
        <f t="shared" si="40"/>
        <v>1.0286006128702758</v>
      </c>
      <c r="I15" s="23">
        <f t="shared" si="40"/>
        <v>1.0237461617195496</v>
      </c>
      <c r="J15" s="28">
        <f t="shared" si="40"/>
        <v>1.0166119770303528</v>
      </c>
      <c r="K15" s="28">
        <f t="shared" si="40"/>
        <v>1.0158992360107371</v>
      </c>
      <c r="L15" s="28">
        <f t="shared" ref="L15:R15" si="41">L14/P14</f>
        <v>1.0180948419301166</v>
      </c>
      <c r="M15" s="23">
        <f t="shared" si="41"/>
        <v>1.0258294834103319</v>
      </c>
      <c r="N15" s="23">
        <f t="shared" si="41"/>
        <v>1.0302133953095289</v>
      </c>
      <c r="O15" s="23">
        <f t="shared" si="41"/>
        <v>1.0310836704279327</v>
      </c>
      <c r="P15" s="23">
        <f t="shared" si="41"/>
        <v>1.0269115762494661</v>
      </c>
      <c r="Q15" s="23">
        <f t="shared" si="41"/>
        <v>1.0212309671885051</v>
      </c>
      <c r="R15" s="23">
        <f t="shared" si="41"/>
        <v>1.0213638325420802</v>
      </c>
      <c r="S15" s="23">
        <f t="shared" ref="S15" si="42">S14/W14</f>
        <v>1.022420548541576</v>
      </c>
      <c r="T15" s="23">
        <f t="shared" ref="T15:Y15" si="43">T14/X14</f>
        <v>1.0276558384547849</v>
      </c>
      <c r="U15" s="23">
        <f t="shared" si="43"/>
        <v>1.0350721420643729</v>
      </c>
      <c r="V15" s="23">
        <f t="shared" si="43"/>
        <v>1.0385477364410578</v>
      </c>
      <c r="W15" s="23">
        <f t="shared" si="43"/>
        <v>1.0323595505617977</v>
      </c>
      <c r="X15" s="23">
        <f t="shared" si="43"/>
        <v>1.0321703670140463</v>
      </c>
      <c r="Y15" s="23">
        <f t="shared" si="43"/>
        <v>1.035394162261549</v>
      </c>
      <c r="Z15" s="23">
        <f t="shared" ref="Z15:AE15" si="44">Z14/AD14</f>
        <v>1.0376744186046511</v>
      </c>
      <c r="AA15" s="23">
        <f t="shared" si="44"/>
        <v>1.0527560917908683</v>
      </c>
      <c r="AB15" s="23">
        <f t="shared" si="44"/>
        <v>1.0648974668275031</v>
      </c>
      <c r="AC15" s="23">
        <f t="shared" si="44"/>
        <v>1.0679921453117329</v>
      </c>
      <c r="AD15" s="23">
        <f t="shared" si="44"/>
        <v>1.0646199554345135</v>
      </c>
      <c r="AE15" s="23">
        <f t="shared" si="44"/>
        <v>1.0575431573680261</v>
      </c>
      <c r="AF15" s="23">
        <f t="shared" ref="AF15:AK15" si="45">AF14/AJ14</f>
        <v>1.0636386964331537</v>
      </c>
      <c r="AG15" s="23">
        <f t="shared" si="45"/>
        <v>1.0783483324510323</v>
      </c>
      <c r="AH15" s="23">
        <f t="shared" si="45"/>
        <v>1.0895602913407068</v>
      </c>
      <c r="AI15" s="23">
        <f t="shared" si="45"/>
        <v>1.0983786754602913</v>
      </c>
      <c r="AJ15" s="23">
        <f t="shared" si="45"/>
        <v>1.0934343434343434</v>
      </c>
      <c r="AK15" s="23">
        <f t="shared" si="45"/>
        <v>1.0726859738784782</v>
      </c>
      <c r="AL15" s="23">
        <f>3707/3420</f>
        <v>1.0839181286549708</v>
      </c>
      <c r="AM15" s="42">
        <f>AM14/AQ14</f>
        <v>1.105742935278031</v>
      </c>
      <c r="AN15" s="42">
        <f>AN14/AR14</f>
        <v>1.1158422041327489</v>
      </c>
      <c r="AO15" s="42">
        <f t="shared" ref="AO15:AR15" si="46">AO14/AS14</f>
        <v>1.1423937722997082</v>
      </c>
      <c r="AP15" s="42">
        <f t="shared" si="46"/>
        <v>1.149579831932773</v>
      </c>
      <c r="AQ15" s="42">
        <f t="shared" si="46"/>
        <v>1.1523109243697478</v>
      </c>
      <c r="AR15" s="42">
        <f t="shared" si="46"/>
        <v>1.1476823571685231</v>
      </c>
      <c r="AS15" s="42">
        <f>AS14/AW14</f>
        <v>1.1443949517446177</v>
      </c>
      <c r="AT15" s="42">
        <f>AT14/AX14</f>
        <v>1.1544431509507178</v>
      </c>
      <c r="AU15" s="42">
        <f>2856/2463</f>
        <v>1.1595615103532277</v>
      </c>
      <c r="AV15" s="42">
        <f>AV14/AZ14</f>
        <v>1.1807382265591855</v>
      </c>
      <c r="AW15" s="42">
        <f>AW14/BA14</f>
        <v>1.1936198493575543</v>
      </c>
      <c r="AX15" s="42">
        <f>2577/2188</f>
        <v>1.1777879341864717</v>
      </c>
      <c r="AY15" s="42">
        <f>2463/2153</f>
        <v>1.1439851370181142</v>
      </c>
      <c r="AZ15" s="42">
        <f>2357/2057</f>
        <v>1.1458434613514827</v>
      </c>
      <c r="BA15" s="42">
        <f>2257/2008</f>
        <v>1.124003984063745</v>
      </c>
      <c r="BB15" s="42">
        <f>2188/1895</f>
        <v>1.154617414248021</v>
      </c>
      <c r="BC15" s="42">
        <f>2153/1832</f>
        <v>1.1752183406113537</v>
      </c>
      <c r="BD15" s="42">
        <f>2057/1765</f>
        <v>1.1654390934844192</v>
      </c>
      <c r="BE15" s="42">
        <f>2008/1743</f>
        <v>1.1520367183017786</v>
      </c>
      <c r="BF15" s="42">
        <f>1895/1715</f>
        <v>1.1049562682215743</v>
      </c>
      <c r="BG15" s="23">
        <f>1832/1684</f>
        <v>1.0878859857482186</v>
      </c>
      <c r="BH15" s="23">
        <f>1765/1612</f>
        <v>1.0949131513647643</v>
      </c>
      <c r="BI15" s="42">
        <f>1743/1584</f>
        <v>1.1003787878787878</v>
      </c>
      <c r="BJ15" s="42">
        <f>1715/1520</f>
        <v>1.1282894736842106</v>
      </c>
      <c r="BK15" s="42">
        <f>1684/1441</f>
        <v>1.1686328938237336</v>
      </c>
      <c r="BL15" s="42">
        <f>1612/1414</f>
        <v>1.1400282885431401</v>
      </c>
      <c r="BM15" s="42">
        <f>1584/1387</f>
        <v>1.1420331651045421</v>
      </c>
      <c r="BN15" s="42">
        <f>1520/1349</f>
        <v>1.1267605633802817</v>
      </c>
      <c r="BO15" s="23">
        <f>1441/1323</f>
        <v>1.089191232048375</v>
      </c>
      <c r="BP15" s="23">
        <f>1414/1299</f>
        <v>1.0885296381832179</v>
      </c>
      <c r="BQ15" s="23">
        <f>1387/1281</f>
        <v>1.0827478532396566</v>
      </c>
      <c r="BR15" s="23">
        <f>1349/1247</f>
        <v>1.0817963111467521</v>
      </c>
      <c r="BS15" s="23">
        <f>1323/1222</f>
        <v>1.0826513911620295</v>
      </c>
      <c r="BT15" s="23">
        <f>1299/1209</f>
        <v>1.0744416873449132</v>
      </c>
      <c r="BU15" s="23">
        <f>1281/1178</f>
        <v>1.0874363327674024</v>
      </c>
      <c r="BV15" s="23">
        <f>1247/1156</f>
        <v>1.0787197231833909</v>
      </c>
      <c r="BW15" s="23">
        <f>1222/1120</f>
        <v>1.0910714285714285</v>
      </c>
      <c r="BX15" s="42">
        <f>1209/1097</f>
        <v>1.1020966271649955</v>
      </c>
      <c r="BY15" s="42">
        <f>1178/1069</f>
        <v>1.1019644527595884</v>
      </c>
      <c r="BZ15" s="42">
        <f>1156/1036</f>
        <v>1.1158301158301158</v>
      </c>
      <c r="CA15" s="23">
        <f>1120/1024</f>
        <v>1.09375</v>
      </c>
      <c r="CB15" s="23">
        <f>1097/998</f>
        <v>1.0991983967935872</v>
      </c>
      <c r="CC15" s="42">
        <f>1069/962</f>
        <v>1.1112266112266111</v>
      </c>
      <c r="CD15" s="42">
        <f>1036/939</f>
        <v>1.1033013844515442</v>
      </c>
      <c r="CE15" s="42">
        <f>1024/907</f>
        <v>1.1289966923925028</v>
      </c>
      <c r="CF15" s="42">
        <f>998/865</f>
        <v>1.153757225433526</v>
      </c>
      <c r="CG15" s="42">
        <f>962/815</f>
        <v>1.1803680981595093</v>
      </c>
      <c r="CH15" s="42">
        <f>939/775</f>
        <v>1.2116129032258065</v>
      </c>
      <c r="CI15" s="42">
        <f>907/752</f>
        <v>1.2061170212765957</v>
      </c>
      <c r="CJ15" s="42">
        <f>865/719</f>
        <v>1.2030598052851182</v>
      </c>
      <c r="CK15" s="42">
        <f>815/667</f>
        <v>1.2218890554722639</v>
      </c>
      <c r="CL15" s="42">
        <f>775/631</f>
        <v>1.2282091917591125</v>
      </c>
      <c r="CM15" s="42">
        <f>752/613</f>
        <v>1.2267536704730833</v>
      </c>
      <c r="CN15" s="42">
        <f>719/575</f>
        <v>1.2504347826086957</v>
      </c>
      <c r="CO15" s="42">
        <f>667/557</f>
        <v>1.1974865350089767</v>
      </c>
      <c r="CP15" s="42">
        <f>631/538</f>
        <v>1.1728624535315986</v>
      </c>
      <c r="CQ15" s="42">
        <f>613/504</f>
        <v>1.2162698412698412</v>
      </c>
      <c r="CR15" s="42">
        <f>575/460</f>
        <v>1.25</v>
      </c>
      <c r="CS15" s="42">
        <f>557/437</f>
        <v>1.2745995423340961</v>
      </c>
      <c r="CT15" s="42">
        <f>538/433</f>
        <v>1.2424942263279446</v>
      </c>
      <c r="CU15" s="42">
        <f>504/416</f>
        <v>1.2115384615384615</v>
      </c>
      <c r="CV15" s="42">
        <f>460/407</f>
        <v>1.1302211302211302</v>
      </c>
      <c r="CW15" s="23">
        <f>437/402</f>
        <v>1.0870646766169154</v>
      </c>
      <c r="CX15" s="42">
        <f>433/391</f>
        <v>1.1074168797953965</v>
      </c>
      <c r="CY15" s="42">
        <f>416/362</f>
        <v>1.149171270718232</v>
      </c>
      <c r="CZ15" s="42">
        <f>407/353</f>
        <v>1.1529745042492918</v>
      </c>
      <c r="DA15" s="42">
        <f>402/345</f>
        <v>1.1652173913043478</v>
      </c>
      <c r="DB15" s="42">
        <f>391/332</f>
        <v>1.177710843373494</v>
      </c>
      <c r="DC15" s="42">
        <f>362/327</f>
        <v>1.107033639143731</v>
      </c>
      <c r="DD15" s="42">
        <f>353/318</f>
        <v>1.1100628930817611</v>
      </c>
      <c r="DE15" s="42">
        <f>345/307</f>
        <v>1.1237785016286646</v>
      </c>
      <c r="DF15" s="42">
        <f>332/301</f>
        <v>1.1029900332225913</v>
      </c>
      <c r="DG15" s="42">
        <f>327/290</f>
        <v>1.1275862068965516</v>
      </c>
      <c r="DH15" s="42">
        <f>318/282</f>
        <v>1.1276595744680851</v>
      </c>
      <c r="DI15" s="23">
        <f>307/281</f>
        <v>1.092526690391459</v>
      </c>
      <c r="DJ15" s="23">
        <f>301/281</f>
        <v>1.0711743772241993</v>
      </c>
      <c r="DK15" s="23">
        <f>290/281</f>
        <v>1.0320284697508897</v>
      </c>
      <c r="DL15" s="22">
        <f>282/281</f>
        <v>1.0035587188612101</v>
      </c>
      <c r="DM15" s="28">
        <f>281/278</f>
        <v>1.0107913669064748</v>
      </c>
      <c r="DN15" s="28">
        <f>281/276</f>
        <v>1.0181159420289856</v>
      </c>
      <c r="DO15" s="23">
        <f>281/271</f>
        <v>1.03690036900369</v>
      </c>
      <c r="DP15" s="23">
        <f>281/269</f>
        <v>1.0446096654275092</v>
      </c>
      <c r="DQ15" s="23">
        <f>278/268</f>
        <v>1.0373134328358209</v>
      </c>
      <c r="DR15" s="23">
        <f>276/268</f>
        <v>1.0298507462686568</v>
      </c>
      <c r="DS15" s="28">
        <f>271/267</f>
        <v>1.0149812734082397</v>
      </c>
      <c r="DT15" s="28">
        <f>269/265</f>
        <v>1.0150943396226415</v>
      </c>
      <c r="DU15" s="28">
        <f>268/264</f>
        <v>1.0151515151515151</v>
      </c>
      <c r="DV15" s="28">
        <f>268/264</f>
        <v>1.0151515151515151</v>
      </c>
      <c r="DW15" s="28">
        <f>267/264</f>
        <v>1.0113636363636365</v>
      </c>
      <c r="DX15" s="22">
        <f>265/264</f>
        <v>1.0037878787878789</v>
      </c>
      <c r="DY15" s="22">
        <f>264/263</f>
        <v>1.0038022813688212</v>
      </c>
      <c r="DZ15" s="28">
        <f>264/261</f>
        <v>1.0114942528735633</v>
      </c>
      <c r="EA15" s="23">
        <f>264/258</f>
        <v>1.0232558139534884</v>
      </c>
      <c r="EB15" s="23">
        <f>264/257</f>
        <v>1.027237354085603</v>
      </c>
      <c r="EC15" s="23">
        <f>263/257</f>
        <v>1.0233463035019454</v>
      </c>
      <c r="ED15" s="28">
        <f>261/257</f>
        <v>1.0155642023346303</v>
      </c>
      <c r="EE15" s="22">
        <f>258/257</f>
        <v>1.0038910505836576</v>
      </c>
      <c r="EF15" s="21">
        <v>1</v>
      </c>
      <c r="EG15" s="21">
        <v>1</v>
      </c>
      <c r="EH15" s="21">
        <v>1</v>
      </c>
      <c r="EI15" s="22">
        <f>257/256</f>
        <v>1.00390625</v>
      </c>
      <c r="EJ15" s="22">
        <f>257/256</f>
        <v>1.00390625</v>
      </c>
      <c r="EK15" s="22">
        <f>257/255</f>
        <v>1.0078431372549019</v>
      </c>
      <c r="EL15" s="22">
        <f>257/255</f>
        <v>1.0078431372549019</v>
      </c>
      <c r="EM15" s="22">
        <f>256/254</f>
        <v>1.0078740157480315</v>
      </c>
      <c r="EN15" s="22">
        <f>256/254</f>
        <v>1.0078740157480315</v>
      </c>
      <c r="EO15" s="22">
        <f>255/254</f>
        <v>1.0039370078740157</v>
      </c>
      <c r="EP15" s="22">
        <f>255/254</f>
        <v>1.0039370078740157</v>
      </c>
      <c r="EQ15" s="21">
        <v>1</v>
      </c>
      <c r="ER15" s="21">
        <v>1</v>
      </c>
      <c r="ES15" s="21">
        <v>1</v>
      </c>
      <c r="ET15" s="21">
        <v>1</v>
      </c>
      <c r="EU15" s="28">
        <f>254/251</f>
        <v>1.0119521912350598</v>
      </c>
      <c r="EV15" s="28">
        <f>254/251</f>
        <v>1.0119521912350598</v>
      </c>
      <c r="EW15" s="28">
        <f>254/251</f>
        <v>1.0119521912350598</v>
      </c>
      <c r="EX15" s="28">
        <f>254/250</f>
        <v>1.016</v>
      </c>
      <c r="EY15" s="22">
        <f>251/250</f>
        <v>1.004</v>
      </c>
      <c r="EZ15" s="22">
        <f>251/250</f>
        <v>1.004</v>
      </c>
      <c r="FA15" s="22">
        <f>251/250</f>
        <v>1.004</v>
      </c>
      <c r="FB15" s="21">
        <v>1</v>
      </c>
      <c r="FC15" s="22">
        <f>250/249</f>
        <v>1.0040160642570282</v>
      </c>
      <c r="FD15" s="22">
        <f>250/248</f>
        <v>1.0080645161290323</v>
      </c>
      <c r="FE15" s="28">
        <f>250/247</f>
        <v>1.0121457489878543</v>
      </c>
      <c r="FF15" s="28">
        <f>250/247</f>
        <v>1.0121457489878543</v>
      </c>
      <c r="FG15" s="22">
        <f>249/247</f>
        <v>1.0080971659919029</v>
      </c>
      <c r="FH15" s="22">
        <f>248/247</f>
        <v>1.0040485829959513</v>
      </c>
      <c r="FI15" s="21">
        <v>1</v>
      </c>
      <c r="FJ15" s="22">
        <f>247/246</f>
        <v>1.0040650406504066</v>
      </c>
      <c r="FK15" s="22">
        <f>247/245</f>
        <v>1.0081632653061225</v>
      </c>
      <c r="FL15" s="28">
        <f>247/244</f>
        <v>1.0122950819672132</v>
      </c>
      <c r="FM15" s="28">
        <f>247/244</f>
        <v>1.0122950819672132</v>
      </c>
      <c r="FN15" s="22">
        <f>246/244</f>
        <v>1.0081967213114753</v>
      </c>
      <c r="FO15" s="22">
        <f>245/244</f>
        <v>1.0040983606557377</v>
      </c>
      <c r="FP15" s="21">
        <v>1</v>
      </c>
      <c r="FQ15" s="21">
        <v>1</v>
      </c>
      <c r="FR15" s="21">
        <v>1</v>
      </c>
      <c r="FS15" s="21">
        <v>1</v>
      </c>
      <c r="FT15" s="21">
        <v>1</v>
      </c>
      <c r="FU15" s="21">
        <v>1</v>
      </c>
      <c r="FV15" s="21">
        <v>1</v>
      </c>
      <c r="FW15" s="21">
        <v>1</v>
      </c>
      <c r="FX15" s="21">
        <v>1</v>
      </c>
      <c r="FY15" s="21">
        <v>1</v>
      </c>
      <c r="FZ15" s="21">
        <v>1</v>
      </c>
      <c r="GA15" s="21">
        <v>1</v>
      </c>
      <c r="GB15" s="21">
        <v>1</v>
      </c>
      <c r="GC15" s="21">
        <v>1</v>
      </c>
      <c r="GD15" s="21">
        <v>1</v>
      </c>
      <c r="GE15" s="22">
        <f>244/243</f>
        <v>1.0041152263374487</v>
      </c>
      <c r="GF15" s="22">
        <f>244/243</f>
        <v>1.0041152263374487</v>
      </c>
      <c r="GG15" s="22">
        <f>244/243</f>
        <v>1.0041152263374487</v>
      </c>
      <c r="GH15" s="22">
        <f>244/243</f>
        <v>1.0041152263374487</v>
      </c>
      <c r="GI15" s="21">
        <v>1</v>
      </c>
      <c r="GJ15" s="21">
        <v>1</v>
      </c>
      <c r="GK15" s="21">
        <v>1</v>
      </c>
      <c r="GL15" s="21">
        <v>1</v>
      </c>
      <c r="GM15" s="21">
        <f>243/243</f>
        <v>1</v>
      </c>
      <c r="GN15" s="21">
        <f>243/243</f>
        <v>1</v>
      </c>
      <c r="GO15" s="21">
        <f>243/243</f>
        <v>1</v>
      </c>
      <c r="GP15" s="21">
        <f>GP14/GT14</f>
        <v>1</v>
      </c>
      <c r="GQ15" s="21">
        <v>1</v>
      </c>
      <c r="GR15" s="29">
        <v>1</v>
      </c>
      <c r="GS15" s="29">
        <v>1</v>
      </c>
      <c r="GT15" s="25">
        <f>243/241</f>
        <v>1.008298755186722</v>
      </c>
      <c r="GU15" s="26">
        <f>243/240</f>
        <v>1.0125</v>
      </c>
      <c r="GV15" s="26">
        <v>1.0125</v>
      </c>
      <c r="GW15" s="26">
        <f>243/240</f>
        <v>1.0125</v>
      </c>
      <c r="GX15" s="26">
        <f>241/238</f>
        <v>1.0126050420168067</v>
      </c>
      <c r="GY15" s="25">
        <f>240/238</f>
        <v>1.0084033613445378</v>
      </c>
      <c r="GZ15" s="25">
        <f>240/238</f>
        <v>1.0084033613445378</v>
      </c>
      <c r="HA15" s="26">
        <f>240/237</f>
        <v>1.0126582278481013</v>
      </c>
      <c r="HB15" s="25">
        <f>238/237</f>
        <v>1.0042194092827004</v>
      </c>
      <c r="HC15" s="25">
        <f>238/237</f>
        <v>1.0042194092827004</v>
      </c>
      <c r="HD15" s="25">
        <f>238/237</f>
        <v>1.0042194092827004</v>
      </c>
      <c r="HE15" s="29">
        <f>237/237</f>
        <v>1</v>
      </c>
      <c r="HF15" s="29">
        <f>237/237</f>
        <v>1</v>
      </c>
      <c r="HG15" s="35">
        <f>237/232</f>
        <v>1.021551724137931</v>
      </c>
      <c r="HH15" s="35">
        <f>237/231</f>
        <v>1.025974025974026</v>
      </c>
      <c r="HI15" s="35">
        <f>237/231</f>
        <v>1.025974025974026</v>
      </c>
      <c r="HJ15" s="35">
        <f>237/231</f>
        <v>1.025974025974026</v>
      </c>
      <c r="HK15" s="25">
        <f>232/231</f>
        <v>1.0043290043290043</v>
      </c>
      <c r="HL15" s="29">
        <f>231/231</f>
        <v>1</v>
      </c>
      <c r="HM15" s="25">
        <f>231/230</f>
        <v>1.0043478260869565</v>
      </c>
      <c r="HN15" s="25">
        <f>231/230</f>
        <v>1.0043478260869565</v>
      </c>
      <c r="HO15" s="25">
        <f>231/230</f>
        <v>1.0043478260869565</v>
      </c>
      <c r="HP15" s="36"/>
    </row>
    <row r="16" spans="1:227" s="18" customFormat="1" ht="16.5" thickBot="1" x14ac:dyDescent="0.3">
      <c r="A16" s="9" t="s">
        <v>7</v>
      </c>
      <c r="B16" s="10">
        <v>67</v>
      </c>
      <c r="C16" s="10">
        <f>1+D16</f>
        <v>2736</v>
      </c>
      <c r="D16" s="10">
        <f>2+E16</f>
        <v>2735</v>
      </c>
      <c r="E16" s="10">
        <f>3+F16</f>
        <v>2733</v>
      </c>
      <c r="F16" s="10">
        <f>3+G16</f>
        <v>2730</v>
      </c>
      <c r="G16" s="10">
        <f>5+H16</f>
        <v>2727</v>
      </c>
      <c r="H16" s="10">
        <f>8+I16</f>
        <v>2722</v>
      </c>
      <c r="I16" s="10">
        <f>5+J16</f>
        <v>2714</v>
      </c>
      <c r="J16" s="10">
        <f>7+K16</f>
        <v>2709</v>
      </c>
      <c r="K16" s="10">
        <f>9+L16</f>
        <v>2702</v>
      </c>
      <c r="L16" s="10">
        <f>7+M16</f>
        <v>2693</v>
      </c>
      <c r="M16" s="10">
        <f>4+N16</f>
        <v>2686</v>
      </c>
      <c r="N16" s="10">
        <f>17+O16</f>
        <v>2682</v>
      </c>
      <c r="O16" s="10">
        <f>11+P16</f>
        <v>2665</v>
      </c>
      <c r="P16" s="10">
        <f>11+Q16</f>
        <v>2654</v>
      </c>
      <c r="Q16" s="10">
        <f>12+R16</f>
        <v>2643</v>
      </c>
      <c r="R16" s="10">
        <f>8+S16</f>
        <v>2631</v>
      </c>
      <c r="S16" s="10">
        <f>5+T16</f>
        <v>2623</v>
      </c>
      <c r="T16" s="10">
        <f>15+2603</f>
        <v>2618</v>
      </c>
      <c r="U16" s="10">
        <f>22+2581</f>
        <v>2603</v>
      </c>
      <c r="V16" s="10">
        <f>24+2557</f>
        <v>2581</v>
      </c>
      <c r="W16" s="10">
        <f>14+2543</f>
        <v>2557</v>
      </c>
      <c r="X16" s="10">
        <f>23+2520</f>
        <v>2543</v>
      </c>
      <c r="Y16" s="10">
        <f>23+2497</f>
        <v>2520</v>
      </c>
      <c r="Z16" s="10">
        <f>11+2486</f>
        <v>2497</v>
      </c>
      <c r="AA16" s="10">
        <f>44+2442</f>
        <v>2486</v>
      </c>
      <c r="AB16" s="10">
        <f>17+2425</f>
        <v>2442</v>
      </c>
      <c r="AC16" s="10">
        <f>38+2387</f>
        <v>2425</v>
      </c>
      <c r="AD16" s="10">
        <f>37+AE16</f>
        <v>2387</v>
      </c>
      <c r="AE16" s="10">
        <f>37+2313</f>
        <v>2350</v>
      </c>
      <c r="AF16" s="10">
        <f>34+2279</f>
        <v>2313</v>
      </c>
      <c r="AG16" s="10">
        <f>32+2247</f>
        <v>2279</v>
      </c>
      <c r="AH16" s="10">
        <f>50+2197</f>
        <v>2247</v>
      </c>
      <c r="AI16" s="10">
        <f>59+2138</f>
        <v>2197</v>
      </c>
      <c r="AJ16" s="10">
        <f>70+2068</f>
        <v>2138</v>
      </c>
      <c r="AK16" s="10">
        <f>86+1982</f>
        <v>2068</v>
      </c>
      <c r="AL16" s="10">
        <f>96+1886</f>
        <v>1982</v>
      </c>
      <c r="AM16" s="10">
        <f>91+1795</f>
        <v>1886</v>
      </c>
      <c r="AN16" s="10">
        <f>114+1681</f>
        <v>1795</v>
      </c>
      <c r="AO16" s="10">
        <f>23+1658</f>
        <v>1681</v>
      </c>
      <c r="AP16" s="10">
        <f>84+1574</f>
        <v>1658</v>
      </c>
      <c r="AQ16" s="10">
        <f>48+1526</f>
        <v>1574</v>
      </c>
      <c r="AR16" s="10">
        <f>50+1476</f>
        <v>1526</v>
      </c>
      <c r="AS16" s="10">
        <f>64+1412</f>
        <v>1476</v>
      </c>
      <c r="AT16" s="10">
        <f>30+1382</f>
        <v>1412</v>
      </c>
      <c r="AU16" s="10">
        <f>78+1304</f>
        <v>1382</v>
      </c>
      <c r="AV16" s="10">
        <v>1304</v>
      </c>
      <c r="AW16" s="10">
        <f>55+1221</f>
        <v>1276</v>
      </c>
      <c r="AX16" s="10">
        <f>38+1183</f>
        <v>1221</v>
      </c>
      <c r="AY16" s="10">
        <f>35+1148</f>
        <v>1183</v>
      </c>
      <c r="AZ16" s="10">
        <f>42+1106</f>
        <v>1148</v>
      </c>
      <c r="BA16" s="10">
        <f>9+1097</f>
        <v>1106</v>
      </c>
      <c r="BB16" s="10">
        <v>1097</v>
      </c>
      <c r="BC16" s="10">
        <f>18+1055</f>
        <v>1073</v>
      </c>
      <c r="BD16" s="10">
        <f>35+1020</f>
        <v>1055</v>
      </c>
      <c r="BE16" s="10">
        <f>997+23</f>
        <v>1020</v>
      </c>
      <c r="BF16" s="10">
        <f>28+969</f>
        <v>997</v>
      </c>
      <c r="BG16" s="10">
        <f>945+24</f>
        <v>969</v>
      </c>
      <c r="BH16" s="10">
        <f>927+18</f>
        <v>945</v>
      </c>
      <c r="BI16" s="10">
        <v>927</v>
      </c>
      <c r="BJ16" s="10">
        <f>889+13</f>
        <v>902</v>
      </c>
      <c r="BK16" s="10">
        <f>864+25</f>
        <v>889</v>
      </c>
      <c r="BL16" s="10">
        <v>864</v>
      </c>
      <c r="BM16" s="10">
        <f>838+13</f>
        <v>851</v>
      </c>
      <c r="BN16" s="10">
        <f>830+8</f>
        <v>838</v>
      </c>
      <c r="BO16" s="10">
        <f>815+15</f>
        <v>830</v>
      </c>
      <c r="BP16" s="10">
        <v>815</v>
      </c>
      <c r="BQ16" s="10">
        <v>808</v>
      </c>
      <c r="BR16" s="10">
        <f>778+21</f>
        <v>799</v>
      </c>
      <c r="BS16" s="10">
        <v>778</v>
      </c>
      <c r="BT16" s="10">
        <f>760+8</f>
        <v>768</v>
      </c>
      <c r="BU16" s="10">
        <v>760</v>
      </c>
      <c r="BV16" s="10">
        <v>759</v>
      </c>
      <c r="BW16" s="10">
        <v>754</v>
      </c>
      <c r="BX16" s="10">
        <v>743</v>
      </c>
      <c r="BY16" s="10">
        <v>736</v>
      </c>
      <c r="BZ16" s="10">
        <v>729</v>
      </c>
      <c r="CA16" s="10">
        <v>703</v>
      </c>
      <c r="CB16" s="10">
        <f>668+21</f>
        <v>689</v>
      </c>
      <c r="CC16" s="10">
        <v>668</v>
      </c>
      <c r="CD16" s="10">
        <v>650</v>
      </c>
      <c r="CE16" s="10">
        <v>642</v>
      </c>
      <c r="CF16" s="10">
        <v>631</v>
      </c>
      <c r="CG16" s="10">
        <v>611</v>
      </c>
      <c r="CH16" s="10">
        <f>578+23</f>
        <v>601</v>
      </c>
      <c r="CI16" s="10">
        <v>578</v>
      </c>
      <c r="CJ16" s="10">
        <v>554</v>
      </c>
      <c r="CK16" s="10">
        <v>552</v>
      </c>
      <c r="CL16" s="10">
        <v>533</v>
      </c>
      <c r="CM16" s="10">
        <v>488</v>
      </c>
      <c r="CN16" s="10">
        <v>449</v>
      </c>
      <c r="CO16" s="10">
        <v>431</v>
      </c>
      <c r="CP16" s="10">
        <v>417</v>
      </c>
      <c r="CQ16" s="10">
        <v>398</v>
      </c>
      <c r="CR16" s="10">
        <v>383</v>
      </c>
      <c r="CS16" s="10">
        <v>376</v>
      </c>
      <c r="CT16" s="10">
        <v>365</v>
      </c>
      <c r="CU16" s="10">
        <v>321</v>
      </c>
      <c r="CV16" s="10">
        <v>311</v>
      </c>
      <c r="CW16" s="10">
        <v>291</v>
      </c>
      <c r="CX16" s="10">
        <v>269</v>
      </c>
      <c r="CY16" s="10">
        <v>231</v>
      </c>
      <c r="CZ16" s="10">
        <v>213</v>
      </c>
      <c r="DA16" s="10">
        <v>183</v>
      </c>
      <c r="DB16" s="10">
        <v>163</v>
      </c>
      <c r="DC16" s="10">
        <v>146</v>
      </c>
      <c r="DD16" s="10">
        <v>137</v>
      </c>
      <c r="DE16" s="10">
        <v>127</v>
      </c>
      <c r="DF16" s="10">
        <v>124</v>
      </c>
      <c r="DG16" s="10">
        <v>120</v>
      </c>
      <c r="DH16" s="10">
        <v>113</v>
      </c>
      <c r="DI16" s="10">
        <v>107</v>
      </c>
      <c r="DJ16" s="10">
        <v>102</v>
      </c>
      <c r="DK16" s="10">
        <v>99</v>
      </c>
      <c r="DL16" s="10">
        <v>95</v>
      </c>
      <c r="DM16" s="10">
        <v>92</v>
      </c>
      <c r="DN16" s="10">
        <v>83</v>
      </c>
      <c r="DO16" s="10">
        <v>82</v>
      </c>
      <c r="DP16" s="10">
        <v>81</v>
      </c>
      <c r="DQ16" s="10">
        <v>77</v>
      </c>
      <c r="DR16" s="10">
        <v>73</v>
      </c>
      <c r="DS16" s="10">
        <v>73</v>
      </c>
      <c r="DT16" s="10">
        <v>73</v>
      </c>
      <c r="DU16" s="10">
        <v>73</v>
      </c>
      <c r="DV16" s="10">
        <v>73</v>
      </c>
      <c r="DW16" s="10">
        <v>72</v>
      </c>
      <c r="DX16" s="10">
        <v>72</v>
      </c>
      <c r="DY16" s="10">
        <v>72</v>
      </c>
      <c r="DZ16" s="10">
        <v>72</v>
      </c>
      <c r="EA16" s="10">
        <v>72</v>
      </c>
      <c r="EB16" s="10">
        <v>72</v>
      </c>
      <c r="EC16" s="10">
        <v>70</v>
      </c>
      <c r="ED16" s="10">
        <v>68</v>
      </c>
      <c r="EE16" s="10">
        <v>67</v>
      </c>
      <c r="EF16" s="10">
        <v>67</v>
      </c>
      <c r="EG16" s="10">
        <v>67</v>
      </c>
      <c r="EH16" s="10">
        <v>67</v>
      </c>
      <c r="EI16" s="10">
        <v>67</v>
      </c>
      <c r="EJ16" s="10">
        <v>67</v>
      </c>
      <c r="EK16" s="10">
        <v>67</v>
      </c>
      <c r="EL16" s="10">
        <v>67</v>
      </c>
      <c r="EM16" s="10">
        <v>67</v>
      </c>
      <c r="EN16" s="10">
        <v>67</v>
      </c>
      <c r="EO16" s="10">
        <v>67</v>
      </c>
      <c r="EP16" s="10">
        <v>67</v>
      </c>
      <c r="EQ16" s="10">
        <v>67</v>
      </c>
      <c r="ER16" s="10">
        <v>65</v>
      </c>
      <c r="ES16" s="10">
        <v>59</v>
      </c>
      <c r="ET16" s="10">
        <v>58</v>
      </c>
      <c r="EU16" s="10">
        <v>58</v>
      </c>
      <c r="EV16" s="10">
        <v>58</v>
      </c>
      <c r="EW16" s="10">
        <v>58</v>
      </c>
      <c r="EX16" s="10">
        <v>58</v>
      </c>
      <c r="EY16" s="10">
        <v>58</v>
      </c>
      <c r="EZ16" s="10">
        <v>57</v>
      </c>
      <c r="FA16" s="10">
        <v>57</v>
      </c>
      <c r="FB16" s="10">
        <v>56</v>
      </c>
      <c r="FC16" s="10">
        <v>56</v>
      </c>
      <c r="FD16" s="10">
        <v>56</v>
      </c>
      <c r="FE16" s="10">
        <v>56</v>
      </c>
      <c r="FF16" s="10">
        <v>56</v>
      </c>
      <c r="FG16" s="10">
        <v>56</v>
      </c>
      <c r="FH16" s="10">
        <v>56</v>
      </c>
      <c r="FI16" s="10">
        <v>56</v>
      </c>
      <c r="FJ16" s="10">
        <v>56</v>
      </c>
      <c r="FK16" s="10">
        <v>56</v>
      </c>
      <c r="FL16" s="10">
        <v>56</v>
      </c>
      <c r="FM16" s="10">
        <v>56</v>
      </c>
      <c r="FN16" s="10">
        <v>56</v>
      </c>
      <c r="FO16" s="10">
        <v>56</v>
      </c>
      <c r="FP16" s="10">
        <v>56</v>
      </c>
      <c r="FQ16" s="10">
        <v>56</v>
      </c>
      <c r="FR16" s="10">
        <v>56</v>
      </c>
      <c r="FS16" s="10">
        <v>56</v>
      </c>
      <c r="FT16" s="10">
        <v>56</v>
      </c>
      <c r="FU16" s="10">
        <v>56</v>
      </c>
      <c r="FV16" s="10">
        <v>56</v>
      </c>
      <c r="FW16" s="10">
        <v>56</v>
      </c>
      <c r="FX16" s="10">
        <v>56</v>
      </c>
      <c r="FY16" s="10">
        <v>55</v>
      </c>
      <c r="FZ16" s="10">
        <v>55</v>
      </c>
      <c r="GA16" s="10">
        <v>55</v>
      </c>
      <c r="GB16" s="10">
        <v>55</v>
      </c>
      <c r="GC16" s="10">
        <v>55</v>
      </c>
      <c r="GD16" s="10">
        <v>55</v>
      </c>
      <c r="GE16" s="10">
        <v>55</v>
      </c>
      <c r="GF16" s="10">
        <v>55</v>
      </c>
      <c r="GG16" s="10">
        <v>55</v>
      </c>
      <c r="GH16" s="10">
        <v>55</v>
      </c>
      <c r="GI16" s="10">
        <v>55</v>
      </c>
      <c r="GJ16" s="10">
        <v>55</v>
      </c>
      <c r="GK16" s="10">
        <v>55</v>
      </c>
      <c r="GL16" s="10">
        <v>55</v>
      </c>
      <c r="GM16" s="10">
        <v>55</v>
      </c>
      <c r="GN16" s="10">
        <v>55</v>
      </c>
      <c r="GO16" s="10">
        <v>55</v>
      </c>
      <c r="GP16" s="10">
        <v>55</v>
      </c>
      <c r="GQ16" s="10">
        <v>55</v>
      </c>
      <c r="GR16" s="10">
        <v>55</v>
      </c>
      <c r="GS16" s="10">
        <v>55</v>
      </c>
      <c r="GT16" s="10">
        <v>55</v>
      </c>
      <c r="GU16" s="10">
        <v>55</v>
      </c>
      <c r="GV16" s="10">
        <v>54</v>
      </c>
      <c r="GW16" s="10">
        <v>54</v>
      </c>
      <c r="GX16" s="10">
        <v>54</v>
      </c>
      <c r="GY16" s="10">
        <v>54</v>
      </c>
      <c r="GZ16" s="18">
        <v>54</v>
      </c>
      <c r="HA16" s="18">
        <v>54</v>
      </c>
      <c r="HB16" s="18">
        <v>54</v>
      </c>
      <c r="HC16" s="18">
        <v>54</v>
      </c>
      <c r="HD16" s="18">
        <v>49</v>
      </c>
      <c r="HE16" s="18">
        <v>49</v>
      </c>
      <c r="HF16" s="18">
        <v>49</v>
      </c>
      <c r="HG16" s="18">
        <v>49</v>
      </c>
      <c r="HH16" s="18">
        <v>49</v>
      </c>
      <c r="HI16" s="18">
        <v>49</v>
      </c>
      <c r="HJ16" s="18">
        <v>49</v>
      </c>
      <c r="HK16" s="18">
        <v>49</v>
      </c>
      <c r="HL16" s="18">
        <v>49</v>
      </c>
      <c r="HM16" s="18">
        <v>49</v>
      </c>
      <c r="HN16" s="18">
        <v>49</v>
      </c>
      <c r="HO16" s="18">
        <v>49</v>
      </c>
      <c r="HP16" s="18">
        <v>49</v>
      </c>
      <c r="HQ16" s="18">
        <v>48</v>
      </c>
      <c r="HR16" s="18">
        <v>48</v>
      </c>
      <c r="HS16" s="18">
        <v>48</v>
      </c>
    </row>
    <row r="17" spans="1:230" s="27" customFormat="1" ht="16.5" thickBot="1" x14ac:dyDescent="0.3">
      <c r="A17" s="11"/>
      <c r="B17" s="45"/>
      <c r="C17" s="22">
        <f>C16/G16</f>
        <v>1.0033003300330032</v>
      </c>
      <c r="D17" s="22">
        <f>D16/H16</f>
        <v>1.0047759000734753</v>
      </c>
      <c r="E17" s="22">
        <f>E16/I16</f>
        <v>1.0070007369196758</v>
      </c>
      <c r="F17" s="22">
        <f>F16/J16</f>
        <v>1.0077519379844961</v>
      </c>
      <c r="G17" s="22">
        <f t="shared" ref="G17:K17" si="47">G16/K16</f>
        <v>1.0092524056254626</v>
      </c>
      <c r="H17" s="28">
        <f t="shared" si="47"/>
        <v>1.0107686594875605</v>
      </c>
      <c r="I17" s="28">
        <f t="shared" si="47"/>
        <v>1.0104244229337305</v>
      </c>
      <c r="J17" s="28">
        <f t="shared" si="47"/>
        <v>1.0100671140939597</v>
      </c>
      <c r="K17" s="28">
        <f t="shared" si="47"/>
        <v>1.0138836772983115</v>
      </c>
      <c r="L17" s="28">
        <f t="shared" ref="L17:R17" si="48">L16/P16</f>
        <v>1.0146948003014318</v>
      </c>
      <c r="M17" s="28">
        <f t="shared" si="48"/>
        <v>1.0162693908437381</v>
      </c>
      <c r="N17" s="28">
        <f t="shared" si="48"/>
        <v>1.0193842645381983</v>
      </c>
      <c r="O17" s="28">
        <f t="shared" si="48"/>
        <v>1.0160121997712543</v>
      </c>
      <c r="P17" s="28">
        <f t="shared" si="48"/>
        <v>1.0137509549274255</v>
      </c>
      <c r="Q17" s="28">
        <f t="shared" si="48"/>
        <v>1.0153668843641952</v>
      </c>
      <c r="R17" s="28">
        <f t="shared" si="48"/>
        <v>1.0193723363037583</v>
      </c>
      <c r="S17" s="23">
        <f t="shared" ref="S17" si="49">S16/W16</f>
        <v>1.0258114978490418</v>
      </c>
      <c r="T17" s="23">
        <f t="shared" ref="T17:Y17" si="50">T16/X16</f>
        <v>1.0294927251278019</v>
      </c>
      <c r="U17" s="23">
        <f t="shared" si="50"/>
        <v>1.032936507936508</v>
      </c>
      <c r="V17" s="23">
        <f t="shared" si="50"/>
        <v>1.0336403684421305</v>
      </c>
      <c r="W17" s="23">
        <f t="shared" si="50"/>
        <v>1.0285599356395816</v>
      </c>
      <c r="X17" s="23">
        <f t="shared" si="50"/>
        <v>1.0413595413595413</v>
      </c>
      <c r="Y17" s="23">
        <f t="shared" si="50"/>
        <v>1.0391752577319588</v>
      </c>
      <c r="Z17" s="23">
        <f t="shared" ref="Z17:AE17" si="51">Z16/AD16</f>
        <v>1.0460829493087558</v>
      </c>
      <c r="AA17" s="23">
        <f t="shared" si="51"/>
        <v>1.0578723404255319</v>
      </c>
      <c r="AB17" s="23">
        <f t="shared" si="51"/>
        <v>1.0557717250324254</v>
      </c>
      <c r="AC17" s="23">
        <f t="shared" si="51"/>
        <v>1.0640631856077227</v>
      </c>
      <c r="AD17" s="23">
        <f t="shared" si="51"/>
        <v>1.0623052959501558</v>
      </c>
      <c r="AE17" s="23">
        <f t="shared" si="51"/>
        <v>1.0696404187528448</v>
      </c>
      <c r="AF17" s="23">
        <f t="shared" ref="AF17:AK17" si="52">AF16/AJ16</f>
        <v>1.0818521983161833</v>
      </c>
      <c r="AG17" s="42">
        <f t="shared" si="52"/>
        <v>1.1020309477756287</v>
      </c>
      <c r="AH17" s="42">
        <f t="shared" si="52"/>
        <v>1.1337033299697274</v>
      </c>
      <c r="AI17" s="42">
        <f t="shared" si="52"/>
        <v>1.1648992576882291</v>
      </c>
      <c r="AJ17" s="42">
        <f t="shared" si="52"/>
        <v>1.1910863509749303</v>
      </c>
      <c r="AK17" s="42">
        <f t="shared" si="52"/>
        <v>1.2302201070791197</v>
      </c>
      <c r="AL17" s="42">
        <f>1982/1658</f>
        <v>1.195416164053076</v>
      </c>
      <c r="AM17" s="42">
        <f>AM16/AQ16</f>
        <v>1.1982210927573063</v>
      </c>
      <c r="AN17" s="42">
        <f>AN16/AR16</f>
        <v>1.1762778505897773</v>
      </c>
      <c r="AO17" s="42">
        <f t="shared" ref="AO17:AR17" si="53">AO16/AS16</f>
        <v>1.1388888888888888</v>
      </c>
      <c r="AP17" s="42">
        <f t="shared" si="53"/>
        <v>1.1742209631728044</v>
      </c>
      <c r="AQ17" s="42">
        <f t="shared" si="53"/>
        <v>1.1389290882778582</v>
      </c>
      <c r="AR17" s="42">
        <f t="shared" si="53"/>
        <v>1.1702453987730062</v>
      </c>
      <c r="AS17" s="42">
        <f>AS16/AW16</f>
        <v>1.1567398119122256</v>
      </c>
      <c r="AT17" s="42">
        <f>AT16/AX16</f>
        <v>1.1564291564291564</v>
      </c>
      <c r="AU17" s="42">
        <f>1382/1183</f>
        <v>1.1682163989856298</v>
      </c>
      <c r="AV17" s="42">
        <f>AV16/AZ16</f>
        <v>1.1358885017421603</v>
      </c>
      <c r="AW17" s="42">
        <f>AW16/BA16</f>
        <v>1.1537070524412296</v>
      </c>
      <c r="AX17" s="42">
        <f>1221/1097</f>
        <v>1.1130355515041022</v>
      </c>
      <c r="AY17" s="42">
        <f>1183/1073</f>
        <v>1.1025163094128612</v>
      </c>
      <c r="AZ17" s="23">
        <f>1148/1055</f>
        <v>1.0881516587677724</v>
      </c>
      <c r="BA17" s="23">
        <f>1106/1020</f>
        <v>1.084313725490196</v>
      </c>
      <c r="BB17" s="42">
        <f>1097/997</f>
        <v>1.1003009027081243</v>
      </c>
      <c r="BC17" s="42">
        <f>1073/969</f>
        <v>1.1073271413828689</v>
      </c>
      <c r="BD17" s="42">
        <f>1055/945</f>
        <v>1.1164021164021165</v>
      </c>
      <c r="BE17" s="42">
        <f>1020/927</f>
        <v>1.1003236245954693</v>
      </c>
      <c r="BF17" s="42">
        <f>997/902</f>
        <v>1.1053215077605321</v>
      </c>
      <c r="BG17" s="23">
        <f>969/889</f>
        <v>1.0899887514060742</v>
      </c>
      <c r="BH17" s="23">
        <f>945/864</f>
        <v>1.09375</v>
      </c>
      <c r="BI17" s="23">
        <f>927/851</f>
        <v>1.0893066980023502</v>
      </c>
      <c r="BJ17" s="23">
        <f>902/838</f>
        <v>1.0763723150357996</v>
      </c>
      <c r="BK17" s="23">
        <f>889/830</f>
        <v>1.0710843373493977</v>
      </c>
      <c r="BL17" s="23">
        <f>864/815</f>
        <v>1.0601226993865032</v>
      </c>
      <c r="BM17" s="23">
        <f>851/808</f>
        <v>1.0532178217821782</v>
      </c>
      <c r="BN17" s="23">
        <f>838/799</f>
        <v>1.0488110137672091</v>
      </c>
      <c r="BO17" s="23">
        <f>830/778</f>
        <v>1.0668380462724936</v>
      </c>
      <c r="BP17" s="23">
        <f>815/768</f>
        <v>1.0611979166666667</v>
      </c>
      <c r="BQ17" s="23">
        <f>808/760</f>
        <v>1.0631578947368421</v>
      </c>
      <c r="BR17" s="23">
        <f>799/759</f>
        <v>1.0527009222661396</v>
      </c>
      <c r="BS17" s="23">
        <f>778/754</f>
        <v>1.0318302387267904</v>
      </c>
      <c r="BT17" s="23">
        <f>768/743</f>
        <v>1.0336473755047106</v>
      </c>
      <c r="BU17" s="23">
        <f>760/736</f>
        <v>1.0326086956521738</v>
      </c>
      <c r="BV17" s="23">
        <f>759/729</f>
        <v>1.0411522633744856</v>
      </c>
      <c r="BW17" s="23">
        <f>754/703</f>
        <v>1.0725462304409672</v>
      </c>
      <c r="BX17" s="23">
        <f>743/689</f>
        <v>1.0783744557329462</v>
      </c>
      <c r="BY17" s="42">
        <f>736/668</f>
        <v>1.1017964071856288</v>
      </c>
      <c r="BZ17" s="42">
        <f>729/650</f>
        <v>1.1215384615384616</v>
      </c>
      <c r="CA17" s="23">
        <f>703/642</f>
        <v>1.0950155763239875</v>
      </c>
      <c r="CB17" s="23">
        <f>689/631</f>
        <v>1.0919175911251982</v>
      </c>
      <c r="CC17" s="23">
        <f>668/611</f>
        <v>1.09328968903437</v>
      </c>
      <c r="CD17" s="23">
        <f>650/601</f>
        <v>1.08153078202995</v>
      </c>
      <c r="CE17" s="42">
        <f>642/578</f>
        <v>1.1107266435986158</v>
      </c>
      <c r="CF17" s="42">
        <f>631/554</f>
        <v>1.1389891696750902</v>
      </c>
      <c r="CG17" s="42">
        <f>611/552</f>
        <v>1.1068840579710144</v>
      </c>
      <c r="CH17" s="42">
        <f>601/533</f>
        <v>1.1275797373358349</v>
      </c>
      <c r="CI17" s="42">
        <f>578/488</f>
        <v>1.1844262295081966</v>
      </c>
      <c r="CJ17" s="42">
        <f>554/449</f>
        <v>1.2338530066815145</v>
      </c>
      <c r="CK17" s="42">
        <f>552/431</f>
        <v>1.2807424593967518</v>
      </c>
      <c r="CL17" s="42">
        <f>533/417</f>
        <v>1.2781774580335732</v>
      </c>
      <c r="CM17" s="42">
        <f>488/398</f>
        <v>1.2261306532663316</v>
      </c>
      <c r="CN17" s="42">
        <f>449/383</f>
        <v>1.1723237597911227</v>
      </c>
      <c r="CO17" s="42">
        <f>431/376</f>
        <v>1.1462765957446808</v>
      </c>
      <c r="CP17" s="42">
        <f>417/365</f>
        <v>1.1424657534246576</v>
      </c>
      <c r="CQ17" s="42">
        <f>398/321</f>
        <v>1.2398753894080996</v>
      </c>
      <c r="CR17" s="42">
        <f>383/311</f>
        <v>1.2315112540192925</v>
      </c>
      <c r="CS17" s="42">
        <f>376/291</f>
        <v>1.2920962199312716</v>
      </c>
      <c r="CT17" s="42">
        <f>365/269</f>
        <v>1.3568773234200744</v>
      </c>
      <c r="CU17" s="42">
        <f>321/231</f>
        <v>1.3896103896103895</v>
      </c>
      <c r="CV17" s="42">
        <f>311/213</f>
        <v>1.460093896713615</v>
      </c>
      <c r="CW17" s="42">
        <f>291/183</f>
        <v>1.5901639344262295</v>
      </c>
      <c r="CX17" s="42">
        <f>269/163</f>
        <v>1.6503067484662577</v>
      </c>
      <c r="CY17" s="42">
        <f>231/146</f>
        <v>1.5821917808219179</v>
      </c>
      <c r="CZ17" s="42">
        <f>213/137</f>
        <v>1.5547445255474452</v>
      </c>
      <c r="DA17" s="42">
        <f>183/127</f>
        <v>1.4409448818897639</v>
      </c>
      <c r="DB17" s="42">
        <f>163/124</f>
        <v>1.314516129032258</v>
      </c>
      <c r="DC17" s="42">
        <f>146/120</f>
        <v>1.2166666666666666</v>
      </c>
      <c r="DD17" s="42">
        <f>137/113</f>
        <v>1.2123893805309736</v>
      </c>
      <c r="DE17" s="42">
        <f>127/107</f>
        <v>1.1869158878504673</v>
      </c>
      <c r="DF17" s="42">
        <f>124/102</f>
        <v>1.2156862745098038</v>
      </c>
      <c r="DG17" s="42">
        <f>120/99</f>
        <v>1.2121212121212122</v>
      </c>
      <c r="DH17" s="42">
        <f>113/95</f>
        <v>1.1894736842105262</v>
      </c>
      <c r="DI17" s="42">
        <f>107/92</f>
        <v>1.1630434782608696</v>
      </c>
      <c r="DJ17" s="42">
        <f>102/83</f>
        <v>1.2289156626506024</v>
      </c>
      <c r="DK17" s="42">
        <f>99/82</f>
        <v>1.2073170731707317</v>
      </c>
      <c r="DL17" s="42">
        <f>95/81</f>
        <v>1.1728395061728396</v>
      </c>
      <c r="DM17" s="42">
        <f>92/77</f>
        <v>1.1948051948051948</v>
      </c>
      <c r="DN17" s="42">
        <f>83/73</f>
        <v>1.1369863013698631</v>
      </c>
      <c r="DO17" s="42">
        <f>82/73</f>
        <v>1.1232876712328768</v>
      </c>
      <c r="DP17" s="42">
        <f>81/73</f>
        <v>1.1095890410958904</v>
      </c>
      <c r="DQ17" s="23">
        <f>77/73</f>
        <v>1.0547945205479452</v>
      </c>
      <c r="DR17" s="21">
        <v>1</v>
      </c>
      <c r="DS17" s="28">
        <f>73/72</f>
        <v>1.0138888888888888</v>
      </c>
      <c r="DT17" s="28">
        <f>73/72</f>
        <v>1.0138888888888888</v>
      </c>
      <c r="DU17" s="28">
        <f>73/72</f>
        <v>1.0138888888888888</v>
      </c>
      <c r="DV17" s="28">
        <f>73/72</f>
        <v>1.0138888888888888</v>
      </c>
      <c r="DW17" s="21">
        <v>1</v>
      </c>
      <c r="DX17" s="21">
        <v>1</v>
      </c>
      <c r="DY17" s="23">
        <f>72/70</f>
        <v>1.0285714285714285</v>
      </c>
      <c r="DZ17" s="23">
        <f>72/68</f>
        <v>1.0588235294117647</v>
      </c>
      <c r="EA17" s="23">
        <f>72/67</f>
        <v>1.0746268656716418</v>
      </c>
      <c r="EB17" s="23">
        <f>72/67</f>
        <v>1.0746268656716418</v>
      </c>
      <c r="EC17" s="23">
        <f>70/67</f>
        <v>1.044776119402985</v>
      </c>
      <c r="ED17" s="28">
        <f>68/67</f>
        <v>1.0149253731343284</v>
      </c>
      <c r="EE17" s="21">
        <v>1</v>
      </c>
      <c r="EF17" s="21">
        <v>1</v>
      </c>
      <c r="EG17" s="21">
        <v>1</v>
      </c>
      <c r="EH17" s="21">
        <v>1</v>
      </c>
      <c r="EI17" s="21">
        <v>1</v>
      </c>
      <c r="EJ17" s="21">
        <v>1</v>
      </c>
      <c r="EK17" s="21">
        <v>1</v>
      </c>
      <c r="EL17" s="21">
        <v>1</v>
      </c>
      <c r="EM17" s="21">
        <v>1</v>
      </c>
      <c r="EN17" s="23">
        <f>67/65</f>
        <v>1.0307692307692307</v>
      </c>
      <c r="EO17" s="42">
        <f>67/59</f>
        <v>1.1355932203389831</v>
      </c>
      <c r="EP17" s="42">
        <f>67/58</f>
        <v>1.1551724137931034</v>
      </c>
      <c r="EQ17" s="42">
        <f>67/58</f>
        <v>1.1551724137931034</v>
      </c>
      <c r="ER17" s="42">
        <f>65/58</f>
        <v>1.1206896551724137</v>
      </c>
      <c r="ES17" s="28">
        <f>59/58</f>
        <v>1.0172413793103448</v>
      </c>
      <c r="ET17" s="21">
        <v>1</v>
      </c>
      <c r="EU17" s="21">
        <v>1</v>
      </c>
      <c r="EV17" s="28">
        <f>58/57</f>
        <v>1.0175438596491229</v>
      </c>
      <c r="EW17" s="28">
        <f>58/57</f>
        <v>1.0175438596491229</v>
      </c>
      <c r="EX17" s="23">
        <f>58/56</f>
        <v>1.0357142857142858</v>
      </c>
      <c r="EY17" s="23">
        <f>58/56</f>
        <v>1.0357142857142858</v>
      </c>
      <c r="EZ17" s="28">
        <f>57/56</f>
        <v>1.0178571428571428</v>
      </c>
      <c r="FA17" s="28">
        <f>57/56</f>
        <v>1.0178571428571428</v>
      </c>
      <c r="FB17" s="21">
        <v>1</v>
      </c>
      <c r="FC17" s="21">
        <v>1</v>
      </c>
      <c r="FD17" s="21">
        <v>1</v>
      </c>
      <c r="FE17" s="21">
        <v>1</v>
      </c>
      <c r="FF17" s="21">
        <v>1</v>
      </c>
      <c r="FG17" s="21">
        <v>1</v>
      </c>
      <c r="FH17" s="21">
        <v>1</v>
      </c>
      <c r="FI17" s="21">
        <v>1</v>
      </c>
      <c r="FJ17" s="21">
        <v>1</v>
      </c>
      <c r="FK17" s="21">
        <v>1</v>
      </c>
      <c r="FL17" s="21">
        <v>1</v>
      </c>
      <c r="FM17" s="21">
        <v>1</v>
      </c>
      <c r="FN17" s="21">
        <v>1</v>
      </c>
      <c r="FO17" s="21">
        <v>1</v>
      </c>
      <c r="FP17" s="21">
        <v>1</v>
      </c>
      <c r="FQ17" s="21">
        <v>1</v>
      </c>
      <c r="FR17" s="21">
        <v>1</v>
      </c>
      <c r="FS17" s="21">
        <v>1</v>
      </c>
      <c r="FT17" s="21">
        <v>1</v>
      </c>
      <c r="FU17" s="28">
        <f>56/55</f>
        <v>1.0181818181818181</v>
      </c>
      <c r="FV17" s="28">
        <f>56/55</f>
        <v>1.0181818181818181</v>
      </c>
      <c r="FW17" s="28">
        <f>56/55</f>
        <v>1.0181818181818181</v>
      </c>
      <c r="FX17" s="28">
        <f>56/55</f>
        <v>1.0181818181818181</v>
      </c>
      <c r="FY17" s="21">
        <v>1</v>
      </c>
      <c r="FZ17" s="21">
        <v>1</v>
      </c>
      <c r="GA17" s="21">
        <v>1</v>
      </c>
      <c r="GB17" s="21">
        <v>1</v>
      </c>
      <c r="GC17" s="21">
        <v>1</v>
      </c>
      <c r="GD17" s="21">
        <v>1</v>
      </c>
      <c r="GE17" s="21">
        <v>1</v>
      </c>
      <c r="GF17" s="21">
        <v>1</v>
      </c>
      <c r="GG17" s="21">
        <v>1</v>
      </c>
      <c r="GH17" s="21">
        <v>1</v>
      </c>
      <c r="GI17" s="21">
        <v>1</v>
      </c>
      <c r="GJ17" s="21">
        <v>1</v>
      </c>
      <c r="GK17" s="21">
        <v>1</v>
      </c>
      <c r="GL17" s="21">
        <v>1</v>
      </c>
      <c r="GM17" s="21">
        <v>1</v>
      </c>
      <c r="GN17" s="21">
        <v>1</v>
      </c>
      <c r="GO17" s="21">
        <v>1</v>
      </c>
      <c r="GP17" s="21">
        <f>GP16/GT16</f>
        <v>1</v>
      </c>
      <c r="GQ17" s="21">
        <v>1</v>
      </c>
      <c r="GR17" s="26">
        <f>55/54</f>
        <v>1.0185185185185186</v>
      </c>
      <c r="GS17" s="26">
        <f>55/54</f>
        <v>1.0185185185185186</v>
      </c>
      <c r="GT17" s="26">
        <f>55/54</f>
        <v>1.0185185185185186</v>
      </c>
      <c r="GU17" s="26">
        <f>55/54</f>
        <v>1.0185185185185186</v>
      </c>
      <c r="GV17" s="29">
        <v>1</v>
      </c>
      <c r="GW17" s="29">
        <v>1</v>
      </c>
      <c r="GX17" s="29">
        <v>1</v>
      </c>
      <c r="GY17" s="29">
        <v>1</v>
      </c>
      <c r="GZ17" s="35">
        <f>54/49</f>
        <v>1.1020408163265305</v>
      </c>
      <c r="HA17" s="35">
        <f>54/49</f>
        <v>1.1020408163265305</v>
      </c>
      <c r="HB17" s="35">
        <f>54/49</f>
        <v>1.1020408163265305</v>
      </c>
      <c r="HC17" s="35">
        <f>54/49</f>
        <v>1.1020408163265305</v>
      </c>
      <c r="HD17" s="29">
        <f>49/49</f>
        <v>1</v>
      </c>
      <c r="HE17" s="29">
        <v>1</v>
      </c>
      <c r="HF17" s="29">
        <v>1</v>
      </c>
      <c r="HG17" s="29">
        <v>1</v>
      </c>
      <c r="HH17" s="29">
        <v>1</v>
      </c>
      <c r="HI17" s="29">
        <v>1</v>
      </c>
      <c r="HJ17" s="29">
        <v>1</v>
      </c>
      <c r="HK17" s="29">
        <v>1</v>
      </c>
      <c r="HL17" s="29">
        <v>1</v>
      </c>
      <c r="HM17" s="35">
        <f>49/48</f>
        <v>1.0208333333333333</v>
      </c>
      <c r="HN17" s="35">
        <f>49/48</f>
        <v>1.0208333333333333</v>
      </c>
      <c r="HO17" s="35">
        <f>49/48</f>
        <v>1.0208333333333333</v>
      </c>
      <c r="HP17" s="36"/>
    </row>
    <row r="18" spans="1:230" s="18" customFormat="1" ht="16.5" thickBot="1" x14ac:dyDescent="0.3">
      <c r="A18" s="9" t="s">
        <v>8</v>
      </c>
      <c r="B18" s="10">
        <v>229</v>
      </c>
      <c r="C18" s="10">
        <f>13+D18</f>
        <v>3544</v>
      </c>
      <c r="D18" s="10">
        <f>16+E18</f>
        <v>3531</v>
      </c>
      <c r="E18" s="10">
        <f>10+F18</f>
        <v>3515</v>
      </c>
      <c r="F18" s="10">
        <f>17+G18</f>
        <v>3505</v>
      </c>
      <c r="G18" s="10">
        <f>20+H18</f>
        <v>3488</v>
      </c>
      <c r="H18" s="10">
        <f>17+I18</f>
        <v>3468</v>
      </c>
      <c r="I18" s="10">
        <f>19+J18</f>
        <v>3451</v>
      </c>
      <c r="J18" s="10">
        <f>10+K18</f>
        <v>3432</v>
      </c>
      <c r="K18" s="10">
        <f>25+L18</f>
        <v>3422</v>
      </c>
      <c r="L18" s="10">
        <f>7+M18</f>
        <v>3397</v>
      </c>
      <c r="M18" s="10">
        <f>7+N18</f>
        <v>3390</v>
      </c>
      <c r="N18" s="10">
        <f>9+O18</f>
        <v>3383</v>
      </c>
      <c r="O18" s="10">
        <f>14+P18</f>
        <v>3374</v>
      </c>
      <c r="P18" s="10">
        <f>19+Q18</f>
        <v>3360</v>
      </c>
      <c r="Q18" s="10">
        <f>28+R18</f>
        <v>3341</v>
      </c>
      <c r="R18" s="10">
        <f>25+S18</f>
        <v>3313</v>
      </c>
      <c r="S18" s="10">
        <f>15+T18</f>
        <v>3288</v>
      </c>
      <c r="T18" s="10">
        <f>21+3252</f>
        <v>3273</v>
      </c>
      <c r="U18" s="10">
        <f>11+3241</f>
        <v>3252</v>
      </c>
      <c r="V18" s="10">
        <f>40+3201</f>
        <v>3241</v>
      </c>
      <c r="W18" s="10">
        <f>15+3186</f>
        <v>3201</v>
      </c>
      <c r="X18" s="10">
        <f>16+3170</f>
        <v>3186</v>
      </c>
      <c r="Y18" s="10">
        <f>12+3158</f>
        <v>3170</v>
      </c>
      <c r="Z18" s="10">
        <f>11+3147</f>
        <v>3158</v>
      </c>
      <c r="AA18" s="10">
        <f>13+3134</f>
        <v>3147</v>
      </c>
      <c r="AB18" s="10">
        <f>20+3114</f>
        <v>3134</v>
      </c>
      <c r="AC18" s="10">
        <f>44+3070</f>
        <v>3114</v>
      </c>
      <c r="AD18" s="10">
        <f>60+AE18</f>
        <v>3070</v>
      </c>
      <c r="AE18" s="10">
        <f>37+2973</f>
        <v>3010</v>
      </c>
      <c r="AF18" s="10">
        <f>40+2933</f>
        <v>2973</v>
      </c>
      <c r="AG18" s="10">
        <f>30+2903</f>
        <v>2933</v>
      </c>
      <c r="AH18" s="10">
        <f>50+2853</f>
        <v>2903</v>
      </c>
      <c r="AI18" s="10">
        <f>49+2804</f>
        <v>2853</v>
      </c>
      <c r="AJ18" s="10">
        <f>29+2775</f>
        <v>2804</v>
      </c>
      <c r="AK18" s="10">
        <f>17+2758</f>
        <v>2775</v>
      </c>
      <c r="AL18" s="10">
        <f>44+2714</f>
        <v>2758</v>
      </c>
      <c r="AM18" s="10">
        <f>45+2669</f>
        <v>2714</v>
      </c>
      <c r="AN18" s="10">
        <f>24+2645</f>
        <v>2669</v>
      </c>
      <c r="AO18" s="10">
        <f>39+2606</f>
        <v>2645</v>
      </c>
      <c r="AP18" s="10">
        <f>101+2505</f>
        <v>2606</v>
      </c>
      <c r="AQ18" s="10">
        <f>125+2380</f>
        <v>2505</v>
      </c>
      <c r="AR18" s="10">
        <f>37+2343</f>
        <v>2380</v>
      </c>
      <c r="AS18" s="10">
        <f>45+2298</f>
        <v>2343</v>
      </c>
      <c r="AT18" s="10">
        <f>45+2253</f>
        <v>2298</v>
      </c>
      <c r="AU18" s="10">
        <f>33+2220</f>
        <v>2253</v>
      </c>
      <c r="AV18" s="10">
        <v>2220</v>
      </c>
      <c r="AW18" s="10">
        <f>63+2103</f>
        <v>2166</v>
      </c>
      <c r="AX18" s="10">
        <f>38+2065</f>
        <v>2103</v>
      </c>
      <c r="AY18" s="10">
        <f>37+2028</f>
        <v>2065</v>
      </c>
      <c r="AZ18" s="10">
        <f>40+1988</f>
        <v>2028</v>
      </c>
      <c r="BA18" s="10">
        <f>45+1943</f>
        <v>1988</v>
      </c>
      <c r="BB18" s="10">
        <v>1943</v>
      </c>
      <c r="BC18" s="10">
        <f>14+1860</f>
        <v>1874</v>
      </c>
      <c r="BD18" s="10">
        <f>32+1828</f>
        <v>1860</v>
      </c>
      <c r="BE18" s="10">
        <f>1803+25</f>
        <v>1828</v>
      </c>
      <c r="BF18" s="10">
        <f>18+1785</f>
        <v>1803</v>
      </c>
      <c r="BG18" s="10">
        <f>1777+8</f>
        <v>1785</v>
      </c>
      <c r="BH18" s="10">
        <f>1764+13</f>
        <v>1777</v>
      </c>
      <c r="BI18" s="10">
        <v>1764</v>
      </c>
      <c r="BJ18" s="10">
        <f>1734+14</f>
        <v>1748</v>
      </c>
      <c r="BK18" s="10">
        <f>1716+18</f>
        <v>1734</v>
      </c>
      <c r="BL18" s="10">
        <v>1716</v>
      </c>
      <c r="BM18" s="10">
        <f>1667+27</f>
        <v>1694</v>
      </c>
      <c r="BN18" s="10">
        <v>1667</v>
      </c>
      <c r="BO18" s="10">
        <f>1634+27</f>
        <v>1661</v>
      </c>
      <c r="BP18" s="10">
        <v>1634</v>
      </c>
      <c r="BQ18" s="10">
        <v>1631</v>
      </c>
      <c r="BR18" s="10">
        <f>1594+22</f>
        <v>1616</v>
      </c>
      <c r="BS18" s="10">
        <v>1594</v>
      </c>
      <c r="BT18" s="10">
        <f>1556+30</f>
        <v>1586</v>
      </c>
      <c r="BU18" s="10">
        <v>1556</v>
      </c>
      <c r="BV18" s="10">
        <f>1521+23</f>
        <v>1544</v>
      </c>
      <c r="BW18" s="10">
        <v>1521</v>
      </c>
      <c r="BX18" s="10">
        <v>1510</v>
      </c>
      <c r="BY18" s="10">
        <v>1474</v>
      </c>
      <c r="BZ18" s="10">
        <v>1453</v>
      </c>
      <c r="CA18" s="10">
        <v>1414</v>
      </c>
      <c r="CB18" s="10">
        <f>1356+35</f>
        <v>1391</v>
      </c>
      <c r="CC18" s="10">
        <v>1356</v>
      </c>
      <c r="CD18" s="10">
        <v>1316</v>
      </c>
      <c r="CE18" s="10">
        <v>1271</v>
      </c>
      <c r="CF18" s="10">
        <f>1145+69</f>
        <v>1214</v>
      </c>
      <c r="CG18" s="10">
        <v>1145</v>
      </c>
      <c r="CH18" s="10">
        <f>1063+55</f>
        <v>1118</v>
      </c>
      <c r="CI18" s="10">
        <v>1063</v>
      </c>
      <c r="CJ18" s="10">
        <v>1046</v>
      </c>
      <c r="CK18" s="10">
        <v>986</v>
      </c>
      <c r="CL18" s="10">
        <v>958</v>
      </c>
      <c r="CM18" s="10">
        <v>922</v>
      </c>
      <c r="CN18" s="10">
        <v>902</v>
      </c>
      <c r="CO18" s="10">
        <v>879</v>
      </c>
      <c r="CP18" s="10">
        <v>849</v>
      </c>
      <c r="CQ18" s="10">
        <v>831</v>
      </c>
      <c r="CR18" s="10">
        <v>820</v>
      </c>
      <c r="CS18" s="10">
        <v>793</v>
      </c>
      <c r="CT18" s="10">
        <v>778</v>
      </c>
      <c r="CU18" s="10">
        <v>734</v>
      </c>
      <c r="CV18" s="10">
        <v>709</v>
      </c>
      <c r="CW18" s="10">
        <v>686</v>
      </c>
      <c r="CX18" s="10">
        <v>668</v>
      </c>
      <c r="CY18" s="10">
        <v>657</v>
      </c>
      <c r="CZ18" s="10">
        <v>633</v>
      </c>
      <c r="DA18" s="10">
        <v>607</v>
      </c>
      <c r="DB18" s="10">
        <v>584</v>
      </c>
      <c r="DC18" s="10">
        <v>567</v>
      </c>
      <c r="DD18" s="10">
        <v>548</v>
      </c>
      <c r="DE18" s="10">
        <v>532</v>
      </c>
      <c r="DF18" s="10">
        <v>527</v>
      </c>
      <c r="DG18" s="10">
        <v>523</v>
      </c>
      <c r="DH18" s="10">
        <v>511</v>
      </c>
      <c r="DI18" s="10">
        <v>481</v>
      </c>
      <c r="DJ18" s="10">
        <v>474</v>
      </c>
      <c r="DK18" s="10">
        <v>468</v>
      </c>
      <c r="DL18" s="10">
        <v>451</v>
      </c>
      <c r="DM18" s="10">
        <v>442</v>
      </c>
      <c r="DN18" s="10">
        <v>434</v>
      </c>
      <c r="DO18" s="10">
        <v>431</v>
      </c>
      <c r="DP18" s="10">
        <v>420</v>
      </c>
      <c r="DQ18" s="10">
        <v>397</v>
      </c>
      <c r="DR18" s="10">
        <v>373</v>
      </c>
      <c r="DS18" s="10">
        <v>361</v>
      </c>
      <c r="DT18" s="10">
        <v>358</v>
      </c>
      <c r="DU18" s="10">
        <v>356</v>
      </c>
      <c r="DV18" s="10">
        <v>351</v>
      </c>
      <c r="DW18" s="10">
        <v>317</v>
      </c>
      <c r="DX18" s="10">
        <v>309</v>
      </c>
      <c r="DY18" s="10">
        <v>296</v>
      </c>
      <c r="DZ18" s="10">
        <v>295</v>
      </c>
      <c r="EA18" s="10">
        <v>292</v>
      </c>
      <c r="EB18" s="10">
        <v>282</v>
      </c>
      <c r="EC18" s="10">
        <v>277</v>
      </c>
      <c r="ED18" s="10">
        <v>258</v>
      </c>
      <c r="EE18" s="10">
        <v>245</v>
      </c>
      <c r="EF18" s="10">
        <v>242</v>
      </c>
      <c r="EG18" s="10">
        <v>237</v>
      </c>
      <c r="EH18" s="10">
        <v>232</v>
      </c>
      <c r="EI18" s="10">
        <v>231</v>
      </c>
      <c r="EJ18" s="10">
        <v>230</v>
      </c>
      <c r="EK18" s="10">
        <v>229</v>
      </c>
      <c r="EL18" s="10">
        <v>226</v>
      </c>
      <c r="EM18" s="10">
        <v>226</v>
      </c>
      <c r="EN18" s="10">
        <v>226</v>
      </c>
      <c r="EO18" s="10">
        <v>226</v>
      </c>
      <c r="EP18" s="10">
        <v>223</v>
      </c>
      <c r="EQ18" s="10">
        <v>223</v>
      </c>
      <c r="ER18" s="10">
        <v>223</v>
      </c>
      <c r="ES18" s="10">
        <v>223</v>
      </c>
      <c r="ET18" s="10">
        <v>223</v>
      </c>
      <c r="EU18" s="10">
        <v>223</v>
      </c>
      <c r="EV18" s="10">
        <v>222</v>
      </c>
      <c r="EW18" s="10">
        <v>222</v>
      </c>
      <c r="EX18" s="10">
        <v>222</v>
      </c>
      <c r="EY18" s="10">
        <v>222</v>
      </c>
      <c r="EZ18" s="10">
        <v>222</v>
      </c>
      <c r="FA18" s="10">
        <v>222</v>
      </c>
      <c r="FB18" s="10">
        <v>222</v>
      </c>
      <c r="FC18" s="10">
        <v>222</v>
      </c>
      <c r="FD18" s="10">
        <v>222</v>
      </c>
      <c r="FE18" s="10">
        <v>222</v>
      </c>
      <c r="FF18" s="10">
        <v>222</v>
      </c>
      <c r="FG18" s="10">
        <v>222</v>
      </c>
      <c r="FH18" s="10">
        <v>222</v>
      </c>
      <c r="FI18" s="10">
        <v>222</v>
      </c>
      <c r="FJ18" s="10">
        <v>222</v>
      </c>
      <c r="FK18" s="10">
        <v>221</v>
      </c>
      <c r="FL18" s="10">
        <v>221</v>
      </c>
      <c r="FM18" s="10">
        <v>221</v>
      </c>
      <c r="FN18" s="10">
        <v>221</v>
      </c>
      <c r="FO18" s="10">
        <v>221</v>
      </c>
      <c r="FP18" s="10">
        <v>221</v>
      </c>
      <c r="FQ18" s="10">
        <v>221</v>
      </c>
      <c r="FR18" s="10">
        <v>221</v>
      </c>
      <c r="FS18" s="10">
        <v>221</v>
      </c>
      <c r="FT18" s="10">
        <v>221</v>
      </c>
      <c r="FU18" s="10">
        <v>221</v>
      </c>
      <c r="FV18" s="10">
        <v>221</v>
      </c>
      <c r="FW18" s="10">
        <v>221</v>
      </c>
      <c r="FX18" s="10">
        <v>221</v>
      </c>
      <c r="FY18" s="10">
        <v>221</v>
      </c>
      <c r="FZ18" s="10">
        <v>221</v>
      </c>
      <c r="GA18" s="10">
        <v>221</v>
      </c>
      <c r="GB18" s="10">
        <v>221</v>
      </c>
      <c r="GC18" s="10">
        <v>221</v>
      </c>
      <c r="GD18" s="10">
        <v>221</v>
      </c>
      <c r="GE18" s="10">
        <v>221</v>
      </c>
      <c r="GF18" s="10">
        <v>221</v>
      </c>
      <c r="GG18" s="10">
        <v>221</v>
      </c>
      <c r="GH18" s="10">
        <v>221</v>
      </c>
      <c r="GI18" s="10">
        <v>221</v>
      </c>
      <c r="GJ18" s="10">
        <v>221</v>
      </c>
      <c r="GK18" s="10">
        <v>221</v>
      </c>
      <c r="GL18" s="10">
        <v>221</v>
      </c>
      <c r="GM18" s="10">
        <v>221</v>
      </c>
      <c r="GN18" s="10">
        <v>221</v>
      </c>
      <c r="GO18" s="10">
        <v>221</v>
      </c>
      <c r="GP18" s="10">
        <v>221</v>
      </c>
      <c r="GQ18" s="10">
        <v>221</v>
      </c>
      <c r="GR18" s="10">
        <v>221</v>
      </c>
      <c r="GS18" s="10">
        <v>221</v>
      </c>
      <c r="GT18" s="10">
        <v>221</v>
      </c>
      <c r="GU18" s="10">
        <v>221</v>
      </c>
      <c r="GV18" s="10">
        <v>221</v>
      </c>
      <c r="GW18" s="10">
        <v>221</v>
      </c>
      <c r="GX18" s="10">
        <v>221</v>
      </c>
      <c r="GY18" s="10">
        <v>221</v>
      </c>
      <c r="GZ18" s="18">
        <v>221</v>
      </c>
      <c r="HA18" s="18">
        <v>221</v>
      </c>
      <c r="HB18" s="18">
        <v>221</v>
      </c>
      <c r="HC18" s="18">
        <v>221</v>
      </c>
      <c r="HD18" s="18">
        <v>219</v>
      </c>
      <c r="HE18" s="18">
        <v>219</v>
      </c>
      <c r="HF18" s="18">
        <v>219</v>
      </c>
      <c r="HG18" s="18">
        <v>218</v>
      </c>
      <c r="HH18" s="18">
        <v>215</v>
      </c>
      <c r="HI18" s="18">
        <v>215</v>
      </c>
      <c r="HJ18" s="18">
        <v>215</v>
      </c>
      <c r="HK18" s="18">
        <v>214</v>
      </c>
      <c r="HL18" s="18">
        <v>213</v>
      </c>
      <c r="HM18" s="18">
        <v>213</v>
      </c>
      <c r="HN18" s="18">
        <v>213</v>
      </c>
      <c r="HO18" s="18">
        <v>212</v>
      </c>
      <c r="HP18" s="18">
        <v>211</v>
      </c>
      <c r="HQ18" s="18">
        <v>211</v>
      </c>
      <c r="HR18" s="18">
        <v>209</v>
      </c>
      <c r="HS18" s="18">
        <v>207</v>
      </c>
    </row>
    <row r="19" spans="1:230" s="27" customFormat="1" ht="16.5" thickBot="1" x14ac:dyDescent="0.3">
      <c r="A19" s="11"/>
      <c r="B19" s="45"/>
      <c r="C19" s="28">
        <f>C18/G18</f>
        <v>1.0160550458715596</v>
      </c>
      <c r="D19" s="28">
        <f>D18/H18</f>
        <v>1.0181660899653979</v>
      </c>
      <c r="E19" s="28">
        <f>E18/I18</f>
        <v>1.0185453491741525</v>
      </c>
      <c r="F19" s="23">
        <f>F18/J18</f>
        <v>1.0212703962703962</v>
      </c>
      <c r="G19" s="28">
        <f t="shared" ref="G19:K19" si="54">G18/K18</f>
        <v>1.0192869666861484</v>
      </c>
      <c r="H19" s="23">
        <f t="shared" si="54"/>
        <v>1.0209007948189579</v>
      </c>
      <c r="I19" s="28">
        <f t="shared" si="54"/>
        <v>1.0179941002949853</v>
      </c>
      <c r="J19" s="28">
        <f t="shared" si="54"/>
        <v>1.0144841856340525</v>
      </c>
      <c r="K19" s="28">
        <f t="shared" si="54"/>
        <v>1.0142264374629519</v>
      </c>
      <c r="L19" s="28">
        <f t="shared" ref="L19:R19" si="55">L18/P18</f>
        <v>1.0110119047619048</v>
      </c>
      <c r="M19" s="28">
        <f t="shared" si="55"/>
        <v>1.0146662675845555</v>
      </c>
      <c r="N19" s="23">
        <f t="shared" si="55"/>
        <v>1.0211288862058556</v>
      </c>
      <c r="O19" s="23">
        <f t="shared" si="55"/>
        <v>1.0261557177615572</v>
      </c>
      <c r="P19" s="23">
        <f t="shared" si="55"/>
        <v>1.0265811182401468</v>
      </c>
      <c r="Q19" s="23">
        <f t="shared" si="55"/>
        <v>1.0273677736777367</v>
      </c>
      <c r="R19" s="23">
        <f t="shared" si="55"/>
        <v>1.0222153656278927</v>
      </c>
      <c r="S19" s="23">
        <f t="shared" ref="S19" si="56">S18/W18</f>
        <v>1.0271790065604498</v>
      </c>
      <c r="T19" s="23">
        <f t="shared" ref="T19:Y19" si="57">T18/X18</f>
        <v>1.027306967984934</v>
      </c>
      <c r="U19" s="23">
        <f t="shared" si="57"/>
        <v>1.0258675078864354</v>
      </c>
      <c r="V19" s="23">
        <f t="shared" si="57"/>
        <v>1.0262824572514249</v>
      </c>
      <c r="W19" s="28">
        <f t="shared" si="57"/>
        <v>1.017159199237369</v>
      </c>
      <c r="X19" s="28">
        <f t="shared" si="57"/>
        <v>1.0165922144224633</v>
      </c>
      <c r="Y19" s="28">
        <f t="shared" si="57"/>
        <v>1.0179833012202955</v>
      </c>
      <c r="Z19" s="23">
        <f t="shared" ref="Z19:AE19" si="58">Z18/AD18</f>
        <v>1.0286644951140065</v>
      </c>
      <c r="AA19" s="23">
        <f t="shared" si="58"/>
        <v>1.045514950166113</v>
      </c>
      <c r="AB19" s="23">
        <f t="shared" si="58"/>
        <v>1.0541540531449713</v>
      </c>
      <c r="AC19" s="23">
        <f t="shared" si="58"/>
        <v>1.0617115581316059</v>
      </c>
      <c r="AD19" s="23">
        <f t="shared" si="58"/>
        <v>1.0575266965208405</v>
      </c>
      <c r="AE19" s="23">
        <f t="shared" si="58"/>
        <v>1.0550297932001402</v>
      </c>
      <c r="AF19" s="23">
        <f t="shared" ref="AF19:AK19" si="59">AF18/AJ18</f>
        <v>1.0602710413694723</v>
      </c>
      <c r="AG19" s="23">
        <f t="shared" si="59"/>
        <v>1.056936936936937</v>
      </c>
      <c r="AH19" s="23">
        <f t="shared" si="59"/>
        <v>1.0525743292240755</v>
      </c>
      <c r="AI19" s="23">
        <f t="shared" si="59"/>
        <v>1.0512159174649962</v>
      </c>
      <c r="AJ19" s="23">
        <f t="shared" si="59"/>
        <v>1.0505807418508806</v>
      </c>
      <c r="AK19" s="23">
        <f t="shared" si="59"/>
        <v>1.0491493383742911</v>
      </c>
      <c r="AL19" s="23">
        <f>2758/2606</f>
        <v>1.0583269378357636</v>
      </c>
      <c r="AM19" s="23">
        <f>AM18/AQ18</f>
        <v>1.0834331337325349</v>
      </c>
      <c r="AN19" s="42">
        <f>AN18/AR18</f>
        <v>1.1214285714285714</v>
      </c>
      <c r="AO19" s="42">
        <f t="shared" ref="AO19:AR19" si="60">AO18/AS18</f>
        <v>1.128894579598805</v>
      </c>
      <c r="AP19" s="42">
        <f t="shared" si="60"/>
        <v>1.1340295909486511</v>
      </c>
      <c r="AQ19" s="42">
        <f t="shared" si="60"/>
        <v>1.1118508655126498</v>
      </c>
      <c r="AR19" s="23">
        <f t="shared" si="60"/>
        <v>1.072072072072072</v>
      </c>
      <c r="AS19" s="23">
        <f>AS18/AW18</f>
        <v>1.0817174515235457</v>
      </c>
      <c r="AT19" s="23">
        <f>AT18/AX18</f>
        <v>1.0927246790299572</v>
      </c>
      <c r="AU19" s="23">
        <f>2253/2065</f>
        <v>1.0910411622276028</v>
      </c>
      <c r="AV19" s="23">
        <f>AV18/AZ18</f>
        <v>1.0946745562130178</v>
      </c>
      <c r="AW19" s="23">
        <f>AW18/BA18</f>
        <v>1.0895372233400402</v>
      </c>
      <c r="AX19" s="23">
        <f>2103/1943</f>
        <v>1.0823468862583634</v>
      </c>
      <c r="AY19" s="42">
        <f>2065/1874</f>
        <v>1.1019210245464248</v>
      </c>
      <c r="AZ19" s="23">
        <f>2028/1860</f>
        <v>1.0903225806451613</v>
      </c>
      <c r="BA19" s="23">
        <f>1988/1828</f>
        <v>1.087527352297593</v>
      </c>
      <c r="BB19" s="23">
        <f>1943/1803</f>
        <v>1.0776483638380476</v>
      </c>
      <c r="BC19" s="23">
        <f>1874/1785</f>
        <v>1.0498599439775911</v>
      </c>
      <c r="BD19" s="23">
        <f>1860/1777</f>
        <v>1.0467079347214405</v>
      </c>
      <c r="BE19" s="23">
        <f>1828/1764</f>
        <v>1.036281179138322</v>
      </c>
      <c r="BF19" s="23">
        <f>1803/1748</f>
        <v>1.0314645308924486</v>
      </c>
      <c r="BG19" s="23">
        <f>1785/1734</f>
        <v>1.0294117647058822</v>
      </c>
      <c r="BH19" s="23">
        <f>1777/1716</f>
        <v>1.0355477855477855</v>
      </c>
      <c r="BI19" s="23">
        <f>1764/1694</f>
        <v>1.0413223140495869</v>
      </c>
      <c r="BJ19" s="23">
        <f>1748/1667</f>
        <v>1.0485902819436113</v>
      </c>
      <c r="BK19" s="23">
        <f>1734/1661</f>
        <v>1.0439494280553883</v>
      </c>
      <c r="BL19" s="23">
        <f>1716/1634</f>
        <v>1.0501835985312118</v>
      </c>
      <c r="BM19" s="23">
        <f>1694/1631</f>
        <v>1.03862660944206</v>
      </c>
      <c r="BN19" s="23">
        <f>1667/1616</f>
        <v>1.0315594059405941</v>
      </c>
      <c r="BO19" s="23">
        <f>1661/1594</f>
        <v>1.0420326223337515</v>
      </c>
      <c r="BP19" s="23">
        <f>1634/1586</f>
        <v>1.030264817150063</v>
      </c>
      <c r="BQ19" s="23">
        <f>1631/1556</f>
        <v>1.0482005141388175</v>
      </c>
      <c r="BR19" s="23">
        <f>1616/1544</f>
        <v>1.0466321243523315</v>
      </c>
      <c r="BS19" s="23">
        <f>1594/1521</f>
        <v>1.0479947403024326</v>
      </c>
      <c r="BT19" s="23">
        <f>1586/1510</f>
        <v>1.0503311258278145</v>
      </c>
      <c r="BU19" s="23">
        <f>1556/1474</f>
        <v>1.0556309362279512</v>
      </c>
      <c r="BV19" s="23">
        <f>1544/1453</f>
        <v>1.0626290433585686</v>
      </c>
      <c r="BW19" s="23">
        <f>1521/1414</f>
        <v>1.0756718528995757</v>
      </c>
      <c r="BX19" s="23">
        <f>1510/1391</f>
        <v>1.0855499640546369</v>
      </c>
      <c r="BY19" s="23">
        <f>1474/1356</f>
        <v>1.0870206489675516</v>
      </c>
      <c r="BZ19" s="42">
        <f>1453/1316</f>
        <v>1.1041033434650456</v>
      </c>
      <c r="CA19" s="42">
        <f>1414/1271</f>
        <v>1.1125098347757671</v>
      </c>
      <c r="CB19" s="42">
        <f>1391/1214</f>
        <v>1.1457990115321253</v>
      </c>
      <c r="CC19" s="42">
        <f>1356/1145</f>
        <v>1.1842794759825328</v>
      </c>
      <c r="CD19" s="42">
        <f>1316/1118</f>
        <v>1.1771019677996422</v>
      </c>
      <c r="CE19" s="42">
        <f>1271/1063</f>
        <v>1.1956726246472249</v>
      </c>
      <c r="CF19" s="42">
        <f>1214/1046</f>
        <v>1.1606118546845123</v>
      </c>
      <c r="CG19" s="42">
        <f>1145/986</f>
        <v>1.1612576064908722</v>
      </c>
      <c r="CH19" s="42">
        <f>1118/958</f>
        <v>1.1670146137787056</v>
      </c>
      <c r="CI19" s="42">
        <f>1063/922</f>
        <v>1.1529284164859002</v>
      </c>
      <c r="CJ19" s="42">
        <f>1046/902</f>
        <v>1.1596452328159645</v>
      </c>
      <c r="CK19" s="42">
        <f>986/879</f>
        <v>1.1217292377701935</v>
      </c>
      <c r="CL19" s="42">
        <f>958/849</f>
        <v>1.1283863368669023</v>
      </c>
      <c r="CM19" s="42">
        <f>922/831</f>
        <v>1.1095066185318894</v>
      </c>
      <c r="CN19" s="42">
        <f>902/820</f>
        <v>1.1000000000000001</v>
      </c>
      <c r="CO19" s="42">
        <f>879/793</f>
        <v>1.1084489281210592</v>
      </c>
      <c r="CP19" s="23">
        <f>849/778</f>
        <v>1.0912596401028278</v>
      </c>
      <c r="CQ19" s="42">
        <f>831/734</f>
        <v>1.1321525885558583</v>
      </c>
      <c r="CR19" s="42">
        <f>820/709</f>
        <v>1.156558533145275</v>
      </c>
      <c r="CS19" s="42">
        <f>793/686</f>
        <v>1.1559766763848396</v>
      </c>
      <c r="CT19" s="42">
        <f>778/668</f>
        <v>1.1646706586826348</v>
      </c>
      <c r="CU19" s="42">
        <f>734/657</f>
        <v>1.117199391171994</v>
      </c>
      <c r="CV19" s="42">
        <f>709/633</f>
        <v>1.1200631911532386</v>
      </c>
      <c r="CW19" s="42">
        <f>686/607</f>
        <v>1.1301482701812191</v>
      </c>
      <c r="CX19" s="42">
        <f>668/584</f>
        <v>1.1438356164383561</v>
      </c>
      <c r="CY19" s="42">
        <f>657/567</f>
        <v>1.1587301587301588</v>
      </c>
      <c r="CZ19" s="42">
        <f>633/548</f>
        <v>1.1551094890510949</v>
      </c>
      <c r="DA19" s="42">
        <f>607/532</f>
        <v>1.1409774436090225</v>
      </c>
      <c r="DB19" s="42">
        <f>584/527</f>
        <v>1.1081593927893738</v>
      </c>
      <c r="DC19" s="23">
        <f>567/523</f>
        <v>1.0841300191204588</v>
      </c>
      <c r="DD19" s="23">
        <f>548/511</f>
        <v>1.0724070450097847</v>
      </c>
      <c r="DE19" s="42">
        <f>532/481</f>
        <v>1.1060291060291061</v>
      </c>
      <c r="DF19" s="42">
        <f>527/474</f>
        <v>1.1118143459915613</v>
      </c>
      <c r="DG19" s="42">
        <f>523/468</f>
        <v>1.1175213675213675</v>
      </c>
      <c r="DH19" s="42">
        <f>511/451</f>
        <v>1.1330376940133038</v>
      </c>
      <c r="DI19" s="23">
        <f>481/442</f>
        <v>1.088235294117647</v>
      </c>
      <c r="DJ19" s="23">
        <f>474/434</f>
        <v>1.0921658986175116</v>
      </c>
      <c r="DK19" s="23">
        <f>468/431</f>
        <v>1.08584686774942</v>
      </c>
      <c r="DL19" s="23">
        <f>451/420</f>
        <v>1.0738095238095238</v>
      </c>
      <c r="DM19" s="42">
        <f>442/397</f>
        <v>1.1133501259445844</v>
      </c>
      <c r="DN19" s="42">
        <f>434/373</f>
        <v>1.1635388739946382</v>
      </c>
      <c r="DO19" s="42">
        <f>431/361</f>
        <v>1.1939058171745152</v>
      </c>
      <c r="DP19" s="42">
        <f>420/358</f>
        <v>1.1731843575418994</v>
      </c>
      <c r="DQ19" s="42">
        <f>397/356</f>
        <v>1.1151685393258426</v>
      </c>
      <c r="DR19" s="23">
        <f>373/351</f>
        <v>1.0626780626780628</v>
      </c>
      <c r="DS19" s="42">
        <f>361/317</f>
        <v>1.138801261829653</v>
      </c>
      <c r="DT19" s="42">
        <f>358/309</f>
        <v>1.1585760517799353</v>
      </c>
      <c r="DU19" s="42">
        <f>356/296</f>
        <v>1.2027027027027026</v>
      </c>
      <c r="DV19" s="42">
        <f>351/295</f>
        <v>1.1898305084745762</v>
      </c>
      <c r="DW19" s="23">
        <f>317/292</f>
        <v>1.0856164383561644</v>
      </c>
      <c r="DX19" s="23">
        <f>309/282</f>
        <v>1.0957446808510638</v>
      </c>
      <c r="DY19" s="23">
        <f>296/277</f>
        <v>1.0685920577617329</v>
      </c>
      <c r="DZ19" s="42">
        <f>295/258</f>
        <v>1.1434108527131783</v>
      </c>
      <c r="EA19" s="42">
        <f>292/245</f>
        <v>1.1918367346938776</v>
      </c>
      <c r="EB19" s="42">
        <f>282/242</f>
        <v>1.165289256198347</v>
      </c>
      <c r="EC19" s="42">
        <f>277/237</f>
        <v>1.1687763713080168</v>
      </c>
      <c r="ED19" s="42">
        <f>258/232</f>
        <v>1.1120689655172413</v>
      </c>
      <c r="EE19" s="23">
        <f>245/231</f>
        <v>1.0606060606060606</v>
      </c>
      <c r="EF19" s="23">
        <f>242/230</f>
        <v>1.0521739130434782</v>
      </c>
      <c r="EG19" s="23">
        <f>237/229</f>
        <v>1.034934497816594</v>
      </c>
      <c r="EH19" s="23">
        <f>232/226</f>
        <v>1.0265486725663717</v>
      </c>
      <c r="EI19" s="23">
        <f>231/226</f>
        <v>1.0221238938053097</v>
      </c>
      <c r="EJ19" s="28">
        <f>230/226</f>
        <v>1.0176991150442478</v>
      </c>
      <c r="EK19" s="28">
        <f>229/226</f>
        <v>1.0132743362831858</v>
      </c>
      <c r="EL19" s="28">
        <f>226/223</f>
        <v>1.0134529147982063</v>
      </c>
      <c r="EM19" s="28">
        <f>226/223</f>
        <v>1.0134529147982063</v>
      </c>
      <c r="EN19" s="28">
        <f>226/223</f>
        <v>1.0134529147982063</v>
      </c>
      <c r="EO19" s="28">
        <f>226/223</f>
        <v>1.0134529147982063</v>
      </c>
      <c r="EP19" s="21">
        <v>1</v>
      </c>
      <c r="EQ19" s="21">
        <v>1</v>
      </c>
      <c r="ER19" s="22">
        <f>223/222</f>
        <v>1.0045045045045045</v>
      </c>
      <c r="ES19" s="22">
        <f>223/222</f>
        <v>1.0045045045045045</v>
      </c>
      <c r="ET19" s="22">
        <f>223/222</f>
        <v>1.0045045045045045</v>
      </c>
      <c r="EU19" s="22">
        <f>223/222</f>
        <v>1.0045045045045045</v>
      </c>
      <c r="EV19" s="21">
        <v>1</v>
      </c>
      <c r="EW19" s="21">
        <v>1</v>
      </c>
      <c r="EX19" s="21">
        <v>1</v>
      </c>
      <c r="EY19" s="21">
        <v>1</v>
      </c>
      <c r="EZ19" s="21">
        <v>1</v>
      </c>
      <c r="FA19" s="21">
        <v>1</v>
      </c>
      <c r="FB19" s="21">
        <v>1</v>
      </c>
      <c r="FC19" s="21">
        <v>1</v>
      </c>
      <c r="FD19" s="21">
        <v>1</v>
      </c>
      <c r="FE19" s="21">
        <v>1</v>
      </c>
      <c r="FF19" s="21">
        <v>1</v>
      </c>
      <c r="FG19" s="22">
        <f>222/221</f>
        <v>1.004524886877828</v>
      </c>
      <c r="FH19" s="22">
        <f>222/221</f>
        <v>1.004524886877828</v>
      </c>
      <c r="FI19" s="22">
        <f>222/221</f>
        <v>1.004524886877828</v>
      </c>
      <c r="FJ19" s="22">
        <f>222/221</f>
        <v>1.004524886877828</v>
      </c>
      <c r="FK19" s="21">
        <v>1</v>
      </c>
      <c r="FL19" s="21">
        <v>1</v>
      </c>
      <c r="FM19" s="21">
        <v>1</v>
      </c>
      <c r="FN19" s="21">
        <v>1</v>
      </c>
      <c r="FO19" s="21">
        <v>1</v>
      </c>
      <c r="FP19" s="21">
        <v>1</v>
      </c>
      <c r="FQ19" s="21">
        <v>1</v>
      </c>
      <c r="FR19" s="21">
        <v>1</v>
      </c>
      <c r="FS19" s="21">
        <v>1</v>
      </c>
      <c r="FT19" s="21">
        <v>1</v>
      </c>
      <c r="FU19" s="21">
        <v>1</v>
      </c>
      <c r="FV19" s="21">
        <v>1</v>
      </c>
      <c r="FW19" s="21">
        <v>1</v>
      </c>
      <c r="FX19" s="21">
        <v>1</v>
      </c>
      <c r="FY19" s="21">
        <v>1</v>
      </c>
      <c r="FZ19" s="21">
        <v>1</v>
      </c>
      <c r="GA19" s="21">
        <v>1</v>
      </c>
      <c r="GB19" s="21">
        <v>1</v>
      </c>
      <c r="GC19" s="21">
        <v>1</v>
      </c>
      <c r="GD19" s="21">
        <v>1</v>
      </c>
      <c r="GE19" s="21">
        <v>1</v>
      </c>
      <c r="GF19" s="21">
        <v>1</v>
      </c>
      <c r="GG19" s="21">
        <v>1</v>
      </c>
      <c r="GH19" s="21">
        <v>1</v>
      </c>
      <c r="GI19" s="21">
        <v>1</v>
      </c>
      <c r="GJ19" s="21">
        <v>1</v>
      </c>
      <c r="GK19" s="21">
        <v>1</v>
      </c>
      <c r="GL19" s="21">
        <v>1</v>
      </c>
      <c r="GM19" s="21">
        <v>1</v>
      </c>
      <c r="GN19" s="21">
        <v>1</v>
      </c>
      <c r="GO19" s="21">
        <v>1</v>
      </c>
      <c r="GP19" s="21">
        <f>GP18/GT18</f>
        <v>1</v>
      </c>
      <c r="GQ19" s="21">
        <v>1</v>
      </c>
      <c r="GR19" s="29">
        <v>1</v>
      </c>
      <c r="GS19" s="29">
        <v>1</v>
      </c>
      <c r="GT19" s="29">
        <v>1</v>
      </c>
      <c r="GU19" s="29">
        <v>1</v>
      </c>
      <c r="GV19" s="29">
        <v>1</v>
      </c>
      <c r="GW19" s="29">
        <v>1</v>
      </c>
      <c r="GX19" s="29">
        <v>1</v>
      </c>
      <c r="GY19" s="29">
        <v>1</v>
      </c>
      <c r="GZ19" s="25">
        <f>221/219</f>
        <v>1.0091324200913243</v>
      </c>
      <c r="HA19" s="25">
        <f>221/219</f>
        <v>1.0091324200913243</v>
      </c>
      <c r="HB19" s="25">
        <v>1.0091324200913201</v>
      </c>
      <c r="HC19" s="26">
        <f>221/218</f>
        <v>1.0137614678899083</v>
      </c>
      <c r="HD19" s="26">
        <f>219/215</f>
        <v>1.0186046511627906</v>
      </c>
      <c r="HE19" s="26">
        <f>219/215</f>
        <v>1.0186046511627906</v>
      </c>
      <c r="HF19" s="26">
        <f>218/215</f>
        <v>1.0139534883720931</v>
      </c>
      <c r="HG19" s="26">
        <f>218/214</f>
        <v>1.0186915887850467</v>
      </c>
      <c r="HH19" s="25">
        <f>215/213</f>
        <v>1.0093896713615023</v>
      </c>
      <c r="HI19" s="25">
        <f>215/213</f>
        <v>1.0093896713615023</v>
      </c>
      <c r="HJ19" s="25">
        <f>215/213</f>
        <v>1.0093896713615023</v>
      </c>
      <c r="HK19" s="25">
        <f>214/212</f>
        <v>1.0094339622641511</v>
      </c>
      <c r="HL19" s="25">
        <f>213/211</f>
        <v>1.0094786729857821</v>
      </c>
      <c r="HM19" s="25">
        <f>213/211</f>
        <v>1.0094786729857821</v>
      </c>
      <c r="HN19" s="26">
        <f>213/209</f>
        <v>1.0191387559808613</v>
      </c>
      <c r="HO19" s="35">
        <f>212/207</f>
        <v>1.0241545893719808</v>
      </c>
      <c r="HP19" s="36"/>
    </row>
    <row r="20" spans="1:230" s="8" customFormat="1" ht="15.75" thickBo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19"/>
      <c r="BT20" s="19"/>
      <c r="BU20" s="4"/>
      <c r="BV20" s="4"/>
      <c r="BW20" s="19"/>
      <c r="BX20" s="19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3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19"/>
      <c r="DL20" s="34"/>
      <c r="DM20" s="4"/>
      <c r="DN20" s="4"/>
      <c r="DO20" s="3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5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5"/>
      <c r="GP20" s="5"/>
      <c r="GQ20" s="4"/>
      <c r="GR20" s="5"/>
      <c r="GS20" s="5"/>
      <c r="GT20" s="5"/>
      <c r="GU20" s="5"/>
      <c r="GV20" s="5"/>
      <c r="GW20" s="5"/>
      <c r="GX20" s="5"/>
      <c r="GY20" s="5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</row>
    <row r="21" spans="1:230" ht="15.75" x14ac:dyDescent="0.25">
      <c r="A21" s="50" t="s">
        <v>14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19"/>
      <c r="BG21" s="4"/>
      <c r="BH21" s="4"/>
      <c r="BI21" s="4"/>
      <c r="BJ21" s="4"/>
      <c r="BK21" s="4"/>
      <c r="BL21" s="4"/>
      <c r="BM21" s="4"/>
      <c r="BN21" s="4"/>
      <c r="BO21" s="4"/>
      <c r="BP21" s="19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5"/>
      <c r="ES21" s="4"/>
      <c r="ET21" s="4"/>
      <c r="EU21" s="4"/>
      <c r="EV21" s="4"/>
      <c r="EW21" s="4"/>
      <c r="EX21" s="19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19"/>
      <c r="GH21" s="19"/>
      <c r="GI21" s="19"/>
      <c r="GJ21" s="19"/>
      <c r="GK21" s="19"/>
      <c r="GL21" s="19"/>
      <c r="GM21" s="19"/>
      <c r="GN21" s="19"/>
      <c r="GO21" s="15"/>
      <c r="GP21" s="15"/>
      <c r="GQ21" s="19"/>
      <c r="GR21" s="15"/>
      <c r="GS21" s="15"/>
      <c r="GT21" s="15"/>
      <c r="GU21" s="15"/>
      <c r="GV21" s="15"/>
      <c r="GW21" s="15"/>
      <c r="GX21" s="15"/>
      <c r="GY21" s="15"/>
      <c r="GZ21" s="7"/>
      <c r="HA21" s="7"/>
      <c r="HB21" s="7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</row>
    <row r="22" spans="1:230" ht="16.5" thickBot="1" x14ac:dyDescent="0.3">
      <c r="A22" s="40" t="s">
        <v>9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>
        <v>1</v>
      </c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81"/>
      <c r="DQ22" s="82"/>
      <c r="DR22" s="82"/>
      <c r="DS22" s="82"/>
      <c r="DT22" s="82"/>
      <c r="DU22" s="82"/>
      <c r="DV22" s="82"/>
      <c r="DW22" s="82"/>
      <c r="DX22" s="53"/>
      <c r="DY22" s="81"/>
      <c r="DZ22" s="82"/>
      <c r="EA22" s="82"/>
      <c r="EB22" s="82"/>
      <c r="EC22" s="82"/>
      <c r="ED22" s="82"/>
      <c r="EE22" s="82"/>
      <c r="EF22" s="82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  <c r="EW22" s="19"/>
      <c r="EX22" s="19"/>
      <c r="EY22" s="19"/>
      <c r="EZ22" s="19"/>
      <c r="FA22" s="19"/>
      <c r="FB22" s="19"/>
      <c r="FC22" s="19"/>
      <c r="FD22" s="19"/>
      <c r="FE22" s="19"/>
      <c r="FF22" s="19"/>
      <c r="FG22" s="19"/>
      <c r="FH22" s="19"/>
      <c r="FI22" s="19"/>
      <c r="FJ22" s="19"/>
      <c r="FK22" s="19"/>
      <c r="FL22" s="19"/>
      <c r="FM22" s="15"/>
      <c r="FN22" s="15"/>
      <c r="FO22" s="19"/>
      <c r="FP22" s="15"/>
      <c r="FQ22" s="15"/>
      <c r="FR22" s="19"/>
      <c r="FS22" s="19"/>
      <c r="FT22" s="15"/>
      <c r="FU22" s="15"/>
      <c r="FV22" s="15"/>
      <c r="FW22" s="15"/>
      <c r="FX22" s="7"/>
      <c r="FY22" s="7"/>
      <c r="FZ22" s="7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7"/>
      <c r="GP22" s="6"/>
      <c r="GQ22" s="6"/>
      <c r="GR22" s="6"/>
      <c r="GS22" s="6"/>
      <c r="GT22" s="6"/>
      <c r="GU22" s="1"/>
      <c r="GV22" s="1"/>
      <c r="GW22" s="1"/>
      <c r="GX22" s="1"/>
      <c r="GY22" s="1"/>
    </row>
    <row r="23" spans="1:230" ht="16.5" thickBot="1" x14ac:dyDescent="0.3">
      <c r="A23" s="38" t="s">
        <v>11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 t="s">
        <v>20</v>
      </c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  <c r="BA23" s="49"/>
      <c r="BB23" s="49"/>
      <c r="BC23" s="49"/>
      <c r="BD23" s="49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4"/>
      <c r="DD23" s="53"/>
      <c r="DE23" s="81"/>
      <c r="DF23" s="82"/>
      <c r="DG23" s="82"/>
      <c r="DH23" s="82"/>
      <c r="DI23" s="85"/>
      <c r="DJ23" s="53"/>
      <c r="DK23" s="53"/>
      <c r="DL23" s="53"/>
      <c r="DM23" s="54"/>
      <c r="DN23" s="55"/>
      <c r="DO23" s="54"/>
      <c r="DP23" s="81"/>
      <c r="DQ23" s="82"/>
      <c r="DR23" s="82"/>
      <c r="DS23" s="82"/>
      <c r="DT23" s="82"/>
      <c r="DU23" s="82"/>
      <c r="DV23" s="82"/>
      <c r="DW23" s="82"/>
      <c r="DX23" s="55"/>
      <c r="DY23" s="81"/>
      <c r="DZ23" s="82"/>
      <c r="EA23" s="82"/>
      <c r="EB23" s="82"/>
      <c r="EC23" s="82"/>
      <c r="ED23" s="82"/>
      <c r="EE23" s="82"/>
      <c r="EF23" s="82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  <c r="EW23" s="19"/>
      <c r="EX23" s="19"/>
      <c r="EY23" s="19"/>
      <c r="EZ23" s="19"/>
      <c r="FA23" s="19"/>
      <c r="FB23" s="19"/>
      <c r="FC23" s="19"/>
      <c r="FD23" s="19"/>
      <c r="FE23" s="19"/>
      <c r="FF23" s="19"/>
      <c r="FG23" s="19"/>
      <c r="FH23" s="19"/>
      <c r="FI23" s="19"/>
      <c r="FJ23" s="19"/>
      <c r="FK23" s="19"/>
      <c r="FL23" s="19"/>
      <c r="FM23" s="15"/>
      <c r="FN23" s="15"/>
      <c r="FO23" s="19"/>
      <c r="FP23" s="15"/>
      <c r="FQ23" s="15"/>
      <c r="FR23" s="19"/>
      <c r="FS23" s="19"/>
      <c r="FT23" s="15"/>
      <c r="FU23" s="15"/>
      <c r="FV23" s="15"/>
      <c r="FW23" s="15"/>
      <c r="FX23" s="7"/>
      <c r="FY23" s="7"/>
      <c r="FZ23" s="7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1"/>
      <c r="GV23" s="1"/>
      <c r="GW23" s="1"/>
      <c r="GX23" s="1"/>
      <c r="GY23" s="1"/>
    </row>
    <row r="24" spans="1:230" ht="16.5" thickBot="1" x14ac:dyDescent="0.3">
      <c r="A24" s="39" t="s">
        <v>12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 t="s">
        <v>22</v>
      </c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4"/>
      <c r="AH24" s="44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56"/>
      <c r="BF24" s="56"/>
      <c r="BG24" s="56"/>
      <c r="BH24" s="56"/>
      <c r="BI24" s="56"/>
      <c r="BJ24" s="56"/>
      <c r="BK24" s="56"/>
      <c r="BL24" s="56"/>
      <c r="BM24" s="56"/>
      <c r="BN24" s="56"/>
      <c r="BO24" s="56"/>
      <c r="BP24" s="56"/>
      <c r="BQ24" s="56"/>
      <c r="BR24" s="56"/>
      <c r="BS24" s="56"/>
      <c r="BT24" s="56"/>
      <c r="BU24" s="56"/>
      <c r="BV24" s="56"/>
      <c r="BW24" s="56"/>
      <c r="BX24" s="56"/>
      <c r="BY24" s="56"/>
      <c r="BZ24" s="56"/>
      <c r="CA24" s="56"/>
      <c r="CB24" s="56"/>
      <c r="CC24" s="56"/>
      <c r="CD24" s="56"/>
      <c r="CE24" s="56"/>
      <c r="CF24" s="56"/>
      <c r="CG24" s="56"/>
      <c r="CH24" s="56"/>
      <c r="CI24" s="56"/>
      <c r="CJ24" s="56"/>
      <c r="CK24" s="56"/>
      <c r="CL24" s="56"/>
      <c r="CM24" s="56"/>
      <c r="CN24" s="56"/>
      <c r="CO24" s="56"/>
      <c r="CP24" s="56"/>
      <c r="CQ24" s="56"/>
      <c r="CR24" s="56"/>
      <c r="CS24" s="56"/>
      <c r="CT24" s="56"/>
      <c r="CU24" s="56"/>
      <c r="CV24" s="56"/>
      <c r="CW24" s="56"/>
      <c r="CX24" s="56"/>
      <c r="CY24" s="56"/>
      <c r="CZ24" s="56"/>
      <c r="DA24" s="56"/>
      <c r="DB24" s="56"/>
      <c r="DC24" s="54"/>
      <c r="DD24" s="57"/>
      <c r="DE24" s="81"/>
      <c r="DF24" s="82"/>
      <c r="DG24" s="82"/>
      <c r="DH24" s="82"/>
      <c r="DI24" s="82"/>
      <c r="DJ24" s="82"/>
      <c r="DK24" s="82"/>
      <c r="DL24" s="85"/>
      <c r="DM24" s="54"/>
      <c r="DN24" s="54"/>
      <c r="DO24" s="54"/>
      <c r="DP24" s="81"/>
      <c r="DQ24" s="82"/>
      <c r="DR24" s="82"/>
      <c r="DS24" s="82"/>
      <c r="DT24" s="82"/>
      <c r="DU24" s="82"/>
      <c r="DV24" s="82"/>
      <c r="DW24" s="82"/>
      <c r="DX24" s="54"/>
      <c r="DY24" s="81"/>
      <c r="DZ24" s="82"/>
      <c r="EA24" s="82"/>
      <c r="EB24" s="82"/>
      <c r="EC24" s="82"/>
      <c r="ED24" s="82"/>
      <c r="EE24" s="82"/>
      <c r="EF24" s="82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  <c r="EW24" s="19"/>
      <c r="EX24" s="19"/>
      <c r="EY24" s="19"/>
      <c r="EZ24" s="19"/>
      <c r="FA24" s="19"/>
      <c r="FB24" s="19"/>
      <c r="FC24" s="19"/>
      <c r="FD24" s="19"/>
      <c r="FE24" s="19"/>
      <c r="FF24" s="24"/>
      <c r="FG24" s="19"/>
      <c r="FH24" s="19"/>
      <c r="FI24" s="19"/>
      <c r="FJ24" s="19"/>
      <c r="FK24" s="19"/>
      <c r="FL24" s="19"/>
      <c r="FM24" s="15"/>
      <c r="FN24" s="15"/>
      <c r="FO24" s="19"/>
      <c r="FP24" s="15"/>
      <c r="FQ24" s="15"/>
      <c r="FR24" s="19"/>
      <c r="FS24" s="19"/>
      <c r="FT24" s="15"/>
      <c r="FU24" s="15"/>
      <c r="FV24" s="15"/>
      <c r="FW24" s="15"/>
      <c r="FX24" s="7"/>
      <c r="FY24" s="7"/>
      <c r="FZ24" s="7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1"/>
      <c r="GV24" s="1"/>
      <c r="GW24" s="1"/>
      <c r="GX24" s="1"/>
      <c r="GY24" s="1"/>
    </row>
    <row r="25" spans="1:230" s="69" customFormat="1" ht="16.5" thickBot="1" x14ac:dyDescent="0.3">
      <c r="A25" s="52" t="s">
        <v>13</v>
      </c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 t="s">
        <v>21</v>
      </c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4"/>
      <c r="DD25" s="63"/>
      <c r="DE25" s="80"/>
      <c r="DF25" s="80"/>
      <c r="DG25" s="80"/>
      <c r="DH25" s="80"/>
      <c r="DI25" s="80"/>
      <c r="DJ25" s="63"/>
      <c r="DK25" s="63"/>
      <c r="DL25" s="63"/>
      <c r="DM25" s="63"/>
      <c r="DN25" s="65"/>
      <c r="DO25" s="64"/>
      <c r="DP25" s="83"/>
      <c r="DQ25" s="80"/>
      <c r="DR25" s="80"/>
      <c r="DS25" s="80"/>
      <c r="DT25" s="80"/>
      <c r="DU25" s="80"/>
      <c r="DV25" s="80"/>
      <c r="DW25" s="80"/>
      <c r="DX25" s="64"/>
      <c r="DY25" s="83"/>
      <c r="DZ25" s="80"/>
      <c r="EA25" s="80"/>
      <c r="EB25" s="80"/>
      <c r="EC25" s="80"/>
      <c r="ED25" s="80"/>
      <c r="EE25" s="80"/>
      <c r="EF25" s="80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6"/>
      <c r="FJ25" s="66"/>
      <c r="FK25" s="66"/>
      <c r="FL25" s="66"/>
      <c r="FM25" s="67"/>
      <c r="FN25" s="67"/>
      <c r="FO25" s="66"/>
      <c r="FP25" s="67"/>
      <c r="FQ25" s="67"/>
      <c r="FR25" s="67"/>
      <c r="FS25" s="67"/>
      <c r="FT25" s="67"/>
      <c r="FU25" s="67"/>
      <c r="FV25" s="67"/>
      <c r="FW25" s="67"/>
      <c r="FX25" s="68"/>
      <c r="FY25" s="68"/>
      <c r="FZ25" s="68"/>
      <c r="GA25" s="68"/>
      <c r="GB25" s="68"/>
      <c r="GC25" s="68"/>
      <c r="GD25" s="68"/>
      <c r="GE25" s="68"/>
      <c r="GF25" s="68"/>
      <c r="GG25" s="68"/>
      <c r="GH25" s="68"/>
      <c r="GI25" s="68"/>
      <c r="GJ25" s="68"/>
      <c r="GK25" s="68"/>
      <c r="GL25" s="68"/>
      <c r="GM25" s="68"/>
      <c r="GN25" s="68"/>
      <c r="GO25" s="68"/>
      <c r="GP25" s="68"/>
      <c r="GQ25" s="68"/>
      <c r="GR25" s="68"/>
      <c r="GS25" s="68"/>
      <c r="GT25" s="68"/>
    </row>
    <row r="26" spans="1:230" s="76" customFormat="1" ht="16.5" thickBot="1" x14ac:dyDescent="0.3">
      <c r="A26" s="51" t="s">
        <v>10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7">
        <v>1.1000000000000001</v>
      </c>
      <c r="P26" s="70"/>
      <c r="Q26" s="70"/>
      <c r="R26" s="70"/>
      <c r="S26" s="70"/>
      <c r="T26" s="70"/>
      <c r="U26" s="70"/>
      <c r="V26" s="77"/>
      <c r="W26" s="70"/>
      <c r="X26" s="70"/>
      <c r="Y26" s="70"/>
      <c r="Z26" s="70"/>
      <c r="AA26" s="70"/>
      <c r="AB26" s="70"/>
      <c r="AC26" s="70"/>
      <c r="AD26" s="70"/>
      <c r="AE26" s="70"/>
      <c r="AF26" s="70"/>
      <c r="AG26" s="70"/>
      <c r="AH26" s="70"/>
      <c r="AI26" s="70"/>
      <c r="AJ26" s="70"/>
      <c r="AK26" s="70"/>
      <c r="AL26" s="70"/>
      <c r="AM26" s="70"/>
      <c r="AN26" s="70"/>
      <c r="AO26" s="70"/>
      <c r="AP26" s="70"/>
      <c r="AQ26" s="70"/>
      <c r="AR26" s="70"/>
      <c r="AS26" s="70"/>
      <c r="AT26" s="70"/>
      <c r="AU26" s="70"/>
      <c r="AV26" s="70"/>
      <c r="AW26" s="70"/>
      <c r="AX26" s="70"/>
      <c r="AY26" s="70"/>
      <c r="AZ26" s="70"/>
      <c r="BA26" s="70"/>
      <c r="BB26" s="70"/>
      <c r="BC26" s="70"/>
      <c r="BD26" s="70"/>
      <c r="BE26" s="70"/>
      <c r="BF26" s="70"/>
      <c r="BG26" s="70"/>
      <c r="BH26" s="70"/>
      <c r="BI26" s="70"/>
      <c r="BJ26" s="70"/>
      <c r="BK26" s="70"/>
      <c r="BL26" s="70"/>
      <c r="BM26" s="70"/>
      <c r="BN26" s="70"/>
      <c r="BO26" s="70"/>
      <c r="BP26" s="70"/>
      <c r="BQ26" s="70"/>
      <c r="BR26" s="70"/>
      <c r="BS26" s="70"/>
      <c r="BT26" s="70"/>
      <c r="BU26" s="70"/>
      <c r="BV26" s="70"/>
      <c r="BW26" s="70"/>
      <c r="BX26" s="70"/>
      <c r="BY26" s="70"/>
      <c r="BZ26" s="70"/>
      <c r="CA26" s="70"/>
      <c r="CB26" s="70"/>
      <c r="CC26" s="70"/>
      <c r="CD26" s="70"/>
      <c r="CE26" s="70"/>
      <c r="CF26" s="70"/>
      <c r="CG26" s="70"/>
      <c r="CH26" s="70"/>
      <c r="CI26" s="70"/>
      <c r="CJ26" s="70"/>
      <c r="CK26" s="70"/>
      <c r="CL26" s="70"/>
      <c r="CM26" s="70"/>
      <c r="CN26" s="70"/>
      <c r="CO26" s="70"/>
      <c r="CP26" s="70"/>
      <c r="CQ26" s="70"/>
      <c r="CR26" s="70"/>
      <c r="CS26" s="70"/>
      <c r="CT26" s="70"/>
      <c r="CU26" s="70"/>
      <c r="CV26" s="70"/>
      <c r="CW26" s="70"/>
      <c r="CX26" s="70"/>
      <c r="CY26" s="70"/>
      <c r="CZ26" s="70"/>
      <c r="DA26" s="70"/>
      <c r="DB26" s="71"/>
      <c r="DC26" s="72"/>
      <c r="DD26" s="71"/>
      <c r="DE26" s="79"/>
      <c r="DF26" s="79"/>
      <c r="DG26" s="79"/>
      <c r="DH26" s="79"/>
      <c r="DI26" s="79"/>
      <c r="DJ26" s="70"/>
      <c r="DK26" s="70"/>
      <c r="DL26" s="70"/>
      <c r="DM26" s="70"/>
      <c r="DN26" s="72"/>
      <c r="DO26" s="72"/>
      <c r="DP26" s="84"/>
      <c r="DQ26" s="79"/>
      <c r="DR26" s="79"/>
      <c r="DS26" s="79"/>
      <c r="DT26" s="79"/>
      <c r="DU26" s="79"/>
      <c r="DV26" s="79"/>
      <c r="DW26" s="79"/>
      <c r="DX26" s="72"/>
      <c r="DY26" s="84"/>
      <c r="DZ26" s="79"/>
      <c r="EA26" s="79"/>
      <c r="EB26" s="79"/>
      <c r="EC26" s="79"/>
      <c r="ED26" s="79"/>
      <c r="EE26" s="79"/>
      <c r="EF26" s="79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  <c r="FB26" s="73"/>
      <c r="FC26" s="73"/>
      <c r="FD26" s="73"/>
      <c r="FE26" s="73"/>
      <c r="FF26" s="73"/>
      <c r="FG26" s="73"/>
      <c r="FH26" s="73"/>
      <c r="FI26" s="73"/>
      <c r="FJ26" s="73"/>
      <c r="FK26" s="73"/>
      <c r="FL26" s="73"/>
      <c r="FM26" s="74"/>
      <c r="FN26" s="74"/>
      <c r="FO26" s="73"/>
      <c r="FP26" s="74"/>
      <c r="FQ26" s="74"/>
      <c r="FR26" s="74"/>
      <c r="FS26" s="74"/>
      <c r="FT26" s="74"/>
      <c r="FU26" s="74"/>
      <c r="FV26" s="74"/>
      <c r="FW26" s="74"/>
      <c r="FX26" s="75"/>
      <c r="FY26" s="75"/>
      <c r="FZ26" s="75"/>
      <c r="GA26" s="75"/>
      <c r="GB26" s="75"/>
      <c r="GC26" s="75"/>
      <c r="GD26" s="75"/>
      <c r="GE26" s="75"/>
      <c r="GF26" s="75"/>
      <c r="GG26" s="75"/>
      <c r="GH26" s="75"/>
      <c r="GI26" s="75"/>
      <c r="GJ26" s="75"/>
      <c r="GK26" s="75"/>
      <c r="GL26" s="75"/>
      <c r="GM26" s="75"/>
      <c r="GN26" s="75"/>
      <c r="GO26" s="75"/>
      <c r="GP26" s="75"/>
      <c r="GQ26" s="75"/>
      <c r="GR26" s="75"/>
      <c r="GS26" s="75"/>
      <c r="GT26" s="75"/>
    </row>
    <row r="27" spans="1:230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70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5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5"/>
      <c r="GP27" s="5"/>
      <c r="GQ27" s="4"/>
      <c r="GR27" s="5"/>
      <c r="GS27" s="5"/>
      <c r="GT27" s="5"/>
      <c r="GU27" s="5"/>
      <c r="GV27" s="5"/>
      <c r="GW27" s="5"/>
      <c r="GX27" s="5"/>
      <c r="GY27" s="5"/>
      <c r="GZ27" s="6"/>
      <c r="HA27" s="6"/>
      <c r="HB27" s="6"/>
      <c r="HC27" s="6"/>
      <c r="HD27" s="6"/>
      <c r="HE27" s="6"/>
      <c r="HF27" s="6"/>
      <c r="HG27" s="7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</row>
    <row r="28" spans="1:230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 t="s">
        <v>0</v>
      </c>
      <c r="Q28" s="4">
        <f>I2/M2</f>
        <v>1.0186028587443947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5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5"/>
      <c r="FY28" s="5"/>
      <c r="FZ28" s="4"/>
      <c r="GA28" s="5"/>
      <c r="GB28" s="5"/>
      <c r="GC28" s="5"/>
      <c r="GD28" s="5"/>
      <c r="GE28" s="14"/>
      <c r="GF28" s="14"/>
      <c r="GG28" s="14"/>
      <c r="GH28" s="14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6"/>
      <c r="GX28" s="6"/>
      <c r="GY28" s="6"/>
      <c r="GZ28" s="6"/>
      <c r="HA28" s="6"/>
      <c r="HB28" s="6"/>
      <c r="HC28" s="6"/>
      <c r="HD28" s="6"/>
      <c r="HE28" s="6"/>
    </row>
    <row r="29" spans="1:230" ht="15.75" x14ac:dyDescent="0.25">
      <c r="A29" s="78" t="s">
        <v>47</v>
      </c>
      <c r="M29" s="2">
        <v>61</v>
      </c>
      <c r="N29" s="4"/>
      <c r="O29" s="4" t="s">
        <v>18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5"/>
      <c r="DC29" s="4"/>
      <c r="DD29" s="4"/>
      <c r="DE29" s="4"/>
      <c r="DF29" s="43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5"/>
      <c r="EZ29" s="5"/>
      <c r="FA29" s="4"/>
      <c r="FB29" s="5"/>
      <c r="FC29" s="5"/>
      <c r="FD29" s="5"/>
      <c r="FE29" s="5"/>
      <c r="FF29" s="14"/>
      <c r="FG29" s="14"/>
      <c r="FH29" s="14"/>
      <c r="FI29" s="14"/>
      <c r="FJ29" s="13"/>
      <c r="FK29" s="13"/>
      <c r="FL29" s="13"/>
      <c r="FM29" s="13"/>
      <c r="FN29" s="13"/>
      <c r="FO29" s="13"/>
      <c r="FP29" s="13"/>
      <c r="FQ29" s="13"/>
      <c r="FR29" s="13"/>
      <c r="FS29" s="13"/>
      <c r="FT29" s="13"/>
      <c r="FU29" s="13"/>
      <c r="FV29" s="13"/>
      <c r="FW29" s="13"/>
      <c r="FX29" s="6"/>
      <c r="FY29" s="6"/>
      <c r="FZ29" s="6"/>
      <c r="GA29" s="6"/>
      <c r="GB29" s="6"/>
      <c r="GC29" s="6"/>
      <c r="GD29" s="6"/>
      <c r="GE29" s="6"/>
      <c r="GF29" s="6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</row>
    <row r="30" spans="1:230" ht="15.75" x14ac:dyDescent="0.25">
      <c r="A30" s="78" t="s">
        <v>48</v>
      </c>
      <c r="M30" s="2">
        <v>11</v>
      </c>
      <c r="N30" s="4"/>
      <c r="O30" s="4" t="s">
        <v>5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19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5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5"/>
      <c r="EZ30" s="5"/>
      <c r="FA30" s="4"/>
      <c r="FB30" s="5"/>
      <c r="FC30" s="5"/>
      <c r="FD30" s="5"/>
      <c r="FE30" s="5"/>
      <c r="FF30" s="16"/>
      <c r="FG30" s="15"/>
      <c r="FH30" s="15"/>
      <c r="FI30" s="15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17"/>
      <c r="FX30" s="6"/>
      <c r="FY30" s="6"/>
      <c r="FZ30" s="6"/>
      <c r="GA30" s="6"/>
      <c r="GB30" s="6"/>
      <c r="GC30" s="6"/>
      <c r="GD30" s="6"/>
      <c r="GE30" s="6"/>
      <c r="GF30" s="6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</row>
    <row r="31" spans="1:230" ht="15.75" x14ac:dyDescent="0.25">
      <c r="A31" s="78" t="s">
        <v>49</v>
      </c>
      <c r="M31" s="2">
        <v>8</v>
      </c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19"/>
      <c r="CS31" s="4"/>
      <c r="CT31" s="4"/>
      <c r="CU31" s="4"/>
      <c r="CV31" s="4"/>
      <c r="CW31" s="4"/>
      <c r="CX31" s="4"/>
      <c r="CY31" s="4"/>
      <c r="CZ31" s="4"/>
      <c r="DA31" s="4"/>
      <c r="DB31" s="5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5"/>
      <c r="EZ31" s="5"/>
      <c r="FA31" s="4"/>
      <c r="FB31" s="5"/>
      <c r="FC31" s="5"/>
      <c r="FD31" s="5"/>
      <c r="FE31" s="5"/>
      <c r="FF31" s="14"/>
      <c r="FG31" s="14"/>
      <c r="FH31" s="14"/>
      <c r="FI31" s="14"/>
      <c r="FJ31" s="13"/>
      <c r="FK31" s="13"/>
      <c r="FL31" s="13"/>
      <c r="FM31" s="13"/>
      <c r="FN31" s="13"/>
      <c r="FO31" s="13"/>
      <c r="FP31" s="13"/>
      <c r="FQ31" s="13"/>
      <c r="FR31" s="13"/>
      <c r="FS31" s="13"/>
      <c r="FT31" s="13"/>
      <c r="FU31" s="13"/>
      <c r="FV31" s="13"/>
      <c r="FW31" s="13"/>
      <c r="FX31" s="6"/>
      <c r="FY31" s="6"/>
      <c r="FZ31" s="6"/>
      <c r="GA31" s="6"/>
      <c r="GB31" s="6"/>
      <c r="GC31" s="6"/>
      <c r="GD31" s="6"/>
      <c r="GE31" s="6"/>
      <c r="GF31" s="6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</row>
    <row r="32" spans="1:230" ht="15.75" x14ac:dyDescent="0.25">
      <c r="A32" s="78" t="s">
        <v>23</v>
      </c>
      <c r="M32" s="2">
        <v>6</v>
      </c>
      <c r="N32" s="4"/>
      <c r="O32" s="4" t="s">
        <v>19</v>
      </c>
      <c r="P32" s="4">
        <f>((D18-R18)*100000)/136553</f>
        <v>159.64497301414102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5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5"/>
      <c r="EZ32" s="5"/>
      <c r="FA32" s="4"/>
      <c r="FB32" s="5"/>
      <c r="FC32" s="5"/>
      <c r="FD32" s="5"/>
      <c r="FE32" s="5"/>
      <c r="FF32" s="14"/>
      <c r="FG32" s="14"/>
      <c r="FH32" s="14"/>
      <c r="FI32" s="14"/>
      <c r="FJ32" s="13"/>
      <c r="FK32" s="13"/>
      <c r="FL32" s="13"/>
      <c r="FM32" s="13"/>
      <c r="FN32" s="13"/>
      <c r="FO32" s="13"/>
      <c r="FP32" s="13"/>
      <c r="FQ32" s="13"/>
      <c r="FR32" s="13"/>
      <c r="FS32" s="13"/>
      <c r="FT32" s="13"/>
      <c r="FU32" s="13"/>
      <c r="FV32" s="13"/>
      <c r="FW32" s="13"/>
      <c r="FX32" s="6"/>
      <c r="FY32" s="6"/>
      <c r="FZ32" s="6"/>
      <c r="GA32" s="6"/>
      <c r="GB32" s="6"/>
      <c r="GC32" s="6"/>
      <c r="GD32" s="6"/>
      <c r="GE32" s="6"/>
      <c r="GF32" s="6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</row>
    <row r="33" spans="1:207" ht="15.75" x14ac:dyDescent="0.25">
      <c r="A33" s="78" t="s">
        <v>24</v>
      </c>
      <c r="M33" s="2">
        <v>4</v>
      </c>
      <c r="N33" s="4"/>
      <c r="O33" s="4" t="s">
        <v>7</v>
      </c>
      <c r="P33" s="4">
        <f>((D16-R16)*100000)/101068</f>
        <v>102.90101713697709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5"/>
      <c r="DC33" s="4"/>
      <c r="DD33" s="4"/>
      <c r="DE33" s="4"/>
      <c r="DF33" s="4"/>
      <c r="DG33" s="4"/>
      <c r="DH33" s="4"/>
      <c r="DI33" s="4"/>
      <c r="DJ33" s="41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5"/>
      <c r="EZ33" s="5"/>
      <c r="FA33" s="4"/>
      <c r="FB33" s="5"/>
      <c r="FC33" s="5"/>
      <c r="FD33" s="5"/>
      <c r="FE33" s="5"/>
      <c r="FF33" s="14"/>
      <c r="FG33" s="14"/>
      <c r="FH33" s="14"/>
      <c r="FI33" s="14"/>
      <c r="FJ33" s="13"/>
      <c r="FK33" s="13"/>
      <c r="FL33" s="13"/>
      <c r="FM33" s="13"/>
      <c r="FN33" s="13"/>
      <c r="FO33" s="13"/>
      <c r="FP33" s="13"/>
      <c r="FQ33" s="13"/>
      <c r="FR33" s="13"/>
      <c r="FS33" s="13"/>
      <c r="FT33" s="13"/>
      <c r="FU33" s="13"/>
      <c r="FV33" s="13"/>
      <c r="FW33" s="13"/>
      <c r="FX33" s="6"/>
      <c r="FY33" s="6"/>
      <c r="FZ33" s="6"/>
      <c r="GA33" s="6"/>
      <c r="GB33" s="6"/>
      <c r="GC33" s="6"/>
      <c r="GD33" s="6"/>
      <c r="GE33" s="6"/>
      <c r="GF33" s="6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</row>
    <row r="34" spans="1:207" ht="15.75" x14ac:dyDescent="0.25">
      <c r="A34" s="78" t="s">
        <v>25</v>
      </c>
      <c r="M34" s="2">
        <v>4</v>
      </c>
      <c r="N34" s="4"/>
      <c r="O34" s="4" t="s">
        <v>6</v>
      </c>
      <c r="P34" s="4">
        <f>((D14-R14)*100000)/166870</f>
        <v>237.31048121292025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5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5"/>
      <c r="EZ34" s="5"/>
      <c r="FA34" s="4"/>
      <c r="FB34" s="5"/>
      <c r="FC34" s="5"/>
      <c r="FD34" s="5"/>
      <c r="FE34" s="5"/>
      <c r="FF34" s="16"/>
      <c r="FG34" s="15"/>
      <c r="FH34" s="15"/>
      <c r="FI34" s="15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17"/>
      <c r="FX34" s="6"/>
      <c r="FY34" s="6"/>
      <c r="FZ34" s="6"/>
      <c r="GA34" s="6"/>
      <c r="GB34" s="6"/>
      <c r="GC34" s="6"/>
      <c r="GD34" s="6"/>
      <c r="GE34" s="6"/>
      <c r="GF34" s="6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</row>
    <row r="35" spans="1:207" ht="15.75" x14ac:dyDescent="0.25">
      <c r="A35" s="78" t="s">
        <v>26</v>
      </c>
      <c r="M35" s="2">
        <v>4</v>
      </c>
      <c r="N35" s="4"/>
      <c r="O35" s="4" t="s">
        <v>5</v>
      </c>
      <c r="P35" s="4">
        <f>((D12-R12)*100000)/271885</f>
        <v>182.43007153759862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5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5"/>
      <c r="EZ35" s="5"/>
      <c r="FA35" s="4"/>
      <c r="FB35" s="5"/>
      <c r="FC35" s="5"/>
      <c r="FD35" s="5"/>
      <c r="FE35" s="5"/>
      <c r="FF35" s="14"/>
      <c r="FG35" s="14"/>
      <c r="FH35" s="14"/>
      <c r="FI35" s="14"/>
      <c r="FJ35" s="13"/>
      <c r="FK35" s="13"/>
      <c r="FL35" s="13"/>
      <c r="FM35" s="13"/>
      <c r="FN35" s="13"/>
      <c r="FO35" s="13"/>
      <c r="FP35" s="13"/>
      <c r="FQ35" s="13"/>
      <c r="FR35" s="13"/>
      <c r="FS35" s="13"/>
      <c r="FT35" s="13"/>
      <c r="FU35" s="13"/>
      <c r="FV35" s="13"/>
      <c r="FW35" s="13"/>
      <c r="FX35" s="6"/>
      <c r="FY35" s="6"/>
      <c r="FZ35" s="6"/>
      <c r="GA35" s="6"/>
      <c r="GB35" s="6"/>
      <c r="GC35" s="6"/>
      <c r="GD35" s="6"/>
      <c r="GE35" s="6"/>
      <c r="GF35" s="6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</row>
    <row r="36" spans="1:207" ht="15.75" x14ac:dyDescent="0.25">
      <c r="A36" s="78" t="s">
        <v>27</v>
      </c>
      <c r="M36" s="2">
        <v>7</v>
      </c>
      <c r="N36" s="4"/>
      <c r="O36" s="4" t="s">
        <v>18</v>
      </c>
      <c r="P36" s="4">
        <f>((D10-R10)*100000)/191067</f>
        <v>166.43376407228877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5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5"/>
      <c r="EZ36" s="5"/>
      <c r="FA36" s="4"/>
      <c r="FB36" s="5"/>
      <c r="FC36" s="5"/>
      <c r="FD36" s="5"/>
      <c r="FE36" s="5"/>
      <c r="FF36" s="14"/>
      <c r="FG36" s="14"/>
      <c r="FH36" s="14"/>
      <c r="FI36" s="14"/>
      <c r="FJ36" s="13"/>
      <c r="FK36" s="13"/>
      <c r="FL36" s="13"/>
      <c r="FM36" s="13"/>
      <c r="FN36" s="13"/>
      <c r="FO36" s="13"/>
      <c r="FP36" s="13"/>
      <c r="FQ36" s="13"/>
      <c r="FR36" s="13"/>
      <c r="FS36" s="13"/>
      <c r="FT36" s="13"/>
      <c r="FU36" s="13"/>
      <c r="FV36" s="13"/>
      <c r="FW36" s="13"/>
      <c r="FX36" s="6"/>
      <c r="FY36" s="6"/>
      <c r="FZ36" s="6"/>
      <c r="GA36" s="6"/>
      <c r="GB36" s="6"/>
      <c r="GC36" s="6"/>
      <c r="GD36" s="6"/>
      <c r="GE36" s="6"/>
      <c r="GF36" s="6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</row>
    <row r="37" spans="1:207" ht="15.75" x14ac:dyDescent="0.25">
      <c r="A37" s="78" t="s">
        <v>28</v>
      </c>
      <c r="M37" s="2">
        <v>6</v>
      </c>
      <c r="N37" s="4"/>
      <c r="O37" s="4" t="s">
        <v>3</v>
      </c>
      <c r="P37" s="4">
        <f>((D8-R8)*100000)/53159</f>
        <v>284.0534998777253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5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5"/>
      <c r="EZ37" s="5"/>
      <c r="FA37" s="4"/>
      <c r="FB37" s="5"/>
      <c r="FC37" s="5"/>
      <c r="FD37" s="5"/>
      <c r="FE37" s="5"/>
      <c r="FF37" s="16"/>
      <c r="FG37" s="15"/>
      <c r="FH37" s="15"/>
      <c r="FI37" s="15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17"/>
      <c r="FX37" s="6"/>
      <c r="FY37" s="6"/>
      <c r="FZ37" s="6"/>
      <c r="GA37" s="6"/>
      <c r="GB37" s="6"/>
      <c r="GC37" s="6"/>
      <c r="GD37" s="6"/>
      <c r="GE37" s="6"/>
      <c r="GF37" s="6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</row>
    <row r="38" spans="1:207" ht="15.75" x14ac:dyDescent="0.25">
      <c r="A38" s="78" t="s">
        <v>29</v>
      </c>
      <c r="M38" s="2">
        <v>5</v>
      </c>
      <c r="N38" s="4"/>
      <c r="O38" s="4" t="s">
        <v>2</v>
      </c>
      <c r="P38" s="4">
        <f>((D6-R6)*100000)/108640</f>
        <v>207.1060382916053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5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5"/>
      <c r="EZ38" s="5"/>
      <c r="FA38" s="4"/>
      <c r="FB38" s="5"/>
      <c r="FC38" s="5"/>
      <c r="FD38" s="5"/>
      <c r="FE38" s="5"/>
      <c r="FF38" s="14"/>
      <c r="FG38" s="14"/>
      <c r="FH38" s="14"/>
      <c r="FI38" s="14"/>
      <c r="FJ38" s="13"/>
      <c r="FK38" s="13"/>
      <c r="FL38" s="13"/>
      <c r="FM38" s="13"/>
      <c r="FN38" s="13"/>
      <c r="FO38" s="13"/>
      <c r="FP38" s="13"/>
      <c r="FQ38" s="13"/>
      <c r="FR38" s="13"/>
      <c r="FS38" s="13"/>
      <c r="FT38" s="13"/>
      <c r="FU38" s="13"/>
      <c r="FV38" s="13"/>
      <c r="FW38" s="13"/>
      <c r="FX38" s="6"/>
      <c r="FY38" s="6"/>
      <c r="FZ38" s="6"/>
      <c r="GA38" s="6"/>
      <c r="GB38" s="6"/>
      <c r="GC38" s="6"/>
      <c r="GD38" s="6"/>
      <c r="GE38" s="6"/>
      <c r="GF38" s="6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</row>
    <row r="39" spans="1:207" ht="15.75" x14ac:dyDescent="0.25">
      <c r="A39" s="78" t="s">
        <v>30</v>
      </c>
      <c r="M39" s="2">
        <v>4</v>
      </c>
      <c r="N39" s="4"/>
      <c r="O39" s="4" t="s">
        <v>1</v>
      </c>
      <c r="P39" s="4">
        <f>((D4-R4)*100000)/43621</f>
        <v>215.49253799775337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5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5"/>
      <c r="EZ39" s="5"/>
      <c r="FA39" s="4"/>
      <c r="FB39" s="5"/>
      <c r="FC39" s="5"/>
      <c r="FD39" s="5"/>
      <c r="FE39" s="5"/>
      <c r="FF39" s="14"/>
      <c r="FG39" s="14"/>
      <c r="FH39" s="14"/>
      <c r="FI39" s="14"/>
      <c r="FJ39" s="13"/>
      <c r="FK39" s="13"/>
      <c r="FL39" s="13"/>
      <c r="FM39" s="13"/>
      <c r="FN39" s="13"/>
      <c r="FO39" s="13"/>
      <c r="FP39" s="13"/>
      <c r="FQ39" s="13"/>
      <c r="FR39" s="13"/>
      <c r="FS39" s="13"/>
      <c r="FT39" s="13"/>
      <c r="FU39" s="13"/>
      <c r="FV39" s="13"/>
      <c r="FW39" s="13"/>
      <c r="FX39" s="6"/>
      <c r="FY39" s="6"/>
      <c r="FZ39" s="6"/>
      <c r="GA39" s="6"/>
      <c r="GB39" s="6"/>
      <c r="GC39" s="6"/>
      <c r="GD39" s="6"/>
      <c r="GE39" s="6"/>
      <c r="GF39" s="6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</row>
    <row r="40" spans="1:207" ht="15.75" x14ac:dyDescent="0.25">
      <c r="A40" s="78" t="s">
        <v>31</v>
      </c>
      <c r="M40" s="2">
        <v>4</v>
      </c>
      <c r="N40" s="4"/>
      <c r="O40" s="4" t="s">
        <v>0</v>
      </c>
      <c r="P40" s="4">
        <f>((D2-R2)*100000)/1065000</f>
        <v>187.98122065727699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5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5"/>
      <c r="EZ40" s="5"/>
      <c r="FA40" s="4"/>
      <c r="FB40" s="5"/>
      <c r="FC40" s="5"/>
      <c r="FD40" s="5"/>
      <c r="FE40" s="5"/>
      <c r="FF40" s="14"/>
      <c r="FG40" s="14"/>
      <c r="FH40" s="14"/>
      <c r="FI40" s="14"/>
      <c r="FJ40" s="13"/>
      <c r="FK40" s="13"/>
      <c r="FL40" s="13"/>
      <c r="FM40" s="13"/>
      <c r="FN40" s="13"/>
      <c r="FO40" s="13"/>
      <c r="FP40" s="13"/>
      <c r="FQ40" s="13"/>
      <c r="FR40" s="13"/>
      <c r="FS40" s="13"/>
      <c r="FT40" s="13"/>
      <c r="FU40" s="13"/>
      <c r="FV40" s="13"/>
      <c r="FW40" s="13"/>
      <c r="FX40" s="6"/>
      <c r="FY40" s="6"/>
      <c r="FZ40" s="6"/>
      <c r="GA40" s="6"/>
      <c r="GB40" s="6"/>
      <c r="GC40" s="6"/>
      <c r="GD40" s="6"/>
      <c r="GE40" s="6"/>
      <c r="GF40" s="6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</row>
    <row r="41" spans="1:207" ht="15.75" x14ac:dyDescent="0.25">
      <c r="A41" s="78" t="s">
        <v>32</v>
      </c>
      <c r="M41" s="2">
        <v>2</v>
      </c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5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5"/>
      <c r="FD41" s="5"/>
      <c r="FE41" s="4"/>
      <c r="FF41" s="5"/>
      <c r="FG41" s="5"/>
      <c r="FH41" s="5"/>
      <c r="FI41" s="5"/>
      <c r="FJ41" s="16"/>
      <c r="FK41" s="15"/>
      <c r="FL41" s="15"/>
      <c r="FM41" s="15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17"/>
      <c r="GB41" s="6"/>
      <c r="GC41" s="6"/>
      <c r="GD41" s="6"/>
      <c r="GE41" s="6"/>
      <c r="GF41" s="6"/>
      <c r="GG41" s="6"/>
      <c r="GH41" s="6"/>
      <c r="GI41" s="6"/>
      <c r="GJ41" s="6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</row>
    <row r="42" spans="1:207" ht="15.75" x14ac:dyDescent="0.25">
      <c r="A42" s="78" t="s">
        <v>33</v>
      </c>
      <c r="M42" s="2">
        <v>2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5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5"/>
      <c r="FM42" s="5"/>
      <c r="FN42" s="4"/>
      <c r="FO42" s="5"/>
      <c r="FP42" s="5"/>
      <c r="FQ42" s="5"/>
      <c r="FR42" s="5"/>
      <c r="FS42" s="14"/>
      <c r="FT42" s="14"/>
      <c r="FU42" s="14"/>
      <c r="FV42" s="14"/>
      <c r="FW42" s="13"/>
      <c r="FX42" s="13"/>
      <c r="FY42" s="13"/>
      <c r="FZ42" s="13"/>
      <c r="GA42" s="13"/>
      <c r="GB42" s="13"/>
      <c r="GC42" s="13"/>
      <c r="GD42" s="13"/>
      <c r="GE42" s="13"/>
      <c r="GF42" s="13"/>
      <c r="GG42" s="13"/>
      <c r="GH42" s="13"/>
      <c r="GI42" s="13"/>
      <c r="GJ42" s="13"/>
      <c r="GK42" s="6"/>
      <c r="GL42" s="6"/>
      <c r="GM42" s="6"/>
      <c r="GN42" s="6"/>
      <c r="GO42" s="6"/>
      <c r="GP42" s="6"/>
      <c r="GQ42" s="6"/>
      <c r="GR42" s="6"/>
      <c r="GS42" s="6"/>
      <c r="GT42" s="1"/>
      <c r="GU42" s="1"/>
      <c r="GV42" s="1"/>
      <c r="GW42" s="1"/>
      <c r="GX42" s="1"/>
      <c r="GY42" s="1"/>
    </row>
    <row r="43" spans="1:207" ht="15.75" x14ac:dyDescent="0.25">
      <c r="A43" s="78" t="s">
        <v>34</v>
      </c>
      <c r="M43" s="2">
        <v>2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5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5"/>
      <c r="FM43" s="5"/>
      <c r="FN43" s="4"/>
      <c r="FO43" s="5"/>
      <c r="FP43" s="5"/>
      <c r="FQ43" s="5"/>
      <c r="FR43" s="5"/>
      <c r="FS43" s="14"/>
      <c r="FT43" s="14"/>
      <c r="FU43" s="14"/>
      <c r="FV43" s="14"/>
      <c r="FW43" s="13"/>
      <c r="FX43" s="13"/>
      <c r="FY43" s="13"/>
      <c r="FZ43" s="13"/>
      <c r="GA43" s="13"/>
      <c r="GB43" s="13"/>
      <c r="GC43" s="13"/>
      <c r="GD43" s="13"/>
      <c r="GE43" s="13"/>
      <c r="GF43" s="13"/>
      <c r="GG43" s="13"/>
      <c r="GH43" s="13"/>
      <c r="GI43" s="13"/>
      <c r="GJ43" s="13"/>
      <c r="GK43" s="6"/>
      <c r="GL43" s="6"/>
      <c r="GM43" s="6"/>
      <c r="GN43" s="6"/>
      <c r="GO43" s="6"/>
      <c r="GP43" s="6"/>
      <c r="GQ43" s="6"/>
      <c r="GR43" s="6"/>
      <c r="GS43" s="6"/>
      <c r="GT43" s="1"/>
      <c r="GU43" s="1"/>
      <c r="GV43" s="1"/>
      <c r="GW43" s="1"/>
      <c r="GX43" s="1"/>
      <c r="GY43" s="1"/>
    </row>
    <row r="44" spans="1:207" ht="15.75" x14ac:dyDescent="0.25">
      <c r="A44" s="78" t="s">
        <v>35</v>
      </c>
      <c r="M44" s="2">
        <v>2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5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5"/>
      <c r="FM44" s="5"/>
      <c r="FN44" s="4"/>
      <c r="FO44" s="5"/>
      <c r="FP44" s="5"/>
      <c r="FQ44" s="5"/>
      <c r="FR44" s="5"/>
      <c r="FS44" s="14"/>
      <c r="FT44" s="14"/>
      <c r="FU44" s="14"/>
      <c r="FV44" s="14"/>
      <c r="FW44" s="13"/>
      <c r="FX44" s="13"/>
      <c r="FY44" s="13"/>
      <c r="FZ44" s="13"/>
      <c r="GA44" s="13"/>
      <c r="GB44" s="13"/>
      <c r="GC44" s="13"/>
      <c r="GD44" s="13"/>
      <c r="GE44" s="13"/>
      <c r="GF44" s="13"/>
      <c r="GG44" s="13"/>
      <c r="GH44" s="13"/>
      <c r="GI44" s="13"/>
      <c r="GJ44" s="13"/>
      <c r="GK44" s="6"/>
      <c r="GL44" s="6"/>
      <c r="GM44" s="6"/>
      <c r="GN44" s="6"/>
      <c r="GO44" s="6"/>
      <c r="GP44" s="6"/>
      <c r="GQ44" s="6"/>
      <c r="GR44" s="6"/>
      <c r="GS44" s="6"/>
      <c r="GT44" s="1"/>
      <c r="GU44" s="1"/>
      <c r="GV44" s="1"/>
      <c r="GW44" s="1"/>
      <c r="GX44" s="1"/>
      <c r="GY44" s="1"/>
    </row>
    <row r="45" spans="1:207" ht="15.75" x14ac:dyDescent="0.25">
      <c r="A45" s="78" t="s">
        <v>36</v>
      </c>
      <c r="M45" s="2">
        <v>2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5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5"/>
      <c r="FM45" s="5"/>
      <c r="FN45" s="4"/>
      <c r="FO45" s="5"/>
      <c r="FP45" s="5"/>
      <c r="FQ45" s="5"/>
      <c r="FR45" s="5"/>
      <c r="FS45" s="16"/>
      <c r="FT45" s="15"/>
      <c r="FU45" s="15"/>
      <c r="FV45" s="15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17"/>
      <c r="GK45" s="6"/>
      <c r="GL45" s="6"/>
      <c r="GM45" s="6"/>
      <c r="GN45" s="6"/>
      <c r="GO45" s="6"/>
      <c r="GP45" s="6"/>
      <c r="GQ45" s="6"/>
      <c r="GR45" s="6"/>
      <c r="GS45" s="6"/>
      <c r="GT45" s="1"/>
      <c r="GU45" s="1"/>
      <c r="GV45" s="1"/>
      <c r="GW45" s="1"/>
      <c r="GX45" s="1"/>
      <c r="GY45" s="1"/>
    </row>
    <row r="46" spans="1:207" ht="15.75" x14ac:dyDescent="0.25">
      <c r="A46" s="78" t="s">
        <v>37</v>
      </c>
      <c r="M46" s="2">
        <v>2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5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5"/>
      <c r="FM46" s="5"/>
      <c r="FN46" s="4"/>
      <c r="FO46" s="5"/>
      <c r="FP46" s="5"/>
      <c r="FQ46" s="5"/>
      <c r="FR46" s="5"/>
      <c r="FS46" s="14"/>
      <c r="FT46" s="14"/>
      <c r="FU46" s="14"/>
      <c r="FV46" s="14"/>
      <c r="FW46" s="13"/>
      <c r="FX46" s="13"/>
      <c r="FY46" s="13"/>
      <c r="FZ46" s="13"/>
      <c r="GA46" s="13"/>
      <c r="GB46" s="13"/>
      <c r="GC46" s="13"/>
      <c r="GD46" s="13"/>
      <c r="GE46" s="13"/>
      <c r="GF46" s="13"/>
      <c r="GG46" s="13"/>
      <c r="GH46" s="13"/>
      <c r="GI46" s="13"/>
      <c r="GJ46" s="13"/>
      <c r="GK46" s="6"/>
      <c r="GL46" s="6"/>
      <c r="GM46" s="6"/>
      <c r="GN46" s="6"/>
      <c r="GO46" s="6"/>
      <c r="GP46" s="6"/>
      <c r="GQ46" s="6"/>
      <c r="GR46" s="6"/>
      <c r="GS46" s="6"/>
      <c r="GT46" s="1"/>
      <c r="GU46" s="1"/>
      <c r="GV46" s="1"/>
      <c r="GW46" s="1"/>
      <c r="GX46" s="1"/>
      <c r="GY46" s="1"/>
    </row>
    <row r="47" spans="1:207" ht="15.75" x14ac:dyDescent="0.25">
      <c r="A47" s="78" t="s">
        <v>38</v>
      </c>
      <c r="M47" s="2">
        <v>3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5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5"/>
      <c r="FM47" s="5"/>
      <c r="FN47" s="4"/>
      <c r="FO47" s="5"/>
      <c r="FP47" s="5"/>
      <c r="FQ47" s="5"/>
      <c r="FR47" s="5"/>
      <c r="FS47" s="14"/>
      <c r="FT47" s="14"/>
      <c r="FU47" s="14"/>
      <c r="FV47" s="14"/>
      <c r="FW47" s="13"/>
      <c r="FX47" s="13"/>
      <c r="FY47" s="13"/>
      <c r="FZ47" s="13"/>
      <c r="GA47" s="13"/>
      <c r="GB47" s="13"/>
      <c r="GC47" s="13"/>
      <c r="GD47" s="13"/>
      <c r="GE47" s="13"/>
      <c r="GF47" s="13"/>
      <c r="GG47" s="13"/>
      <c r="GH47" s="13"/>
      <c r="GI47" s="13"/>
      <c r="GJ47" s="13"/>
      <c r="GK47" s="6"/>
      <c r="GL47" s="6"/>
      <c r="GM47" s="6"/>
      <c r="GN47" s="6"/>
      <c r="GO47" s="6"/>
      <c r="GP47" s="6"/>
      <c r="GQ47" s="6"/>
      <c r="GR47" s="6"/>
      <c r="GS47" s="6"/>
      <c r="GT47" s="1"/>
      <c r="GU47" s="1"/>
      <c r="GV47" s="1"/>
      <c r="GW47" s="1"/>
      <c r="GX47" s="1"/>
      <c r="GY47" s="1"/>
    </row>
    <row r="48" spans="1:207" ht="15.75" x14ac:dyDescent="0.25">
      <c r="A48" s="78" t="s">
        <v>39</v>
      </c>
      <c r="M48" s="2">
        <v>2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5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5"/>
      <c r="FM48" s="5"/>
      <c r="FN48" s="4"/>
      <c r="FO48" s="5"/>
      <c r="FP48" s="5"/>
      <c r="FQ48" s="5"/>
      <c r="FR48" s="5"/>
      <c r="FS48" s="14"/>
      <c r="FT48" s="14"/>
      <c r="FU48" s="14"/>
      <c r="FV48" s="14"/>
      <c r="FW48" s="13"/>
      <c r="FX48" s="13"/>
      <c r="FY48" s="13"/>
      <c r="FZ48" s="13"/>
      <c r="GA48" s="13"/>
      <c r="GB48" s="13"/>
      <c r="GC48" s="13"/>
      <c r="GD48" s="13"/>
      <c r="GE48" s="13"/>
      <c r="GF48" s="13"/>
      <c r="GG48" s="13"/>
      <c r="GH48" s="13"/>
      <c r="GI48" s="13"/>
      <c r="GJ48" s="13"/>
      <c r="GK48" s="6"/>
      <c r="GL48" s="6"/>
      <c r="GM48" s="6"/>
      <c r="GN48" s="6"/>
      <c r="GO48" s="6"/>
      <c r="GP48" s="6"/>
      <c r="GQ48" s="6"/>
      <c r="GR48" s="6"/>
      <c r="GS48" s="6"/>
      <c r="GT48" s="1"/>
      <c r="GU48" s="1"/>
      <c r="GV48" s="1"/>
      <c r="GW48" s="1"/>
      <c r="GX48" s="1"/>
      <c r="GY48" s="1"/>
    </row>
    <row r="49" spans="1:230" ht="15.75" x14ac:dyDescent="0.25">
      <c r="A49" s="78" t="s">
        <v>40</v>
      </c>
      <c r="M49" s="2">
        <v>3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5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5"/>
      <c r="FT49" s="5"/>
      <c r="FU49" s="4"/>
      <c r="FV49" s="5"/>
      <c r="FW49" s="5"/>
      <c r="FX49" s="5"/>
      <c r="FY49" s="5"/>
      <c r="FZ49" s="16"/>
      <c r="GA49" s="15"/>
      <c r="GB49" s="15"/>
      <c r="GC49" s="15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17"/>
      <c r="GR49" s="6"/>
      <c r="GS49" s="6"/>
      <c r="GT49" s="6"/>
      <c r="GU49" s="6"/>
      <c r="GV49" s="6"/>
      <c r="GW49" s="6"/>
      <c r="GX49" s="6"/>
      <c r="GY49" s="6"/>
      <c r="GZ49" s="6"/>
    </row>
    <row r="50" spans="1:230" ht="15.75" x14ac:dyDescent="0.25">
      <c r="A50" s="78" t="s">
        <v>41</v>
      </c>
      <c r="M50" s="2">
        <v>2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5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5"/>
      <c r="FT50" s="5"/>
      <c r="FU50" s="4"/>
      <c r="FV50" s="5"/>
      <c r="FW50" s="5"/>
      <c r="FX50" s="5"/>
      <c r="FY50" s="5"/>
      <c r="FZ50" s="14"/>
      <c r="GA50" s="14"/>
      <c r="GB50" s="14"/>
      <c r="GC50" s="14"/>
      <c r="GD50" s="13"/>
      <c r="GE50" s="13"/>
      <c r="GF50" s="13"/>
      <c r="GG50" s="13"/>
      <c r="GH50" s="13"/>
      <c r="GI50" s="13"/>
      <c r="GJ50" s="13"/>
      <c r="GK50" s="13"/>
      <c r="GL50" s="13"/>
      <c r="GM50" s="13"/>
      <c r="GN50" s="13"/>
      <c r="GO50" s="13"/>
      <c r="GP50" s="13"/>
      <c r="GQ50" s="13"/>
      <c r="GR50" s="6"/>
      <c r="GS50" s="6"/>
      <c r="GT50" s="6"/>
      <c r="GU50" s="6"/>
      <c r="GV50" s="6"/>
      <c r="GW50" s="6"/>
      <c r="GX50" s="6"/>
      <c r="GY50" s="6"/>
      <c r="GZ50" s="6"/>
    </row>
    <row r="51" spans="1:230" ht="15.75" x14ac:dyDescent="0.25">
      <c r="A51" s="78" t="s">
        <v>42</v>
      </c>
      <c r="M51" s="2">
        <v>4</v>
      </c>
      <c r="N51" s="4"/>
      <c r="O51" s="4"/>
      <c r="P51" s="4"/>
      <c r="Q51" s="4"/>
      <c r="R51" s="4"/>
      <c r="S51" s="4"/>
      <c r="T51" s="4"/>
      <c r="U51" s="4">
        <v>4</v>
      </c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5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5"/>
      <c r="GB51" s="5"/>
      <c r="GC51" s="4"/>
      <c r="GD51" s="5"/>
      <c r="GE51" s="5"/>
      <c r="GF51" s="5"/>
      <c r="GG51" s="5"/>
      <c r="GH51" s="14"/>
      <c r="GI51" s="14"/>
      <c r="GJ51" s="14"/>
      <c r="GK51" s="14"/>
      <c r="GL51" s="13"/>
      <c r="GM51" s="13"/>
      <c r="GN51" s="13"/>
      <c r="GO51" s="13"/>
      <c r="GP51" s="13"/>
      <c r="GQ51" s="13"/>
      <c r="GR51" s="13"/>
      <c r="GS51" s="13"/>
      <c r="GT51" s="13"/>
      <c r="GU51" s="13"/>
      <c r="GV51" s="13"/>
      <c r="GW51" s="13"/>
      <c r="GX51" s="13"/>
      <c r="GY51" s="13"/>
      <c r="GZ51" s="6"/>
      <c r="HA51" s="6"/>
      <c r="HB51" s="6"/>
      <c r="HC51" s="6"/>
      <c r="HD51" s="6"/>
      <c r="HE51" s="6"/>
      <c r="HF51" s="6"/>
      <c r="HG51" s="6"/>
      <c r="HH51" s="6"/>
    </row>
    <row r="52" spans="1:230" ht="15.75" x14ac:dyDescent="0.25">
      <c r="A52" s="78" t="s">
        <v>43</v>
      </c>
      <c r="M52" s="2">
        <v>5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5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5"/>
      <c r="GB52" s="5"/>
      <c r="GC52" s="4"/>
      <c r="GD52" s="5"/>
      <c r="GE52" s="5"/>
      <c r="GF52" s="5"/>
      <c r="GG52" s="5"/>
      <c r="GH52" s="14"/>
      <c r="GI52" s="14"/>
      <c r="GJ52" s="14"/>
      <c r="GK52" s="14"/>
      <c r="GL52" s="13"/>
      <c r="GM52" s="13"/>
      <c r="GN52" s="13"/>
      <c r="GO52" s="13"/>
      <c r="GP52" s="13"/>
      <c r="GQ52" s="13"/>
      <c r="GR52" s="13"/>
      <c r="GS52" s="13"/>
      <c r="GT52" s="13"/>
      <c r="GU52" s="13"/>
      <c r="GV52" s="13"/>
      <c r="GW52" s="13"/>
      <c r="GX52" s="13"/>
      <c r="GY52" s="13"/>
      <c r="GZ52" s="6"/>
      <c r="HA52" s="6"/>
      <c r="HB52" s="6"/>
      <c r="HC52" s="6"/>
      <c r="HD52" s="6"/>
      <c r="HE52" s="6"/>
      <c r="HF52" s="6"/>
      <c r="HG52" s="6"/>
      <c r="HH52" s="6"/>
    </row>
    <row r="53" spans="1:230" ht="15.75" x14ac:dyDescent="0.25">
      <c r="A53" s="78" t="s">
        <v>44</v>
      </c>
      <c r="M53" s="2">
        <v>6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5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5"/>
      <c r="GB53" s="5"/>
      <c r="GC53" s="4"/>
      <c r="GD53" s="5"/>
      <c r="GE53" s="5"/>
      <c r="GF53" s="5"/>
      <c r="GG53" s="5"/>
      <c r="GH53" s="16"/>
      <c r="GI53" s="15"/>
      <c r="GJ53" s="15"/>
      <c r="GK53" s="15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17"/>
      <c r="GZ53" s="6"/>
      <c r="HA53" s="6"/>
      <c r="HB53" s="6"/>
      <c r="HC53" s="6"/>
      <c r="HD53" s="6"/>
      <c r="HE53" s="6"/>
      <c r="HF53" s="6"/>
      <c r="HG53" s="6"/>
      <c r="HH53" s="6"/>
    </row>
    <row r="54" spans="1:230" ht="15.75" x14ac:dyDescent="0.25">
      <c r="A54" s="78" t="s">
        <v>46</v>
      </c>
      <c r="M54" s="2">
        <v>7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5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5"/>
      <c r="GM54" s="5"/>
      <c r="GN54" s="4"/>
      <c r="GO54" s="5"/>
      <c r="GP54" s="5"/>
      <c r="GQ54" s="5"/>
      <c r="GR54" s="5"/>
      <c r="GS54" s="14"/>
      <c r="GT54" s="14"/>
      <c r="GU54" s="14"/>
      <c r="GV54" s="14"/>
      <c r="GW54" s="13"/>
      <c r="GX54" s="13"/>
      <c r="GY54" s="13"/>
      <c r="GZ54" s="13"/>
      <c r="HA54" s="13"/>
      <c r="HB54" s="13"/>
      <c r="HC54" s="13"/>
      <c r="HD54" s="13"/>
      <c r="HE54" s="13"/>
      <c r="HF54" s="13"/>
      <c r="HG54" s="13"/>
      <c r="HH54" s="13"/>
      <c r="HI54" s="13"/>
      <c r="HJ54" s="13"/>
      <c r="HK54" s="6"/>
      <c r="HL54" s="6"/>
      <c r="HM54" s="6"/>
      <c r="HN54" s="6"/>
      <c r="HO54" s="6"/>
      <c r="HP54" s="6"/>
      <c r="HQ54" s="6"/>
      <c r="HR54" s="6"/>
      <c r="HS54" s="6"/>
    </row>
    <row r="55" spans="1:230" x14ac:dyDescent="0.25"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5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5"/>
      <c r="GO55" s="5"/>
      <c r="GP55" s="4"/>
      <c r="GQ55" s="5"/>
      <c r="GR55" s="5"/>
      <c r="GS55" s="5"/>
      <c r="GT55" s="5"/>
      <c r="GU55" s="14"/>
      <c r="GV55" s="14"/>
      <c r="GW55" s="14"/>
      <c r="GX55" s="14"/>
      <c r="GY55" s="13"/>
      <c r="GZ55" s="13"/>
      <c r="HA55" s="13"/>
      <c r="HB55" s="13"/>
      <c r="HC55" s="13"/>
      <c r="HD55" s="13"/>
      <c r="HE55" s="13"/>
      <c r="HF55" s="13"/>
      <c r="HG55" s="13"/>
      <c r="HH55" s="13"/>
      <c r="HI55" s="13"/>
      <c r="HJ55" s="13"/>
      <c r="HK55" s="13"/>
      <c r="HL55" s="13"/>
      <c r="HM55" s="6"/>
      <c r="HN55" s="6"/>
      <c r="HO55" s="6"/>
      <c r="HP55" s="6"/>
      <c r="HQ55" s="6"/>
      <c r="HR55" s="6"/>
      <c r="HS55" s="6"/>
      <c r="HT55" s="6"/>
      <c r="HU55" s="6"/>
    </row>
    <row r="56" spans="1:23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5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5"/>
      <c r="GP56" s="5"/>
      <c r="GQ56" s="4"/>
      <c r="GR56" s="5"/>
      <c r="GS56" s="5"/>
      <c r="GT56" s="5"/>
      <c r="GU56" s="5"/>
      <c r="GV56" s="14"/>
      <c r="GW56" s="14"/>
      <c r="GX56" s="14"/>
      <c r="GY56" s="14"/>
      <c r="GZ56" s="13"/>
      <c r="HA56" s="13"/>
      <c r="HB56" s="13"/>
      <c r="HC56" s="13"/>
      <c r="HD56" s="13"/>
      <c r="HE56" s="13"/>
      <c r="HF56" s="13"/>
      <c r="HG56" s="13"/>
      <c r="HH56" s="13"/>
      <c r="HI56" s="13"/>
      <c r="HJ56" s="13"/>
      <c r="HK56" s="13"/>
      <c r="HL56" s="13"/>
      <c r="HM56" s="13"/>
      <c r="HN56" s="6"/>
      <c r="HO56" s="6"/>
      <c r="HP56" s="6"/>
      <c r="HQ56" s="6"/>
      <c r="HR56" s="6"/>
      <c r="HS56" s="6"/>
      <c r="HT56" s="6"/>
      <c r="HU56" s="6"/>
      <c r="HV56" s="6"/>
    </row>
    <row r="57" spans="1:23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5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5"/>
      <c r="GP57" s="5"/>
      <c r="GQ57" s="4"/>
      <c r="GR57" s="5"/>
      <c r="GS57" s="5"/>
      <c r="GT57" s="5"/>
      <c r="GU57" s="5"/>
      <c r="GV57" s="14"/>
      <c r="GW57" s="14"/>
      <c r="GX57" s="14"/>
      <c r="GY57" s="14"/>
      <c r="GZ57" s="13"/>
      <c r="HA57" s="13"/>
      <c r="HB57" s="13"/>
      <c r="HC57" s="13"/>
      <c r="HD57" s="13"/>
      <c r="HE57" s="13"/>
      <c r="HF57" s="13"/>
      <c r="HG57" s="13"/>
      <c r="HH57" s="13"/>
      <c r="HI57" s="13"/>
      <c r="HJ57" s="13"/>
      <c r="HK57" s="13"/>
      <c r="HL57" s="13"/>
      <c r="HM57" s="13"/>
      <c r="HN57" s="6"/>
      <c r="HO57" s="6"/>
      <c r="HP57" s="6"/>
      <c r="HQ57" s="6"/>
      <c r="HR57" s="6"/>
      <c r="HS57" s="6"/>
      <c r="HT57" s="6"/>
      <c r="HU57" s="6"/>
      <c r="HV57" s="6"/>
    </row>
    <row r="58" spans="1:23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5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5"/>
      <c r="GP58" s="5"/>
      <c r="GQ58" s="4"/>
      <c r="GR58" s="5"/>
      <c r="GS58" s="5"/>
      <c r="GT58" s="5"/>
      <c r="GU58" s="5"/>
      <c r="GV58" s="16"/>
      <c r="GW58" s="15"/>
      <c r="GX58" s="15"/>
      <c r="GY58" s="15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17"/>
      <c r="HN58" s="6"/>
      <c r="HO58" s="6"/>
      <c r="HP58" s="6"/>
      <c r="HQ58" s="6"/>
      <c r="HR58" s="6"/>
      <c r="HS58" s="6"/>
      <c r="HT58" s="6"/>
      <c r="HU58" s="6"/>
      <c r="HV58" s="6"/>
    </row>
    <row r="59" spans="1:230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5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5"/>
      <c r="GP59" s="5"/>
      <c r="GQ59" s="4"/>
      <c r="GR59" s="5"/>
      <c r="GS59" s="5"/>
      <c r="GT59" s="5"/>
      <c r="GU59" s="5"/>
      <c r="GV59" s="14"/>
      <c r="GW59" s="14"/>
      <c r="GX59" s="14"/>
      <c r="GY59" s="14"/>
      <c r="GZ59" s="13"/>
      <c r="HA59" s="13"/>
      <c r="HB59" s="13"/>
      <c r="HC59" s="13"/>
      <c r="HD59" s="13"/>
      <c r="HE59" s="13"/>
      <c r="HF59" s="13"/>
      <c r="HG59" s="13"/>
      <c r="HH59" s="13"/>
      <c r="HI59" s="13"/>
      <c r="HJ59" s="13"/>
      <c r="HK59" s="13"/>
      <c r="HL59" s="13"/>
      <c r="HM59" s="13"/>
      <c r="HN59" s="6"/>
      <c r="HO59" s="6"/>
      <c r="HP59" s="6"/>
      <c r="HQ59" s="6"/>
      <c r="HR59" s="6"/>
      <c r="HS59" s="6"/>
      <c r="HT59" s="6"/>
      <c r="HU59" s="6"/>
      <c r="HV59" s="6"/>
    </row>
    <row r="60" spans="1:23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5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4"/>
      <c r="GK60" s="4"/>
      <c r="GL60" s="4"/>
      <c r="GM60" s="4"/>
      <c r="GN60" s="4"/>
      <c r="GO60" s="5"/>
      <c r="GP60" s="5"/>
      <c r="GQ60" s="4"/>
      <c r="GR60" s="5"/>
      <c r="GS60" s="5"/>
      <c r="GT60" s="5"/>
      <c r="GU60" s="5"/>
      <c r="GV60" s="14"/>
      <c r="GW60" s="14"/>
      <c r="GX60" s="14"/>
      <c r="GY60" s="14"/>
      <c r="GZ60" s="13"/>
      <c r="HA60" s="13"/>
      <c r="HB60" s="13"/>
      <c r="HC60" s="13"/>
      <c r="HD60" s="13"/>
      <c r="HE60" s="13"/>
      <c r="HF60" s="13"/>
      <c r="HG60" s="13"/>
      <c r="HH60" s="13"/>
      <c r="HI60" s="13"/>
      <c r="HJ60" s="13"/>
      <c r="HK60" s="13"/>
      <c r="HL60" s="13"/>
      <c r="HM60" s="13"/>
      <c r="HN60" s="6"/>
      <c r="HO60" s="6"/>
      <c r="HP60" s="6"/>
      <c r="HQ60" s="6"/>
      <c r="HR60" s="6"/>
      <c r="HS60" s="6"/>
      <c r="HT60" s="6"/>
      <c r="HU60" s="6"/>
      <c r="HV60" s="6"/>
    </row>
    <row r="61" spans="1:23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5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/>
      <c r="FQ61" s="4"/>
      <c r="FR61" s="4"/>
      <c r="FS61" s="4"/>
      <c r="FT61" s="4"/>
      <c r="FU61" s="4"/>
      <c r="FV61" s="4"/>
      <c r="FW61" s="4"/>
      <c r="FX61" s="4"/>
      <c r="FY61" s="4"/>
      <c r="FZ61" s="4"/>
      <c r="GA61" s="4"/>
      <c r="GB61" s="4"/>
      <c r="GC61" s="4"/>
      <c r="GD61" s="4"/>
      <c r="GE61" s="4"/>
      <c r="GF61" s="4"/>
      <c r="GG61" s="4"/>
      <c r="GH61" s="4"/>
      <c r="GI61" s="4"/>
      <c r="GJ61" s="4"/>
      <c r="GK61" s="4"/>
      <c r="GL61" s="4"/>
      <c r="GM61" s="4"/>
      <c r="GN61" s="4"/>
      <c r="GO61" s="5"/>
      <c r="GP61" s="5"/>
      <c r="GQ61" s="4"/>
      <c r="GR61" s="5"/>
      <c r="GS61" s="5"/>
      <c r="GT61" s="5"/>
      <c r="GU61" s="5"/>
      <c r="GV61" s="14"/>
      <c r="GW61" s="14"/>
      <c r="GX61" s="14"/>
      <c r="GY61" s="14"/>
      <c r="GZ61" s="13"/>
      <c r="HA61" s="13"/>
      <c r="HB61" s="13"/>
      <c r="HC61" s="13"/>
      <c r="HD61" s="13"/>
      <c r="HE61" s="13"/>
      <c r="HF61" s="13"/>
      <c r="HG61" s="13"/>
      <c r="HH61" s="13"/>
      <c r="HI61" s="13"/>
      <c r="HJ61" s="13"/>
      <c r="HK61" s="13"/>
      <c r="HL61" s="13"/>
      <c r="HM61" s="13"/>
      <c r="HN61" s="6"/>
      <c r="HO61" s="6"/>
      <c r="HP61" s="6"/>
      <c r="HQ61" s="6"/>
      <c r="HR61" s="6"/>
      <c r="HS61" s="6"/>
      <c r="HT61" s="6"/>
      <c r="HU61" s="6"/>
      <c r="HV61" s="6"/>
    </row>
    <row r="62" spans="1:23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5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4"/>
      <c r="GK62" s="4"/>
      <c r="GL62" s="4"/>
      <c r="GM62" s="4"/>
      <c r="GN62" s="4"/>
      <c r="GO62" s="5"/>
      <c r="GP62" s="5"/>
      <c r="GQ62" s="4"/>
      <c r="GR62" s="5"/>
      <c r="GS62" s="5"/>
      <c r="GT62" s="5"/>
      <c r="GU62" s="5"/>
      <c r="GV62" s="5"/>
      <c r="GW62" s="5"/>
      <c r="GX62" s="5"/>
      <c r="GY62" s="5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</row>
    <row r="63" spans="1:23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5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4"/>
      <c r="GK63" s="4"/>
      <c r="GL63" s="4"/>
      <c r="GM63" s="4"/>
      <c r="GN63" s="4"/>
      <c r="GO63" s="5"/>
      <c r="GP63" s="5"/>
      <c r="GQ63" s="4"/>
      <c r="GR63" s="5"/>
      <c r="GS63" s="5"/>
      <c r="GT63" s="5"/>
      <c r="GU63" s="5"/>
      <c r="GV63" s="5"/>
      <c r="GW63" s="5"/>
      <c r="GX63" s="5"/>
      <c r="GY63" s="5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</row>
    <row r="64" spans="1:23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5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/>
      <c r="GA64" s="4"/>
      <c r="GB64" s="4"/>
      <c r="GC64" s="4"/>
      <c r="GD64" s="4"/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5"/>
      <c r="GP64" s="5"/>
      <c r="GQ64" s="4"/>
      <c r="GR64" s="5"/>
      <c r="GS64" s="5"/>
      <c r="GT64" s="5"/>
      <c r="GU64" s="5"/>
      <c r="GV64" s="5"/>
      <c r="GW64" s="5"/>
      <c r="GX64" s="5"/>
      <c r="GY64" s="5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</row>
    <row r="65" spans="1:23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5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5"/>
      <c r="GP65" s="5"/>
      <c r="GQ65" s="4"/>
      <c r="GR65" s="5"/>
      <c r="GS65" s="5"/>
      <c r="GT65" s="5"/>
      <c r="GU65" s="5"/>
      <c r="GV65" s="5"/>
      <c r="GW65" s="5"/>
      <c r="GX65" s="5"/>
      <c r="GY65" s="5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</row>
    <row r="66" spans="1:23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5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5"/>
      <c r="GP66" s="5"/>
      <c r="GQ66" s="4"/>
      <c r="GR66" s="5"/>
      <c r="GS66" s="5"/>
      <c r="GT66" s="5"/>
      <c r="GU66" s="5"/>
      <c r="GV66" s="5"/>
      <c r="GW66" s="5"/>
      <c r="GX66" s="5"/>
      <c r="GY66" s="5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</row>
    <row r="67" spans="1:23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5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4"/>
      <c r="GB67" s="4"/>
      <c r="GC67" s="4"/>
      <c r="GD67" s="4"/>
      <c r="GE67" s="4"/>
      <c r="GF67" s="4"/>
      <c r="GG67" s="4"/>
      <c r="GH67" s="4"/>
      <c r="GI67" s="4"/>
      <c r="GJ67" s="4"/>
      <c r="GK67" s="4"/>
      <c r="GL67" s="4"/>
      <c r="GM67" s="4"/>
      <c r="GN67" s="4"/>
      <c r="GO67" s="5"/>
      <c r="GP67" s="5"/>
      <c r="GQ67" s="4"/>
      <c r="GR67" s="5"/>
      <c r="GS67" s="5"/>
      <c r="GT67" s="5"/>
      <c r="GU67" s="5"/>
      <c r="GV67" s="5"/>
      <c r="GW67" s="5"/>
      <c r="GX67" s="5"/>
      <c r="GY67" s="5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</row>
    <row r="68" spans="1:23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5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4"/>
      <c r="GK68" s="4"/>
      <c r="GL68" s="4"/>
      <c r="GM68" s="4"/>
      <c r="GN68" s="4"/>
      <c r="GO68" s="5"/>
      <c r="GP68" s="5"/>
      <c r="GQ68" s="4"/>
      <c r="GR68" s="5"/>
      <c r="GS68" s="5"/>
      <c r="GT68" s="5"/>
      <c r="GU68" s="5"/>
      <c r="GV68" s="5"/>
      <c r="GW68" s="5"/>
      <c r="GX68" s="5"/>
      <c r="GY68" s="5"/>
      <c r="GZ68" s="6"/>
      <c r="HA68" s="6"/>
      <c r="HB68" s="6"/>
      <c r="HC68" s="6"/>
      <c r="HD68" s="6"/>
      <c r="HE68" s="6"/>
      <c r="HF68" s="6"/>
      <c r="HG68" s="6"/>
      <c r="HH68" s="6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</row>
    <row r="69" spans="1:23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5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4"/>
      <c r="GK69" s="4"/>
      <c r="GL69" s="4"/>
      <c r="GM69" s="4"/>
      <c r="GN69" s="4"/>
      <c r="GO69" s="5"/>
      <c r="GP69" s="5"/>
      <c r="GQ69" s="4"/>
      <c r="GR69" s="5"/>
      <c r="GS69" s="5"/>
      <c r="GT69" s="5"/>
      <c r="GU69" s="5"/>
      <c r="GV69" s="5"/>
      <c r="GW69" s="5"/>
      <c r="GX69" s="5"/>
      <c r="GY69" s="5"/>
      <c r="GZ69" s="6"/>
      <c r="HA69" s="6"/>
      <c r="HB69" s="6"/>
      <c r="HC69" s="6"/>
      <c r="HD69" s="6"/>
      <c r="HE69" s="6"/>
      <c r="HF69" s="6"/>
      <c r="HG69" s="6"/>
      <c r="HH69" s="6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</row>
    <row r="70" spans="1:23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5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/>
      <c r="GA70" s="4"/>
      <c r="GB70" s="4"/>
      <c r="GC70" s="4"/>
      <c r="GD70" s="4"/>
      <c r="GE70" s="4"/>
      <c r="GF70" s="4"/>
      <c r="GG70" s="4"/>
      <c r="GH70" s="4"/>
      <c r="GI70" s="4"/>
      <c r="GJ70" s="4"/>
      <c r="GK70" s="4"/>
      <c r="GL70" s="4"/>
      <c r="GM70" s="4"/>
      <c r="GN70" s="4"/>
      <c r="GO70" s="5"/>
      <c r="GP70" s="5"/>
      <c r="GQ70" s="4"/>
      <c r="GR70" s="5"/>
      <c r="GS70" s="5"/>
      <c r="GT70" s="5"/>
      <c r="GU70" s="5"/>
      <c r="GV70" s="5"/>
      <c r="GW70" s="5"/>
      <c r="GX70" s="5"/>
      <c r="GY70" s="5"/>
      <c r="GZ70" s="6"/>
      <c r="HA70" s="6"/>
      <c r="HB70" s="6"/>
      <c r="HC70" s="6"/>
      <c r="HD70" s="6"/>
      <c r="HE70" s="6"/>
      <c r="HF70" s="6"/>
      <c r="HG70" s="6"/>
      <c r="HH70" s="6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</row>
    <row r="71" spans="1:23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5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4"/>
      <c r="GK71" s="4"/>
      <c r="GL71" s="4"/>
      <c r="GM71" s="4"/>
      <c r="GN71" s="4"/>
      <c r="GO71" s="5"/>
      <c r="GP71" s="5"/>
      <c r="GQ71" s="4"/>
      <c r="GR71" s="5"/>
      <c r="GS71" s="5"/>
      <c r="GT71" s="5"/>
      <c r="GU71" s="5"/>
      <c r="GV71" s="5"/>
      <c r="GW71" s="5"/>
      <c r="GX71" s="5"/>
      <c r="GY71" s="5"/>
      <c r="GZ71" s="6"/>
      <c r="HA71" s="6"/>
      <c r="HB71" s="6"/>
      <c r="HC71" s="6"/>
      <c r="HD71" s="6"/>
      <c r="HE71" s="6"/>
      <c r="HF71" s="6"/>
      <c r="HG71" s="6"/>
      <c r="HH71" s="6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</row>
    <row r="72" spans="1:23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5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4"/>
      <c r="GK72" s="4"/>
      <c r="GL72" s="4"/>
      <c r="GM72" s="4"/>
      <c r="GN72" s="4"/>
      <c r="GO72" s="5"/>
      <c r="GP72" s="5"/>
      <c r="GQ72" s="4"/>
      <c r="GR72" s="5"/>
      <c r="GS72" s="5"/>
      <c r="GT72" s="5"/>
      <c r="GU72" s="5"/>
      <c r="GV72" s="5"/>
      <c r="GW72" s="5"/>
      <c r="GX72" s="5"/>
      <c r="GY72" s="5"/>
      <c r="GZ72" s="6"/>
      <c r="HA72" s="6"/>
      <c r="HB72" s="6"/>
      <c r="HC72" s="6"/>
      <c r="HD72" s="6"/>
      <c r="HE72" s="6"/>
      <c r="HF72" s="6"/>
      <c r="HG72" s="6"/>
      <c r="HH72" s="6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</row>
    <row r="73" spans="1:23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5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5"/>
      <c r="GP73" s="5"/>
      <c r="GQ73" s="4"/>
      <c r="GR73" s="5"/>
      <c r="GS73" s="5"/>
      <c r="GT73" s="5"/>
      <c r="GU73" s="5"/>
      <c r="GV73" s="5"/>
      <c r="GW73" s="5"/>
      <c r="GX73" s="5"/>
      <c r="GY73" s="5"/>
      <c r="GZ73" s="6"/>
      <c r="HA73" s="6"/>
      <c r="HB73" s="6"/>
      <c r="HC73" s="6"/>
      <c r="HD73" s="6"/>
      <c r="HE73" s="6"/>
      <c r="HF73" s="6"/>
      <c r="HG73" s="6"/>
      <c r="HH73" s="6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</row>
    <row r="74" spans="1:230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5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5"/>
      <c r="GP74" s="5"/>
      <c r="GQ74" s="4"/>
      <c r="GR74" s="5"/>
      <c r="GS74" s="5"/>
      <c r="GT74" s="5"/>
      <c r="GU74" s="5"/>
      <c r="GV74" s="5"/>
      <c r="GW74" s="5"/>
      <c r="GX74" s="5"/>
      <c r="GY74" s="5"/>
      <c r="GZ74" s="6"/>
      <c r="HA74" s="6"/>
      <c r="HB74" s="6"/>
      <c r="HC74" s="6"/>
      <c r="HD74" s="6"/>
      <c r="HE74" s="6"/>
      <c r="HF74" s="6"/>
      <c r="HG74" s="6"/>
      <c r="HH74" s="6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</row>
    <row r="75" spans="1:230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5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4"/>
      <c r="GK75" s="4"/>
      <c r="GL75" s="4"/>
      <c r="GM75" s="4"/>
      <c r="GN75" s="4"/>
      <c r="GO75" s="5"/>
      <c r="GP75" s="5"/>
      <c r="GQ75" s="4"/>
      <c r="GR75" s="5"/>
      <c r="GS75" s="5"/>
      <c r="GT75" s="5"/>
      <c r="GU75" s="5"/>
      <c r="GV75" s="5"/>
      <c r="GW75" s="5"/>
      <c r="GX75" s="5"/>
      <c r="GY75" s="5"/>
      <c r="GZ75" s="6"/>
      <c r="HA75" s="6"/>
      <c r="HB75" s="6"/>
      <c r="HC75" s="6"/>
      <c r="HD75" s="6"/>
      <c r="HE75" s="6"/>
      <c r="HF75" s="6"/>
      <c r="HG75" s="6"/>
      <c r="HH75" s="6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</row>
    <row r="76" spans="1:230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5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5"/>
      <c r="GP76" s="5"/>
      <c r="GQ76" s="4"/>
      <c r="GR76" s="5"/>
      <c r="GS76" s="5"/>
      <c r="GT76" s="5"/>
      <c r="GU76" s="5"/>
      <c r="GV76" s="5"/>
      <c r="GW76" s="5"/>
      <c r="GX76" s="5"/>
      <c r="GY76" s="5"/>
      <c r="GZ76" s="6"/>
      <c r="HA76" s="6"/>
      <c r="HB76" s="6"/>
      <c r="HC76" s="6"/>
      <c r="HD76" s="6"/>
      <c r="HE76" s="6"/>
      <c r="HF76" s="6"/>
      <c r="HG76" s="6"/>
      <c r="HH76" s="6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</row>
    <row r="77" spans="1:230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  <c r="DG77" s="4"/>
      <c r="DH77" s="4"/>
      <c r="DI77" s="4"/>
      <c r="DJ77" s="4"/>
      <c r="DK77" s="4"/>
      <c r="DL77" s="4"/>
      <c r="DM77" s="4"/>
      <c r="DN77" s="4"/>
      <c r="DO77" s="4"/>
      <c r="DP77" s="4"/>
      <c r="DQ77" s="4"/>
      <c r="DR77" s="4"/>
      <c r="DS77" s="4"/>
      <c r="DT77" s="4"/>
      <c r="DU77" s="4"/>
      <c r="DV77" s="4"/>
      <c r="DW77" s="4"/>
      <c r="DX77" s="4"/>
      <c r="DY77" s="4"/>
      <c r="DZ77" s="4"/>
      <c r="EA77" s="4"/>
      <c r="EB77" s="4"/>
      <c r="EC77" s="4"/>
      <c r="ED77" s="4"/>
      <c r="EE77" s="4"/>
      <c r="EF77" s="4"/>
      <c r="EG77" s="4"/>
      <c r="EH77" s="4"/>
      <c r="EI77" s="4"/>
      <c r="EJ77" s="4"/>
      <c r="EK77" s="4"/>
      <c r="EL77" s="4"/>
      <c r="EM77" s="4"/>
      <c r="EN77" s="4"/>
      <c r="EO77" s="4"/>
      <c r="EP77" s="4"/>
      <c r="EQ77" s="4"/>
      <c r="ER77" s="5"/>
      <c r="ES77" s="4"/>
      <c r="ET77" s="4"/>
      <c r="EU77" s="4"/>
      <c r="EV77" s="4"/>
      <c r="EW77" s="4"/>
      <c r="EX77" s="4"/>
      <c r="EY77" s="4"/>
      <c r="EZ77" s="4"/>
      <c r="FA77" s="4"/>
      <c r="FB77" s="4"/>
      <c r="FC77" s="4"/>
      <c r="FD77" s="4"/>
      <c r="FE77" s="4"/>
      <c r="FF77" s="4"/>
      <c r="FG77" s="4"/>
      <c r="FH77" s="4"/>
      <c r="FI77" s="4"/>
      <c r="FJ77" s="4"/>
      <c r="FK77" s="4"/>
      <c r="FL77" s="4"/>
      <c r="FM77" s="4"/>
      <c r="FN77" s="4"/>
      <c r="FO77" s="4"/>
      <c r="FP77" s="4"/>
      <c r="FQ77" s="4"/>
      <c r="FR77" s="4"/>
      <c r="FS77" s="4"/>
      <c r="FT77" s="4"/>
      <c r="FU77" s="4"/>
      <c r="FV77" s="4"/>
      <c r="FW77" s="4"/>
      <c r="FX77" s="4"/>
      <c r="FY77" s="4"/>
      <c r="FZ77" s="4"/>
      <c r="GA77" s="4"/>
      <c r="GB77" s="4"/>
      <c r="GC77" s="4"/>
      <c r="GD77" s="4"/>
      <c r="GE77" s="4"/>
      <c r="GF77" s="4"/>
      <c r="GG77" s="4"/>
      <c r="GH77" s="4"/>
      <c r="GI77" s="4"/>
      <c r="GJ77" s="4"/>
      <c r="GK77" s="4"/>
      <c r="GL77" s="4"/>
      <c r="GM77" s="4"/>
      <c r="GN77" s="4"/>
      <c r="GO77" s="5"/>
      <c r="GP77" s="5"/>
      <c r="GQ77" s="4"/>
      <c r="GR77" s="5"/>
      <c r="GS77" s="5"/>
      <c r="GT77" s="5"/>
      <c r="GU77" s="5"/>
      <c r="GV77" s="5"/>
      <c r="GW77" s="5"/>
      <c r="GX77" s="5"/>
      <c r="GY77" s="5"/>
      <c r="GZ77" s="6"/>
      <c r="HA77" s="6"/>
      <c r="HB77" s="6"/>
      <c r="HC77" s="6"/>
      <c r="HD77" s="6"/>
      <c r="HE77" s="6"/>
      <c r="HF77" s="6"/>
      <c r="HG77" s="6"/>
      <c r="HH77" s="6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</row>
    <row r="78" spans="1:230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5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4"/>
      <c r="GK78" s="4"/>
      <c r="GL78" s="4"/>
      <c r="GM78" s="4"/>
      <c r="GN78" s="4"/>
      <c r="GO78" s="5"/>
      <c r="GP78" s="5"/>
      <c r="GQ78" s="4"/>
      <c r="GR78" s="5"/>
      <c r="GS78" s="5"/>
      <c r="GT78" s="5"/>
      <c r="GU78" s="5"/>
      <c r="GV78" s="5"/>
      <c r="GW78" s="5"/>
      <c r="GX78" s="5"/>
      <c r="GY78" s="5"/>
      <c r="GZ78" s="6"/>
      <c r="HA78" s="6"/>
      <c r="HB78" s="6"/>
      <c r="HC78" s="6"/>
      <c r="HD78" s="6"/>
      <c r="HE78" s="6"/>
      <c r="HF78" s="6"/>
      <c r="HG78" s="6"/>
      <c r="HH78" s="6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</row>
    <row r="79" spans="1:230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5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4"/>
      <c r="GK79" s="4"/>
      <c r="GL79" s="4"/>
      <c r="GM79" s="4"/>
      <c r="GN79" s="4"/>
      <c r="GO79" s="5"/>
      <c r="GP79" s="5"/>
      <c r="GQ79" s="4"/>
      <c r="GR79" s="5"/>
      <c r="GS79" s="5"/>
      <c r="GT79" s="5"/>
      <c r="GU79" s="5"/>
      <c r="GV79" s="5"/>
      <c r="GW79" s="5"/>
      <c r="GX79" s="5"/>
      <c r="GY79" s="5"/>
      <c r="GZ79" s="6"/>
      <c r="HA79" s="6"/>
      <c r="HB79" s="6"/>
      <c r="HC79" s="6"/>
      <c r="HD79" s="6"/>
      <c r="HE79" s="6"/>
      <c r="HF79" s="6"/>
      <c r="HG79" s="6"/>
      <c r="HH79" s="6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</row>
    <row r="80" spans="1:230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5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4"/>
      <c r="GK80" s="4"/>
      <c r="GL80" s="4"/>
      <c r="GM80" s="4"/>
      <c r="GN80" s="4"/>
      <c r="GO80" s="5"/>
      <c r="GP80" s="5"/>
      <c r="GQ80" s="4"/>
      <c r="GR80" s="5"/>
      <c r="GS80" s="5"/>
      <c r="GT80" s="5"/>
      <c r="GU80" s="5"/>
      <c r="GV80" s="5"/>
      <c r="GW80" s="5"/>
      <c r="GX80" s="5"/>
      <c r="GY80" s="5"/>
      <c r="GZ80" s="6"/>
      <c r="HA80" s="6"/>
      <c r="HB80" s="6"/>
      <c r="HC80" s="6"/>
      <c r="HD80" s="6"/>
      <c r="HE80" s="6"/>
      <c r="HF80" s="6"/>
      <c r="HG80" s="6"/>
      <c r="HH80" s="6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</row>
    <row r="81" spans="1:23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5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4"/>
      <c r="GK81" s="4"/>
      <c r="GL81" s="4"/>
      <c r="GM81" s="4"/>
      <c r="GN81" s="4"/>
      <c r="GO81" s="5"/>
      <c r="GP81" s="5"/>
      <c r="GQ81" s="4"/>
      <c r="GR81" s="5"/>
      <c r="GS81" s="5"/>
      <c r="GT81" s="5"/>
      <c r="GU81" s="5"/>
      <c r="GV81" s="5"/>
      <c r="GW81" s="5"/>
      <c r="GX81" s="5"/>
      <c r="GY81" s="5"/>
      <c r="GZ81" s="6"/>
      <c r="HA81" s="6"/>
      <c r="HB81" s="6"/>
      <c r="HC81" s="6"/>
      <c r="HD81" s="6"/>
      <c r="HE81" s="6"/>
      <c r="HF81" s="6"/>
      <c r="HG81" s="6"/>
      <c r="HH81" s="6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</row>
    <row r="82" spans="1:23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5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4"/>
      <c r="GK82" s="4"/>
      <c r="GL82" s="4"/>
      <c r="GM82" s="4"/>
      <c r="GN82" s="4"/>
      <c r="GO82" s="5"/>
      <c r="GP82" s="5"/>
      <c r="GQ82" s="4"/>
      <c r="GR82" s="5"/>
      <c r="GS82" s="5"/>
      <c r="GT82" s="5"/>
      <c r="GU82" s="5"/>
      <c r="GV82" s="5"/>
      <c r="GW82" s="5"/>
      <c r="GX82" s="5"/>
      <c r="GY82" s="5"/>
      <c r="GZ82" s="6"/>
      <c r="HA82" s="6"/>
      <c r="HB82" s="6"/>
      <c r="HC82" s="6"/>
      <c r="HD82" s="6"/>
      <c r="HE82" s="6"/>
      <c r="HF82" s="6"/>
      <c r="HG82" s="6"/>
      <c r="HH82" s="6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</row>
    <row r="83" spans="1:23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5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4"/>
      <c r="GK83" s="4"/>
      <c r="GL83" s="4"/>
      <c r="GM83" s="4"/>
      <c r="GN83" s="4"/>
      <c r="GO83" s="5"/>
      <c r="GP83" s="5"/>
      <c r="GQ83" s="4"/>
      <c r="GR83" s="5"/>
      <c r="GS83" s="5"/>
      <c r="GT83" s="5"/>
      <c r="GU83" s="5"/>
      <c r="GV83" s="5"/>
      <c r="GW83" s="5"/>
      <c r="GX83" s="5"/>
      <c r="GY83" s="5"/>
      <c r="GZ83" s="6"/>
      <c r="HA83" s="6"/>
      <c r="HB83" s="6"/>
      <c r="HC83" s="6"/>
      <c r="HD83" s="6"/>
      <c r="HE83" s="6"/>
      <c r="HF83" s="6"/>
      <c r="HG83" s="6"/>
      <c r="HH83" s="6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</row>
    <row r="84" spans="1:23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5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5"/>
      <c r="GP84" s="5"/>
      <c r="GQ84" s="4"/>
      <c r="GR84" s="5"/>
      <c r="GS84" s="5"/>
      <c r="GT84" s="5"/>
      <c r="GU84" s="5"/>
      <c r="GV84" s="5"/>
      <c r="GW84" s="5"/>
      <c r="GX84" s="5"/>
      <c r="GY84" s="5"/>
      <c r="GZ84" s="6"/>
      <c r="HA84" s="6"/>
      <c r="HB84" s="6"/>
      <c r="HC84" s="6"/>
      <c r="HD84" s="6"/>
      <c r="HE84" s="6"/>
      <c r="HF84" s="6"/>
      <c r="HG84" s="6"/>
      <c r="HH84" s="6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</row>
    <row r="85" spans="1:23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5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4"/>
      <c r="GB85" s="4"/>
      <c r="GC85" s="4"/>
      <c r="GD85" s="4"/>
      <c r="GE85" s="4"/>
      <c r="GF85" s="4"/>
      <c r="GG85" s="4"/>
      <c r="GH85" s="4"/>
      <c r="GI85" s="4"/>
      <c r="GJ85" s="4"/>
      <c r="GK85" s="4"/>
      <c r="GL85" s="4"/>
      <c r="GM85" s="4"/>
      <c r="GN85" s="4"/>
      <c r="GO85" s="5"/>
      <c r="GP85" s="5"/>
      <c r="GQ85" s="4"/>
      <c r="GR85" s="5"/>
      <c r="GS85" s="5"/>
      <c r="GT85" s="5"/>
      <c r="GU85" s="5"/>
      <c r="GV85" s="5"/>
      <c r="GW85" s="5"/>
      <c r="GX85" s="5"/>
      <c r="GY85" s="5"/>
      <c r="GZ85" s="6"/>
      <c r="HA85" s="6"/>
      <c r="HB85" s="6"/>
      <c r="HC85" s="6"/>
      <c r="HD85" s="6"/>
      <c r="HE85" s="6"/>
      <c r="HF85" s="6"/>
      <c r="HG85" s="6"/>
      <c r="HH85" s="6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</row>
    <row r="86" spans="1:23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5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5"/>
      <c r="GP86" s="5"/>
      <c r="GQ86" s="4"/>
      <c r="GR86" s="5"/>
      <c r="GS86" s="5"/>
      <c r="GT86" s="5"/>
      <c r="GU86" s="5"/>
      <c r="GV86" s="5"/>
      <c r="GW86" s="5"/>
      <c r="GX86" s="5"/>
      <c r="GY86" s="5"/>
      <c r="GZ86" s="6"/>
      <c r="HA86" s="6"/>
      <c r="HB86" s="6"/>
      <c r="HC86" s="6"/>
      <c r="HD86" s="6"/>
      <c r="HE86" s="6"/>
      <c r="HF86" s="6"/>
      <c r="HG86" s="6"/>
      <c r="HH86" s="6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</row>
    <row r="87" spans="1:23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5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5"/>
      <c r="GP87" s="5"/>
      <c r="GQ87" s="4"/>
      <c r="GR87" s="5"/>
      <c r="GS87" s="5"/>
      <c r="GT87" s="5"/>
      <c r="GU87" s="5"/>
      <c r="GV87" s="5"/>
      <c r="GW87" s="5"/>
      <c r="GX87" s="5"/>
      <c r="GY87" s="5"/>
      <c r="GZ87" s="6"/>
      <c r="HA87" s="6"/>
      <c r="HB87" s="6"/>
      <c r="HC87" s="6"/>
      <c r="HD87" s="6"/>
      <c r="HE87" s="6"/>
      <c r="HF87" s="6"/>
      <c r="HG87" s="6"/>
      <c r="HH87" s="6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</row>
    <row r="88" spans="1:23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5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4"/>
      <c r="GK88" s="4"/>
      <c r="GL88" s="4"/>
      <c r="GM88" s="4"/>
      <c r="GN88" s="4"/>
      <c r="GO88" s="5"/>
      <c r="GP88" s="5"/>
      <c r="GQ88" s="4"/>
      <c r="GR88" s="5"/>
      <c r="GS88" s="5"/>
      <c r="GT88" s="5"/>
      <c r="GU88" s="5"/>
      <c r="GV88" s="5"/>
      <c r="GW88" s="5"/>
      <c r="GX88" s="5"/>
      <c r="GY88" s="5"/>
      <c r="GZ88" s="6"/>
      <c r="HA88" s="6"/>
      <c r="HB88" s="6"/>
      <c r="HC88" s="6"/>
      <c r="HD88" s="6"/>
      <c r="HE88" s="6"/>
      <c r="HF88" s="6"/>
      <c r="HG88" s="6"/>
      <c r="HH88" s="6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</row>
    <row r="89" spans="1:23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5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4"/>
      <c r="GK89" s="4"/>
      <c r="GL89" s="4"/>
      <c r="GM89" s="4"/>
      <c r="GN89" s="4"/>
      <c r="GO89" s="5"/>
      <c r="GP89" s="5"/>
      <c r="GQ89" s="4"/>
      <c r="GR89" s="5"/>
      <c r="GS89" s="5"/>
      <c r="GT89" s="5"/>
      <c r="GU89" s="5"/>
      <c r="GV89" s="5"/>
      <c r="GW89" s="5"/>
      <c r="GX89" s="5"/>
      <c r="GY89" s="5"/>
      <c r="GZ89" s="6"/>
      <c r="HA89" s="6"/>
      <c r="HB89" s="6"/>
      <c r="HC89" s="6"/>
      <c r="HD89" s="6"/>
      <c r="HE89" s="6"/>
      <c r="HF89" s="6"/>
      <c r="HG89" s="6"/>
      <c r="HH89" s="6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</row>
    <row r="90" spans="1:23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5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4"/>
      <c r="GK90" s="4"/>
      <c r="GL90" s="4"/>
      <c r="GM90" s="4"/>
      <c r="GN90" s="4"/>
      <c r="GO90" s="5"/>
      <c r="GP90" s="5"/>
      <c r="GQ90" s="4"/>
      <c r="GR90" s="5"/>
      <c r="GS90" s="5"/>
      <c r="GT90" s="5"/>
      <c r="GU90" s="5"/>
      <c r="GV90" s="5"/>
      <c r="GW90" s="5"/>
      <c r="GX90" s="5"/>
      <c r="GY90" s="5"/>
      <c r="GZ90" s="6"/>
      <c r="HA90" s="6"/>
      <c r="HB90" s="6"/>
      <c r="HC90" s="6"/>
      <c r="HD90" s="6"/>
      <c r="HE90" s="6"/>
      <c r="HF90" s="6"/>
      <c r="HG90" s="6"/>
      <c r="HH90" s="6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</row>
    <row r="91" spans="1:230" x14ac:dyDescent="0.25">
      <c r="N91" s="4"/>
    </row>
  </sheetData>
  <mergeCells count="14">
    <mergeCell ref="DY24:EF24"/>
    <mergeCell ref="DY23:EF23"/>
    <mergeCell ref="DY22:EF22"/>
    <mergeCell ref="DY25:EF25"/>
    <mergeCell ref="DY26:EF26"/>
    <mergeCell ref="DE26:DI26"/>
    <mergeCell ref="DE25:DI25"/>
    <mergeCell ref="DP22:DW22"/>
    <mergeCell ref="DP23:DW23"/>
    <mergeCell ref="DP24:DW24"/>
    <mergeCell ref="DP25:DW25"/>
    <mergeCell ref="DP26:DW26"/>
    <mergeCell ref="DE24:DL24"/>
    <mergeCell ref="DE23:DI2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Dominguez</dc:creator>
  <cp:lastModifiedBy>Luis Miguel Dominguez</cp:lastModifiedBy>
  <cp:lastPrinted>2020-06-07T09:45:43Z</cp:lastPrinted>
  <dcterms:created xsi:type="dcterms:W3CDTF">2020-05-16T14:47:16Z</dcterms:created>
  <dcterms:modified xsi:type="dcterms:W3CDTF">2020-12-10T16:06:38Z</dcterms:modified>
</cp:coreProperties>
</file>